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3.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M:\K0_鑑定官室\00_共有\03組織参考資料フォルダ\令和７事務年度\02_酒類\★もろみエール\8_202601修正（数値丸め、原料米利用率、目標値）\"/>
    </mc:Choice>
  </mc:AlternateContent>
  <xr:revisionPtr revIDLastSave="0" documentId="13_ncr:1_{02267ECE-8B63-445C-AAC3-EDE1250BE44F}" xr6:coauthVersionLast="47" xr6:coauthVersionMax="47" xr10:uidLastSave="{00000000-0000-0000-0000-000000000000}"/>
  <bookViews>
    <workbookView xWindow="20370" yWindow="-3840" windowWidth="29040" windowHeight="15720" xr2:uid="{00000000-000D-0000-FFFF-FFFF00000000}"/>
  </bookViews>
  <sheets>
    <sheet name="はじめに" sheetId="26" r:id="rId1"/>
    <sheet name="操作方法" sheetId="27" r:id="rId2"/>
    <sheet name="目標値" sheetId="13" r:id="rId3"/>
    <sheet name="グラフ" sheetId="23" r:id="rId4"/>
    <sheet name="〇号" sheetId="18" r:id="rId5"/>
    <sheet name="比較" sheetId="21" r:id="rId6"/>
    <sheet name="各種計算式等（配付時非表示）" sheetId="9" state="hidden" r:id="rId7"/>
  </sheets>
  <definedNames>
    <definedName name="_xlnm.Print_Area" localSheetId="4">〇号!$A$2:$BE$235</definedName>
    <definedName name="_xlnm.Print_Area" localSheetId="0">はじめに!$A$1:$K$18</definedName>
    <definedName name="_xlnm.Print_Area" localSheetId="1">操作方法!$A$1:$B$11</definedName>
    <definedName name="_xlnm.Print_Area" localSheetId="2">目標値!$A$1:$N$231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1" i="21" l="1"/>
  <c r="G251" i="21"/>
  <c r="H251" i="21"/>
  <c r="I251" i="21"/>
  <c r="J251" i="21"/>
  <c r="K251" i="21"/>
  <c r="L251" i="21"/>
  <c r="M251" i="21"/>
  <c r="N251" i="21"/>
  <c r="O251" i="21"/>
  <c r="P251" i="21"/>
  <c r="Q251" i="21"/>
  <c r="R251" i="21"/>
  <c r="S251" i="21"/>
  <c r="T251" i="21"/>
  <c r="U251" i="21"/>
  <c r="V251" i="21"/>
  <c r="W251" i="21"/>
  <c r="X251" i="21"/>
  <c r="Y251" i="21"/>
  <c r="Z251" i="21"/>
  <c r="AA251" i="21"/>
  <c r="AB251" i="21"/>
  <c r="AC251" i="21"/>
  <c r="AD251" i="21"/>
  <c r="AE251" i="21"/>
  <c r="AF251" i="21"/>
  <c r="AG251" i="21"/>
  <c r="AH251" i="21"/>
  <c r="AI251" i="21"/>
  <c r="AJ251" i="21"/>
  <c r="AK251" i="21"/>
  <c r="AL251" i="21"/>
  <c r="AM251" i="21"/>
  <c r="AN251" i="21"/>
  <c r="AO251" i="21"/>
  <c r="AP251" i="21"/>
  <c r="AQ251" i="21"/>
  <c r="E251" i="21"/>
  <c r="F209" i="21"/>
  <c r="G209" i="21"/>
  <c r="H209" i="21"/>
  <c r="I209" i="21"/>
  <c r="J209" i="21"/>
  <c r="K209" i="21"/>
  <c r="L209" i="21"/>
  <c r="M209" i="21"/>
  <c r="N209" i="21"/>
  <c r="O209" i="21"/>
  <c r="P209" i="21"/>
  <c r="Q209" i="21"/>
  <c r="R209" i="21"/>
  <c r="S209" i="21"/>
  <c r="T209" i="21"/>
  <c r="U209" i="21"/>
  <c r="V209" i="21"/>
  <c r="W209" i="21"/>
  <c r="X209" i="21"/>
  <c r="Y209" i="21"/>
  <c r="Z209" i="21"/>
  <c r="AA209" i="21"/>
  <c r="AB209" i="21"/>
  <c r="AC209" i="21"/>
  <c r="AD209" i="21"/>
  <c r="AE209" i="21"/>
  <c r="AF209" i="21"/>
  <c r="AG209" i="21"/>
  <c r="AH209" i="21"/>
  <c r="AI209" i="21"/>
  <c r="AJ209" i="21"/>
  <c r="AK209" i="21"/>
  <c r="AL209" i="21"/>
  <c r="AM209" i="21"/>
  <c r="AN209" i="21"/>
  <c r="AO209" i="21"/>
  <c r="AP209" i="21"/>
  <c r="AQ209" i="21"/>
  <c r="E209"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AD125" i="21"/>
  <c r="AE125" i="21"/>
  <c r="AF125" i="21"/>
  <c r="AG125" i="21"/>
  <c r="AH125" i="21"/>
  <c r="AI125" i="21"/>
  <c r="AJ125" i="21"/>
  <c r="AK125" i="21"/>
  <c r="AL125" i="21"/>
  <c r="AM125" i="21"/>
  <c r="AN125" i="21"/>
  <c r="AO125" i="21"/>
  <c r="AP125" i="21"/>
  <c r="AQ125" i="21"/>
  <c r="E125" i="21"/>
  <c r="F167" i="21"/>
  <c r="G167" i="21"/>
  <c r="H167" i="21"/>
  <c r="I167" i="21"/>
  <c r="J167" i="21"/>
  <c r="K167" i="21"/>
  <c r="L167" i="21"/>
  <c r="M167" i="21"/>
  <c r="N167" i="21"/>
  <c r="O167" i="21"/>
  <c r="P167" i="21"/>
  <c r="Q167" i="21"/>
  <c r="R167" i="21"/>
  <c r="S167" i="21"/>
  <c r="T167" i="21"/>
  <c r="U167" i="21"/>
  <c r="V167" i="21"/>
  <c r="W167" i="21"/>
  <c r="X167" i="21"/>
  <c r="Y167" i="21"/>
  <c r="Z167" i="21"/>
  <c r="AA167" i="21"/>
  <c r="AB167" i="21"/>
  <c r="AC167" i="21"/>
  <c r="AD167" i="21"/>
  <c r="AE167" i="21"/>
  <c r="AF167" i="21"/>
  <c r="AG167" i="21"/>
  <c r="AH167" i="21"/>
  <c r="AI167" i="21"/>
  <c r="AJ167" i="21"/>
  <c r="AK167" i="21"/>
  <c r="AL167" i="21"/>
  <c r="AM167" i="21"/>
  <c r="AN167" i="21"/>
  <c r="AO167" i="21"/>
  <c r="AP167" i="21"/>
  <c r="AQ167" i="21"/>
  <c r="E167"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AI83" i="21"/>
  <c r="AJ83" i="21"/>
  <c r="AK83" i="21"/>
  <c r="AL83" i="21"/>
  <c r="AM83" i="21"/>
  <c r="AN83" i="21"/>
  <c r="AO83" i="21"/>
  <c r="AP83" i="21"/>
  <c r="AQ83" i="21"/>
  <c r="E83" i="21"/>
  <c r="M18" i="13"/>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E35" i="21"/>
  <c r="U24" i="13" l="1"/>
  <c r="M24" i="13"/>
  <c r="I24" i="13"/>
  <c r="G24" i="13"/>
  <c r="K24" i="13" l="1"/>
  <c r="O24" i="13" s="1"/>
  <c r="I18" i="13"/>
  <c r="G18" i="13"/>
  <c r="K9" i="13"/>
  <c r="K18" i="13" l="1"/>
  <c r="O18" i="13" s="1"/>
  <c r="K6" i="13"/>
  <c r="K7" i="13"/>
  <c r="K8" i="13"/>
  <c r="E37" i="21" l="1"/>
  <c r="E32" i="21"/>
  <c r="E34" i="21" s="1"/>
  <c r="E36" i="21" s="1"/>
  <c r="E40" i="21" s="1"/>
  <c r="E33" i="21"/>
  <c r="D5" i="13" l="1"/>
  <c r="I34" i="13" l="1"/>
  <c r="H5" i="13"/>
  <c r="G5" i="13"/>
  <c r="F5" i="13"/>
  <c r="E5" i="13"/>
  <c r="U178" i="18"/>
  <c r="E188" i="18"/>
  <c r="K5" i="13" l="1"/>
  <c r="S18" i="13" s="1"/>
  <c r="I14" i="13" s="1"/>
  <c r="Q24" i="13" l="1"/>
  <c r="S24" i="13"/>
  <c r="I20" i="13"/>
  <c r="Q18" i="13"/>
  <c r="U18" i="13"/>
  <c r="I15" i="13" s="1"/>
  <c r="P6" i="21" s="1"/>
  <c r="P5" i="21" l="1"/>
  <c r="I13" i="13"/>
  <c r="P4" i="21" s="1"/>
  <c r="D44" i="21" s="1"/>
  <c r="E44" i="21" s="1"/>
  <c r="W18" i="13"/>
  <c r="G371" i="18"/>
  <c r="I16" i="13" l="1"/>
  <c r="D42" i="21"/>
  <c r="D43" i="21" l="1"/>
  <c r="P7" i="21"/>
  <c r="D45" i="21" s="1"/>
  <c r="D2" i="18"/>
  <c r="B51" i="13" a="1"/>
  <c r="B51" i="13" s="1"/>
  <c r="AF106" i="18" l="1"/>
  <c r="AL372" i="18" l="1"/>
  <c r="AL373" i="18"/>
  <c r="AL374" i="18"/>
  <c r="AL375" i="18"/>
  <c r="AL376" i="18"/>
  <c r="AL377" i="18"/>
  <c r="AL378" i="18"/>
  <c r="AL371" i="18"/>
  <c r="BH272" i="18"/>
  <c r="AO272" i="18" s="1"/>
  <c r="AR272" i="18" s="1"/>
  <c r="AR372" i="18" s="1"/>
  <c r="BH273" i="18"/>
  <c r="AO273" i="18" s="1"/>
  <c r="AR273" i="18" s="1"/>
  <c r="AR373" i="18" s="1"/>
  <c r="BH274" i="18"/>
  <c r="AO274" i="18" s="1"/>
  <c r="AR274" i="18" s="1"/>
  <c r="AR374" i="18" s="1"/>
  <c r="BH275" i="18"/>
  <c r="AO275" i="18" s="1"/>
  <c r="AR275" i="18" s="1"/>
  <c r="AR375" i="18" s="1"/>
  <c r="BH276" i="18"/>
  <c r="AO276" i="18" s="1"/>
  <c r="AR276" i="18" s="1"/>
  <c r="AR376" i="18" s="1"/>
  <c r="BH277" i="18"/>
  <c r="AO277" i="18" s="1"/>
  <c r="AR277" i="18" s="1"/>
  <c r="AR377" i="18" s="1"/>
  <c r="BH278" i="18"/>
  <c r="AO278" i="18" s="1"/>
  <c r="AR278" i="18" s="1"/>
  <c r="AR378" i="18" s="1"/>
  <c r="BH271" i="18"/>
  <c r="AO271" i="18" s="1"/>
  <c r="AR271" i="18" s="1"/>
  <c r="AR371" i="18" s="1"/>
  <c r="AO375" i="18" l="1"/>
  <c r="AO371" i="18"/>
  <c r="AO376" i="18"/>
  <c r="AO372" i="18"/>
  <c r="AO377" i="18"/>
  <c r="AO373" i="18"/>
  <c r="AO378" i="18"/>
  <c r="AO374" i="18"/>
  <c r="V10" i="23"/>
  <c r="V9" i="23" s="1"/>
  <c r="X372" i="18"/>
  <c r="X373" i="18"/>
  <c r="X374" i="18"/>
  <c r="X375" i="18"/>
  <c r="X376" i="18"/>
  <c r="X377" i="18"/>
  <c r="X378" i="18"/>
  <c r="X371" i="18"/>
  <c r="M372" i="18"/>
  <c r="M373" i="18"/>
  <c r="M374" i="18"/>
  <c r="M375" i="18"/>
  <c r="M376" i="18"/>
  <c r="M377" i="18"/>
  <c r="M378" i="18"/>
  <c r="M371" i="18"/>
  <c r="K378" i="18"/>
  <c r="I378" i="18"/>
  <c r="G378" i="18"/>
  <c r="K372" i="18"/>
  <c r="K373" i="18"/>
  <c r="K374" i="18"/>
  <c r="K375" i="18"/>
  <c r="K376" i="18"/>
  <c r="K377" i="18"/>
  <c r="K371" i="18"/>
  <c r="I372" i="18"/>
  <c r="I373" i="18"/>
  <c r="I374" i="18"/>
  <c r="I375" i="18"/>
  <c r="I376" i="18"/>
  <c r="I377" i="18"/>
  <c r="I371" i="18"/>
  <c r="G372" i="18"/>
  <c r="G373" i="18"/>
  <c r="G374" i="18"/>
  <c r="G375" i="18"/>
  <c r="G376" i="18"/>
  <c r="G377" i="18"/>
  <c r="E31" i="13"/>
  <c r="F31" i="13"/>
  <c r="G31" i="13"/>
  <c r="H31" i="13"/>
  <c r="D31" i="13"/>
  <c r="V7" i="23" l="1"/>
  <c r="U16" i="23" s="1"/>
  <c r="V35" i="23" s="1"/>
  <c r="V8" i="23" s="1"/>
  <c r="AJ106" i="18"/>
  <c r="AN106" i="18"/>
  <c r="AR106" i="18"/>
  <c r="AV106" i="18"/>
  <c r="AV84" i="18"/>
  <c r="AV85" i="18"/>
  <c r="AV86" i="18"/>
  <c r="AV87" i="18"/>
  <c r="AV88" i="18"/>
  <c r="AV89" i="18"/>
  <c r="AV90" i="18"/>
  <c r="AV83" i="18"/>
  <c r="Z372" i="18"/>
  <c r="AM84" i="18" s="1"/>
  <c r="Z373" i="18"/>
  <c r="AM85" i="18" s="1"/>
  <c r="Z374" i="18"/>
  <c r="AM86" i="18" s="1"/>
  <c r="Z375" i="18"/>
  <c r="AM87" i="18" s="1"/>
  <c r="Z376" i="18"/>
  <c r="AM88" i="18" s="1"/>
  <c r="Z377" i="18"/>
  <c r="AM89" i="18" s="1"/>
  <c r="Z378" i="18"/>
  <c r="AM90" i="18" s="1"/>
  <c r="Z371" i="18"/>
  <c r="AM83" i="18" s="1"/>
  <c r="AK89" i="18"/>
  <c r="AK84" i="18"/>
  <c r="AK85" i="18"/>
  <c r="AK86" i="18"/>
  <c r="AK87" i="18"/>
  <c r="AK88" i="18"/>
  <c r="AK90" i="18"/>
  <c r="AK83" i="18"/>
  <c r="Z87" i="18"/>
  <c r="Z84" i="18"/>
  <c r="Z85" i="18"/>
  <c r="Z86" i="18"/>
  <c r="Z88" i="18"/>
  <c r="Z89" i="18"/>
  <c r="Z90" i="18"/>
  <c r="Z83" i="18"/>
  <c r="X85" i="18"/>
  <c r="X84" i="18"/>
  <c r="X86" i="18"/>
  <c r="X87" i="18"/>
  <c r="X88" i="18"/>
  <c r="X89" i="18"/>
  <c r="X90" i="18"/>
  <c r="X83" i="18"/>
  <c r="V85" i="18"/>
  <c r="V88" i="18"/>
  <c r="V87" i="18"/>
  <c r="V84" i="18"/>
  <c r="V86" i="18"/>
  <c r="V89" i="18"/>
  <c r="V90" i="18"/>
  <c r="V83" i="18"/>
  <c r="O371" i="18"/>
  <c r="AB83" i="18" s="1"/>
  <c r="AF362" i="18"/>
  <c r="AC362" i="18"/>
  <c r="U362" i="18"/>
  <c r="R362" i="18"/>
  <c r="AF357" i="18"/>
  <c r="AC357" i="18"/>
  <c r="U357" i="18"/>
  <c r="R357" i="18"/>
  <c r="AF356" i="18"/>
  <c r="AC356" i="18"/>
  <c r="U356" i="18"/>
  <c r="R356" i="18"/>
  <c r="AF355" i="18"/>
  <c r="AC355" i="18"/>
  <c r="U355" i="18"/>
  <c r="R355" i="18"/>
  <c r="AF354" i="18"/>
  <c r="AC354" i="18"/>
  <c r="U354" i="18"/>
  <c r="R354" i="18"/>
  <c r="AF353" i="18"/>
  <c r="AC353" i="18"/>
  <c r="U353" i="18"/>
  <c r="R353" i="18"/>
  <c r="AF352" i="18"/>
  <c r="AC352" i="18"/>
  <c r="U352" i="18"/>
  <c r="R352" i="18"/>
  <c r="AF351" i="18"/>
  <c r="AC351" i="18"/>
  <c r="U351" i="18"/>
  <c r="R351" i="18"/>
  <c r="AF350" i="18"/>
  <c r="AC350" i="18"/>
  <c r="U350" i="18"/>
  <c r="R350" i="18"/>
  <c r="AF349" i="18"/>
  <c r="AC349" i="18"/>
  <c r="U349" i="18"/>
  <c r="R349" i="18"/>
  <c r="AF348" i="18"/>
  <c r="AC348" i="18"/>
  <c r="U348" i="18"/>
  <c r="R348" i="18"/>
  <c r="AF347" i="18"/>
  <c r="AC347" i="18"/>
  <c r="U347" i="18"/>
  <c r="R347" i="18"/>
  <c r="AF346" i="18"/>
  <c r="AC346" i="18"/>
  <c r="U346" i="18"/>
  <c r="R346" i="18"/>
  <c r="AC284" i="18"/>
  <c r="AC285" i="18"/>
  <c r="AC286" i="18"/>
  <c r="AC287" i="18"/>
  <c r="AC288" i="18"/>
  <c r="AC289" i="18"/>
  <c r="AC290" i="18"/>
  <c r="AC291" i="18"/>
  <c r="AC292" i="18"/>
  <c r="AC293" i="18"/>
  <c r="AC294" i="18"/>
  <c r="AC295" i="18"/>
  <c r="AC296" i="18"/>
  <c r="AC297" i="18"/>
  <c r="AC298" i="18"/>
  <c r="AC299" i="18"/>
  <c r="AC300" i="18"/>
  <c r="AC301" i="18"/>
  <c r="AC302" i="18"/>
  <c r="AC303" i="18"/>
  <c r="AC304" i="18"/>
  <c r="AC305" i="18"/>
  <c r="AC306" i="18"/>
  <c r="AC307" i="18"/>
  <c r="AC308" i="18"/>
  <c r="AC309" i="18"/>
  <c r="AF309" i="18" s="1"/>
  <c r="AC310" i="18"/>
  <c r="AC311" i="18"/>
  <c r="AC312" i="18"/>
  <c r="AF312" i="18" s="1"/>
  <c r="AC313" i="18"/>
  <c r="AF313" i="18" s="1"/>
  <c r="AC314" i="18"/>
  <c r="AC315" i="18"/>
  <c r="AC316" i="18"/>
  <c r="AC317" i="18"/>
  <c r="AC318" i="18"/>
  <c r="AC319" i="18"/>
  <c r="AC320" i="18"/>
  <c r="AC321" i="18"/>
  <c r="AC322" i="18"/>
  <c r="AC323" i="18"/>
  <c r="AC324" i="18"/>
  <c r="AC325" i="18"/>
  <c r="AC326" i="18"/>
  <c r="AC327" i="18"/>
  <c r="AC328" i="18"/>
  <c r="AC329" i="18"/>
  <c r="AC330" i="18"/>
  <c r="AC331" i="18"/>
  <c r="AC332" i="18"/>
  <c r="AC333" i="18"/>
  <c r="AC334" i="18"/>
  <c r="AC335" i="18"/>
  <c r="AC336" i="18"/>
  <c r="AC337" i="18"/>
  <c r="AC338" i="18"/>
  <c r="AC339" i="18"/>
  <c r="AC340" i="18"/>
  <c r="AC341" i="18"/>
  <c r="AC342" i="18"/>
  <c r="AC343" i="18"/>
  <c r="AC344" i="18"/>
  <c r="AC345" i="18"/>
  <c r="AC358" i="18"/>
  <c r="AC359" i="18"/>
  <c r="AC360" i="18"/>
  <c r="AC361" i="18"/>
  <c r="AC363" i="18"/>
  <c r="AC364" i="18"/>
  <c r="AC365" i="18"/>
  <c r="AC366" i="18"/>
  <c r="AC367" i="18"/>
  <c r="AC368" i="18"/>
  <c r="AC369" i="18"/>
  <c r="AC370" i="18"/>
  <c r="AC272" i="18"/>
  <c r="AC273" i="18"/>
  <c r="AC274" i="18"/>
  <c r="AC275" i="18"/>
  <c r="AC276" i="18"/>
  <c r="AC277" i="18"/>
  <c r="AC278" i="18"/>
  <c r="AC279" i="18"/>
  <c r="AC280" i="18"/>
  <c r="AC281" i="18"/>
  <c r="AC282" i="18"/>
  <c r="AC283" i="18"/>
  <c r="AC271" i="18"/>
  <c r="T84" i="18"/>
  <c r="T85" i="18"/>
  <c r="T86" i="18"/>
  <c r="T87" i="18"/>
  <c r="T88" i="18"/>
  <c r="T89" i="18"/>
  <c r="T90" i="18"/>
  <c r="T83" i="18"/>
  <c r="U369" i="18"/>
  <c r="U370"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339" i="18"/>
  <c r="U340" i="18"/>
  <c r="U341" i="18"/>
  <c r="U342" i="18"/>
  <c r="U343" i="18"/>
  <c r="U344" i="18"/>
  <c r="U345" i="18"/>
  <c r="U358" i="18"/>
  <c r="U359" i="18"/>
  <c r="U360" i="18"/>
  <c r="U361" i="18"/>
  <c r="U363" i="18"/>
  <c r="U364" i="18"/>
  <c r="U365" i="18"/>
  <c r="U366" i="18"/>
  <c r="U367" i="18"/>
  <c r="U368" i="18"/>
  <c r="R284" i="18"/>
  <c r="U284" i="18" s="1"/>
  <c r="R285" i="18"/>
  <c r="U285" i="18" s="1"/>
  <c r="R286" i="18"/>
  <c r="U286" i="18" s="1"/>
  <c r="R287" i="18"/>
  <c r="U287" i="18" s="1"/>
  <c r="R288" i="18"/>
  <c r="U288" i="18" s="1"/>
  <c r="R289" i="18"/>
  <c r="U289" i="18" s="1"/>
  <c r="R290" i="18"/>
  <c r="U290" i="18" s="1"/>
  <c r="R291" i="18"/>
  <c r="U291" i="18" s="1"/>
  <c r="R292" i="18"/>
  <c r="U292" i="18" s="1"/>
  <c r="R293" i="18"/>
  <c r="U293" i="18" s="1"/>
  <c r="R294" i="18"/>
  <c r="U294" i="18" s="1"/>
  <c r="R295" i="18"/>
  <c r="U295" i="18" s="1"/>
  <c r="R296" i="18"/>
  <c r="U296" i="18" s="1"/>
  <c r="R297" i="18"/>
  <c r="U297" i="18" s="1"/>
  <c r="R298" i="18"/>
  <c r="U298" i="18" s="1"/>
  <c r="R299" i="18"/>
  <c r="U299" i="18" s="1"/>
  <c r="R300" i="18"/>
  <c r="U300" i="18" s="1"/>
  <c r="R301" i="18"/>
  <c r="U301" i="18" s="1"/>
  <c r="R302" i="18"/>
  <c r="U302" i="18" s="1"/>
  <c r="R303" i="18"/>
  <c r="U303" i="18" s="1"/>
  <c r="R304" i="18"/>
  <c r="U304" i="18" s="1"/>
  <c r="R305" i="18"/>
  <c r="U305" i="18" s="1"/>
  <c r="R306" i="18"/>
  <c r="U306" i="18" s="1"/>
  <c r="R307" i="18"/>
  <c r="U307" i="18" s="1"/>
  <c r="R308" i="18"/>
  <c r="U308" i="18" s="1"/>
  <c r="R309" i="18"/>
  <c r="U309" i="18" s="1"/>
  <c r="R310" i="18"/>
  <c r="U310" i="18" s="1"/>
  <c r="R311" i="18"/>
  <c r="U311" i="18" s="1"/>
  <c r="R312" i="18"/>
  <c r="U312" i="18" s="1"/>
  <c r="R313" i="18"/>
  <c r="U313" i="18" s="1"/>
  <c r="R314" i="18"/>
  <c r="U314" i="18" s="1"/>
  <c r="R315" i="18"/>
  <c r="U315" i="18" s="1"/>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58" i="18"/>
  <c r="R359" i="18"/>
  <c r="R360" i="18"/>
  <c r="R361" i="18"/>
  <c r="R363" i="18"/>
  <c r="R364" i="18"/>
  <c r="R365" i="18"/>
  <c r="R366" i="18"/>
  <c r="R367" i="18"/>
  <c r="R368" i="18"/>
  <c r="R369" i="18"/>
  <c r="R370" i="18"/>
  <c r="R272" i="18"/>
  <c r="R273" i="18"/>
  <c r="U273" i="18" s="1"/>
  <c r="R274" i="18"/>
  <c r="U274" i="18" s="1"/>
  <c r="R275" i="18"/>
  <c r="U275" i="18" s="1"/>
  <c r="R276" i="18"/>
  <c r="U276" i="18" s="1"/>
  <c r="R277" i="18"/>
  <c r="U277" i="18" s="1"/>
  <c r="R278" i="18"/>
  <c r="U278" i="18" s="1"/>
  <c r="R279" i="18"/>
  <c r="U279" i="18" s="1"/>
  <c r="R280" i="18"/>
  <c r="U280" i="18" s="1"/>
  <c r="R281" i="18"/>
  <c r="U281" i="18" s="1"/>
  <c r="R282" i="18"/>
  <c r="U282" i="18" s="1"/>
  <c r="R283" i="18"/>
  <c r="U283" i="18" s="1"/>
  <c r="R271" i="18"/>
  <c r="U271" i="18" s="1"/>
  <c r="E371" i="18"/>
  <c r="AF358" i="18"/>
  <c r="AF345" i="18"/>
  <c r="AF344" i="18"/>
  <c r="AF343" i="18"/>
  <c r="AF342" i="18"/>
  <c r="AF341" i="18"/>
  <c r="AF340" i="18"/>
  <c r="AF339" i="18"/>
  <c r="AF338" i="18"/>
  <c r="AF337" i="18"/>
  <c r="AF336" i="18"/>
  <c r="AF335" i="18"/>
  <c r="AF334" i="18"/>
  <c r="AF333" i="18"/>
  <c r="AF332" i="18"/>
  <c r="AF331" i="18"/>
  <c r="AF330" i="18"/>
  <c r="AF329" i="18"/>
  <c r="AF328" i="18"/>
  <c r="AF327" i="18"/>
  <c r="AF326" i="18"/>
  <c r="AF325" i="18"/>
  <c r="AF324" i="18"/>
  <c r="AF323" i="18"/>
  <c r="AF322" i="18"/>
  <c r="AF321" i="18"/>
  <c r="AF320" i="18"/>
  <c r="AF363" i="18"/>
  <c r="AF361" i="18"/>
  <c r="AF360" i="18"/>
  <c r="AF359" i="18"/>
  <c r="AF319" i="18"/>
  <c r="AF318" i="18"/>
  <c r="AF317" i="18"/>
  <c r="AF316" i="18"/>
  <c r="AF315" i="18"/>
  <c r="AF314" i="18"/>
  <c r="AF311" i="18"/>
  <c r="AF310" i="18"/>
  <c r="AF308" i="18"/>
  <c r="AF307" i="18"/>
  <c r="O378" i="18"/>
  <c r="AB90" i="18" s="1"/>
  <c r="O377" i="18"/>
  <c r="AB89" i="18" s="1"/>
  <c r="O376" i="18"/>
  <c r="AB88" i="18" s="1"/>
  <c r="O375" i="18"/>
  <c r="AB87" i="18" s="1"/>
  <c r="O374" i="18"/>
  <c r="AB86" i="18" s="1"/>
  <c r="R83" i="18" l="1"/>
  <c r="AY83" i="18"/>
  <c r="AC371" i="18"/>
  <c r="AP83" i="18" s="1"/>
  <c r="R371" i="18"/>
  <c r="U272" i="18"/>
  <c r="AF371" i="18" l="1"/>
  <c r="AS83" i="18" s="1"/>
  <c r="E378" i="18"/>
  <c r="E377" i="18"/>
  <c r="E376" i="18"/>
  <c r="E375" i="18"/>
  <c r="E374" i="18"/>
  <c r="O373" i="18"/>
  <c r="AB85" i="18" s="1"/>
  <c r="O372" i="18"/>
  <c r="AB84" i="18" s="1"/>
  <c r="E373" i="18"/>
  <c r="E372" i="18"/>
  <c r="AF304" i="18"/>
  <c r="AF303" i="18"/>
  <c r="AF302" i="18"/>
  <c r="AF301" i="18"/>
  <c r="AF300" i="18"/>
  <c r="AF299" i="18"/>
  <c r="AF298" i="18"/>
  <c r="AF297" i="18"/>
  <c r="AF296" i="18"/>
  <c r="AF295" i="18"/>
  <c r="AF294" i="18"/>
  <c r="AF293" i="18"/>
  <c r="AF292" i="18"/>
  <c r="AF370" i="18"/>
  <c r="AF369" i="18"/>
  <c r="AF368" i="18"/>
  <c r="AF367" i="18"/>
  <c r="AF366" i="18"/>
  <c r="AF365" i="18"/>
  <c r="AF364" i="18"/>
  <c r="AF306" i="18"/>
  <c r="AF305" i="18"/>
  <c r="AF291" i="18"/>
  <c r="AF290" i="18"/>
  <c r="AF289" i="18"/>
  <c r="AF288" i="18"/>
  <c r="AF287" i="18"/>
  <c r="AF286" i="18"/>
  <c r="AF285" i="18"/>
  <c r="AF284" i="18"/>
  <c r="AF283" i="18"/>
  <c r="AF282" i="18"/>
  <c r="AF281" i="18"/>
  <c r="AF280" i="18"/>
  <c r="AF279" i="18"/>
  <c r="AF278" i="18"/>
  <c r="AF277" i="18"/>
  <c r="AF276" i="18"/>
  <c r="AF275" i="18"/>
  <c r="AF274" i="18"/>
  <c r="AF273" i="18"/>
  <c r="AF272" i="18"/>
  <c r="AY85" i="18" l="1"/>
  <c r="AC373" i="18"/>
  <c r="R373" i="18"/>
  <c r="AC375" i="18"/>
  <c r="R375" i="18"/>
  <c r="AY87" i="18"/>
  <c r="AY88" i="18"/>
  <c r="AC376" i="18"/>
  <c r="R376" i="18"/>
  <c r="AY89" i="18"/>
  <c r="AC377" i="18"/>
  <c r="R377" i="18"/>
  <c r="AY84" i="18"/>
  <c r="AC372" i="18"/>
  <c r="R372" i="18"/>
  <c r="AC374" i="18"/>
  <c r="R374" i="18"/>
  <c r="AY86" i="18"/>
  <c r="AC378" i="18"/>
  <c r="R378" i="18"/>
  <c r="AY90" i="18"/>
  <c r="R84" i="18"/>
  <c r="R85" i="18"/>
  <c r="R87" i="18"/>
  <c r="R88" i="18"/>
  <c r="U371" i="18"/>
  <c r="AH83" i="18" s="1"/>
  <c r="AE83" i="18"/>
  <c r="R89" i="18"/>
  <c r="R86" i="18"/>
  <c r="R90" i="18"/>
  <c r="R103" i="13"/>
  <c r="S103" i="13"/>
  <c r="T103" i="13"/>
  <c r="U103" i="13"/>
  <c r="V103" i="13"/>
  <c r="W103" i="13"/>
  <c r="X103" i="13"/>
  <c r="Y103" i="13"/>
  <c r="Z103" i="13"/>
  <c r="AA103" i="13"/>
  <c r="AB103" i="13"/>
  <c r="AC103" i="13"/>
  <c r="AD103" i="13"/>
  <c r="AE103" i="13"/>
  <c r="AF103" i="13"/>
  <c r="AG103" i="13"/>
  <c r="AH103" i="13"/>
  <c r="AI103" i="13"/>
  <c r="AJ103" i="13"/>
  <c r="AK103" i="13"/>
  <c r="AL103" i="13"/>
  <c r="AM103" i="13"/>
  <c r="AN103" i="13"/>
  <c r="AO103" i="13"/>
  <c r="AP103" i="13"/>
  <c r="AQ103" i="13"/>
  <c r="S105" i="13"/>
  <c r="S106" i="13" s="1"/>
  <c r="S83" i="13" s="1"/>
  <c r="T105" i="13"/>
  <c r="U105" i="13"/>
  <c r="V105" i="13"/>
  <c r="V106" i="13" s="1"/>
  <c r="V83" i="13" s="1"/>
  <c r="W105" i="13"/>
  <c r="W106" i="13" s="1"/>
  <c r="W83" i="13" s="1"/>
  <c r="X105" i="13"/>
  <c r="X106" i="13" s="1"/>
  <c r="X83" i="13" s="1"/>
  <c r="Y105" i="13"/>
  <c r="Y106" i="13" s="1"/>
  <c r="Y83" i="13" s="1"/>
  <c r="Z105" i="13"/>
  <c r="Z106" i="13" s="1"/>
  <c r="Z83" i="13" s="1"/>
  <c r="AA105" i="13"/>
  <c r="AA106" i="13" s="1"/>
  <c r="AA83" i="13" s="1"/>
  <c r="AB105" i="13"/>
  <c r="AB106" i="13" s="1"/>
  <c r="AB83" i="13" s="1"/>
  <c r="AC105" i="13"/>
  <c r="AC106" i="13" s="1"/>
  <c r="AC83" i="13" s="1"/>
  <c r="AD105" i="13"/>
  <c r="AD106" i="13" s="1"/>
  <c r="AD83" i="13" s="1"/>
  <c r="AE105" i="13"/>
  <c r="AE106" i="13" s="1"/>
  <c r="AE83" i="13" s="1"/>
  <c r="AF105" i="13"/>
  <c r="AF106" i="13" s="1"/>
  <c r="AF83" i="13" s="1"/>
  <c r="AG105" i="13"/>
  <c r="AG106" i="13" s="1"/>
  <c r="AG83" i="13" s="1"/>
  <c r="AH105" i="13"/>
  <c r="AH106" i="13" s="1"/>
  <c r="AH83" i="13" s="1"/>
  <c r="AI105" i="13"/>
  <c r="AI106" i="13" s="1"/>
  <c r="AI83" i="13" s="1"/>
  <c r="AJ105" i="13"/>
  <c r="AJ106" i="13" s="1"/>
  <c r="AJ83" i="13" s="1"/>
  <c r="AK105" i="13"/>
  <c r="AK106" i="13" s="1"/>
  <c r="AK83" i="13" s="1"/>
  <c r="AL105" i="13"/>
  <c r="AL106" i="13" s="1"/>
  <c r="AL83" i="13" s="1"/>
  <c r="AM105" i="13"/>
  <c r="AM106" i="13" s="1"/>
  <c r="AM83" i="13" s="1"/>
  <c r="AN105" i="13"/>
  <c r="AN106" i="13" s="1"/>
  <c r="AN83" i="13" s="1"/>
  <c r="AO105" i="13"/>
  <c r="AO106" i="13" s="1"/>
  <c r="AO83" i="13" s="1"/>
  <c r="AP105" i="13"/>
  <c r="AP106" i="13" s="1"/>
  <c r="AP83" i="13" s="1"/>
  <c r="AQ105" i="13"/>
  <c r="AQ106" i="13" s="1"/>
  <c r="AQ83" i="13" s="1"/>
  <c r="T106" i="13"/>
  <c r="T83" i="13" s="1"/>
  <c r="U106" i="13"/>
  <c r="K103" i="13"/>
  <c r="L103" i="13"/>
  <c r="M103" i="13"/>
  <c r="N103" i="13"/>
  <c r="O103" i="13"/>
  <c r="P103" i="13"/>
  <c r="Q103" i="13"/>
  <c r="F103" i="13"/>
  <c r="G103" i="13"/>
  <c r="H103" i="13"/>
  <c r="I103" i="13"/>
  <c r="J103" i="13"/>
  <c r="B52" i="13"/>
  <c r="E52" i="13" a="1"/>
  <c r="E52" i="13" s="1"/>
  <c r="E56" i="13"/>
  <c r="E57" i="13" s="1"/>
  <c r="J32" i="13"/>
  <c r="J33" i="13"/>
  <c r="J34" i="13"/>
  <c r="E45" i="13"/>
  <c r="F45" i="13"/>
  <c r="G45" i="13"/>
  <c r="H45" i="13"/>
  <c r="I45" i="13"/>
  <c r="J45" i="13"/>
  <c r="K45" i="13"/>
  <c r="L45" i="13"/>
  <c r="M45" i="13"/>
  <c r="N45" i="13"/>
  <c r="O45" i="13"/>
  <c r="P45" i="13"/>
  <c r="Q45" i="13"/>
  <c r="R45" i="13"/>
  <c r="S45" i="13"/>
  <c r="T45" i="13"/>
  <c r="U45" i="13"/>
  <c r="V45" i="13"/>
  <c r="W45" i="13"/>
  <c r="X45" i="13"/>
  <c r="Y45" i="13"/>
  <c r="Z45" i="13"/>
  <c r="AA45" i="13"/>
  <c r="AB45" i="13"/>
  <c r="AC45" i="13"/>
  <c r="AD45" i="13"/>
  <c r="AE45" i="13"/>
  <c r="AF45" i="13"/>
  <c r="AG45" i="13"/>
  <c r="AH45" i="13"/>
  <c r="AI45" i="13"/>
  <c r="AJ45" i="13"/>
  <c r="AK45" i="13"/>
  <c r="AL45" i="13"/>
  <c r="AM45" i="13"/>
  <c r="AN45" i="13"/>
  <c r="AO45" i="13"/>
  <c r="AP45" i="13"/>
  <c r="AQ45" i="13"/>
  <c r="D46" i="13"/>
  <c r="E46" i="13" s="1"/>
  <c r="F56" i="13"/>
  <c r="F57" i="13" s="1"/>
  <c r="G56" i="13"/>
  <c r="G57" i="13" s="1"/>
  <c r="G58" i="13" s="1"/>
  <c r="H56" i="13"/>
  <c r="I56" i="13"/>
  <c r="I57" i="13" s="1"/>
  <c r="J56" i="13"/>
  <c r="J57" i="13" s="1"/>
  <c r="K56" i="13"/>
  <c r="K57" i="13" s="1"/>
  <c r="L56" i="13"/>
  <c r="M56" i="13"/>
  <c r="N56" i="13"/>
  <c r="N57" i="13" s="1"/>
  <c r="O56" i="13"/>
  <c r="O57" i="13" s="1"/>
  <c r="O58" i="13" s="1"/>
  <c r="P56" i="13"/>
  <c r="Q56" i="13"/>
  <c r="Q57" i="13" s="1"/>
  <c r="R56" i="13"/>
  <c r="R57" i="13" s="1"/>
  <c r="S56" i="13"/>
  <c r="S57" i="13" s="1"/>
  <c r="S58" i="13" s="1"/>
  <c r="T56" i="13"/>
  <c r="U56" i="13"/>
  <c r="U58" i="13" s="1"/>
  <c r="V56" i="13"/>
  <c r="V57" i="13" s="1"/>
  <c r="W56" i="13"/>
  <c r="W57" i="13" s="1"/>
  <c r="X56" i="13"/>
  <c r="X58" i="13" s="1"/>
  <c r="Y56" i="13"/>
  <c r="Y58" i="13" s="1"/>
  <c r="Z56" i="13"/>
  <c r="Z57" i="13" s="1"/>
  <c r="AA56" i="13"/>
  <c r="AA58" i="13" s="1"/>
  <c r="AB56" i="13"/>
  <c r="AB58" i="13" s="1"/>
  <c r="AC56" i="13"/>
  <c r="AC58" i="13" s="1"/>
  <c r="AD56" i="13"/>
  <c r="AD57" i="13" s="1"/>
  <c r="AE56" i="13"/>
  <c r="AE57" i="13" s="1"/>
  <c r="AF56" i="13"/>
  <c r="AF58" i="13" s="1"/>
  <c r="AG56" i="13"/>
  <c r="AG58" i="13" s="1"/>
  <c r="AH56" i="13"/>
  <c r="AH58" i="13" s="1"/>
  <c r="AI56" i="13"/>
  <c r="AI58" i="13" s="1"/>
  <c r="AJ56" i="13"/>
  <c r="AK56" i="13"/>
  <c r="AK58" i="13" s="1"/>
  <c r="AL56" i="13"/>
  <c r="AL57" i="13" s="1"/>
  <c r="AM56" i="13"/>
  <c r="AM57" i="13" s="1"/>
  <c r="AN56" i="13"/>
  <c r="AN58" i="13" s="1"/>
  <c r="AO56" i="13"/>
  <c r="AO58" i="13" s="1"/>
  <c r="AP56" i="13"/>
  <c r="AP57" i="13" s="1"/>
  <c r="AQ56" i="13"/>
  <c r="AQ58" i="13" s="1"/>
  <c r="E59" i="13"/>
  <c r="F59" i="13"/>
  <c r="G59" i="13"/>
  <c r="H59" i="13"/>
  <c r="I59" i="13"/>
  <c r="J59" i="13"/>
  <c r="K59" i="13"/>
  <c r="L59" i="13"/>
  <c r="M59" i="13"/>
  <c r="N59" i="13"/>
  <c r="O59" i="13"/>
  <c r="P59" i="13"/>
  <c r="Q59" i="13"/>
  <c r="R59" i="13"/>
  <c r="S59" i="13"/>
  <c r="T59" i="13"/>
  <c r="U59" i="13"/>
  <c r="V59" i="13"/>
  <c r="W59" i="13"/>
  <c r="X59" i="13"/>
  <c r="Y59" i="13"/>
  <c r="Z59" i="13"/>
  <c r="AA59" i="13"/>
  <c r="AB59" i="13"/>
  <c r="AC59" i="13"/>
  <c r="AD59" i="13"/>
  <c r="AE59" i="13"/>
  <c r="AF59" i="13"/>
  <c r="AG59" i="13"/>
  <c r="AH59" i="13"/>
  <c r="AI59" i="13"/>
  <c r="AJ59" i="13"/>
  <c r="AK59" i="13"/>
  <c r="AL59" i="13"/>
  <c r="AM59" i="13"/>
  <c r="AN59" i="13"/>
  <c r="AO59" i="13"/>
  <c r="AP59" i="13"/>
  <c r="AQ59" i="13"/>
  <c r="E61" i="13"/>
  <c r="F61" i="13"/>
  <c r="G61" i="13"/>
  <c r="H61" i="13"/>
  <c r="I61" i="13"/>
  <c r="J61" i="13"/>
  <c r="K61" i="13"/>
  <c r="L61" i="13"/>
  <c r="M61" i="13"/>
  <c r="N61" i="13"/>
  <c r="O61" i="13"/>
  <c r="P61" i="13"/>
  <c r="Q61" i="13"/>
  <c r="R61" i="13"/>
  <c r="S61" i="13"/>
  <c r="T61" i="13"/>
  <c r="U61" i="13"/>
  <c r="V61" i="13"/>
  <c r="W61" i="13"/>
  <c r="X61" i="13"/>
  <c r="Y61" i="13"/>
  <c r="Z61" i="13"/>
  <c r="AA61" i="13"/>
  <c r="AB61" i="13"/>
  <c r="AC61" i="13"/>
  <c r="AD61" i="13"/>
  <c r="AE61" i="13"/>
  <c r="AF61" i="13"/>
  <c r="AG61" i="13"/>
  <c r="AH61" i="13"/>
  <c r="AI61" i="13"/>
  <c r="AJ61" i="13"/>
  <c r="AK61" i="13"/>
  <c r="AL61" i="13"/>
  <c r="AM61" i="13"/>
  <c r="AN61" i="13"/>
  <c r="AO61" i="13"/>
  <c r="AP61" i="13"/>
  <c r="AQ61" i="13"/>
  <c r="U63" i="13"/>
  <c r="U64" i="13" s="1"/>
  <c r="U41" i="13" s="1"/>
  <c r="W63" i="13"/>
  <c r="W64" i="13" s="1"/>
  <c r="W41" i="13" s="1"/>
  <c r="X63" i="13"/>
  <c r="X64" i="13" s="1"/>
  <c r="X41" i="13" s="1"/>
  <c r="Y63" i="13"/>
  <c r="Y64" i="13" s="1"/>
  <c r="Y41" i="13" s="1"/>
  <c r="Z63" i="13"/>
  <c r="Z64" i="13" s="1"/>
  <c r="Z41" i="13" s="1"/>
  <c r="AA63" i="13"/>
  <c r="AA64" i="13" s="1"/>
  <c r="AA41" i="13" s="1"/>
  <c r="AB63" i="13"/>
  <c r="AB64" i="13" s="1"/>
  <c r="AB41" i="13" s="1"/>
  <c r="AC63" i="13"/>
  <c r="AC64" i="13" s="1"/>
  <c r="AC41" i="13" s="1"/>
  <c r="AD63" i="13"/>
  <c r="AD64" i="13" s="1"/>
  <c r="AD41" i="13" s="1"/>
  <c r="AE63" i="13"/>
  <c r="AE64" i="13" s="1"/>
  <c r="AE41" i="13" s="1"/>
  <c r="AF63" i="13"/>
  <c r="AF64" i="13" s="1"/>
  <c r="AF41" i="13" s="1"/>
  <c r="AG63" i="13"/>
  <c r="AG64" i="13" s="1"/>
  <c r="AG41" i="13" s="1"/>
  <c r="AH63" i="13"/>
  <c r="AH64" i="13" s="1"/>
  <c r="AH41" i="13" s="1"/>
  <c r="AI63" i="13"/>
  <c r="AI64" i="13" s="1"/>
  <c r="AI41" i="13" s="1"/>
  <c r="AJ63" i="13"/>
  <c r="AJ64" i="13" s="1"/>
  <c r="AJ41" i="13" s="1"/>
  <c r="AK63" i="13"/>
  <c r="AK64" i="13" s="1"/>
  <c r="AK41" i="13" s="1"/>
  <c r="AL63" i="13"/>
  <c r="AL64" i="13" s="1"/>
  <c r="AL41" i="13" s="1"/>
  <c r="AM63" i="13"/>
  <c r="AM64" i="13" s="1"/>
  <c r="AM41" i="13" s="1"/>
  <c r="AN63" i="13"/>
  <c r="AN64" i="13" s="1"/>
  <c r="AN41" i="13" s="1"/>
  <c r="AO63" i="13"/>
  <c r="AO64" i="13" s="1"/>
  <c r="AO41" i="13" s="1"/>
  <c r="AP63" i="13"/>
  <c r="AP64" i="13" s="1"/>
  <c r="AP41" i="13" s="1"/>
  <c r="AQ63" i="13"/>
  <c r="AQ64" i="13" s="1"/>
  <c r="AQ41" i="13" s="1"/>
  <c r="V63" i="13"/>
  <c r="V64" i="13" s="1"/>
  <c r="V41" i="13" s="1"/>
  <c r="C51" i="13" a="1"/>
  <c r="C51" i="13" s="1"/>
  <c r="D51" i="13" a="1"/>
  <c r="D51" i="13" s="1"/>
  <c r="E51" i="13" a="1"/>
  <c r="E51" i="13" s="1"/>
  <c r="F51" i="13" a="1"/>
  <c r="F51" i="13" s="1"/>
  <c r="G51" i="13" a="1"/>
  <c r="G51" i="13" s="1"/>
  <c r="H51" i="13" a="1"/>
  <c r="H51" i="13" s="1"/>
  <c r="I51" i="13" a="1"/>
  <c r="I51" i="13" s="1"/>
  <c r="J51" i="13" a="1"/>
  <c r="J51" i="13" s="1"/>
  <c r="K51" i="13" a="1"/>
  <c r="K51" i="13" s="1"/>
  <c r="L51" i="13" a="1"/>
  <c r="L51" i="13" s="1"/>
  <c r="M51" i="13" a="1"/>
  <c r="M51" i="13" s="1"/>
  <c r="N51" i="13" a="1"/>
  <c r="N51" i="13" s="1"/>
  <c r="O51" i="13" a="1"/>
  <c r="O51" i="13" s="1"/>
  <c r="P51" i="13" a="1"/>
  <c r="P51" i="13" s="1"/>
  <c r="Q51" i="13" a="1"/>
  <c r="Q51" i="13" s="1"/>
  <c r="R51" i="13" a="1"/>
  <c r="R51" i="13" s="1"/>
  <c r="S51" i="13" a="1"/>
  <c r="S51" i="13" s="1"/>
  <c r="T51" i="13" a="1"/>
  <c r="T51" i="13" s="1"/>
  <c r="U51" i="13" a="1"/>
  <c r="U51" i="13" s="1"/>
  <c r="A52" i="13" a="1"/>
  <c r="A52" i="13" s="1"/>
  <c r="C52" i="13" a="1"/>
  <c r="C52" i="13" s="1"/>
  <c r="D52" i="13" a="1"/>
  <c r="D52" i="13" s="1"/>
  <c r="F52" i="13" a="1"/>
  <c r="F52" i="13" s="1"/>
  <c r="G52" i="13" a="1"/>
  <c r="G52" i="13" s="1"/>
  <c r="H52" i="13" a="1"/>
  <c r="H52" i="13" s="1"/>
  <c r="I52" i="13" a="1"/>
  <c r="I52" i="13" s="1"/>
  <c r="J52" i="13" a="1"/>
  <c r="J52" i="13" s="1"/>
  <c r="K52" i="13" a="1"/>
  <c r="K52" i="13" s="1"/>
  <c r="L52" i="13" a="1"/>
  <c r="L52" i="13" s="1"/>
  <c r="M52" i="13" a="1"/>
  <c r="M52" i="13" s="1"/>
  <c r="N52" i="13" a="1"/>
  <c r="N52" i="13" s="1"/>
  <c r="O52" i="13" a="1"/>
  <c r="O52" i="13" s="1"/>
  <c r="P52" i="13" a="1"/>
  <c r="P52" i="13" s="1"/>
  <c r="Q52" i="13" a="1"/>
  <c r="Q52" i="13" s="1"/>
  <c r="R52" i="13" a="1"/>
  <c r="R52" i="13" s="1"/>
  <c r="S52" i="13" a="1"/>
  <c r="S52" i="13" s="1"/>
  <c r="T52" i="13" a="1"/>
  <c r="T52" i="13" s="1"/>
  <c r="U52" i="13" a="1"/>
  <c r="U52" i="13" s="1"/>
  <c r="D73" i="13"/>
  <c r="E73" i="13"/>
  <c r="F73" i="13"/>
  <c r="G73" i="13"/>
  <c r="H73" i="13"/>
  <c r="J74" i="13"/>
  <c r="J75" i="13"/>
  <c r="I76" i="13"/>
  <c r="J76" i="13" s="1"/>
  <c r="E87" i="13"/>
  <c r="F87" i="13"/>
  <c r="G87" i="13"/>
  <c r="H87" i="13"/>
  <c r="I87" i="13"/>
  <c r="J87" i="13"/>
  <c r="K87" i="13"/>
  <c r="L87" i="13"/>
  <c r="M87" i="13"/>
  <c r="N87" i="13"/>
  <c r="O87" i="13"/>
  <c r="P87" i="13"/>
  <c r="Q87" i="13"/>
  <c r="R87" i="13"/>
  <c r="S87" i="13"/>
  <c r="T87" i="13"/>
  <c r="U87" i="13"/>
  <c r="V87" i="13"/>
  <c r="W87" i="13"/>
  <c r="X87" i="13"/>
  <c r="Y87" i="13"/>
  <c r="Z87" i="13"/>
  <c r="AA87" i="13"/>
  <c r="AB87" i="13"/>
  <c r="AC87" i="13"/>
  <c r="AD87" i="13"/>
  <c r="AE87" i="13"/>
  <c r="AF87" i="13"/>
  <c r="AG87" i="13"/>
  <c r="AH87" i="13"/>
  <c r="AI87" i="13"/>
  <c r="AJ87" i="13"/>
  <c r="AK87" i="13"/>
  <c r="AL87" i="13"/>
  <c r="AM87" i="13"/>
  <c r="AN87" i="13"/>
  <c r="AO87" i="13"/>
  <c r="AP87" i="13"/>
  <c r="AQ87" i="13"/>
  <c r="D88" i="13"/>
  <c r="E88" i="13" s="1"/>
  <c r="B93" i="13" a="1"/>
  <c r="B93" i="13" s="1"/>
  <c r="C93" i="13" a="1"/>
  <c r="C93" i="13" s="1"/>
  <c r="D93" i="13" a="1"/>
  <c r="D93" i="13" s="1"/>
  <c r="E93" i="13" a="1"/>
  <c r="E93" i="13" s="1"/>
  <c r="F93" i="13" a="1"/>
  <c r="F93" i="13" s="1"/>
  <c r="G93" i="13" a="1"/>
  <c r="G93" i="13" s="1"/>
  <c r="H93" i="13" a="1"/>
  <c r="H93" i="13" s="1"/>
  <c r="I93" i="13" a="1"/>
  <c r="I93" i="13" s="1"/>
  <c r="J93" i="13" a="1"/>
  <c r="J93" i="13" s="1"/>
  <c r="K93" i="13" a="1"/>
  <c r="K93" i="13" s="1"/>
  <c r="L93" i="13" a="1"/>
  <c r="L93" i="13" s="1"/>
  <c r="M93" i="13" a="1"/>
  <c r="M93" i="13" s="1"/>
  <c r="N93" i="13" a="1"/>
  <c r="N93" i="13" s="1"/>
  <c r="O93" i="13" a="1"/>
  <c r="O93" i="13" s="1"/>
  <c r="P93" i="13" a="1"/>
  <c r="P93" i="13" s="1"/>
  <c r="Q93" i="13" a="1"/>
  <c r="Q93" i="13" s="1"/>
  <c r="R93" i="13" a="1"/>
  <c r="R93" i="13" s="1"/>
  <c r="S93" i="13" a="1"/>
  <c r="S93" i="13" s="1"/>
  <c r="T93" i="13" a="1"/>
  <c r="T93" i="13" s="1"/>
  <c r="U93" i="13" a="1"/>
  <c r="U93" i="13" s="1"/>
  <c r="A94" i="13" a="1"/>
  <c r="A94" i="13" s="1"/>
  <c r="B94" i="13" a="1"/>
  <c r="B94" i="13" s="1"/>
  <c r="C94" i="13" a="1"/>
  <c r="C94" i="13" s="1"/>
  <c r="D94" i="13" a="1"/>
  <c r="D94" i="13" s="1"/>
  <c r="E94" i="13" a="1"/>
  <c r="E94" i="13" s="1"/>
  <c r="F94" i="13" a="1"/>
  <c r="F94" i="13" s="1"/>
  <c r="G94" i="13" a="1"/>
  <c r="G94" i="13" s="1"/>
  <c r="H94" i="13" a="1"/>
  <c r="H94" i="13" s="1"/>
  <c r="I94" i="13" a="1"/>
  <c r="I94" i="13" s="1"/>
  <c r="J94" i="13" a="1"/>
  <c r="J94" i="13" s="1"/>
  <c r="K94" i="13" a="1"/>
  <c r="K94" i="13" s="1"/>
  <c r="L94" i="13" a="1"/>
  <c r="L94" i="13" s="1"/>
  <c r="M94" i="13" a="1"/>
  <c r="M94" i="13" s="1"/>
  <c r="N94" i="13" a="1"/>
  <c r="N94" i="13" s="1"/>
  <c r="O94" i="13" a="1"/>
  <c r="O94" i="13" s="1"/>
  <c r="P94" i="13" a="1"/>
  <c r="P94" i="13" s="1"/>
  <c r="Q94" i="13" a="1"/>
  <c r="Q94" i="13" s="1"/>
  <c r="R94" i="13" a="1"/>
  <c r="R94" i="13" s="1"/>
  <c r="S94" i="13" a="1"/>
  <c r="S94" i="13" s="1"/>
  <c r="T94" i="13" a="1"/>
  <c r="T94" i="13" s="1"/>
  <c r="U94" i="13" a="1"/>
  <c r="U94" i="13" s="1"/>
  <c r="E98" i="13"/>
  <c r="F98" i="13"/>
  <c r="F99" i="13" s="1"/>
  <c r="G98" i="13"/>
  <c r="G99" i="13" s="1"/>
  <c r="H98" i="13"/>
  <c r="H99" i="13" s="1"/>
  <c r="I98" i="13"/>
  <c r="J98" i="13"/>
  <c r="J99" i="13" s="1"/>
  <c r="K98" i="13"/>
  <c r="L98" i="13"/>
  <c r="M98" i="13"/>
  <c r="N98" i="13"/>
  <c r="N99" i="13" s="1"/>
  <c r="O98" i="13"/>
  <c r="O99" i="13" s="1"/>
  <c r="P98" i="13"/>
  <c r="P99" i="13" s="1"/>
  <c r="Q98" i="13"/>
  <c r="R98" i="13"/>
  <c r="S98" i="13"/>
  <c r="S100" i="13" s="1"/>
  <c r="T98" i="13"/>
  <c r="T99" i="13" s="1"/>
  <c r="U98" i="13"/>
  <c r="U100" i="13" s="1"/>
  <c r="V98" i="13"/>
  <c r="V99" i="13" s="1"/>
  <c r="W98" i="13"/>
  <c r="W99" i="13" s="1"/>
  <c r="X98" i="13"/>
  <c r="X99" i="13" s="1"/>
  <c r="Y98" i="13"/>
  <c r="Z98" i="13"/>
  <c r="Z99" i="13" s="1"/>
  <c r="AA98" i="13"/>
  <c r="AA99" i="13" s="1"/>
  <c r="AB98" i="13"/>
  <c r="AC98" i="13"/>
  <c r="AC100" i="13" s="1"/>
  <c r="AD98" i="13"/>
  <c r="AD99" i="13" s="1"/>
  <c r="AE98" i="13"/>
  <c r="AE99" i="13" s="1"/>
  <c r="AF98" i="13"/>
  <c r="AF99" i="13" s="1"/>
  <c r="AG98" i="13"/>
  <c r="AG100" i="13" s="1"/>
  <c r="AH98" i="13"/>
  <c r="AH100" i="13" s="1"/>
  <c r="AI98" i="13"/>
  <c r="AI99" i="13" s="1"/>
  <c r="AJ98" i="13"/>
  <c r="AJ99" i="13" s="1"/>
  <c r="AK98" i="13"/>
  <c r="AK100" i="13" s="1"/>
  <c r="AL98" i="13"/>
  <c r="AL99" i="13" s="1"/>
  <c r="AM98" i="13"/>
  <c r="AM99" i="13" s="1"/>
  <c r="AN98" i="13"/>
  <c r="AN99" i="13" s="1"/>
  <c r="AO98" i="13"/>
  <c r="AP98" i="13"/>
  <c r="AP99" i="13" s="1"/>
  <c r="AQ98" i="13"/>
  <c r="AQ99" i="13" s="1"/>
  <c r="E101" i="13"/>
  <c r="F101" i="13"/>
  <c r="G101" i="13"/>
  <c r="H101" i="13"/>
  <c r="I101" i="13"/>
  <c r="J101" i="13"/>
  <c r="K101" i="13"/>
  <c r="L101" i="13"/>
  <c r="M101" i="13"/>
  <c r="N101" i="13"/>
  <c r="O101" i="13"/>
  <c r="P101" i="13"/>
  <c r="Q101" i="13"/>
  <c r="R101" i="13"/>
  <c r="S101" i="13"/>
  <c r="T101" i="13"/>
  <c r="U101" i="13"/>
  <c r="V101" i="13"/>
  <c r="W101" i="13"/>
  <c r="X101" i="13"/>
  <c r="Y101" i="13"/>
  <c r="Z101" i="13"/>
  <c r="AA101" i="13"/>
  <c r="AB101" i="13"/>
  <c r="AC101" i="13"/>
  <c r="AD101" i="13"/>
  <c r="AE101" i="13"/>
  <c r="AF101" i="13"/>
  <c r="AG101" i="13"/>
  <c r="AH101" i="13"/>
  <c r="AI101" i="13"/>
  <c r="AJ101" i="13"/>
  <c r="AK101" i="13"/>
  <c r="AL101" i="13"/>
  <c r="AM101" i="13"/>
  <c r="AN101" i="13"/>
  <c r="AO101" i="13"/>
  <c r="AP101" i="13"/>
  <c r="AQ101" i="13"/>
  <c r="E103" i="13"/>
  <c r="U83" i="13"/>
  <c r="D115" i="13"/>
  <c r="E115" i="13"/>
  <c r="F115" i="13"/>
  <c r="G115" i="13"/>
  <c r="H115" i="13"/>
  <c r="J116" i="13"/>
  <c r="J117" i="13"/>
  <c r="I118" i="13"/>
  <c r="J118" i="13" s="1"/>
  <c r="E129" i="13"/>
  <c r="F129" i="13"/>
  <c r="G129" i="13"/>
  <c r="H129" i="13"/>
  <c r="I129" i="13"/>
  <c r="J129" i="13"/>
  <c r="K129" i="13"/>
  <c r="L129" i="13"/>
  <c r="M129" i="13"/>
  <c r="N129" i="13"/>
  <c r="O129" i="13"/>
  <c r="P129" i="13"/>
  <c r="Q129" i="13"/>
  <c r="R129" i="13"/>
  <c r="S129" i="13"/>
  <c r="T129" i="13"/>
  <c r="U129" i="13"/>
  <c r="V129" i="13"/>
  <c r="W129" i="13"/>
  <c r="X129" i="13"/>
  <c r="Y129" i="13"/>
  <c r="Z129" i="13"/>
  <c r="AA129" i="13"/>
  <c r="AB129" i="13"/>
  <c r="AC129" i="13"/>
  <c r="AD129" i="13"/>
  <c r="AE129" i="13"/>
  <c r="AF129" i="13"/>
  <c r="AG129" i="13"/>
  <c r="AH129" i="13"/>
  <c r="AI129" i="13"/>
  <c r="AJ129" i="13"/>
  <c r="AK129" i="13"/>
  <c r="AL129" i="13"/>
  <c r="AM129" i="13"/>
  <c r="AN129" i="13"/>
  <c r="AO129" i="13"/>
  <c r="AP129" i="13"/>
  <c r="AQ129" i="13"/>
  <c r="D130" i="13"/>
  <c r="E130" i="13" s="1"/>
  <c r="B135" i="13" a="1"/>
  <c r="B135" i="13" s="1"/>
  <c r="C135" i="13" a="1"/>
  <c r="C135" i="13" s="1"/>
  <c r="D135" i="13" a="1"/>
  <c r="D135" i="13" s="1"/>
  <c r="E135" i="13" a="1"/>
  <c r="E135" i="13" s="1"/>
  <c r="F135" i="13" a="1"/>
  <c r="F135" i="13" s="1"/>
  <c r="G135" i="13" a="1"/>
  <c r="G135" i="13" s="1"/>
  <c r="H135" i="13" a="1"/>
  <c r="H135" i="13" s="1"/>
  <c r="I135" i="13" a="1"/>
  <c r="I135" i="13" s="1"/>
  <c r="J135" i="13" a="1"/>
  <c r="J135" i="13" s="1"/>
  <c r="K135" i="13" a="1"/>
  <c r="K135" i="13" s="1"/>
  <c r="L135" i="13" a="1"/>
  <c r="L135" i="13" s="1"/>
  <c r="M135" i="13" a="1"/>
  <c r="M135" i="13" s="1"/>
  <c r="N135" i="13" a="1"/>
  <c r="N135" i="13" s="1"/>
  <c r="O135" i="13" a="1"/>
  <c r="O135" i="13" s="1"/>
  <c r="P135" i="13" a="1"/>
  <c r="P135" i="13" s="1"/>
  <c r="Q135" i="13" a="1"/>
  <c r="Q135" i="13" s="1"/>
  <c r="R135" i="13" a="1"/>
  <c r="R135" i="13" s="1"/>
  <c r="S135" i="13" a="1"/>
  <c r="S135" i="13" s="1"/>
  <c r="T135" i="13" a="1"/>
  <c r="T135" i="13" s="1"/>
  <c r="U135" i="13" a="1"/>
  <c r="U135" i="13" s="1"/>
  <c r="A136" i="13" a="1"/>
  <c r="A136" i="13" s="1"/>
  <c r="B136" i="13" a="1"/>
  <c r="B136" i="13" s="1"/>
  <c r="C136" i="13" a="1"/>
  <c r="C136" i="13" s="1"/>
  <c r="D136" i="13" a="1"/>
  <c r="D136" i="13" s="1"/>
  <c r="E136" i="13" a="1"/>
  <c r="E136" i="13" s="1"/>
  <c r="F136" i="13" a="1"/>
  <c r="F136" i="13" s="1"/>
  <c r="G136" i="13" a="1"/>
  <c r="G136" i="13" s="1"/>
  <c r="H136" i="13" a="1"/>
  <c r="H136" i="13" s="1"/>
  <c r="I136" i="13" a="1"/>
  <c r="I136" i="13" s="1"/>
  <c r="J136" i="13" a="1"/>
  <c r="J136" i="13" s="1"/>
  <c r="K136" i="13" a="1"/>
  <c r="K136" i="13" s="1"/>
  <c r="L136" i="13" a="1"/>
  <c r="L136" i="13" s="1"/>
  <c r="M136" i="13" a="1"/>
  <c r="M136" i="13" s="1"/>
  <c r="N136" i="13" a="1"/>
  <c r="N136" i="13" s="1"/>
  <c r="O136" i="13" a="1"/>
  <c r="O136" i="13" s="1"/>
  <c r="P136" i="13" a="1"/>
  <c r="P136" i="13" s="1"/>
  <c r="Q136" i="13" a="1"/>
  <c r="Q136" i="13" s="1"/>
  <c r="R136" i="13" a="1"/>
  <c r="R136" i="13" s="1"/>
  <c r="S136" i="13" a="1"/>
  <c r="S136" i="13" s="1"/>
  <c r="T136" i="13" a="1"/>
  <c r="T136" i="13" s="1"/>
  <c r="U136" i="13" a="1"/>
  <c r="U136" i="13" s="1"/>
  <c r="E140" i="13"/>
  <c r="E141" i="13" s="1"/>
  <c r="F140" i="13"/>
  <c r="F141" i="13" s="1"/>
  <c r="G140" i="13"/>
  <c r="G141" i="13" s="1"/>
  <c r="H140" i="13"/>
  <c r="H141" i="13" s="1"/>
  <c r="I140" i="13"/>
  <c r="J140" i="13"/>
  <c r="J141" i="13" s="1"/>
  <c r="K140" i="13"/>
  <c r="L140" i="13"/>
  <c r="L141" i="13" s="1"/>
  <c r="M140" i="13"/>
  <c r="M141" i="13" s="1"/>
  <c r="N140" i="13"/>
  <c r="N141" i="13" s="1"/>
  <c r="O140" i="13"/>
  <c r="P140" i="13"/>
  <c r="P141" i="13" s="1"/>
  <c r="Q140" i="13"/>
  <c r="R140" i="13"/>
  <c r="R141" i="13" s="1"/>
  <c r="S140" i="13"/>
  <c r="S141" i="13" s="1"/>
  <c r="T140" i="13"/>
  <c r="T141" i="13" s="1"/>
  <c r="U140" i="13"/>
  <c r="U141" i="13" s="1"/>
  <c r="V140" i="13"/>
  <c r="V141" i="13" s="1"/>
  <c r="W140" i="13"/>
  <c r="W142" i="13" s="1"/>
  <c r="X140" i="13"/>
  <c r="X141" i="13" s="1"/>
  <c r="Y140" i="13"/>
  <c r="Y142" i="13" s="1"/>
  <c r="Z140" i="13"/>
  <c r="Z141" i="13" s="1"/>
  <c r="AA140" i="13"/>
  <c r="AA142" i="13" s="1"/>
  <c r="AB140" i="13"/>
  <c r="AB141" i="13" s="1"/>
  <c r="AC140" i="13"/>
  <c r="AC141" i="13" s="1"/>
  <c r="AD140" i="13"/>
  <c r="AD141" i="13" s="1"/>
  <c r="AE140" i="13"/>
  <c r="AE141" i="13" s="1"/>
  <c r="AF140" i="13"/>
  <c r="AF141" i="13" s="1"/>
  <c r="AG140" i="13"/>
  <c r="AG142" i="13" s="1"/>
  <c r="AH140" i="13"/>
  <c r="AH141" i="13" s="1"/>
  <c r="AI140" i="13"/>
  <c r="AI142" i="13" s="1"/>
  <c r="AJ140" i="13"/>
  <c r="AJ141" i="13" s="1"/>
  <c r="AK140" i="13"/>
  <c r="AK141" i="13" s="1"/>
  <c r="AL140" i="13"/>
  <c r="AL141" i="13" s="1"/>
  <c r="AM140" i="13"/>
  <c r="AM141" i="13" s="1"/>
  <c r="AN140" i="13"/>
  <c r="AN141" i="13" s="1"/>
  <c r="AO140" i="13"/>
  <c r="AO142" i="13" s="1"/>
  <c r="AP140" i="13"/>
  <c r="AP141" i="13" s="1"/>
  <c r="AQ140" i="13"/>
  <c r="AQ142" i="13" s="1"/>
  <c r="E143" i="13"/>
  <c r="F143" i="13"/>
  <c r="G143" i="13"/>
  <c r="H143" i="13"/>
  <c r="I143" i="13"/>
  <c r="J143" i="13"/>
  <c r="K143" i="13"/>
  <c r="L143" i="13"/>
  <c r="M143" i="13"/>
  <c r="N143" i="13"/>
  <c r="O143" i="13"/>
  <c r="P143" i="13"/>
  <c r="Q143" i="13"/>
  <c r="R143" i="13"/>
  <c r="S143" i="13"/>
  <c r="T143" i="13"/>
  <c r="U143" i="13"/>
  <c r="V143" i="13"/>
  <c r="W143" i="13"/>
  <c r="X143" i="13"/>
  <c r="Y143" i="13"/>
  <c r="Z143" i="13"/>
  <c r="AA143" i="13"/>
  <c r="AB143" i="13"/>
  <c r="AC143" i="13"/>
  <c r="AD143" i="13"/>
  <c r="AE143" i="13"/>
  <c r="AF143" i="13"/>
  <c r="AG143" i="13"/>
  <c r="AH143" i="13"/>
  <c r="AI143" i="13"/>
  <c r="AJ143" i="13"/>
  <c r="AK143" i="13"/>
  <c r="AL143" i="13"/>
  <c r="AM143" i="13"/>
  <c r="AN143" i="13"/>
  <c r="AO143" i="13"/>
  <c r="AP143" i="13"/>
  <c r="AQ143" i="13"/>
  <c r="E145" i="13"/>
  <c r="F145" i="13"/>
  <c r="G145" i="13"/>
  <c r="H145" i="13"/>
  <c r="I145" i="13"/>
  <c r="J145" i="13"/>
  <c r="K145" i="13"/>
  <c r="L145" i="13"/>
  <c r="M145" i="13"/>
  <c r="N145" i="13"/>
  <c r="O145" i="13"/>
  <c r="P145" i="13"/>
  <c r="Q145" i="13"/>
  <c r="R145" i="13"/>
  <c r="S145" i="13"/>
  <c r="T145" i="13"/>
  <c r="U145" i="13"/>
  <c r="V145" i="13"/>
  <c r="W145" i="13"/>
  <c r="X145" i="13"/>
  <c r="Y145" i="13"/>
  <c r="Z145" i="13"/>
  <c r="AA145" i="13"/>
  <c r="AB145" i="13"/>
  <c r="AC145" i="13"/>
  <c r="AD145" i="13"/>
  <c r="AE145" i="13"/>
  <c r="AF145" i="13"/>
  <c r="AG145" i="13"/>
  <c r="AH145" i="13"/>
  <c r="AI145" i="13"/>
  <c r="AJ145" i="13"/>
  <c r="AK145" i="13"/>
  <c r="AL145" i="13"/>
  <c r="AM145" i="13"/>
  <c r="AN145" i="13"/>
  <c r="AO145" i="13"/>
  <c r="AP145" i="13"/>
  <c r="AQ145" i="13"/>
  <c r="V147" i="13"/>
  <c r="V148" i="13" s="1"/>
  <c r="V125" i="13" s="1"/>
  <c r="W147" i="13"/>
  <c r="W148" i="13" s="1"/>
  <c r="W125" i="13" s="1"/>
  <c r="X147" i="13"/>
  <c r="X148" i="13" s="1"/>
  <c r="X125" i="13" s="1"/>
  <c r="Y147" i="13"/>
  <c r="Y148" i="13" s="1"/>
  <c r="Y125" i="13" s="1"/>
  <c r="Z147" i="13"/>
  <c r="Z148" i="13" s="1"/>
  <c r="Z125" i="13" s="1"/>
  <c r="AA147" i="13"/>
  <c r="AA148" i="13" s="1"/>
  <c r="AA125" i="13" s="1"/>
  <c r="AB147" i="13"/>
  <c r="AB148" i="13" s="1"/>
  <c r="AB125" i="13" s="1"/>
  <c r="AC147" i="13"/>
  <c r="AC148" i="13" s="1"/>
  <c r="AC125" i="13" s="1"/>
  <c r="AD147" i="13"/>
  <c r="AD148" i="13" s="1"/>
  <c r="AD125" i="13" s="1"/>
  <c r="AE147" i="13"/>
  <c r="AE148" i="13" s="1"/>
  <c r="AE125" i="13" s="1"/>
  <c r="AF147" i="13"/>
  <c r="AF148" i="13" s="1"/>
  <c r="AF125" i="13" s="1"/>
  <c r="AG147" i="13"/>
  <c r="AG148" i="13" s="1"/>
  <c r="AG125" i="13" s="1"/>
  <c r="AH147" i="13"/>
  <c r="AH148" i="13" s="1"/>
  <c r="AH125" i="13" s="1"/>
  <c r="AI147" i="13"/>
  <c r="AI148" i="13" s="1"/>
  <c r="AI125" i="13" s="1"/>
  <c r="AJ147" i="13"/>
  <c r="AJ148" i="13" s="1"/>
  <c r="AJ125" i="13" s="1"/>
  <c r="AK147" i="13"/>
  <c r="AK148" i="13" s="1"/>
  <c r="AK125" i="13" s="1"/>
  <c r="AL147" i="13"/>
  <c r="AL148" i="13" s="1"/>
  <c r="AL125" i="13" s="1"/>
  <c r="AM147" i="13"/>
  <c r="AM148" i="13" s="1"/>
  <c r="AM125" i="13" s="1"/>
  <c r="AN147" i="13"/>
  <c r="AN148" i="13" s="1"/>
  <c r="AN125" i="13" s="1"/>
  <c r="AO147" i="13"/>
  <c r="AO148" i="13" s="1"/>
  <c r="AO125" i="13" s="1"/>
  <c r="AP147" i="13"/>
  <c r="AP148" i="13" s="1"/>
  <c r="AP125" i="13" s="1"/>
  <c r="AQ147" i="13"/>
  <c r="AQ148" i="13" s="1"/>
  <c r="AQ125" i="13" s="1"/>
  <c r="W58" i="13" l="1"/>
  <c r="D96" i="13"/>
  <c r="AF376" i="18"/>
  <c r="AS88" i="18" s="1"/>
  <c r="AP88" i="18"/>
  <c r="AF378" i="18"/>
  <c r="AS90" i="18" s="1"/>
  <c r="AP90" i="18"/>
  <c r="AF377" i="18"/>
  <c r="AS89" i="18" s="1"/>
  <c r="AP89" i="18"/>
  <c r="AF373" i="18"/>
  <c r="AS85" i="18" s="1"/>
  <c r="AP85" i="18"/>
  <c r="U376" i="18"/>
  <c r="AH88" i="18" s="1"/>
  <c r="AE88" i="18"/>
  <c r="U378" i="18"/>
  <c r="AH90" i="18" s="1"/>
  <c r="AE90" i="18"/>
  <c r="U377" i="18"/>
  <c r="AH89" i="18" s="1"/>
  <c r="AE89" i="18"/>
  <c r="U373" i="18"/>
  <c r="AH85" i="18" s="1"/>
  <c r="AE85" i="18"/>
  <c r="AF375" i="18"/>
  <c r="AS87" i="18" s="1"/>
  <c r="AP87" i="18"/>
  <c r="AF374" i="18"/>
  <c r="AS86" i="18" s="1"/>
  <c r="AP86" i="18"/>
  <c r="U372" i="18"/>
  <c r="AH84" i="18" s="1"/>
  <c r="AE84" i="18"/>
  <c r="U375" i="18"/>
  <c r="AH87" i="18" s="1"/>
  <c r="AE87" i="18"/>
  <c r="U374" i="18"/>
  <c r="AH86" i="18" s="1"/>
  <c r="AE86" i="18"/>
  <c r="AF372" i="18"/>
  <c r="AS84" i="18" s="1"/>
  <c r="AP84" i="18"/>
  <c r="F58" i="13"/>
  <c r="F60" i="13" s="1"/>
  <c r="F62" i="13" s="1"/>
  <c r="AQ57" i="13"/>
  <c r="AA57" i="13"/>
  <c r="AE58" i="13"/>
  <c r="AE60" i="13" s="1"/>
  <c r="AE62" i="13" s="1"/>
  <c r="AE66" i="13" s="1"/>
  <c r="Z100" i="13"/>
  <c r="Z102" i="13" s="1"/>
  <c r="Z104" i="13" s="1"/>
  <c r="Z108" i="13" s="1"/>
  <c r="Z107" i="13" s="1"/>
  <c r="Z84" i="13" s="1"/>
  <c r="D138" i="13"/>
  <c r="U147" i="13" s="1"/>
  <c r="U148" i="13" s="1"/>
  <c r="U125" i="13" s="1"/>
  <c r="AI57" i="13"/>
  <c r="F105" i="13"/>
  <c r="F106" i="13" s="1"/>
  <c r="F83" i="13" s="1"/>
  <c r="AG57" i="13"/>
  <c r="P147" i="13"/>
  <c r="P148" i="13" s="1"/>
  <c r="P125" i="13" s="1"/>
  <c r="F138" i="13"/>
  <c r="F147" i="13"/>
  <c r="F148" i="13" s="1"/>
  <c r="F125" i="13" s="1"/>
  <c r="D54" i="13"/>
  <c r="E63" i="13" s="1"/>
  <c r="E64" i="13" s="1"/>
  <c r="E41" i="13" s="1"/>
  <c r="AK102" i="13"/>
  <c r="AK104" i="13" s="1"/>
  <c r="AK108" i="13" s="1"/>
  <c r="AK107" i="13" s="1"/>
  <c r="AG102" i="13"/>
  <c r="AG104" i="13" s="1"/>
  <c r="AG108" i="13" s="1"/>
  <c r="AG107" i="13" s="1"/>
  <c r="AC102" i="13"/>
  <c r="AC104" i="13" s="1"/>
  <c r="AC108" i="13" s="1"/>
  <c r="AC107" i="13" s="1"/>
  <c r="AC84" i="13" s="1"/>
  <c r="U102" i="13"/>
  <c r="U104" i="13" s="1"/>
  <c r="U108" i="13" s="1"/>
  <c r="U107" i="13" s="1"/>
  <c r="U84" i="13" s="1"/>
  <c r="S102" i="13"/>
  <c r="S104" i="13" s="1"/>
  <c r="S108" i="13" s="1"/>
  <c r="S107" i="13" s="1"/>
  <c r="S84" i="13" s="1"/>
  <c r="AH102" i="13"/>
  <c r="AH104" i="13" s="1"/>
  <c r="AH108" i="13" s="1"/>
  <c r="AH107" i="13" s="1"/>
  <c r="G147" i="13"/>
  <c r="G148" i="13" s="1"/>
  <c r="G125" i="13" s="1"/>
  <c r="K99" i="13"/>
  <c r="K100" i="13" s="1"/>
  <c r="K102" i="13" s="1"/>
  <c r="K104" i="13" s="1"/>
  <c r="AD58" i="13"/>
  <c r="U57" i="13"/>
  <c r="AL58" i="13"/>
  <c r="AL60" i="13" s="1"/>
  <c r="AL62" i="13" s="1"/>
  <c r="AL66" i="13" s="1"/>
  <c r="AL43" i="13" s="1"/>
  <c r="AK57" i="13"/>
  <c r="AC57" i="13"/>
  <c r="G96" i="13"/>
  <c r="E105" i="13"/>
  <c r="E106" i="13" s="1"/>
  <c r="E83" i="13" s="1"/>
  <c r="AM58" i="13"/>
  <c r="AM60" i="13" s="1"/>
  <c r="AM62" i="13" s="1"/>
  <c r="AM66" i="13" s="1"/>
  <c r="AM43" i="13" s="1"/>
  <c r="V58" i="13"/>
  <c r="V60" i="13" s="1"/>
  <c r="V62" i="13" s="1"/>
  <c r="V66" i="13" s="1"/>
  <c r="M57" i="13"/>
  <c r="M58" i="13" s="1"/>
  <c r="M60" i="13" s="1"/>
  <c r="M62" i="13" s="1"/>
  <c r="N58" i="13"/>
  <c r="N60" i="13" s="1"/>
  <c r="N62" i="13" s="1"/>
  <c r="K58" i="13"/>
  <c r="K60" i="13" s="1"/>
  <c r="K62" i="13" s="1"/>
  <c r="I58" i="13"/>
  <c r="I60" i="13" s="1"/>
  <c r="I62" i="13" s="1"/>
  <c r="R58" i="13"/>
  <c r="R60" i="13" s="1"/>
  <c r="R62" i="13" s="1"/>
  <c r="Q58" i="13"/>
  <c r="Q60" i="13" s="1"/>
  <c r="Q62" i="13" s="1"/>
  <c r="H54" i="13"/>
  <c r="J63" i="13" s="1"/>
  <c r="J64" i="13" s="1"/>
  <c r="J41" i="13" s="1"/>
  <c r="F54" i="13"/>
  <c r="E54" i="13"/>
  <c r="I54" i="13"/>
  <c r="K63" i="13" s="1"/>
  <c r="K64" i="13" s="1"/>
  <c r="K41" i="13" s="1"/>
  <c r="G54" i="13"/>
  <c r="I63" i="13" s="1"/>
  <c r="I64" i="13" s="1"/>
  <c r="I41" i="13" s="1"/>
  <c r="D47" i="13"/>
  <c r="D48" i="13" s="1"/>
  <c r="J31" i="13"/>
  <c r="X54" i="13"/>
  <c r="E58" i="13"/>
  <c r="E60" i="13" s="1"/>
  <c r="E62" i="13" s="1"/>
  <c r="E47" i="13"/>
  <c r="E48" i="13" s="1"/>
  <c r="F46" i="13"/>
  <c r="AH57" i="13"/>
  <c r="AH60" i="13"/>
  <c r="AH62" i="13" s="1"/>
  <c r="AH66" i="13" s="1"/>
  <c r="AH43" i="13" s="1"/>
  <c r="AD60" i="13"/>
  <c r="AD62" i="13" s="1"/>
  <c r="AD66" i="13" s="1"/>
  <c r="AQ60" i="13"/>
  <c r="AQ62" i="13" s="1"/>
  <c r="AQ66" i="13" s="1"/>
  <c r="AQ43" i="13" s="1"/>
  <c r="AI60" i="13"/>
  <c r="AI62" i="13" s="1"/>
  <c r="AI66" i="13" s="1"/>
  <c r="AI43" i="13" s="1"/>
  <c r="AA60" i="13"/>
  <c r="AA62" i="13" s="1"/>
  <c r="AA66" i="13" s="1"/>
  <c r="AA65" i="13" s="1"/>
  <c r="AA42" i="13" s="1"/>
  <c r="S60" i="13"/>
  <c r="S62" i="13" s="1"/>
  <c r="AO60" i="13"/>
  <c r="AO62" i="13" s="1"/>
  <c r="AO66" i="13" s="1"/>
  <c r="AO43" i="13" s="1"/>
  <c r="AK60" i="13"/>
  <c r="AK62" i="13" s="1"/>
  <c r="AK66" i="13" s="1"/>
  <c r="AK43" i="13" s="1"/>
  <c r="AG60" i="13"/>
  <c r="AG62" i="13" s="1"/>
  <c r="AG66" i="13" s="1"/>
  <c r="AG65" i="13" s="1"/>
  <c r="AG42" i="13" s="1"/>
  <c r="AC60" i="13"/>
  <c r="AC62" i="13" s="1"/>
  <c r="AC66" i="13" s="1"/>
  <c r="Y60" i="13"/>
  <c r="Y62" i="13" s="1"/>
  <c r="Y66" i="13" s="1"/>
  <c r="U60" i="13"/>
  <c r="U62" i="13" s="1"/>
  <c r="U66" i="13" s="1"/>
  <c r="AP58" i="13"/>
  <c r="AP60" i="13" s="1"/>
  <c r="AP62" i="13" s="1"/>
  <c r="AP66" i="13" s="1"/>
  <c r="AP43" i="13" s="1"/>
  <c r="Z58" i="13"/>
  <c r="Z60" i="13" s="1"/>
  <c r="Z62" i="13" s="1"/>
  <c r="Z66" i="13" s="1"/>
  <c r="J58" i="13"/>
  <c r="J60" i="13" s="1"/>
  <c r="J62" i="13" s="1"/>
  <c r="AN60" i="13"/>
  <c r="AN62" i="13" s="1"/>
  <c r="AN66" i="13" s="1"/>
  <c r="AN43" i="13" s="1"/>
  <c r="AF60" i="13"/>
  <c r="AF62" i="13" s="1"/>
  <c r="AF66" i="13" s="1"/>
  <c r="AB60" i="13"/>
  <c r="AB62" i="13" s="1"/>
  <c r="AB66" i="13" s="1"/>
  <c r="X60" i="13"/>
  <c r="X62" i="13" s="1"/>
  <c r="X66" i="13" s="1"/>
  <c r="W60" i="13"/>
  <c r="W62" i="13" s="1"/>
  <c r="W66" i="13" s="1"/>
  <c r="O60" i="13"/>
  <c r="O62" i="13" s="1"/>
  <c r="G60" i="13"/>
  <c r="G62" i="13" s="1"/>
  <c r="AO57" i="13"/>
  <c r="Y57" i="13"/>
  <c r="J138" i="13"/>
  <c r="AN57" i="13"/>
  <c r="AJ57" i="13"/>
  <c r="AJ58" i="13" s="1"/>
  <c r="AJ60" i="13" s="1"/>
  <c r="AJ62" i="13" s="1"/>
  <c r="AJ66" i="13" s="1"/>
  <c r="AJ43" i="13" s="1"/>
  <c r="AF57" i="13"/>
  <c r="AB57" i="13"/>
  <c r="X57" i="13"/>
  <c r="T57" i="13"/>
  <c r="T58" i="13" s="1"/>
  <c r="T60" i="13" s="1"/>
  <c r="T62" i="13" s="1"/>
  <c r="P57" i="13"/>
  <c r="P58" i="13" s="1"/>
  <c r="P60" i="13" s="1"/>
  <c r="P62" i="13" s="1"/>
  <c r="L57" i="13"/>
  <c r="L58" i="13" s="1"/>
  <c r="L60" i="13" s="1"/>
  <c r="L62" i="13" s="1"/>
  <c r="H57" i="13"/>
  <c r="H58" i="13" s="1"/>
  <c r="H60" i="13" s="1"/>
  <c r="H62" i="13" s="1"/>
  <c r="M54" i="13"/>
  <c r="Q54" i="13"/>
  <c r="U54" i="13"/>
  <c r="F100" i="13"/>
  <c r="F102" i="13" s="1"/>
  <c r="F104" i="13" s="1"/>
  <c r="F108" i="13" s="1"/>
  <c r="AP100" i="13"/>
  <c r="AP102" i="13" s="1"/>
  <c r="AP104" i="13" s="1"/>
  <c r="AP108" i="13" s="1"/>
  <c r="AP107" i="13" s="1"/>
  <c r="T54" i="13"/>
  <c r="P54" i="13"/>
  <c r="L54" i="13"/>
  <c r="S63" i="13" s="1"/>
  <c r="S64" i="13" s="1"/>
  <c r="S41" i="13" s="1"/>
  <c r="W54" i="13"/>
  <c r="S54" i="13"/>
  <c r="O54" i="13"/>
  <c r="K54" i="13"/>
  <c r="Q63" i="13" s="1"/>
  <c r="Q64" i="13" s="1"/>
  <c r="Q41" i="13" s="1"/>
  <c r="U142" i="13"/>
  <c r="U144" i="13" s="1"/>
  <c r="U146" i="13" s="1"/>
  <c r="U150" i="13" s="1"/>
  <c r="U127" i="13" s="1"/>
  <c r="L138" i="13"/>
  <c r="V100" i="13"/>
  <c r="V102" i="13" s="1"/>
  <c r="V104" i="13" s="1"/>
  <c r="V108" i="13" s="1"/>
  <c r="V54" i="13"/>
  <c r="R54" i="13"/>
  <c r="N54" i="13"/>
  <c r="J54" i="13"/>
  <c r="O63" i="13" s="1"/>
  <c r="O64" i="13" s="1"/>
  <c r="O41" i="13" s="1"/>
  <c r="AI141" i="13"/>
  <c r="J100" i="13"/>
  <c r="J102" i="13" s="1"/>
  <c r="J104" i="13" s="1"/>
  <c r="AA141" i="13"/>
  <c r="I141" i="13"/>
  <c r="I142" i="13" s="1"/>
  <c r="I144" i="13" s="1"/>
  <c r="I146" i="13" s="1"/>
  <c r="W141" i="13"/>
  <c r="N138" i="13"/>
  <c r="AM142" i="13"/>
  <c r="AM144" i="13" s="1"/>
  <c r="AM146" i="13" s="1"/>
  <c r="AM150" i="13" s="1"/>
  <c r="G142" i="13"/>
  <c r="G144" i="13" s="1"/>
  <c r="G146" i="13" s="1"/>
  <c r="G150" i="13" s="1"/>
  <c r="O141" i="13"/>
  <c r="O142" i="13" s="1"/>
  <c r="O144" i="13" s="1"/>
  <c r="O146" i="13" s="1"/>
  <c r="O150" i="13" s="1"/>
  <c r="AG99" i="13"/>
  <c r="AC142" i="13"/>
  <c r="AC144" i="13" s="1"/>
  <c r="AC146" i="13" s="1"/>
  <c r="AC150" i="13" s="1"/>
  <c r="S142" i="13"/>
  <c r="S144" i="13" s="1"/>
  <c r="S146" i="13" s="1"/>
  <c r="S150" i="13" s="1"/>
  <c r="AQ141" i="13"/>
  <c r="AG141" i="13"/>
  <c r="Q141" i="13"/>
  <c r="Q142" i="13" s="1"/>
  <c r="Q144" i="13" s="1"/>
  <c r="Q146" i="13" s="1"/>
  <c r="Q150" i="13" s="1"/>
  <c r="Q127" i="13" s="1"/>
  <c r="S99" i="13"/>
  <c r="AL100" i="13"/>
  <c r="AL102" i="13" s="1"/>
  <c r="AL104" i="13" s="1"/>
  <c r="AL108" i="13" s="1"/>
  <c r="AL85" i="13" s="1"/>
  <c r="R99" i="13"/>
  <c r="R100" i="13" s="1"/>
  <c r="R102" i="13" s="1"/>
  <c r="R104" i="13" s="1"/>
  <c r="AO141" i="13"/>
  <c r="AA144" i="13"/>
  <c r="AA146" i="13" s="1"/>
  <c r="AA150" i="13" s="1"/>
  <c r="AA127" i="13" s="1"/>
  <c r="AK142" i="13"/>
  <c r="AK144" i="13" s="1"/>
  <c r="AK146" i="13" s="1"/>
  <c r="AK150" i="13" s="1"/>
  <c r="Y141" i="13"/>
  <c r="K141" i="13"/>
  <c r="K142" i="13" s="1"/>
  <c r="K144" i="13" s="1"/>
  <c r="K146" i="13" s="1"/>
  <c r="AD100" i="13"/>
  <c r="AD102" i="13" s="1"/>
  <c r="AD104" i="13" s="1"/>
  <c r="AD108" i="13" s="1"/>
  <c r="AH99" i="13"/>
  <c r="M99" i="13"/>
  <c r="M100" i="13" s="1"/>
  <c r="M102" i="13" s="1"/>
  <c r="M104" i="13" s="1"/>
  <c r="J142" i="13"/>
  <c r="J144" i="13" s="1"/>
  <c r="J146" i="13" s="1"/>
  <c r="H138" i="13"/>
  <c r="AE142" i="13"/>
  <c r="AE144" i="13" s="1"/>
  <c r="AE146" i="13" s="1"/>
  <c r="AE150" i="13" s="1"/>
  <c r="AE127" i="13" s="1"/>
  <c r="R138" i="13"/>
  <c r="AQ100" i="13"/>
  <c r="AA100" i="13"/>
  <c r="N100" i="13"/>
  <c r="N102" i="13" s="1"/>
  <c r="N104" i="13" s="1"/>
  <c r="AG144" i="13"/>
  <c r="AG146" i="13" s="1"/>
  <c r="AG150" i="13" s="1"/>
  <c r="AG127" i="13" s="1"/>
  <c r="J115" i="13"/>
  <c r="AI100" i="13"/>
  <c r="P100" i="13"/>
  <c r="P102" i="13" s="1"/>
  <c r="P104" i="13" s="1"/>
  <c r="AQ144" i="13"/>
  <c r="AQ146" i="13" s="1"/>
  <c r="AQ150" i="13" s="1"/>
  <c r="AQ151" i="13" s="1"/>
  <c r="AQ128" i="13" s="1"/>
  <c r="AI144" i="13"/>
  <c r="AI146" i="13" s="1"/>
  <c r="AI150" i="13" s="1"/>
  <c r="AI151" i="13" s="1"/>
  <c r="AI128" i="13" s="1"/>
  <c r="W144" i="13"/>
  <c r="W146" i="13" s="1"/>
  <c r="W150" i="13" s="1"/>
  <c r="W151" i="13" s="1"/>
  <c r="W128" i="13" s="1"/>
  <c r="AP142" i="13"/>
  <c r="AP144" i="13" s="1"/>
  <c r="AP146" i="13" s="1"/>
  <c r="AP150" i="13" s="1"/>
  <c r="AP127" i="13" s="1"/>
  <c r="AH142" i="13"/>
  <c r="AH144" i="13" s="1"/>
  <c r="AH146" i="13" s="1"/>
  <c r="AH150" i="13" s="1"/>
  <c r="AH127" i="13" s="1"/>
  <c r="M142" i="13"/>
  <c r="M144" i="13" s="1"/>
  <c r="M146" i="13" s="1"/>
  <c r="M150" i="13" s="1"/>
  <c r="E142" i="13"/>
  <c r="E144" i="13" s="1"/>
  <c r="E146" i="13" s="1"/>
  <c r="E150" i="13" s="1"/>
  <c r="E127" i="13" s="1"/>
  <c r="Z142" i="13"/>
  <c r="Z144" i="13" s="1"/>
  <c r="Z146" i="13" s="1"/>
  <c r="Z150" i="13" s="1"/>
  <c r="Z149" i="13" s="1"/>
  <c r="Z126" i="13" s="1"/>
  <c r="R142" i="13"/>
  <c r="R144" i="13" s="1"/>
  <c r="R146" i="13" s="1"/>
  <c r="R150" i="13" s="1"/>
  <c r="R127" i="13" s="1"/>
  <c r="P138" i="13"/>
  <c r="AN100" i="13"/>
  <c r="AN102" i="13" s="1"/>
  <c r="AN104" i="13" s="1"/>
  <c r="AN108" i="13" s="1"/>
  <c r="AN107" i="13" s="1"/>
  <c r="AE100" i="13"/>
  <c r="X100" i="13"/>
  <c r="X102" i="13" s="1"/>
  <c r="X104" i="13" s="1"/>
  <c r="X108" i="13" s="1"/>
  <c r="X107" i="13" s="1"/>
  <c r="O100" i="13"/>
  <c r="O102" i="13" s="1"/>
  <c r="O104" i="13" s="1"/>
  <c r="H100" i="13"/>
  <c r="H102" i="13" s="1"/>
  <c r="H104" i="13" s="1"/>
  <c r="F88" i="13"/>
  <c r="F89" i="13" s="1"/>
  <c r="F90" i="13" s="1"/>
  <c r="AJ100" i="13"/>
  <c r="AJ102" i="13" s="1"/>
  <c r="AJ104" i="13" s="1"/>
  <c r="AJ108" i="13" s="1"/>
  <c r="AJ107" i="13" s="1"/>
  <c r="I96" i="13"/>
  <c r="R96" i="13"/>
  <c r="E96" i="13"/>
  <c r="J96" i="13"/>
  <c r="T96" i="13"/>
  <c r="F96" i="13"/>
  <c r="N96" i="13"/>
  <c r="U96" i="13"/>
  <c r="H96" i="13"/>
  <c r="P96" i="13"/>
  <c r="V138" i="13"/>
  <c r="X96" i="13"/>
  <c r="M96" i="13"/>
  <c r="AD142" i="13"/>
  <c r="AD144" i="13" s="1"/>
  <c r="AD146" i="13" s="1"/>
  <c r="AD150" i="13" s="1"/>
  <c r="AD127" i="13" s="1"/>
  <c r="N142" i="13"/>
  <c r="N144" i="13" s="1"/>
  <c r="N146" i="13" s="1"/>
  <c r="N150" i="13" s="1"/>
  <c r="W100" i="13"/>
  <c r="W102" i="13" s="1"/>
  <c r="W104" i="13" s="1"/>
  <c r="W108" i="13" s="1"/>
  <c r="AK99" i="13"/>
  <c r="E99" i="13"/>
  <c r="E100" i="13" s="1"/>
  <c r="E102" i="13" s="1"/>
  <c r="E104" i="13" s="1"/>
  <c r="E108" i="13" s="1"/>
  <c r="E85" i="13" s="1"/>
  <c r="J73" i="13"/>
  <c r="AO144" i="13"/>
  <c r="AO146" i="13" s="1"/>
  <c r="AO150" i="13" s="1"/>
  <c r="AO127" i="13" s="1"/>
  <c r="Y144" i="13"/>
  <c r="Y146" i="13" s="1"/>
  <c r="Y150" i="13" s="1"/>
  <c r="Y127" i="13" s="1"/>
  <c r="T138" i="13"/>
  <c r="AC99" i="13"/>
  <c r="Q99" i="13"/>
  <c r="Q100" i="13" s="1"/>
  <c r="Q102" i="13" s="1"/>
  <c r="Q104" i="13" s="1"/>
  <c r="AL142" i="13"/>
  <c r="AL144" i="13" s="1"/>
  <c r="AL146" i="13" s="1"/>
  <c r="AL150" i="13" s="1"/>
  <c r="AL127" i="13" s="1"/>
  <c r="V142" i="13"/>
  <c r="V144" i="13" s="1"/>
  <c r="V146" i="13" s="1"/>
  <c r="V150" i="13" s="1"/>
  <c r="V127" i="13" s="1"/>
  <c r="F142" i="13"/>
  <c r="F144" i="13" s="1"/>
  <c r="F146" i="13" s="1"/>
  <c r="F150" i="13" s="1"/>
  <c r="AM100" i="13"/>
  <c r="AM102" i="13" s="1"/>
  <c r="AM104" i="13" s="1"/>
  <c r="AM108" i="13" s="1"/>
  <c r="AF100" i="13"/>
  <c r="AF102" i="13" s="1"/>
  <c r="AF104" i="13" s="1"/>
  <c r="AF108" i="13" s="1"/>
  <c r="AF107" i="13" s="1"/>
  <c r="T100" i="13"/>
  <c r="T102" i="13" s="1"/>
  <c r="T104" i="13" s="1"/>
  <c r="T108" i="13" s="1"/>
  <c r="T107" i="13" s="1"/>
  <c r="G100" i="13"/>
  <c r="G102" i="13" s="1"/>
  <c r="G104" i="13" s="1"/>
  <c r="U99" i="13"/>
  <c r="X138" i="13"/>
  <c r="AN142" i="13"/>
  <c r="AN144" i="13" s="1"/>
  <c r="AN146" i="13" s="1"/>
  <c r="AN150" i="13" s="1"/>
  <c r="AJ142" i="13"/>
  <c r="AJ144" i="13" s="1"/>
  <c r="AJ146" i="13" s="1"/>
  <c r="AJ150" i="13" s="1"/>
  <c r="AF142" i="13"/>
  <c r="AF144" i="13" s="1"/>
  <c r="AF146" i="13" s="1"/>
  <c r="AF150" i="13" s="1"/>
  <c r="AB142" i="13"/>
  <c r="AB144" i="13" s="1"/>
  <c r="AB146" i="13" s="1"/>
  <c r="AB150" i="13" s="1"/>
  <c r="X142" i="13"/>
  <c r="X144" i="13" s="1"/>
  <c r="X146" i="13" s="1"/>
  <c r="X150" i="13" s="1"/>
  <c r="T142" i="13"/>
  <c r="T144" i="13" s="1"/>
  <c r="T146" i="13" s="1"/>
  <c r="T150" i="13" s="1"/>
  <c r="P142" i="13"/>
  <c r="P144" i="13" s="1"/>
  <c r="P146" i="13" s="1"/>
  <c r="P150" i="13" s="1"/>
  <c r="L142" i="13"/>
  <c r="L144" i="13" s="1"/>
  <c r="L146" i="13" s="1"/>
  <c r="L150" i="13" s="1"/>
  <c r="H142" i="13"/>
  <c r="H144" i="13" s="1"/>
  <c r="H146" i="13" s="1"/>
  <c r="E131" i="13"/>
  <c r="E132" i="13" s="1"/>
  <c r="F130" i="13"/>
  <c r="E138" i="13"/>
  <c r="I147" i="13" s="1"/>
  <c r="I148" i="13" s="1"/>
  <c r="I125" i="13" s="1"/>
  <c r="I138" i="13"/>
  <c r="M138" i="13"/>
  <c r="Q138" i="13"/>
  <c r="U138" i="13"/>
  <c r="G138" i="13"/>
  <c r="K138" i="13"/>
  <c r="O138" i="13"/>
  <c r="S138" i="13"/>
  <c r="W138" i="13"/>
  <c r="D131" i="13"/>
  <c r="D132" i="13" s="1"/>
  <c r="AO100" i="13"/>
  <c r="AO102" i="13" s="1"/>
  <c r="AO104" i="13" s="1"/>
  <c r="AO108" i="13" s="1"/>
  <c r="AO107" i="13" s="1"/>
  <c r="AO99" i="13"/>
  <c r="Y100" i="13"/>
  <c r="Y102" i="13" s="1"/>
  <c r="Y104" i="13" s="1"/>
  <c r="Y108" i="13" s="1"/>
  <c r="Y107" i="13" s="1"/>
  <c r="Y99" i="13"/>
  <c r="I99" i="13"/>
  <c r="I100" i="13" s="1"/>
  <c r="I102" i="13" s="1"/>
  <c r="I104" i="13" s="1"/>
  <c r="L96" i="13"/>
  <c r="Q96" i="13"/>
  <c r="V96" i="13"/>
  <c r="AB99" i="13"/>
  <c r="AB100" i="13"/>
  <c r="AB102" i="13" s="1"/>
  <c r="AB104" i="13" s="1"/>
  <c r="AB108" i="13" s="1"/>
  <c r="AB107" i="13" s="1"/>
  <c r="L99" i="13"/>
  <c r="L100" i="13" s="1"/>
  <c r="L102" i="13" s="1"/>
  <c r="L104" i="13" s="1"/>
  <c r="K96" i="13"/>
  <c r="O96" i="13"/>
  <c r="S96" i="13"/>
  <c r="W96" i="13"/>
  <c r="D89" i="13"/>
  <c r="D90" i="13" s="1"/>
  <c r="E89" i="13"/>
  <c r="E90" i="13" s="1"/>
  <c r="H7" i="21"/>
  <c r="H8" i="21"/>
  <c r="H6" i="21"/>
  <c r="G7" i="21"/>
  <c r="G8" i="21"/>
  <c r="G6" i="21"/>
  <c r="F7" i="21"/>
  <c r="F8" i="21"/>
  <c r="F6" i="21"/>
  <c r="E8" i="21"/>
  <c r="E7" i="21"/>
  <c r="E6" i="21"/>
  <c r="H63" i="13" l="1"/>
  <c r="H64" i="13" s="1"/>
  <c r="H41" i="13" s="1"/>
  <c r="F63" i="13"/>
  <c r="F64" i="13" s="1"/>
  <c r="F41" i="13" s="1"/>
  <c r="S147" i="13"/>
  <c r="S148" i="13" s="1"/>
  <c r="S125" i="13" s="1"/>
  <c r="Q147" i="13"/>
  <c r="Q148" i="13" s="1"/>
  <c r="Q125" i="13" s="1"/>
  <c r="E147" i="13"/>
  <c r="E148" i="13" s="1"/>
  <c r="E125" i="13" s="1"/>
  <c r="T147" i="13"/>
  <c r="T148" i="13" s="1"/>
  <c r="T125" i="13" s="1"/>
  <c r="I108" i="13"/>
  <c r="I85" i="13" s="1"/>
  <c r="N147" i="13"/>
  <c r="N148" i="13" s="1"/>
  <c r="N125" i="13" s="1"/>
  <c r="R147" i="13"/>
  <c r="R148" i="13" s="1"/>
  <c r="R125" i="13" s="1"/>
  <c r="F107" i="13"/>
  <c r="F84" i="13" s="1"/>
  <c r="J66" i="13"/>
  <c r="J65" i="13" s="1"/>
  <c r="J42" i="13" s="1"/>
  <c r="AC85" i="13"/>
  <c r="H66" i="13"/>
  <c r="H43" i="13" s="1"/>
  <c r="G66" i="13"/>
  <c r="G43" i="13" s="1"/>
  <c r="AP85" i="13"/>
  <c r="T66" i="13"/>
  <c r="T43" i="13" s="1"/>
  <c r="P105" i="13"/>
  <c r="P106" i="13" s="1"/>
  <c r="P83" i="13" s="1"/>
  <c r="AC109" i="13"/>
  <c r="AC86" i="13" s="1"/>
  <c r="S151" i="13"/>
  <c r="S128" i="13" s="1"/>
  <c r="AH151" i="13"/>
  <c r="AH128" i="13" s="1"/>
  <c r="O147" i="13"/>
  <c r="O148" i="13" s="1"/>
  <c r="O125" i="13" s="1"/>
  <c r="L147" i="13"/>
  <c r="L148" i="13" s="1"/>
  <c r="L125" i="13" s="1"/>
  <c r="M147" i="13"/>
  <c r="M148" i="13" s="1"/>
  <c r="M125" i="13" s="1"/>
  <c r="U109" i="13"/>
  <c r="U86" i="13" s="1"/>
  <c r="AH109" i="13"/>
  <c r="AH86" i="13" s="1"/>
  <c r="R108" i="13"/>
  <c r="R85" i="13" s="1"/>
  <c r="AG109" i="13"/>
  <c r="AG86" i="13" s="1"/>
  <c r="AK109" i="13"/>
  <c r="AK86" i="13" s="1"/>
  <c r="S109" i="13"/>
  <c r="S86" i="13" s="1"/>
  <c r="R105" i="13"/>
  <c r="R106" i="13" s="1"/>
  <c r="R83" i="13" s="1"/>
  <c r="K66" i="13"/>
  <c r="K65" i="13" s="1"/>
  <c r="K42" i="13" s="1"/>
  <c r="F66" i="13"/>
  <c r="F43" i="13" s="1"/>
  <c r="N63" i="13"/>
  <c r="N64" i="13" s="1"/>
  <c r="N41" i="13" s="1"/>
  <c r="G63" i="13"/>
  <c r="G64" i="13" s="1"/>
  <c r="G41" i="13" s="1"/>
  <c r="M66" i="13"/>
  <c r="M43" i="13" s="1"/>
  <c r="L63" i="13"/>
  <c r="L64" i="13" s="1"/>
  <c r="L41" i="13" s="1"/>
  <c r="L66" i="13"/>
  <c r="N66" i="13"/>
  <c r="I66" i="13"/>
  <c r="I67" i="13" s="1"/>
  <c r="I44" i="13" s="1"/>
  <c r="M63" i="13"/>
  <c r="M64" i="13" s="1"/>
  <c r="M41" i="13" s="1"/>
  <c r="F149" i="13"/>
  <c r="F126" i="13" s="1"/>
  <c r="W149" i="13"/>
  <c r="W126" i="13" s="1"/>
  <c r="H150" i="13"/>
  <c r="H127" i="13" s="1"/>
  <c r="G88" i="13"/>
  <c r="G89" i="13" s="1"/>
  <c r="G90" i="13" s="1"/>
  <c r="S85" i="13"/>
  <c r="J108" i="13"/>
  <c r="J85" i="13" s="1"/>
  <c r="N105" i="13"/>
  <c r="N106" i="13" s="1"/>
  <c r="N83" i="13" s="1"/>
  <c r="K105" i="13"/>
  <c r="K106" i="13" s="1"/>
  <c r="K83" i="13" s="1"/>
  <c r="Q108" i="13"/>
  <c r="Q85" i="13" s="1"/>
  <c r="O108" i="13"/>
  <c r="O85" i="13" s="1"/>
  <c r="P108" i="13"/>
  <c r="N108" i="13"/>
  <c r="N85" i="13" s="1"/>
  <c r="M108" i="13"/>
  <c r="J105" i="13"/>
  <c r="J106" i="13" s="1"/>
  <c r="J83" i="13" s="1"/>
  <c r="M105" i="13"/>
  <c r="M106" i="13" s="1"/>
  <c r="M83" i="13" s="1"/>
  <c r="Q105" i="13"/>
  <c r="Q106" i="13" s="1"/>
  <c r="Q83" i="13" s="1"/>
  <c r="K147" i="13"/>
  <c r="K148" i="13" s="1"/>
  <c r="K125" i="13" s="1"/>
  <c r="L108" i="13"/>
  <c r="L85" i="13" s="1"/>
  <c r="S127" i="13"/>
  <c r="I150" i="13"/>
  <c r="I127" i="13" s="1"/>
  <c r="Z109" i="13"/>
  <c r="Z86" i="13" s="1"/>
  <c r="I105" i="13"/>
  <c r="I106" i="13" s="1"/>
  <c r="I83" i="13" s="1"/>
  <c r="O105" i="13"/>
  <c r="O106" i="13" s="1"/>
  <c r="O83" i="13" s="1"/>
  <c r="K108" i="13"/>
  <c r="L105" i="13"/>
  <c r="L106" i="13" s="1"/>
  <c r="L83" i="13" s="1"/>
  <c r="Q151" i="13"/>
  <c r="Q128" i="13" s="1"/>
  <c r="W127" i="13"/>
  <c r="J147" i="13"/>
  <c r="J148" i="13" s="1"/>
  <c r="J125" i="13" s="1"/>
  <c r="J150" i="13"/>
  <c r="J127" i="13" s="1"/>
  <c r="K150" i="13"/>
  <c r="K127" i="13" s="1"/>
  <c r="H147" i="13"/>
  <c r="H148" i="13" s="1"/>
  <c r="H125" i="13" s="1"/>
  <c r="Q149" i="13"/>
  <c r="Q126" i="13" s="1"/>
  <c r="AI127" i="13"/>
  <c r="AQ127" i="13"/>
  <c r="AD149" i="13"/>
  <c r="AD126" i="13" s="1"/>
  <c r="AG151" i="13"/>
  <c r="AG128" i="13" s="1"/>
  <c r="AQ149" i="13"/>
  <c r="AQ126" i="13" s="1"/>
  <c r="AH149" i="13"/>
  <c r="AH126" i="13" s="1"/>
  <c r="AG149" i="13"/>
  <c r="AG126" i="13" s="1"/>
  <c r="AD151" i="13"/>
  <c r="AD128" i="13" s="1"/>
  <c r="O127" i="13"/>
  <c r="AM107" i="13"/>
  <c r="AM84" i="13" s="1"/>
  <c r="AM109" i="13"/>
  <c r="AM86" i="13" s="1"/>
  <c r="W107" i="13"/>
  <c r="W84" i="13" s="1"/>
  <c r="W109" i="13"/>
  <c r="W86" i="13" s="1"/>
  <c r="AF109" i="13"/>
  <c r="AF86" i="13" s="1"/>
  <c r="Y109" i="13"/>
  <c r="Y86" i="13" s="1"/>
  <c r="AO109" i="13"/>
  <c r="AO86" i="13" s="1"/>
  <c r="AP109" i="13"/>
  <c r="AP86" i="13" s="1"/>
  <c r="AE102" i="13"/>
  <c r="AE104" i="13" s="1"/>
  <c r="AE108" i="13" s="1"/>
  <c r="AE85" i="13" s="1"/>
  <c r="AI102" i="13"/>
  <c r="AI104" i="13" s="1"/>
  <c r="AI108" i="13" s="1"/>
  <c r="AI85" i="13" s="1"/>
  <c r="AA102" i="13"/>
  <c r="AA104" i="13" s="1"/>
  <c r="AA108" i="13" s="1"/>
  <c r="AA85" i="13" s="1"/>
  <c r="AD107" i="13"/>
  <c r="AD84" i="13" s="1"/>
  <c r="AD109" i="13"/>
  <c r="AD86" i="13" s="1"/>
  <c r="F109" i="13"/>
  <c r="F86" i="13" s="1"/>
  <c r="T109" i="13"/>
  <c r="T86" i="13" s="1"/>
  <c r="AJ109" i="13"/>
  <c r="AJ86" i="13" s="1"/>
  <c r="H108" i="13"/>
  <c r="H85" i="13" s="1"/>
  <c r="AQ102" i="13"/>
  <c r="AQ104" i="13" s="1"/>
  <c r="AQ108" i="13" s="1"/>
  <c r="AQ85" i="13" s="1"/>
  <c r="AL107" i="13"/>
  <c r="AL84" i="13" s="1"/>
  <c r="AL109" i="13"/>
  <c r="AL86" i="13" s="1"/>
  <c r="V107" i="13"/>
  <c r="V84" i="13" s="1"/>
  <c r="V109" i="13"/>
  <c r="V86" i="13" s="1"/>
  <c r="X109" i="13"/>
  <c r="X86" i="13" s="1"/>
  <c r="AN109" i="13"/>
  <c r="AN86" i="13" s="1"/>
  <c r="AB109" i="13"/>
  <c r="AB86" i="13" s="1"/>
  <c r="G151" i="13"/>
  <c r="G128" i="13" s="1"/>
  <c r="G127" i="13"/>
  <c r="G149" i="13"/>
  <c r="G126" i="13" s="1"/>
  <c r="AA151" i="13"/>
  <c r="AA128" i="13" s="1"/>
  <c r="AA149" i="13"/>
  <c r="AA126" i="13" s="1"/>
  <c r="H105" i="13"/>
  <c r="H106" i="13" s="1"/>
  <c r="H83" i="13" s="1"/>
  <c r="G105" i="13"/>
  <c r="G106" i="13" s="1"/>
  <c r="G83" i="13" s="1"/>
  <c r="G108" i="13"/>
  <c r="AH84" i="13"/>
  <c r="AH85" i="13"/>
  <c r="E109" i="13"/>
  <c r="E86" i="13" s="1"/>
  <c r="E107" i="13"/>
  <c r="E84" i="13" s="1"/>
  <c r="E66" i="13"/>
  <c r="Q66" i="13"/>
  <c r="Q43" i="13" s="1"/>
  <c r="S66" i="13"/>
  <c r="S67" i="13" s="1"/>
  <c r="S44" i="13" s="1"/>
  <c r="R66" i="13"/>
  <c r="R43" i="13" s="1"/>
  <c r="R63" i="13"/>
  <c r="R64" i="13" s="1"/>
  <c r="R41" i="13" s="1"/>
  <c r="P66" i="13"/>
  <c r="P43" i="13" s="1"/>
  <c r="P63" i="13"/>
  <c r="P64" i="13" s="1"/>
  <c r="P41" i="13" s="1"/>
  <c r="T63" i="13"/>
  <c r="T64" i="13" s="1"/>
  <c r="T41" i="13" s="1"/>
  <c r="O66" i="13"/>
  <c r="O67" i="13" s="1"/>
  <c r="O44" i="13" s="1"/>
  <c r="X67" i="13"/>
  <c r="X44" i="13" s="1"/>
  <c r="X43" i="13"/>
  <c r="W65" i="13"/>
  <c r="W42" i="13" s="1"/>
  <c r="W43" i="13"/>
  <c r="AB67" i="13"/>
  <c r="AB44" i="13" s="1"/>
  <c r="AB43" i="13"/>
  <c r="Y67" i="13"/>
  <c r="Y44" i="13" s="1"/>
  <c r="Y43" i="13"/>
  <c r="AD65" i="13"/>
  <c r="AD42" i="13" s="1"/>
  <c r="AD43" i="13"/>
  <c r="AE65" i="13"/>
  <c r="AE42" i="13" s="1"/>
  <c r="AE43" i="13"/>
  <c r="AF67" i="13"/>
  <c r="AF44" i="13" s="1"/>
  <c r="AF43" i="13"/>
  <c r="Z65" i="13"/>
  <c r="Z42" i="13" s="1"/>
  <c r="Z43" i="13"/>
  <c r="AC65" i="13"/>
  <c r="AC42" i="13" s="1"/>
  <c r="AC43" i="13"/>
  <c r="AG67" i="13"/>
  <c r="AG44" i="13" s="1"/>
  <c r="AG43" i="13"/>
  <c r="U65" i="13"/>
  <c r="U42" i="13" s="1"/>
  <c r="U43" i="13"/>
  <c r="AA67" i="13"/>
  <c r="AA44" i="13" s="1"/>
  <c r="AA43" i="13"/>
  <c r="V65" i="13"/>
  <c r="V42" i="13" s="1"/>
  <c r="V43" i="13"/>
  <c r="F85" i="13"/>
  <c r="AG84" i="13"/>
  <c r="AG85" i="13"/>
  <c r="AC67" i="13"/>
  <c r="AC44" i="13" s="1"/>
  <c r="AM67" i="13"/>
  <c r="AM44" i="13" s="1"/>
  <c r="AP67" i="13"/>
  <c r="AP44" i="13" s="1"/>
  <c r="Z67" i="13"/>
  <c r="Z44" i="13" s="1"/>
  <c r="V67" i="13"/>
  <c r="V44" i="13" s="1"/>
  <c r="AK65" i="13"/>
  <c r="AK42" i="13" s="1"/>
  <c r="AN67" i="13"/>
  <c r="AN44" i="13" s="1"/>
  <c r="AE67" i="13"/>
  <c r="AE44" i="13" s="1"/>
  <c r="U67" i="13"/>
  <c r="U44" i="13" s="1"/>
  <c r="AK67" i="13"/>
  <c r="AK44" i="13" s="1"/>
  <c r="AN65" i="13"/>
  <c r="AN42" i="13" s="1"/>
  <c r="AQ67" i="13"/>
  <c r="AQ44" i="13" s="1"/>
  <c r="AF65" i="13"/>
  <c r="AF42" i="13" s="1"/>
  <c r="Y65" i="13"/>
  <c r="Y42" i="13" s="1"/>
  <c r="AQ65" i="13"/>
  <c r="AQ42" i="13" s="1"/>
  <c r="AP65" i="13"/>
  <c r="AP42" i="13" s="1"/>
  <c r="AL67" i="13"/>
  <c r="AL44" i="13" s="1"/>
  <c r="X65" i="13"/>
  <c r="X42" i="13" s="1"/>
  <c r="AJ65" i="13"/>
  <c r="AJ42" i="13" s="1"/>
  <c r="AH67" i="13"/>
  <c r="AH44" i="13" s="1"/>
  <c r="AM65" i="13"/>
  <c r="AM42" i="13" s="1"/>
  <c r="AL65" i="13"/>
  <c r="AL42" i="13" s="1"/>
  <c r="AJ67" i="13"/>
  <c r="AJ44" i="13" s="1"/>
  <c r="AH65" i="13"/>
  <c r="AH42" i="13" s="1"/>
  <c r="AO65" i="13"/>
  <c r="AO42" i="13" s="1"/>
  <c r="AI67" i="13"/>
  <c r="AI44" i="13" s="1"/>
  <c r="AD67" i="13"/>
  <c r="AD44" i="13" s="1"/>
  <c r="W67" i="13"/>
  <c r="W44" i="13" s="1"/>
  <c r="AB65" i="13"/>
  <c r="AB42" i="13" s="1"/>
  <c r="AO67" i="13"/>
  <c r="AO44" i="13" s="1"/>
  <c r="AI65" i="13"/>
  <c r="AI42" i="13" s="1"/>
  <c r="G46" i="13"/>
  <c r="F47" i="13"/>
  <c r="F48" i="13" s="1"/>
  <c r="AO149" i="13"/>
  <c r="AO126" i="13" s="1"/>
  <c r="V85" i="13"/>
  <c r="AP149" i="13"/>
  <c r="AP126" i="13" s="1"/>
  <c r="N127" i="13"/>
  <c r="AD85" i="13"/>
  <c r="AK127" i="13"/>
  <c r="AK151" i="13"/>
  <c r="AK128" i="13" s="1"/>
  <c r="AK85" i="13"/>
  <c r="AO151" i="13"/>
  <c r="AO128" i="13" s="1"/>
  <c r="AL149" i="13"/>
  <c r="AL126" i="13" s="1"/>
  <c r="H88" i="13"/>
  <c r="I88" i="13" s="1"/>
  <c r="U149" i="13"/>
  <c r="U126" i="13" s="1"/>
  <c r="Z85" i="13"/>
  <c r="AP84" i="13"/>
  <c r="U151" i="13"/>
  <c r="U128" i="13" s="1"/>
  <c r="AL151" i="13"/>
  <c r="AL128" i="13" s="1"/>
  <c r="AM151" i="13"/>
  <c r="AM128" i="13" s="1"/>
  <c r="AM149" i="13"/>
  <c r="AM126" i="13" s="1"/>
  <c r="AM127" i="13"/>
  <c r="AN85" i="13"/>
  <c r="AN84" i="13"/>
  <c r="Y149" i="13"/>
  <c r="Y126" i="13" s="1"/>
  <c r="AE149" i="13"/>
  <c r="AE126" i="13" s="1"/>
  <c r="Z151" i="13"/>
  <c r="Z128" i="13" s="1"/>
  <c r="AP151" i="13"/>
  <c r="AP128" i="13" s="1"/>
  <c r="U85" i="13"/>
  <c r="Y151" i="13"/>
  <c r="Y128" i="13" s="1"/>
  <c r="S149" i="13"/>
  <c r="S126" i="13" s="1"/>
  <c r="AE151" i="13"/>
  <c r="AE128" i="13" s="1"/>
  <c r="Z127" i="13"/>
  <c r="AI149" i="13"/>
  <c r="AI126" i="13" s="1"/>
  <c r="F151" i="13"/>
  <c r="F128" i="13" s="1"/>
  <c r="F127" i="13"/>
  <c r="AK149" i="13"/>
  <c r="AK126" i="13" s="1"/>
  <c r="AK84" i="13"/>
  <c r="AC127" i="13"/>
  <c r="AC149" i="13"/>
  <c r="AC126" i="13" s="1"/>
  <c r="AC151" i="13"/>
  <c r="AC128" i="13" s="1"/>
  <c r="V151" i="13"/>
  <c r="V128" i="13" s="1"/>
  <c r="V149" i="13"/>
  <c r="V126" i="13" s="1"/>
  <c r="M127" i="13"/>
  <c r="AM85" i="13"/>
  <c r="W85" i="13"/>
  <c r="H5" i="21"/>
  <c r="AF85" i="13"/>
  <c r="AF84" i="13"/>
  <c r="Y85" i="13"/>
  <c r="Y84" i="13"/>
  <c r="X85" i="13"/>
  <c r="X84" i="13"/>
  <c r="G130" i="13"/>
  <c r="F131" i="13"/>
  <c r="F132" i="13" s="1"/>
  <c r="P127" i="13"/>
  <c r="P149" i="13"/>
  <c r="P126" i="13" s="1"/>
  <c r="P151" i="13"/>
  <c r="P128" i="13" s="1"/>
  <c r="AF127" i="13"/>
  <c r="AF149" i="13"/>
  <c r="AF126" i="13" s="1"/>
  <c r="AF151" i="13"/>
  <c r="AF128" i="13" s="1"/>
  <c r="AJ85" i="13"/>
  <c r="AJ84" i="13"/>
  <c r="T127" i="13"/>
  <c r="AJ127" i="13"/>
  <c r="AJ149" i="13"/>
  <c r="AJ126" i="13" s="1"/>
  <c r="AJ151" i="13"/>
  <c r="AJ128" i="13" s="1"/>
  <c r="AB85" i="13"/>
  <c r="AB84" i="13"/>
  <c r="AO85" i="13"/>
  <c r="AO84" i="13"/>
  <c r="X127" i="13"/>
  <c r="X149" i="13"/>
  <c r="X126" i="13" s="1"/>
  <c r="X151" i="13"/>
  <c r="X128" i="13" s="1"/>
  <c r="AN127" i="13"/>
  <c r="AN149" i="13"/>
  <c r="AN126" i="13" s="1"/>
  <c r="AN151" i="13"/>
  <c r="AN128" i="13" s="1"/>
  <c r="T85" i="13"/>
  <c r="T84" i="13"/>
  <c r="L127" i="13"/>
  <c r="AB127" i="13"/>
  <c r="AB149" i="13"/>
  <c r="AB126" i="13" s="1"/>
  <c r="AB151" i="13"/>
  <c r="AB128" i="13" s="1"/>
  <c r="I39" i="18"/>
  <c r="T149" i="13" l="1"/>
  <c r="T126" i="13" s="1"/>
  <c r="H67" i="13"/>
  <c r="H44" i="13" s="1"/>
  <c r="H65" i="13"/>
  <c r="H42" i="13" s="1"/>
  <c r="E149" i="13"/>
  <c r="E126" i="13" s="1"/>
  <c r="E151" i="13"/>
  <c r="E128" i="13" s="1"/>
  <c r="R149" i="13"/>
  <c r="R126" i="13" s="1"/>
  <c r="R151" i="13"/>
  <c r="R128" i="13" s="1"/>
  <c r="J43" i="13"/>
  <c r="J67" i="13"/>
  <c r="J44" i="13" s="1"/>
  <c r="T151" i="13"/>
  <c r="T128" i="13" s="1"/>
  <c r="N149" i="13"/>
  <c r="N126" i="13" s="1"/>
  <c r="N151" i="13"/>
  <c r="N128" i="13" s="1"/>
  <c r="P109" i="13"/>
  <c r="P86" i="13" s="1"/>
  <c r="O149" i="13"/>
  <c r="O126" i="13" s="1"/>
  <c r="L149" i="13"/>
  <c r="L126" i="13" s="1"/>
  <c r="L151" i="13"/>
  <c r="L128" i="13" s="1"/>
  <c r="O151" i="13"/>
  <c r="O128" i="13" s="1"/>
  <c r="M151" i="13"/>
  <c r="M128" i="13" s="1"/>
  <c r="M149" i="13"/>
  <c r="M126" i="13" s="1"/>
  <c r="F65" i="13"/>
  <c r="F42" i="13" s="1"/>
  <c r="R109" i="13"/>
  <c r="R86" i="13" s="1"/>
  <c r="K67" i="13"/>
  <c r="K44" i="13" s="1"/>
  <c r="K43" i="13"/>
  <c r="I65" i="13"/>
  <c r="I42" i="13" s="1"/>
  <c r="I43" i="13"/>
  <c r="H89" i="13"/>
  <c r="H90" i="13" s="1"/>
  <c r="N65" i="13"/>
  <c r="N42" i="13" s="1"/>
  <c r="R107" i="13"/>
  <c r="R84" i="13" s="1"/>
  <c r="L65" i="13"/>
  <c r="L42" i="13" s="1"/>
  <c r="M67" i="13"/>
  <c r="M44" i="13" s="1"/>
  <c r="M65" i="13"/>
  <c r="M42" i="13" s="1"/>
  <c r="F67" i="13"/>
  <c r="F44" i="13" s="1"/>
  <c r="G65" i="13"/>
  <c r="G42" i="13" s="1"/>
  <c r="N43" i="13"/>
  <c r="L43" i="13"/>
  <c r="N67" i="13"/>
  <c r="N44" i="13" s="1"/>
  <c r="G67" i="13"/>
  <c r="G44" i="13" s="1"/>
  <c r="L67" i="13"/>
  <c r="L44" i="13" s="1"/>
  <c r="T65" i="13"/>
  <c r="T42" i="13" s="1"/>
  <c r="T67" i="13"/>
  <c r="T44" i="13" s="1"/>
  <c r="P107" i="13"/>
  <c r="P84" i="13" s="1"/>
  <c r="K109" i="13"/>
  <c r="K86" i="13" s="1"/>
  <c r="H151" i="13"/>
  <c r="H128" i="13" s="1"/>
  <c r="H149" i="13"/>
  <c r="H126" i="13" s="1"/>
  <c r="L109" i="13"/>
  <c r="L86" i="13" s="1"/>
  <c r="P85" i="13"/>
  <c r="J109" i="13"/>
  <c r="J86" i="13" s="1"/>
  <c r="M109" i="13"/>
  <c r="M86" i="13" s="1"/>
  <c r="K151" i="13"/>
  <c r="K128" i="13" s="1"/>
  <c r="I107" i="13"/>
  <c r="I84" i="13" s="1"/>
  <c r="J107" i="13"/>
  <c r="J84" i="13" s="1"/>
  <c r="N109" i="13"/>
  <c r="N86" i="13" s="1"/>
  <c r="I109" i="13"/>
  <c r="I86" i="13" s="1"/>
  <c r="N107" i="13"/>
  <c r="N84" i="13" s="1"/>
  <c r="K149" i="13"/>
  <c r="K126" i="13" s="1"/>
  <c r="L107" i="13"/>
  <c r="L84" i="13" s="1"/>
  <c r="Q109" i="13"/>
  <c r="Q86" i="13" s="1"/>
  <c r="O107" i="13"/>
  <c r="O84" i="13" s="1"/>
  <c r="K85" i="13"/>
  <c r="O109" i="13"/>
  <c r="O86" i="13" s="1"/>
  <c r="I151" i="13"/>
  <c r="I128" i="13" s="1"/>
  <c r="Q107" i="13"/>
  <c r="Q84" i="13" s="1"/>
  <c r="K107" i="13"/>
  <c r="K84" i="13" s="1"/>
  <c r="M107" i="13"/>
  <c r="M84" i="13" s="1"/>
  <c r="J151" i="13"/>
  <c r="J128" i="13" s="1"/>
  <c r="J149" i="13"/>
  <c r="J126" i="13" s="1"/>
  <c r="M85" i="13"/>
  <c r="I149" i="13"/>
  <c r="I126" i="13" s="1"/>
  <c r="AQ107" i="13"/>
  <c r="AQ84" i="13" s="1"/>
  <c r="AQ109" i="13"/>
  <c r="AQ86" i="13" s="1"/>
  <c r="AI107" i="13"/>
  <c r="AI84" i="13" s="1"/>
  <c r="AI109" i="13"/>
  <c r="AI86" i="13" s="1"/>
  <c r="AA107" i="13"/>
  <c r="AA84" i="13" s="1"/>
  <c r="AA109" i="13"/>
  <c r="AA86" i="13" s="1"/>
  <c r="AE107" i="13"/>
  <c r="AE84" i="13" s="1"/>
  <c r="AE109" i="13"/>
  <c r="AE86" i="13" s="1"/>
  <c r="G109" i="13"/>
  <c r="G86" i="13" s="1"/>
  <c r="H107" i="13"/>
  <c r="H84" i="13" s="1"/>
  <c r="G85" i="13"/>
  <c r="G107" i="13"/>
  <c r="G84" i="13" s="1"/>
  <c r="H109" i="13"/>
  <c r="H86" i="13" s="1"/>
  <c r="Q67" i="13"/>
  <c r="Q44" i="13" s="1"/>
  <c r="S43" i="13"/>
  <c r="E43" i="13"/>
  <c r="E67" i="13"/>
  <c r="E44" i="13" s="1"/>
  <c r="E65" i="13"/>
  <c r="E42" i="13" s="1"/>
  <c r="S65" i="13"/>
  <c r="S42" i="13" s="1"/>
  <c r="P65" i="13"/>
  <c r="P42" i="13" s="1"/>
  <c r="R65" i="13"/>
  <c r="R42" i="13" s="1"/>
  <c r="O43" i="13"/>
  <c r="O65" i="13"/>
  <c r="O42" i="13" s="1"/>
  <c r="R67" i="13"/>
  <c r="R44" i="13" s="1"/>
  <c r="Q65" i="13"/>
  <c r="Q42" i="13" s="1"/>
  <c r="P67" i="13"/>
  <c r="P44" i="13" s="1"/>
  <c r="G47" i="13"/>
  <c r="G48" i="13" s="1"/>
  <c r="H46" i="13"/>
  <c r="G131" i="13"/>
  <c r="G132" i="13" s="1"/>
  <c r="H130" i="13"/>
  <c r="I89" i="13"/>
  <c r="I90" i="13" s="1"/>
  <c r="J88" i="13"/>
  <c r="BC2" i="18"/>
  <c r="H47" i="13" l="1"/>
  <c r="H48" i="13" s="1"/>
  <c r="I46" i="13"/>
  <c r="I130" i="13"/>
  <c r="H131" i="13"/>
  <c r="H132" i="13" s="1"/>
  <c r="J89" i="13"/>
  <c r="J90" i="13" s="1"/>
  <c r="K88" i="13"/>
  <c r="D6" i="21"/>
  <c r="J6" i="21" s="1"/>
  <c r="D8" i="21"/>
  <c r="D7" i="21"/>
  <c r="J7" i="21" s="1"/>
  <c r="I47" i="13" l="1"/>
  <c r="I48" i="13" s="1"/>
  <c r="J46" i="13"/>
  <c r="L88" i="13"/>
  <c r="K89" i="13"/>
  <c r="K90" i="13" s="1"/>
  <c r="I131" i="13"/>
  <c r="I132" i="13" s="1"/>
  <c r="J130" i="13"/>
  <c r="D5" i="21"/>
  <c r="H4" i="18"/>
  <c r="K46" i="13" l="1"/>
  <c r="J47" i="13"/>
  <c r="J48" i="13" s="1"/>
  <c r="K130" i="13"/>
  <c r="J131" i="13"/>
  <c r="J132" i="13" s="1"/>
  <c r="M88" i="13"/>
  <c r="L89" i="13"/>
  <c r="L90" i="13" s="1"/>
  <c r="K47" i="13" l="1"/>
  <c r="K48" i="13" s="1"/>
  <c r="L46" i="13"/>
  <c r="M89" i="13"/>
  <c r="M90" i="13" s="1"/>
  <c r="N88" i="13"/>
  <c r="K131" i="13"/>
  <c r="K132" i="13" s="1"/>
  <c r="L130" i="13"/>
  <c r="AF95" i="18"/>
  <c r="AF96" i="18" s="1"/>
  <c r="AJ95" i="18"/>
  <c r="AJ96" i="18" s="1"/>
  <c r="AN95" i="18"/>
  <c r="AN96" i="18" s="1"/>
  <c r="AR95" i="18"/>
  <c r="AR96" i="18" s="1"/>
  <c r="AV95" i="18"/>
  <c r="AV96" i="18" s="1"/>
  <c r="AB95" i="18"/>
  <c r="AB96" i="18" s="1"/>
  <c r="AZ96" i="18" l="1"/>
  <c r="L47" i="13"/>
  <c r="L48" i="13" s="1"/>
  <c r="M46" i="13"/>
  <c r="O88" i="13"/>
  <c r="N89" i="13"/>
  <c r="N90" i="13" s="1"/>
  <c r="M130" i="13"/>
  <c r="L131" i="13"/>
  <c r="L132" i="13" s="1"/>
  <c r="AZ95" i="18"/>
  <c r="N123" i="18"/>
  <c r="M47" i="13" l="1"/>
  <c r="M48" i="13" s="1"/>
  <c r="N46" i="13"/>
  <c r="M131" i="13"/>
  <c r="M132" i="13" s="1"/>
  <c r="N130" i="13"/>
  <c r="O89" i="13"/>
  <c r="O90" i="13" s="1"/>
  <c r="P88" i="13"/>
  <c r="O46" i="13" l="1"/>
  <c r="N47" i="13"/>
  <c r="N48" i="13" s="1"/>
  <c r="Q88" i="13"/>
  <c r="P89" i="13"/>
  <c r="P90" i="13" s="1"/>
  <c r="O130" i="13"/>
  <c r="N131" i="13"/>
  <c r="N132" i="13" s="1"/>
  <c r="H196" i="13"/>
  <c r="AZ93" i="18"/>
  <c r="O47" i="13" l="1"/>
  <c r="O48" i="13" s="1"/>
  <c r="P46" i="13"/>
  <c r="Q89" i="13"/>
  <c r="Q90" i="13" s="1"/>
  <c r="R88" i="13"/>
  <c r="O131" i="13"/>
  <c r="O132" i="13" s="1"/>
  <c r="P130" i="13"/>
  <c r="I107" i="18"/>
  <c r="F107" i="18"/>
  <c r="P47" i="13" l="1"/>
  <c r="P48" i="13" s="1"/>
  <c r="Q46" i="13"/>
  <c r="Q130" i="13"/>
  <c r="P131" i="13"/>
  <c r="P132" i="13" s="1"/>
  <c r="R89" i="13"/>
  <c r="R90" i="13" s="1"/>
  <c r="S88" i="13"/>
  <c r="H89" i="18"/>
  <c r="H90" i="18"/>
  <c r="G206" i="18"/>
  <c r="J206" i="18"/>
  <c r="D206" i="18"/>
  <c r="G205" i="18"/>
  <c r="J205" i="18"/>
  <c r="D205" i="18"/>
  <c r="G199" i="18"/>
  <c r="J199" i="18"/>
  <c r="D199" i="18"/>
  <c r="J198" i="18"/>
  <c r="G198" i="18"/>
  <c r="D198" i="18"/>
  <c r="S162" i="18"/>
  <c r="Q47" i="13" l="1"/>
  <c r="Q48" i="13" s="1"/>
  <c r="R46" i="13"/>
  <c r="T88" i="13"/>
  <c r="S89" i="13"/>
  <c r="S90" i="13" s="1"/>
  <c r="Q131" i="13"/>
  <c r="Q132" i="13" s="1"/>
  <c r="R130" i="13"/>
  <c r="G200" i="18"/>
  <c r="G201" i="18" s="1"/>
  <c r="D207" i="18"/>
  <c r="Y118" i="18" s="1"/>
  <c r="J200" i="18"/>
  <c r="J201" i="18" s="1"/>
  <c r="Y117" i="18"/>
  <c r="S46" i="13" l="1"/>
  <c r="R47" i="13"/>
  <c r="R48" i="13" s="1"/>
  <c r="U88" i="13"/>
  <c r="T89" i="13"/>
  <c r="T90" i="13" s="1"/>
  <c r="S130" i="13"/>
  <c r="R131" i="13"/>
  <c r="R132" i="13" s="1"/>
  <c r="AR112" i="18"/>
  <c r="AR114" i="18" s="1"/>
  <c r="I117" i="18"/>
  <c r="O119" i="18"/>
  <c r="L119" i="18"/>
  <c r="S47" i="13" l="1"/>
  <c r="S48" i="13" s="1"/>
  <c r="T46" i="13"/>
  <c r="U89" i="13"/>
  <c r="U90" i="13" s="1"/>
  <c r="V88" i="13"/>
  <c r="S131" i="13"/>
  <c r="S132" i="13" s="1"/>
  <c r="T130" i="13"/>
  <c r="I4" i="18"/>
  <c r="N4" i="18" s="1"/>
  <c r="S4" i="18" s="1"/>
  <c r="T4" i="18" s="1"/>
  <c r="U4" i="18" s="1"/>
  <c r="L117" i="18"/>
  <c r="T123" i="18" s="1"/>
  <c r="O117" i="18"/>
  <c r="T47" i="13" l="1"/>
  <c r="T48" i="13" s="1"/>
  <c r="U46" i="13"/>
  <c r="U130" i="13"/>
  <c r="T131" i="13"/>
  <c r="T132" i="13" s="1"/>
  <c r="W88" i="13"/>
  <c r="V89" i="13"/>
  <c r="V90" i="13" s="1"/>
  <c r="V76" i="18"/>
  <c r="U47" i="13" l="1"/>
  <c r="U48" i="13" s="1"/>
  <c r="V46" i="13"/>
  <c r="W89" i="13"/>
  <c r="W90" i="13" s="1"/>
  <c r="X88" i="13"/>
  <c r="U131" i="13"/>
  <c r="U132" i="13" s="1"/>
  <c r="V130" i="13"/>
  <c r="AV105" i="18"/>
  <c r="AR105" i="18"/>
  <c r="AN105" i="18"/>
  <c r="AJ105" i="18"/>
  <c r="AF105" i="18"/>
  <c r="W46" i="13" l="1"/>
  <c r="V47" i="13"/>
  <c r="V48" i="13" s="1"/>
  <c r="Y88" i="13"/>
  <c r="X89" i="13"/>
  <c r="X90" i="13" s="1"/>
  <c r="W130" i="13"/>
  <c r="V131" i="13"/>
  <c r="V132" i="13" s="1"/>
  <c r="AB105" i="18"/>
  <c r="AB106" i="18" s="1"/>
  <c r="AE117" i="18"/>
  <c r="AB117" i="18"/>
  <c r="AH114" i="18"/>
  <c r="AZ105" i="18" l="1"/>
  <c r="W47" i="13"/>
  <c r="W48" i="13" s="1"/>
  <c r="X46" i="13"/>
  <c r="Y89" i="13"/>
  <c r="Y90" i="13" s="1"/>
  <c r="Z88" i="13"/>
  <c r="W131" i="13"/>
  <c r="W132" i="13" s="1"/>
  <c r="X130" i="13"/>
  <c r="AR121" i="18"/>
  <c r="AR118" i="18"/>
  <c r="AH117" i="18"/>
  <c r="AY118" i="18" s="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F12" i="21"/>
  <c r="G12" i="21"/>
  <c r="H12" i="21"/>
  <c r="I12" i="21"/>
  <c r="J12" i="21"/>
  <c r="K12" i="21"/>
  <c r="L12" i="21"/>
  <c r="M12" i="21"/>
  <c r="N12" i="21"/>
  <c r="O12" i="21"/>
  <c r="P12" i="21"/>
  <c r="Q12" i="21"/>
  <c r="R12" i="21"/>
  <c r="E12"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X47" i="13" l="1"/>
  <c r="X48" i="13" s="1"/>
  <c r="Y46" i="13"/>
  <c r="Y130" i="13"/>
  <c r="X131" i="13"/>
  <c r="X132" i="13" s="1"/>
  <c r="Z89" i="13"/>
  <c r="Z90" i="13" s="1"/>
  <c r="AA88" i="13"/>
  <c r="AQ249" i="21"/>
  <c r="AP249" i="21"/>
  <c r="AO249" i="21"/>
  <c r="AN249" i="21"/>
  <c r="AM249" i="21"/>
  <c r="AL249" i="21"/>
  <c r="AK249" i="21"/>
  <c r="AJ249" i="21"/>
  <c r="AI249" i="21"/>
  <c r="AH249" i="21"/>
  <c r="AG249" i="21"/>
  <c r="AF249" i="21"/>
  <c r="AE249" i="21"/>
  <c r="AD249" i="21"/>
  <c r="AC249" i="21"/>
  <c r="AB249" i="21"/>
  <c r="AA249" i="21"/>
  <c r="Z249" i="21"/>
  <c r="Y249" i="21"/>
  <c r="X249" i="21"/>
  <c r="W249" i="21"/>
  <c r="V249" i="21"/>
  <c r="U249" i="21"/>
  <c r="T249" i="21"/>
  <c r="S249" i="21"/>
  <c r="R249" i="21"/>
  <c r="Q249" i="21"/>
  <c r="P249" i="21"/>
  <c r="O249" i="21"/>
  <c r="N249" i="21"/>
  <c r="M249" i="21"/>
  <c r="L249" i="21"/>
  <c r="K249" i="21"/>
  <c r="J249" i="21"/>
  <c r="I249" i="21"/>
  <c r="H249" i="21"/>
  <c r="G249" i="21"/>
  <c r="F249" i="21"/>
  <c r="E249" i="21"/>
  <c r="AQ207" i="21"/>
  <c r="AP207" i="21"/>
  <c r="AO207" i="21"/>
  <c r="AN207" i="21"/>
  <c r="AM207" i="21"/>
  <c r="AL207" i="21"/>
  <c r="AK207" i="21"/>
  <c r="AJ207" i="21"/>
  <c r="AI207" i="21"/>
  <c r="AH207" i="21"/>
  <c r="AG207" i="21"/>
  <c r="AF207" i="21"/>
  <c r="AE207" i="21"/>
  <c r="AD207" i="21"/>
  <c r="AC207" i="21"/>
  <c r="AB207" i="21"/>
  <c r="AA207" i="21"/>
  <c r="Z207" i="21"/>
  <c r="Y207" i="21"/>
  <c r="X207" i="21"/>
  <c r="W207" i="21"/>
  <c r="V207" i="21"/>
  <c r="U207" i="21"/>
  <c r="T207" i="21"/>
  <c r="S207" i="21"/>
  <c r="R207" i="21"/>
  <c r="Q207" i="21"/>
  <c r="P207" i="21"/>
  <c r="O207" i="21"/>
  <c r="N207" i="21"/>
  <c r="M207" i="21"/>
  <c r="L207" i="21"/>
  <c r="K207" i="21"/>
  <c r="J207" i="21"/>
  <c r="I207" i="21"/>
  <c r="H207" i="21"/>
  <c r="G207" i="21"/>
  <c r="F207" i="21"/>
  <c r="E207"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Y47" i="13" l="1"/>
  <c r="Y48" i="13" s="1"/>
  <c r="Z46" i="13"/>
  <c r="AB88" i="13"/>
  <c r="AA89" i="13"/>
  <c r="AA90" i="13" s="1"/>
  <c r="Y131" i="13"/>
  <c r="Y132" i="13" s="1"/>
  <c r="Z130" i="13"/>
  <c r="AA46" i="13" l="1"/>
  <c r="Z47" i="13"/>
  <c r="Z48" i="13" s="1"/>
  <c r="AC88" i="13"/>
  <c r="AB89" i="13"/>
  <c r="AB90" i="13" s="1"/>
  <c r="AA130" i="13"/>
  <c r="Z131" i="13"/>
  <c r="Z132" i="13" s="1"/>
  <c r="D236" i="21"/>
  <c r="E236" i="21" s="1"/>
  <c r="AQ235" i="21"/>
  <c r="AP235" i="21"/>
  <c r="AO235" i="21"/>
  <c r="AN235" i="21"/>
  <c r="AM235" i="21"/>
  <c r="AL235" i="21"/>
  <c r="AK235" i="21"/>
  <c r="AJ235" i="21"/>
  <c r="AI235" i="21"/>
  <c r="AH235" i="21"/>
  <c r="AG235" i="21"/>
  <c r="AF235" i="21"/>
  <c r="AE235" i="21"/>
  <c r="AD235" i="21"/>
  <c r="AC235" i="21"/>
  <c r="AB235" i="21"/>
  <c r="AA235" i="21"/>
  <c r="Z235" i="21"/>
  <c r="Y235" i="21"/>
  <c r="X235" i="21"/>
  <c r="W235" i="21"/>
  <c r="V235" i="21"/>
  <c r="U235" i="21"/>
  <c r="T235" i="21"/>
  <c r="S235" i="21"/>
  <c r="R235" i="21"/>
  <c r="Q235" i="21"/>
  <c r="P235" i="21"/>
  <c r="O235" i="21"/>
  <c r="N235" i="21"/>
  <c r="M235" i="21"/>
  <c r="L235" i="21"/>
  <c r="K235" i="21"/>
  <c r="J235" i="21"/>
  <c r="I235" i="21"/>
  <c r="H235" i="21"/>
  <c r="G235" i="21"/>
  <c r="F235" i="21"/>
  <c r="E235" i="21"/>
  <c r="D194"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52"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10" i="21"/>
  <c r="E110" i="21" s="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68"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AA47" i="13" l="1"/>
  <c r="AA48" i="13" s="1"/>
  <c r="AB46" i="13"/>
  <c r="AA131" i="13"/>
  <c r="AA132" i="13" s="1"/>
  <c r="AB130" i="13"/>
  <c r="AC89" i="13"/>
  <c r="AC90" i="13" s="1"/>
  <c r="AD88" i="13"/>
  <c r="E194" i="21"/>
  <c r="E152" i="21"/>
  <c r="F110" i="21"/>
  <c r="E68" i="21"/>
  <c r="AB47" i="13" l="1"/>
  <c r="AB48" i="13" s="1"/>
  <c r="AC46" i="13"/>
  <c r="AE88" i="13"/>
  <c r="AD89" i="13"/>
  <c r="AD90" i="13" s="1"/>
  <c r="AC130" i="13"/>
  <c r="AB131" i="13"/>
  <c r="AB132" i="13" s="1"/>
  <c r="F236" i="21"/>
  <c r="F194" i="21"/>
  <c r="F152" i="21"/>
  <c r="G110" i="21"/>
  <c r="F68" i="21"/>
  <c r="AC47" i="13" l="1"/>
  <c r="AC48" i="13" s="1"/>
  <c r="AD46" i="13"/>
  <c r="AE89" i="13"/>
  <c r="AE90" i="13" s="1"/>
  <c r="AF88" i="13"/>
  <c r="AC131" i="13"/>
  <c r="AC132" i="13" s="1"/>
  <c r="AD130" i="13"/>
  <c r="G236" i="21"/>
  <c r="G194" i="21"/>
  <c r="G152" i="21"/>
  <c r="H110" i="21"/>
  <c r="G68" i="21"/>
  <c r="AE46" i="13" l="1"/>
  <c r="AD47" i="13"/>
  <c r="AD48" i="13" s="1"/>
  <c r="AE130" i="13"/>
  <c r="AD131" i="13"/>
  <c r="AD132" i="13" s="1"/>
  <c r="AG88" i="13"/>
  <c r="AF89" i="13"/>
  <c r="AF90" i="13" s="1"/>
  <c r="H236" i="21"/>
  <c r="H194" i="21"/>
  <c r="H152" i="21"/>
  <c r="I110" i="21"/>
  <c r="H68" i="21"/>
  <c r="AE47" i="13" l="1"/>
  <c r="AE48" i="13" s="1"/>
  <c r="AF46" i="13"/>
  <c r="AG89" i="13"/>
  <c r="AG90" i="13" s="1"/>
  <c r="AH88" i="13"/>
  <c r="AE131" i="13"/>
  <c r="AE132" i="13" s="1"/>
  <c r="AF130" i="13"/>
  <c r="I236" i="21"/>
  <c r="I194" i="21"/>
  <c r="I152" i="21"/>
  <c r="J110" i="21"/>
  <c r="I68" i="21"/>
  <c r="AF47" i="13" l="1"/>
  <c r="AF48" i="13" s="1"/>
  <c r="AG46" i="13"/>
  <c r="AG130" i="13"/>
  <c r="AF131" i="13"/>
  <c r="AF132" i="13" s="1"/>
  <c r="AH89" i="13"/>
  <c r="AH90" i="13" s="1"/>
  <c r="AI88" i="13"/>
  <c r="J236" i="21"/>
  <c r="J194" i="21"/>
  <c r="J152" i="21"/>
  <c r="K110" i="21"/>
  <c r="J68" i="21"/>
  <c r="AG47" i="13" l="1"/>
  <c r="AG48" i="13" s="1"/>
  <c r="AH46" i="13"/>
  <c r="AG131" i="13"/>
  <c r="AG132" i="13" s="1"/>
  <c r="AH130" i="13"/>
  <c r="AJ88" i="13"/>
  <c r="AI89" i="13"/>
  <c r="AI90" i="13" s="1"/>
  <c r="K236" i="21"/>
  <c r="K194" i="21"/>
  <c r="K152" i="21"/>
  <c r="L110" i="21"/>
  <c r="K68" i="21"/>
  <c r="AI46" i="13" l="1"/>
  <c r="AH47" i="13"/>
  <c r="AH48" i="13" s="1"/>
  <c r="AK88" i="13"/>
  <c r="AJ89" i="13"/>
  <c r="AJ90" i="13" s="1"/>
  <c r="AI130" i="13"/>
  <c r="AH131" i="13"/>
  <c r="AH132" i="13" s="1"/>
  <c r="L236" i="21"/>
  <c r="L194" i="21"/>
  <c r="L152" i="21"/>
  <c r="M110" i="21"/>
  <c r="L68" i="21"/>
  <c r="AI47" i="13" l="1"/>
  <c r="AI48" i="13" s="1"/>
  <c r="AJ46" i="13"/>
  <c r="AI131" i="13"/>
  <c r="AI132" i="13" s="1"/>
  <c r="AJ130" i="13"/>
  <c r="AK89" i="13"/>
  <c r="AK90" i="13" s="1"/>
  <c r="AL88" i="13"/>
  <c r="M236" i="21"/>
  <c r="M194" i="21"/>
  <c r="M152" i="21"/>
  <c r="N110" i="21"/>
  <c r="M68" i="21"/>
  <c r="AJ47" i="13" l="1"/>
  <c r="AJ48" i="13" s="1"/>
  <c r="AK46" i="13"/>
  <c r="AM88" i="13"/>
  <c r="AL89" i="13"/>
  <c r="AL90" i="13" s="1"/>
  <c r="AK130" i="13"/>
  <c r="AJ131" i="13"/>
  <c r="AJ132" i="13" s="1"/>
  <c r="N236" i="21"/>
  <c r="N194" i="21"/>
  <c r="N152" i="21"/>
  <c r="O110" i="21"/>
  <c r="N68" i="21"/>
  <c r="AK47" i="13" l="1"/>
  <c r="AK48" i="13" s="1"/>
  <c r="AL46" i="13"/>
  <c r="AM89" i="13"/>
  <c r="AM90" i="13" s="1"/>
  <c r="AN88" i="13"/>
  <c r="AK131" i="13"/>
  <c r="AK132" i="13" s="1"/>
  <c r="AL130" i="13"/>
  <c r="O236" i="21"/>
  <c r="O194" i="21"/>
  <c r="O152" i="21"/>
  <c r="P110" i="21"/>
  <c r="O68" i="21"/>
  <c r="AM46" i="13" l="1"/>
  <c r="AL47" i="13"/>
  <c r="AL48" i="13" s="1"/>
  <c r="AM130" i="13"/>
  <c r="AL131" i="13"/>
  <c r="AL132" i="13" s="1"/>
  <c r="AO88" i="13"/>
  <c r="AN89" i="13"/>
  <c r="AN90" i="13" s="1"/>
  <c r="P236" i="21"/>
  <c r="P194" i="21"/>
  <c r="P152" i="21"/>
  <c r="Q110" i="21"/>
  <c r="P68" i="21"/>
  <c r="AM47" i="13" l="1"/>
  <c r="AM48" i="13" s="1"/>
  <c r="AN46" i="13"/>
  <c r="AO89" i="13"/>
  <c r="AO90" i="13" s="1"/>
  <c r="AP88" i="13"/>
  <c r="AM131" i="13"/>
  <c r="AM132" i="13" s="1"/>
  <c r="AN130" i="13"/>
  <c r="Q236" i="21"/>
  <c r="Q194" i="21"/>
  <c r="Q152" i="21"/>
  <c r="R110" i="21"/>
  <c r="Q68" i="21"/>
  <c r="AN47" i="13" l="1"/>
  <c r="AN48" i="13" s="1"/>
  <c r="AO46" i="13"/>
  <c r="AP89" i="13"/>
  <c r="AP90" i="13" s="1"/>
  <c r="AQ88" i="13"/>
  <c r="AQ89" i="13" s="1"/>
  <c r="AQ90" i="13" s="1"/>
  <c r="AO130" i="13"/>
  <c r="AN131" i="13"/>
  <c r="AN132" i="13" s="1"/>
  <c r="R236" i="21"/>
  <c r="R194" i="21"/>
  <c r="R152" i="21"/>
  <c r="S110" i="21"/>
  <c r="R68" i="21"/>
  <c r="AO47" i="13" l="1"/>
  <c r="AO48" i="13" s="1"/>
  <c r="AP46" i="13"/>
  <c r="AO131" i="13"/>
  <c r="AO132" i="13" s="1"/>
  <c r="AP130" i="13"/>
  <c r="S236" i="21"/>
  <c r="S194" i="21"/>
  <c r="S152" i="21"/>
  <c r="T110" i="21"/>
  <c r="S68" i="21"/>
  <c r="AQ46" i="13" l="1"/>
  <c r="AQ47" i="13" s="1"/>
  <c r="AQ48" i="13" s="1"/>
  <c r="AP47" i="13"/>
  <c r="AP48" i="13" s="1"/>
  <c r="AQ130" i="13"/>
  <c r="AQ131" i="13" s="1"/>
  <c r="AQ132" i="13" s="1"/>
  <c r="AP131" i="13"/>
  <c r="AP132" i="13" s="1"/>
  <c r="T236" i="21"/>
  <c r="T194" i="21"/>
  <c r="T152" i="21"/>
  <c r="U110" i="21"/>
  <c r="T68" i="21"/>
  <c r="U236" i="21" l="1"/>
  <c r="U194" i="21"/>
  <c r="U152" i="21"/>
  <c r="V110" i="21"/>
  <c r="U68" i="21"/>
  <c r="V236" i="21" l="1"/>
  <c r="V194" i="21"/>
  <c r="V152" i="21"/>
  <c r="W110" i="21"/>
  <c r="V68" i="21"/>
  <c r="W236" i="21" l="1"/>
  <c r="W194" i="21"/>
  <c r="W152" i="21"/>
  <c r="X110" i="21"/>
  <c r="W68" i="21"/>
  <c r="X236" i="21" l="1"/>
  <c r="X194" i="21"/>
  <c r="X152" i="21"/>
  <c r="Y110" i="21"/>
  <c r="X68" i="21"/>
  <c r="Y236" i="21" l="1"/>
  <c r="Y194" i="21"/>
  <c r="Y152" i="21"/>
  <c r="Z110" i="21"/>
  <c r="Y68" i="21"/>
  <c r="Z236" i="21" l="1"/>
  <c r="Z194" i="21"/>
  <c r="Z152" i="21"/>
  <c r="AA110" i="21"/>
  <c r="Z68" i="21"/>
  <c r="AA236" i="21" l="1"/>
  <c r="AA194" i="21"/>
  <c r="AA152" i="21"/>
  <c r="AB110" i="21"/>
  <c r="AA68" i="21"/>
  <c r="AB236" i="21" l="1"/>
  <c r="AB194" i="21"/>
  <c r="AB152" i="21"/>
  <c r="AC110" i="21"/>
  <c r="AB68" i="21"/>
  <c r="AC236" i="21" l="1"/>
  <c r="AC194" i="21"/>
  <c r="AC152" i="21"/>
  <c r="AD110" i="21"/>
  <c r="AC68" i="21"/>
  <c r="AD236" i="21" l="1"/>
  <c r="AD194" i="21"/>
  <c r="AD152" i="21"/>
  <c r="AE110" i="21"/>
  <c r="AD68" i="21"/>
  <c r="AE236" i="21" l="1"/>
  <c r="AE194" i="21"/>
  <c r="AE152" i="21"/>
  <c r="AF110" i="21"/>
  <c r="AE68" i="21"/>
  <c r="AF236" i="21" l="1"/>
  <c r="AF194" i="21"/>
  <c r="AF152" i="21"/>
  <c r="AG110" i="21"/>
  <c r="AF68" i="21"/>
  <c r="AG236" i="21" l="1"/>
  <c r="AG194" i="21"/>
  <c r="AG152" i="21"/>
  <c r="AH110" i="21"/>
  <c r="AG68" i="21"/>
  <c r="AH236" i="21" l="1"/>
  <c r="AH194" i="21"/>
  <c r="AH152" i="21"/>
  <c r="AI110" i="21"/>
  <c r="AH68" i="21"/>
  <c r="AI236" i="21" l="1"/>
  <c r="AI194" i="21"/>
  <c r="AI152" i="21"/>
  <c r="AJ110" i="21"/>
  <c r="AI68" i="21"/>
  <c r="AJ236" i="21" l="1"/>
  <c r="AJ194" i="21"/>
  <c r="AJ152" i="21"/>
  <c r="AK110" i="21"/>
  <c r="AJ68" i="21"/>
  <c r="AK236" i="21" l="1"/>
  <c r="AK194" i="21"/>
  <c r="AK152" i="21"/>
  <c r="AL110" i="21"/>
  <c r="AK68" i="21"/>
  <c r="AL236" i="21" l="1"/>
  <c r="AL194" i="21"/>
  <c r="AL152" i="21"/>
  <c r="AM110" i="21"/>
  <c r="AL68" i="21"/>
  <c r="AM236" i="21" l="1"/>
  <c r="AM194" i="21"/>
  <c r="AM152" i="21"/>
  <c r="AN110" i="21"/>
  <c r="AM68" i="21"/>
  <c r="AN236" i="21" l="1"/>
  <c r="AN194" i="21"/>
  <c r="AN152" i="21"/>
  <c r="AO110" i="21"/>
  <c r="AN68" i="21"/>
  <c r="AO236" i="21" l="1"/>
  <c r="AO194" i="21"/>
  <c r="AO152" i="21"/>
  <c r="AP110" i="21"/>
  <c r="AO68" i="21"/>
  <c r="AP236" i="21" l="1"/>
  <c r="AP194" i="21"/>
  <c r="AP152" i="21"/>
  <c r="AQ110" i="21"/>
  <c r="AP68" i="21"/>
  <c r="AQ236" i="21" l="1"/>
  <c r="AQ194" i="21"/>
  <c r="AQ152" i="21"/>
  <c r="AQ68" i="21"/>
  <c r="I224" i="21" l="1"/>
  <c r="I182" i="21"/>
  <c r="I140" i="21"/>
  <c r="I98" i="21"/>
  <c r="I56" i="21"/>
  <c r="F14" i="21" l="1"/>
  <c r="G14" i="21"/>
  <c r="G33" i="21" s="1"/>
  <c r="H14" i="21"/>
  <c r="H33" i="21" s="1"/>
  <c r="I14" i="21"/>
  <c r="I33" i="21" s="1"/>
  <c r="J14" i="21"/>
  <c r="J33" i="21" s="1"/>
  <c r="K14" i="21"/>
  <c r="K33" i="21" s="1"/>
  <c r="L14" i="21"/>
  <c r="L33" i="21" s="1"/>
  <c r="M14" i="21"/>
  <c r="M33" i="21" s="1"/>
  <c r="N14" i="21"/>
  <c r="N33" i="21" s="1"/>
  <c r="O14" i="21"/>
  <c r="O33" i="21" s="1"/>
  <c r="P14" i="21"/>
  <c r="P33" i="21" s="1"/>
  <c r="Q14" i="21"/>
  <c r="Q33" i="21" s="1"/>
  <c r="R14" i="21"/>
  <c r="R33" i="21" s="1"/>
  <c r="S14" i="21"/>
  <c r="S33" i="21" s="1"/>
  <c r="T14" i="21"/>
  <c r="T33" i="21" s="1"/>
  <c r="U14" i="21"/>
  <c r="U33" i="21" s="1"/>
  <c r="V14" i="21"/>
  <c r="V33" i="21" s="1"/>
  <c r="W14" i="21"/>
  <c r="W33" i="21" s="1"/>
  <c r="X14" i="21"/>
  <c r="X33" i="21" s="1"/>
  <c r="Y14" i="21"/>
  <c r="Y33" i="21" s="1"/>
  <c r="Z14" i="21"/>
  <c r="Z33" i="21" s="1"/>
  <c r="AA14" i="21"/>
  <c r="AA33" i="21" s="1"/>
  <c r="AB14" i="21"/>
  <c r="AB33" i="21" s="1"/>
  <c r="AC14" i="21"/>
  <c r="AC33" i="21" s="1"/>
  <c r="AD14" i="21"/>
  <c r="AD33" i="21" s="1"/>
  <c r="AE14" i="21"/>
  <c r="AE33" i="21" s="1"/>
  <c r="AF14" i="21"/>
  <c r="AF33" i="21" s="1"/>
  <c r="AG14" i="21"/>
  <c r="AG33" i="21" s="1"/>
  <c r="AH14" i="21"/>
  <c r="AH33" i="21" s="1"/>
  <c r="AI14" i="21"/>
  <c r="AI33" i="21" s="1"/>
  <c r="AJ14" i="21"/>
  <c r="AJ33" i="21" s="1"/>
  <c r="AK14" i="21"/>
  <c r="AK33" i="21" s="1"/>
  <c r="AL14" i="21"/>
  <c r="AL33" i="21" s="1"/>
  <c r="AM14" i="21"/>
  <c r="AM33" i="21" s="1"/>
  <c r="AN14" i="21"/>
  <c r="AN33" i="21" s="1"/>
  <c r="AO14" i="21"/>
  <c r="AO33" i="21" s="1"/>
  <c r="AP14" i="21"/>
  <c r="AP33" i="21" s="1"/>
  <c r="AQ14" i="21"/>
  <c r="AQ33" i="21" s="1"/>
  <c r="E14" i="21"/>
  <c r="P30" i="21"/>
  <c r="Q30" i="21"/>
  <c r="S30" i="21"/>
  <c r="T30" i="21"/>
  <c r="V30" i="21"/>
  <c r="X30" i="21"/>
  <c r="Y30" i="21"/>
  <c r="Z30" i="21"/>
  <c r="AB30" i="21"/>
  <c r="AD30" i="21"/>
  <c r="AE30" i="21"/>
  <c r="AF30" i="21"/>
  <c r="AH30" i="21"/>
  <c r="AI30" i="21"/>
  <c r="AJ30" i="21"/>
  <c r="AK30" i="21"/>
  <c r="AL30" i="21"/>
  <c r="AM30" i="21"/>
  <c r="AN30" i="21"/>
  <c r="AO30" i="21"/>
  <c r="AP30" i="21"/>
  <c r="F30" i="21"/>
  <c r="G30" i="21"/>
  <c r="H30" i="21"/>
  <c r="J30" i="21"/>
  <c r="K30" i="21"/>
  <c r="L30" i="21"/>
  <c r="N30" i="21"/>
  <c r="O30" i="21"/>
  <c r="E30" i="21"/>
  <c r="F11" i="21"/>
  <c r="F19" i="21" s="1"/>
  <c r="G11" i="21"/>
  <c r="G19" i="21" s="1"/>
  <c r="H11" i="21"/>
  <c r="H19" i="21" s="1"/>
  <c r="I11" i="21"/>
  <c r="I19" i="21" s="1"/>
  <c r="J11" i="21"/>
  <c r="J19" i="21" s="1"/>
  <c r="K11" i="21"/>
  <c r="K19" i="21" s="1"/>
  <c r="L11" i="21"/>
  <c r="L19" i="21" s="1"/>
  <c r="M11" i="21"/>
  <c r="M19" i="21" s="1"/>
  <c r="N11" i="21"/>
  <c r="N19" i="21" s="1"/>
  <c r="O11" i="21"/>
  <c r="O19" i="21" s="1"/>
  <c r="P11" i="21"/>
  <c r="P19" i="21" s="1"/>
  <c r="Q11" i="21"/>
  <c r="Q19" i="21" s="1"/>
  <c r="R11" i="21"/>
  <c r="R19" i="21" s="1"/>
  <c r="S11" i="21"/>
  <c r="S19" i="21" s="1"/>
  <c r="T11" i="21"/>
  <c r="T19" i="21" s="1"/>
  <c r="U11" i="21"/>
  <c r="U19" i="21" s="1"/>
  <c r="V11" i="21"/>
  <c r="V19" i="21" s="1"/>
  <c r="W11" i="21"/>
  <c r="W19" i="21" s="1"/>
  <c r="X11" i="21"/>
  <c r="X19" i="21" s="1"/>
  <c r="Y11" i="21"/>
  <c r="Y19" i="21" s="1"/>
  <c r="Z11" i="21"/>
  <c r="Z19" i="21" s="1"/>
  <c r="AA11" i="21"/>
  <c r="AA19" i="21" s="1"/>
  <c r="AB11" i="21"/>
  <c r="AB19" i="21" s="1"/>
  <c r="AC11" i="21"/>
  <c r="AC19" i="21" s="1"/>
  <c r="AD11" i="21"/>
  <c r="AD19" i="21" s="1"/>
  <c r="AE11" i="21"/>
  <c r="AE19" i="21" s="1"/>
  <c r="AF11" i="21"/>
  <c r="AF19" i="21" s="1"/>
  <c r="AG11" i="21"/>
  <c r="AG19" i="21" s="1"/>
  <c r="AH11" i="21"/>
  <c r="AH19" i="21" s="1"/>
  <c r="AI11" i="21"/>
  <c r="AI19" i="21" s="1"/>
  <c r="AJ11" i="21"/>
  <c r="AJ19" i="21" s="1"/>
  <c r="AK11" i="21"/>
  <c r="AK19" i="21" s="1"/>
  <c r="AL11" i="21"/>
  <c r="AL19" i="21" s="1"/>
  <c r="AM11" i="21"/>
  <c r="AM19" i="21" s="1"/>
  <c r="AN11" i="21"/>
  <c r="AN19" i="21" s="1"/>
  <c r="AO11" i="21"/>
  <c r="AO19" i="21" s="1"/>
  <c r="AP11" i="21"/>
  <c r="AP19" i="21" s="1"/>
  <c r="AQ11" i="21"/>
  <c r="AQ19" i="21" s="1"/>
  <c r="E11" i="21"/>
  <c r="E19" i="21" s="1"/>
  <c r="F33" i="21" l="1"/>
  <c r="F35" i="21"/>
  <c r="AA30" i="21"/>
  <c r="W30" i="21"/>
  <c r="R30" i="21"/>
  <c r="AG30" i="21"/>
  <c r="M30" i="21"/>
  <c r="I30" i="21"/>
  <c r="AC30" i="21"/>
  <c r="U30" i="21"/>
  <c r="AQ30" i="21"/>
  <c r="D20" i="21" l="1"/>
  <c r="E20" i="21" s="1"/>
  <c r="F20" i="21" s="1"/>
  <c r="G20" i="21" s="1"/>
  <c r="H20" i="21" s="1"/>
  <c r="I20" i="21" s="1"/>
  <c r="J20" i="21" s="1"/>
  <c r="K20" i="21" s="1"/>
  <c r="L20" i="21" s="1"/>
  <c r="M20" i="21" s="1"/>
  <c r="N20" i="21" s="1"/>
  <c r="O20" i="21" s="1"/>
  <c r="P20" i="21" s="1"/>
  <c r="Q20" i="21" s="1"/>
  <c r="R20" i="21" s="1"/>
  <c r="S20" i="21" s="1"/>
  <c r="T20" i="21" s="1"/>
  <c r="U20" i="21" s="1"/>
  <c r="V20" i="21" s="1"/>
  <c r="W20" i="21" s="1"/>
  <c r="X20" i="21" s="1"/>
  <c r="Y20" i="21" s="1"/>
  <c r="Z20" i="21" s="1"/>
  <c r="AA20" i="21" s="1"/>
  <c r="AB20" i="21" s="1"/>
  <c r="AC20" i="21" s="1"/>
  <c r="AD20" i="21" s="1"/>
  <c r="AE20" i="21" s="1"/>
  <c r="AF20" i="21" s="1"/>
  <c r="AG20" i="21" s="1"/>
  <c r="AH20" i="21" s="1"/>
  <c r="AI20" i="21" s="1"/>
  <c r="AJ20" i="21" s="1"/>
  <c r="AK20" i="21" s="1"/>
  <c r="AL20" i="21" s="1"/>
  <c r="AM20" i="21" s="1"/>
  <c r="AN20" i="21" s="1"/>
  <c r="AO20" i="21" s="1"/>
  <c r="AP20" i="21" s="1"/>
  <c r="AQ20" i="21" s="1"/>
  <c r="G5" i="21"/>
  <c r="I8" i="21"/>
  <c r="F5" i="21"/>
  <c r="E5" i="21"/>
  <c r="J5" i="21" l="1"/>
  <c r="D28" i="21"/>
  <c r="D21" i="21"/>
  <c r="D22" i="21" s="1"/>
  <c r="E21" i="21"/>
  <c r="AQ253" i="21" l="1"/>
  <c r="AQ254" i="21" s="1"/>
  <c r="AQ231" i="21" s="1"/>
  <c r="AP253" i="21"/>
  <c r="AP254" i="21" s="1"/>
  <c r="AP231" i="21" s="1"/>
  <c r="AO253" i="21"/>
  <c r="AO254" i="21" s="1"/>
  <c r="AO231" i="21" s="1"/>
  <c r="AN253" i="21"/>
  <c r="AN254" i="21" s="1"/>
  <c r="AN231" i="21" s="1"/>
  <c r="AM253" i="21"/>
  <c r="AM254" i="21" s="1"/>
  <c r="AM231" i="21" s="1"/>
  <c r="AL253" i="21"/>
  <c r="AL254" i="21" s="1"/>
  <c r="AL231" i="21" s="1"/>
  <c r="AK253" i="21"/>
  <c r="AK254" i="21" s="1"/>
  <c r="AK231" i="21" s="1"/>
  <c r="AJ253" i="21"/>
  <c r="AJ254" i="21" s="1"/>
  <c r="AJ231" i="21" s="1"/>
  <c r="AI253" i="21"/>
  <c r="AI254" i="21" s="1"/>
  <c r="AI231" i="21" s="1"/>
  <c r="AH253" i="21"/>
  <c r="AH254" i="21" s="1"/>
  <c r="AH231" i="21" s="1"/>
  <c r="AG253" i="21"/>
  <c r="AG254" i="21" s="1"/>
  <c r="AG231" i="21" s="1"/>
  <c r="AF253" i="21"/>
  <c r="AF254" i="21" s="1"/>
  <c r="AF231" i="21" s="1"/>
  <c r="AQ246" i="21"/>
  <c r="AP246" i="21"/>
  <c r="AP248" i="21" s="1"/>
  <c r="AP250" i="21" s="1"/>
  <c r="AP252" i="21" s="1"/>
  <c r="AO246" i="21"/>
  <c r="AO247" i="21" s="1"/>
  <c r="AN246" i="21"/>
  <c r="AN248" i="21" s="1"/>
  <c r="AN250" i="21" s="1"/>
  <c r="AN252" i="21" s="1"/>
  <c r="AM246" i="21"/>
  <c r="AL246" i="21"/>
  <c r="AL248" i="21" s="1"/>
  <c r="AL250" i="21" s="1"/>
  <c r="AL252" i="21" s="1"/>
  <c r="AK246" i="21"/>
  <c r="AK247" i="21" s="1"/>
  <c r="AJ246" i="21"/>
  <c r="AJ248" i="21" s="1"/>
  <c r="AJ250" i="21" s="1"/>
  <c r="AJ252" i="21" s="1"/>
  <c r="AI246" i="21"/>
  <c r="AH246" i="21"/>
  <c r="AH248" i="21" s="1"/>
  <c r="AH250" i="21" s="1"/>
  <c r="AH252" i="21" s="1"/>
  <c r="AG246" i="21"/>
  <c r="AG247" i="21" s="1"/>
  <c r="AF246" i="21"/>
  <c r="AF248" i="21" s="1"/>
  <c r="AF250" i="21" s="1"/>
  <c r="AF252" i="21" s="1"/>
  <c r="AE246" i="21"/>
  <c r="AD246" i="21"/>
  <c r="AC246" i="21"/>
  <c r="AC247" i="21" s="1"/>
  <c r="AB246" i="21"/>
  <c r="AA246" i="21"/>
  <c r="Z246" i="21"/>
  <c r="Y246" i="21"/>
  <c r="Y247" i="21" s="1"/>
  <c r="X246" i="21"/>
  <c r="W246" i="21"/>
  <c r="V246" i="21"/>
  <c r="U246" i="21"/>
  <c r="U247" i="21" s="1"/>
  <c r="T246" i="21"/>
  <c r="S246" i="21"/>
  <c r="R246" i="21"/>
  <c r="Q246" i="21"/>
  <c r="Q247" i="21" s="1"/>
  <c r="P246" i="21"/>
  <c r="O246" i="21"/>
  <c r="N246" i="21"/>
  <c r="M246" i="21"/>
  <c r="M247" i="21" s="1"/>
  <c r="L246" i="21"/>
  <c r="K246" i="21"/>
  <c r="J246" i="21"/>
  <c r="I246" i="21"/>
  <c r="I247" i="21" s="1"/>
  <c r="H246" i="21"/>
  <c r="G246" i="21"/>
  <c r="F246" i="21"/>
  <c r="E246" i="21"/>
  <c r="E247" i="21" s="1"/>
  <c r="U242" i="21" a="1"/>
  <c r="U242" i="21" s="1"/>
  <c r="T242" i="21" a="1"/>
  <c r="T242" i="21" s="1"/>
  <c r="S242" i="21" a="1"/>
  <c r="S242" i="21" s="1"/>
  <c r="R242" i="21" a="1"/>
  <c r="R242" i="21" s="1"/>
  <c r="Q242" i="21" a="1"/>
  <c r="Q242" i="21" s="1"/>
  <c r="P242" i="21" a="1"/>
  <c r="P242" i="21" s="1"/>
  <c r="O242" i="21" a="1"/>
  <c r="O242" i="21" s="1"/>
  <c r="N242" i="21" a="1"/>
  <c r="N242" i="21" s="1"/>
  <c r="M242" i="21" a="1"/>
  <c r="M242" i="21" s="1"/>
  <c r="L242" i="21" a="1"/>
  <c r="L242" i="21" s="1"/>
  <c r="K242" i="21" a="1"/>
  <c r="K242" i="21" s="1"/>
  <c r="J242" i="21" a="1"/>
  <c r="J242" i="21" s="1"/>
  <c r="I242" i="21" a="1"/>
  <c r="I242" i="21" s="1"/>
  <c r="H242" i="21" a="1"/>
  <c r="H242" i="21" s="1"/>
  <c r="G242" i="21" a="1"/>
  <c r="G242" i="21" s="1"/>
  <c r="F242" i="21" a="1"/>
  <c r="F242" i="21" s="1"/>
  <c r="E242" i="21" a="1"/>
  <c r="E242" i="21" s="1"/>
  <c r="D242" i="21" a="1"/>
  <c r="D242" i="21" s="1"/>
  <c r="C242" i="21" a="1"/>
  <c r="C242" i="21" s="1"/>
  <c r="B242" i="21" a="1"/>
  <c r="B242" i="21" s="1"/>
  <c r="A242" i="21" a="1"/>
  <c r="A242" i="21" s="1"/>
  <c r="U241" i="21" a="1"/>
  <c r="U241" i="21" s="1"/>
  <c r="T241" i="21" a="1"/>
  <c r="T241" i="21" s="1"/>
  <c r="S241" i="21" a="1"/>
  <c r="S241" i="21" s="1"/>
  <c r="R241" i="21" a="1"/>
  <c r="R241" i="21" s="1"/>
  <c r="Q241" i="21" a="1"/>
  <c r="Q241" i="21" s="1"/>
  <c r="P241" i="21" a="1"/>
  <c r="P241" i="21" s="1"/>
  <c r="O241" i="21" a="1"/>
  <c r="O241" i="21" s="1"/>
  <c r="N241" i="21" a="1"/>
  <c r="N241" i="21" s="1"/>
  <c r="M241" i="21" a="1"/>
  <c r="M241" i="21" s="1"/>
  <c r="L241" i="21" a="1"/>
  <c r="L241" i="21" s="1"/>
  <c r="K241" i="21" a="1"/>
  <c r="K241" i="21" s="1"/>
  <c r="J241" i="21" a="1"/>
  <c r="J241" i="21" s="1"/>
  <c r="I241" i="21" a="1"/>
  <c r="I241" i="21" s="1"/>
  <c r="H241" i="21" a="1"/>
  <c r="H241" i="21" s="1"/>
  <c r="G241" i="21" a="1"/>
  <c r="G241" i="21" s="1"/>
  <c r="F241" i="21" a="1"/>
  <c r="F241" i="21" s="1"/>
  <c r="E241" i="21" a="1"/>
  <c r="E241" i="21" s="1"/>
  <c r="D241" i="21" a="1"/>
  <c r="D241" i="21" s="1"/>
  <c r="C241" i="21" a="1"/>
  <c r="C241" i="21" s="1"/>
  <c r="B241" i="21" a="1"/>
  <c r="B241" i="21" s="1"/>
  <c r="J224" i="21"/>
  <c r="J223" i="21"/>
  <c r="J222" i="21"/>
  <c r="H221" i="21"/>
  <c r="G221" i="21"/>
  <c r="F221" i="21"/>
  <c r="E221" i="21"/>
  <c r="D221" i="21"/>
  <c r="AQ211" i="21"/>
  <c r="AQ212" i="21" s="1"/>
  <c r="AQ189" i="21" s="1"/>
  <c r="AP211" i="21"/>
  <c r="AP212" i="21" s="1"/>
  <c r="AP189" i="21" s="1"/>
  <c r="AO211" i="21"/>
  <c r="AO212" i="21" s="1"/>
  <c r="AO189" i="21" s="1"/>
  <c r="AN211" i="21"/>
  <c r="AN212" i="21" s="1"/>
  <c r="AN189" i="21" s="1"/>
  <c r="AM211" i="21"/>
  <c r="AM212" i="21" s="1"/>
  <c r="AM189" i="21" s="1"/>
  <c r="AL211" i="21"/>
  <c r="AL212" i="21" s="1"/>
  <c r="AL189" i="21" s="1"/>
  <c r="AK211" i="21"/>
  <c r="AK212" i="21" s="1"/>
  <c r="AK189" i="21" s="1"/>
  <c r="AJ211" i="21"/>
  <c r="AJ212" i="21" s="1"/>
  <c r="AJ189" i="21" s="1"/>
  <c r="AI211" i="21"/>
  <c r="AI212" i="21" s="1"/>
  <c r="AI189" i="21" s="1"/>
  <c r="AH211" i="21"/>
  <c r="AH212" i="21" s="1"/>
  <c r="AH189" i="21" s="1"/>
  <c r="AG211" i="21"/>
  <c r="AG212" i="21" s="1"/>
  <c r="AG189" i="21" s="1"/>
  <c r="AF211" i="21"/>
  <c r="AF212" i="21" s="1"/>
  <c r="AF189" i="21" s="1"/>
  <c r="AQ204" i="21"/>
  <c r="AQ205" i="21" s="1"/>
  <c r="AP204" i="21"/>
  <c r="AP205" i="21" s="1"/>
  <c r="AO204" i="21"/>
  <c r="AO206" i="21" s="1"/>
  <c r="AO208" i="21" s="1"/>
  <c r="AO210" i="21" s="1"/>
  <c r="AN204" i="21"/>
  <c r="AN205" i="21" s="1"/>
  <c r="AM204" i="21"/>
  <c r="AM206" i="21" s="1"/>
  <c r="AM208" i="21" s="1"/>
  <c r="AM210" i="21" s="1"/>
  <c r="AL204" i="21"/>
  <c r="AL206" i="21" s="1"/>
  <c r="AL208" i="21" s="1"/>
  <c r="AL210" i="21" s="1"/>
  <c r="AK204" i="21"/>
  <c r="AK206" i="21" s="1"/>
  <c r="AK208" i="21" s="1"/>
  <c r="AK210" i="21" s="1"/>
  <c r="AJ204" i="21"/>
  <c r="AJ205" i="21" s="1"/>
  <c r="AI204" i="21"/>
  <c r="AI205" i="21" s="1"/>
  <c r="AH204" i="21"/>
  <c r="AH205" i="21" s="1"/>
  <c r="AG204" i="21"/>
  <c r="AG206" i="21" s="1"/>
  <c r="AG208" i="21" s="1"/>
  <c r="AG210" i="21" s="1"/>
  <c r="AF204" i="21"/>
  <c r="AF205" i="21" s="1"/>
  <c r="AE204" i="21"/>
  <c r="AD204" i="21"/>
  <c r="AC204" i="21"/>
  <c r="AB204" i="21"/>
  <c r="AB205" i="21" s="1"/>
  <c r="AA204" i="21"/>
  <c r="AA205" i="21" s="1"/>
  <c r="Z204" i="21"/>
  <c r="Z205" i="21" s="1"/>
  <c r="Y204" i="21"/>
  <c r="X204" i="21"/>
  <c r="X205" i="21" s="1"/>
  <c r="W204" i="21"/>
  <c r="V204" i="21"/>
  <c r="U204" i="21"/>
  <c r="T204" i="21"/>
  <c r="T205" i="21" s="1"/>
  <c r="S204" i="21"/>
  <c r="R204" i="21"/>
  <c r="R205" i="21" s="1"/>
  <c r="Q204" i="21"/>
  <c r="P204" i="21"/>
  <c r="P205" i="21" s="1"/>
  <c r="O204" i="21"/>
  <c r="N204" i="21"/>
  <c r="M204" i="21"/>
  <c r="L204" i="21"/>
  <c r="L205" i="21" s="1"/>
  <c r="K204" i="21"/>
  <c r="J204" i="21"/>
  <c r="J205" i="21" s="1"/>
  <c r="I204" i="21"/>
  <c r="H204" i="21"/>
  <c r="H205" i="21" s="1"/>
  <c r="G204" i="21"/>
  <c r="F204" i="21"/>
  <c r="E204" i="21"/>
  <c r="U200" i="21" a="1"/>
  <c r="U200" i="21" s="1"/>
  <c r="T200" i="21" a="1"/>
  <c r="T200" i="21" s="1"/>
  <c r="S200" i="21" a="1"/>
  <c r="S200" i="21" s="1"/>
  <c r="R200" i="21" a="1"/>
  <c r="R200" i="21" s="1"/>
  <c r="Q200" i="21" a="1"/>
  <c r="Q200" i="21" s="1"/>
  <c r="P200" i="21" a="1"/>
  <c r="P200" i="21" s="1"/>
  <c r="O200" i="21" a="1"/>
  <c r="O200" i="21" s="1"/>
  <c r="N200" i="21" a="1"/>
  <c r="N200" i="21" s="1"/>
  <c r="M200" i="21" a="1"/>
  <c r="M200" i="21" s="1"/>
  <c r="L200" i="21" a="1"/>
  <c r="L200" i="21" s="1"/>
  <c r="K200" i="21" a="1"/>
  <c r="K200" i="21" s="1"/>
  <c r="J200" i="21" a="1"/>
  <c r="J200" i="21" s="1"/>
  <c r="I200" i="21" a="1"/>
  <c r="I200" i="21" s="1"/>
  <c r="H200" i="21" a="1"/>
  <c r="H200" i="21" s="1"/>
  <c r="G200" i="21" a="1"/>
  <c r="G200" i="21" s="1"/>
  <c r="F200" i="21" a="1"/>
  <c r="F200" i="21" s="1"/>
  <c r="E200" i="21" a="1"/>
  <c r="E200" i="21" s="1"/>
  <c r="D200" i="21" a="1"/>
  <c r="D200" i="21" s="1"/>
  <c r="C200" i="21" a="1"/>
  <c r="C200" i="21" s="1"/>
  <c r="B200" i="21" a="1"/>
  <c r="B200" i="21" s="1"/>
  <c r="A200" i="21" a="1"/>
  <c r="A200" i="21" s="1"/>
  <c r="U199" i="21" a="1"/>
  <c r="U199" i="21" s="1"/>
  <c r="T199" i="21" a="1"/>
  <c r="T199" i="21" s="1"/>
  <c r="S199" i="21" a="1"/>
  <c r="S199" i="21" s="1"/>
  <c r="R199" i="21" a="1"/>
  <c r="R199" i="21" s="1"/>
  <c r="Q199" i="21" a="1"/>
  <c r="Q199" i="21" s="1"/>
  <c r="P199" i="21" a="1"/>
  <c r="P199" i="21" s="1"/>
  <c r="O199" i="21" a="1"/>
  <c r="O199" i="21" s="1"/>
  <c r="N199" i="21" a="1"/>
  <c r="N199" i="21" s="1"/>
  <c r="M199" i="21" a="1"/>
  <c r="M199" i="21" s="1"/>
  <c r="L199" i="21" a="1"/>
  <c r="L199" i="21" s="1"/>
  <c r="K199" i="21" a="1"/>
  <c r="K199" i="21" s="1"/>
  <c r="J199" i="21" a="1"/>
  <c r="J199" i="21" s="1"/>
  <c r="I199" i="21" a="1"/>
  <c r="I199" i="21" s="1"/>
  <c r="H199" i="21" a="1"/>
  <c r="H199" i="21" s="1"/>
  <c r="G199" i="21" a="1"/>
  <c r="G199" i="21" s="1"/>
  <c r="F199" i="21" a="1"/>
  <c r="F199" i="21" s="1"/>
  <c r="E199" i="21" a="1"/>
  <c r="E199" i="21" s="1"/>
  <c r="D199" i="21" a="1"/>
  <c r="D199" i="21" s="1"/>
  <c r="C199" i="21" a="1"/>
  <c r="C199" i="21" s="1"/>
  <c r="B199" i="21" a="1"/>
  <c r="B199" i="21" s="1"/>
  <c r="E211" i="21" s="1"/>
  <c r="E212" i="21" s="1"/>
  <c r="E189" i="21" s="1"/>
  <c r="J182" i="21"/>
  <c r="J181" i="21"/>
  <c r="J180" i="21"/>
  <c r="H179" i="21"/>
  <c r="G179" i="21"/>
  <c r="F179" i="21"/>
  <c r="E179" i="21"/>
  <c r="D179" i="21"/>
  <c r="AQ169" i="21"/>
  <c r="AQ170" i="21" s="1"/>
  <c r="AQ147" i="21" s="1"/>
  <c r="AP169" i="21"/>
  <c r="AP170" i="21" s="1"/>
  <c r="AP147" i="21" s="1"/>
  <c r="AO169" i="21"/>
  <c r="AO170" i="21" s="1"/>
  <c r="AO147" i="21" s="1"/>
  <c r="AN169" i="21"/>
  <c r="AN170" i="21" s="1"/>
  <c r="AN147" i="21" s="1"/>
  <c r="AM169" i="21"/>
  <c r="AM170" i="21" s="1"/>
  <c r="AM147" i="21" s="1"/>
  <c r="AL169" i="21"/>
  <c r="AL170" i="21" s="1"/>
  <c r="AL147" i="21" s="1"/>
  <c r="AK169" i="21"/>
  <c r="AK170" i="21" s="1"/>
  <c r="AK147" i="21" s="1"/>
  <c r="AJ169" i="21"/>
  <c r="AJ170" i="21" s="1"/>
  <c r="AJ147" i="21" s="1"/>
  <c r="AI169" i="21"/>
  <c r="AI170" i="21" s="1"/>
  <c r="AI147" i="21" s="1"/>
  <c r="AH169" i="21"/>
  <c r="AH170" i="21" s="1"/>
  <c r="AH147" i="21" s="1"/>
  <c r="AG169" i="21"/>
  <c r="AG170" i="21" s="1"/>
  <c r="AG147" i="21" s="1"/>
  <c r="AF169" i="21"/>
  <c r="AF170" i="21" s="1"/>
  <c r="AF147" i="21" s="1"/>
  <c r="AQ162" i="21"/>
  <c r="AQ163" i="21" s="1"/>
  <c r="AP162" i="21"/>
  <c r="AP164" i="21" s="1"/>
  <c r="AP166" i="21" s="1"/>
  <c r="AP168" i="21" s="1"/>
  <c r="AO162" i="21"/>
  <c r="AN162" i="21"/>
  <c r="AN163" i="21" s="1"/>
  <c r="AM162" i="21"/>
  <c r="AM164" i="21" s="1"/>
  <c r="AM166" i="21" s="1"/>
  <c r="AM168" i="21" s="1"/>
  <c r="AL162" i="21"/>
  <c r="AL164" i="21" s="1"/>
  <c r="AL166" i="21" s="1"/>
  <c r="AL168" i="21" s="1"/>
  <c r="AK162" i="21"/>
  <c r="AJ162" i="21"/>
  <c r="AJ163" i="21" s="1"/>
  <c r="AI162" i="21"/>
  <c r="AI164" i="21" s="1"/>
  <c r="AI166" i="21" s="1"/>
  <c r="AI168" i="21" s="1"/>
  <c r="AH162" i="21"/>
  <c r="AH164" i="21" s="1"/>
  <c r="AH166" i="21" s="1"/>
  <c r="AH168" i="21" s="1"/>
  <c r="AG162" i="21"/>
  <c r="AF162" i="21"/>
  <c r="AF163" i="21" s="1"/>
  <c r="AE162" i="21"/>
  <c r="AD162" i="21"/>
  <c r="AC162" i="21"/>
  <c r="AB162" i="21"/>
  <c r="AB163" i="21" s="1"/>
  <c r="AA162" i="21"/>
  <c r="AA163" i="21" s="1"/>
  <c r="Z162" i="21"/>
  <c r="Y162" i="21"/>
  <c r="X162" i="21"/>
  <c r="X163" i="21" s="1"/>
  <c r="W162" i="21"/>
  <c r="W163" i="21" s="1"/>
  <c r="V162" i="21"/>
  <c r="U162" i="21"/>
  <c r="T162" i="21"/>
  <c r="T163" i="21" s="1"/>
  <c r="S162" i="21"/>
  <c r="R162" i="21"/>
  <c r="Q162" i="21"/>
  <c r="P162" i="21"/>
  <c r="P163" i="21" s="1"/>
  <c r="O162" i="21"/>
  <c r="O163" i="21" s="1"/>
  <c r="N162" i="21"/>
  <c r="M162" i="21"/>
  <c r="L162" i="21"/>
  <c r="L163" i="21" s="1"/>
  <c r="K162" i="21"/>
  <c r="K163" i="21" s="1"/>
  <c r="J162" i="21"/>
  <c r="I162" i="21"/>
  <c r="H162" i="21"/>
  <c r="H163" i="21" s="1"/>
  <c r="G162" i="21"/>
  <c r="F162" i="21"/>
  <c r="E162" i="21"/>
  <c r="U158" i="21" a="1"/>
  <c r="U158" i="21" s="1"/>
  <c r="T158" i="21" a="1"/>
  <c r="T158" i="21" s="1"/>
  <c r="S158" i="21" a="1"/>
  <c r="S158" i="21" s="1"/>
  <c r="R158" i="21" a="1"/>
  <c r="R158" i="21" s="1"/>
  <c r="Q158" i="21" a="1"/>
  <c r="Q158" i="21" s="1"/>
  <c r="P158" i="21" a="1"/>
  <c r="P158" i="21" s="1"/>
  <c r="O158" i="21" a="1"/>
  <c r="O158" i="21" s="1"/>
  <c r="N158" i="21" a="1"/>
  <c r="N158" i="21" s="1"/>
  <c r="M158" i="21" a="1"/>
  <c r="M158" i="21" s="1"/>
  <c r="L158" i="21" a="1"/>
  <c r="L158" i="21" s="1"/>
  <c r="K158" i="21" a="1"/>
  <c r="K158" i="21" s="1"/>
  <c r="J158" i="21" a="1"/>
  <c r="J158" i="21" s="1"/>
  <c r="I158" i="21" a="1"/>
  <c r="I158" i="21" s="1"/>
  <c r="H158" i="21" a="1"/>
  <c r="H158" i="21" s="1"/>
  <c r="G158" i="21" a="1"/>
  <c r="G158" i="21" s="1"/>
  <c r="F158" i="21" a="1"/>
  <c r="F158" i="21" s="1"/>
  <c r="E158" i="21" a="1"/>
  <c r="E158" i="21" s="1"/>
  <c r="D158" i="21" a="1"/>
  <c r="D158" i="21" s="1"/>
  <c r="C158" i="21" a="1"/>
  <c r="C158" i="21" s="1"/>
  <c r="B158" i="21" a="1"/>
  <c r="B158" i="21" s="1"/>
  <c r="A158" i="21" a="1"/>
  <c r="A158" i="21" s="1"/>
  <c r="U157" i="21" a="1"/>
  <c r="U157" i="21" s="1"/>
  <c r="T157" i="21" a="1"/>
  <c r="T157" i="21" s="1"/>
  <c r="S157" i="21" a="1"/>
  <c r="S157" i="21" s="1"/>
  <c r="R157" i="21" a="1"/>
  <c r="R157" i="21" s="1"/>
  <c r="Q157" i="21" a="1"/>
  <c r="Q157" i="21" s="1"/>
  <c r="P157" i="21" a="1"/>
  <c r="P157" i="21" s="1"/>
  <c r="O157" i="21" a="1"/>
  <c r="O157" i="21" s="1"/>
  <c r="N157" i="21" a="1"/>
  <c r="N157" i="21" s="1"/>
  <c r="M157" i="21" a="1"/>
  <c r="M157" i="21" s="1"/>
  <c r="L157" i="21" a="1"/>
  <c r="L157" i="21" s="1"/>
  <c r="K157" i="21" a="1"/>
  <c r="K157" i="21" s="1"/>
  <c r="J157" i="21" a="1"/>
  <c r="J157" i="21" s="1"/>
  <c r="I157" i="21" a="1"/>
  <c r="I157" i="21" s="1"/>
  <c r="H157" i="21" a="1"/>
  <c r="H157" i="21" s="1"/>
  <c r="G157" i="21" a="1"/>
  <c r="G157" i="21" s="1"/>
  <c r="F157" i="21" a="1"/>
  <c r="F157" i="21" s="1"/>
  <c r="E157" i="21" a="1"/>
  <c r="E157" i="21" s="1"/>
  <c r="D157" i="21" a="1"/>
  <c r="D157" i="21" s="1"/>
  <c r="C157" i="21" a="1"/>
  <c r="C157" i="21" s="1"/>
  <c r="B157" i="21" a="1"/>
  <c r="B157" i="21" s="1"/>
  <c r="J140" i="21"/>
  <c r="J139" i="21"/>
  <c r="J138" i="21"/>
  <c r="H137" i="21"/>
  <c r="G137" i="21"/>
  <c r="F137" i="21"/>
  <c r="E137" i="21"/>
  <c r="D137" i="21"/>
  <c r="AQ127" i="21"/>
  <c r="AQ128" i="21" s="1"/>
  <c r="AQ105" i="21" s="1"/>
  <c r="AP127" i="21"/>
  <c r="AP128" i="21" s="1"/>
  <c r="AP105" i="21" s="1"/>
  <c r="AO127" i="21"/>
  <c r="AO128" i="21" s="1"/>
  <c r="AO105" i="21" s="1"/>
  <c r="AN127" i="21"/>
  <c r="AN128" i="21" s="1"/>
  <c r="AN105" i="21" s="1"/>
  <c r="AM127" i="21"/>
  <c r="AM128" i="21" s="1"/>
  <c r="AM105" i="21" s="1"/>
  <c r="AL127" i="21"/>
  <c r="AL128" i="21" s="1"/>
  <c r="AL105" i="21" s="1"/>
  <c r="AK127" i="21"/>
  <c r="AK128" i="21" s="1"/>
  <c r="AK105" i="21" s="1"/>
  <c r="AJ127" i="21"/>
  <c r="AJ128" i="21" s="1"/>
  <c r="AJ105" i="21" s="1"/>
  <c r="AI127" i="21"/>
  <c r="AI128" i="21" s="1"/>
  <c r="AI105" i="21" s="1"/>
  <c r="AQ120" i="21"/>
  <c r="AQ122" i="21" s="1"/>
  <c r="AQ124" i="21" s="1"/>
  <c r="AQ126" i="21" s="1"/>
  <c r="AP120" i="21"/>
  <c r="AP122" i="21" s="1"/>
  <c r="AP124" i="21" s="1"/>
  <c r="AP126" i="21" s="1"/>
  <c r="AO120" i="21"/>
  <c r="AO121" i="21" s="1"/>
  <c r="AN120" i="21"/>
  <c r="AN121" i="21" s="1"/>
  <c r="AM120" i="21"/>
  <c r="AM122" i="21" s="1"/>
  <c r="AM124" i="21" s="1"/>
  <c r="AM126" i="21" s="1"/>
  <c r="AL120" i="21"/>
  <c r="AL122" i="21" s="1"/>
  <c r="AL124" i="21" s="1"/>
  <c r="AL126" i="21" s="1"/>
  <c r="AK120" i="21"/>
  <c r="AK121" i="21" s="1"/>
  <c r="AJ120" i="21"/>
  <c r="AJ122" i="21" s="1"/>
  <c r="AJ124" i="21" s="1"/>
  <c r="AJ126" i="21" s="1"/>
  <c r="AI120" i="21"/>
  <c r="AI122" i="21" s="1"/>
  <c r="AI124" i="21" s="1"/>
  <c r="AI126" i="21" s="1"/>
  <c r="AH120" i="21"/>
  <c r="AG120" i="21"/>
  <c r="AG121" i="21" s="1"/>
  <c r="AF120" i="21"/>
  <c r="AF121" i="21" s="1"/>
  <c r="AE120" i="21"/>
  <c r="AE121" i="21" s="1"/>
  <c r="AD120" i="21"/>
  <c r="AC120" i="21"/>
  <c r="AC121" i="21" s="1"/>
  <c r="AB120" i="21"/>
  <c r="AA120" i="21"/>
  <c r="Z120" i="21"/>
  <c r="Y120" i="21"/>
  <c r="Y121" i="21" s="1"/>
  <c r="X120" i="21"/>
  <c r="W120" i="21"/>
  <c r="W121" i="21" s="1"/>
  <c r="V120" i="21"/>
  <c r="U120" i="21"/>
  <c r="U121" i="21" s="1"/>
  <c r="T120" i="21"/>
  <c r="T121" i="21" s="1"/>
  <c r="S120" i="21"/>
  <c r="R120" i="21"/>
  <c r="Q120" i="21"/>
  <c r="Q121" i="21" s="1"/>
  <c r="P120" i="21"/>
  <c r="O120" i="21"/>
  <c r="O121" i="21" s="1"/>
  <c r="N120" i="21"/>
  <c r="M120" i="21"/>
  <c r="M121" i="21" s="1"/>
  <c r="L120" i="21"/>
  <c r="L121" i="21" s="1"/>
  <c r="K120" i="21"/>
  <c r="K121" i="21" s="1"/>
  <c r="J120" i="21"/>
  <c r="I120" i="21"/>
  <c r="I121" i="21" s="1"/>
  <c r="H120" i="21"/>
  <c r="G120" i="21"/>
  <c r="F120" i="21"/>
  <c r="E120" i="21"/>
  <c r="E121" i="21" s="1"/>
  <c r="U116" i="21" a="1"/>
  <c r="U116" i="21" s="1"/>
  <c r="T116" i="21" a="1"/>
  <c r="T116" i="21" s="1"/>
  <c r="S116" i="21" a="1"/>
  <c r="S116" i="21" s="1"/>
  <c r="R116" i="21" a="1"/>
  <c r="R116" i="21" s="1"/>
  <c r="Q116" i="21" a="1"/>
  <c r="Q116" i="21" s="1"/>
  <c r="P116" i="21" a="1"/>
  <c r="P116" i="21" s="1"/>
  <c r="O116" i="21" a="1"/>
  <c r="O116" i="21" s="1"/>
  <c r="N116" i="21" a="1"/>
  <c r="N116" i="21" s="1"/>
  <c r="M116" i="21" a="1"/>
  <c r="M116" i="21" s="1"/>
  <c r="L116" i="21" a="1"/>
  <c r="L116" i="21" s="1"/>
  <c r="K116" i="21" a="1"/>
  <c r="K116" i="21" s="1"/>
  <c r="J116" i="21" a="1"/>
  <c r="J116" i="21" s="1"/>
  <c r="I116" i="21" a="1"/>
  <c r="I116" i="21" s="1"/>
  <c r="H116" i="21" a="1"/>
  <c r="H116" i="21" s="1"/>
  <c r="G116" i="21" a="1"/>
  <c r="G116" i="21" s="1"/>
  <c r="F116" i="21" a="1"/>
  <c r="F116" i="21" s="1"/>
  <c r="E116" i="21" a="1"/>
  <c r="E116" i="21" s="1"/>
  <c r="D116" i="21" a="1"/>
  <c r="D116" i="21" s="1"/>
  <c r="C116" i="21" a="1"/>
  <c r="C116" i="21" s="1"/>
  <c r="B116" i="21" a="1"/>
  <c r="B116" i="21" s="1"/>
  <c r="A116" i="21" a="1"/>
  <c r="A116" i="21" s="1"/>
  <c r="U115" i="21" a="1"/>
  <c r="U115" i="21" s="1"/>
  <c r="T115" i="21" a="1"/>
  <c r="T115" i="21" s="1"/>
  <c r="S115" i="21" a="1"/>
  <c r="S115" i="21" s="1"/>
  <c r="R115" i="21" a="1"/>
  <c r="R115" i="21" s="1"/>
  <c r="Q115" i="21" a="1"/>
  <c r="Q115" i="21" s="1"/>
  <c r="P115" i="21" a="1"/>
  <c r="P115" i="21" s="1"/>
  <c r="O115" i="21" a="1"/>
  <c r="O115" i="21" s="1"/>
  <c r="N115" i="21" a="1"/>
  <c r="N115" i="21" s="1"/>
  <c r="M115" i="21" a="1"/>
  <c r="M115" i="21" s="1"/>
  <c r="L115" i="21" a="1"/>
  <c r="L115" i="21" s="1"/>
  <c r="K115" i="21" a="1"/>
  <c r="K115" i="21" s="1"/>
  <c r="J115" i="21" a="1"/>
  <c r="J115" i="21" s="1"/>
  <c r="I115" i="21" a="1"/>
  <c r="I115" i="21" s="1"/>
  <c r="H115" i="21" a="1"/>
  <c r="H115" i="21" s="1"/>
  <c r="G115" i="21" a="1"/>
  <c r="G115" i="21" s="1"/>
  <c r="F115" i="21" a="1"/>
  <c r="F115" i="21" s="1"/>
  <c r="E115" i="21" a="1"/>
  <c r="E115" i="21" s="1"/>
  <c r="D115" i="21" a="1"/>
  <c r="D115" i="21" s="1"/>
  <c r="C115" i="21" a="1"/>
  <c r="C115" i="21" s="1"/>
  <c r="B115" i="21" a="1"/>
  <c r="B115" i="21" s="1"/>
  <c r="J98" i="21"/>
  <c r="J97" i="21"/>
  <c r="J96" i="21"/>
  <c r="H95" i="21"/>
  <c r="G95" i="21"/>
  <c r="F95" i="21"/>
  <c r="E95" i="21"/>
  <c r="D95" i="21"/>
  <c r="AQ85" i="21"/>
  <c r="AQ86" i="21" s="1"/>
  <c r="AQ63" i="21" s="1"/>
  <c r="AP85" i="21"/>
  <c r="AP86" i="21" s="1"/>
  <c r="AP63" i="21" s="1"/>
  <c r="AO85" i="21"/>
  <c r="AO86" i="21" s="1"/>
  <c r="AO63" i="21" s="1"/>
  <c r="AQ78" i="21"/>
  <c r="AQ79" i="21" s="1"/>
  <c r="AP78" i="21"/>
  <c r="AP79" i="21" s="1"/>
  <c r="AO78" i="21"/>
  <c r="AO79" i="21" s="1"/>
  <c r="AN78" i="21"/>
  <c r="AM78" i="21"/>
  <c r="AM79" i="21" s="1"/>
  <c r="AL78" i="21"/>
  <c r="AK78" i="21"/>
  <c r="AK79" i="21" s="1"/>
  <c r="AJ78" i="21"/>
  <c r="AI78" i="21"/>
  <c r="AI79" i="21" s="1"/>
  <c r="AH78" i="21"/>
  <c r="AH79" i="21" s="1"/>
  <c r="AG78" i="21"/>
  <c r="AG79" i="21" s="1"/>
  <c r="AF78" i="21"/>
  <c r="AE78" i="21"/>
  <c r="AE79" i="21" s="1"/>
  <c r="AD78" i="21"/>
  <c r="AC78" i="21"/>
  <c r="AC79" i="21" s="1"/>
  <c r="AB78" i="21"/>
  <c r="AA78" i="21"/>
  <c r="AA79" i="21" s="1"/>
  <c r="Z78" i="21"/>
  <c r="Z79" i="21" s="1"/>
  <c r="Y78" i="21"/>
  <c r="Y79" i="21" s="1"/>
  <c r="X78" i="21"/>
  <c r="W78" i="21"/>
  <c r="W79" i="21" s="1"/>
  <c r="V78" i="21"/>
  <c r="V79" i="21" s="1"/>
  <c r="U78" i="21"/>
  <c r="U79" i="21" s="1"/>
  <c r="T78" i="21"/>
  <c r="S78" i="21"/>
  <c r="S79" i="21" s="1"/>
  <c r="R78" i="21"/>
  <c r="R79" i="21" s="1"/>
  <c r="Q78" i="21"/>
  <c r="Q79" i="21" s="1"/>
  <c r="P78" i="21"/>
  <c r="O78" i="21"/>
  <c r="O79" i="21" s="1"/>
  <c r="N78" i="21"/>
  <c r="M78" i="21"/>
  <c r="M79" i="21" s="1"/>
  <c r="L78" i="21"/>
  <c r="K78" i="21"/>
  <c r="K79" i="21" s="1"/>
  <c r="J78" i="21"/>
  <c r="I78" i="21"/>
  <c r="I79" i="21" s="1"/>
  <c r="H78" i="21"/>
  <c r="G78" i="21"/>
  <c r="G79" i="21" s="1"/>
  <c r="F78" i="21"/>
  <c r="E78" i="21"/>
  <c r="E79" i="21" s="1"/>
  <c r="U74" i="21" a="1"/>
  <c r="U74" i="21" s="1"/>
  <c r="T74" i="21" a="1"/>
  <c r="T74" i="21" s="1"/>
  <c r="S74" i="21" a="1"/>
  <c r="S74" i="21" s="1"/>
  <c r="R74" i="21" a="1"/>
  <c r="R74" i="21" s="1"/>
  <c r="Q74" i="21" a="1"/>
  <c r="Q74" i="21" s="1"/>
  <c r="P74" i="21" a="1"/>
  <c r="P74" i="21" s="1"/>
  <c r="O74" i="21" a="1"/>
  <c r="O74" i="21" s="1"/>
  <c r="N74" i="21" a="1"/>
  <c r="N74" i="21" s="1"/>
  <c r="M74" i="21" a="1"/>
  <c r="M74" i="21" s="1"/>
  <c r="L74" i="21" a="1"/>
  <c r="L74" i="21" s="1"/>
  <c r="K74" i="21" a="1"/>
  <c r="K74" i="21" s="1"/>
  <c r="J74" i="21" a="1"/>
  <c r="J74" i="21" s="1"/>
  <c r="I74" i="21" a="1"/>
  <c r="I74" i="21" s="1"/>
  <c r="H74" i="21" a="1"/>
  <c r="H74" i="21" s="1"/>
  <c r="G74" i="21" a="1"/>
  <c r="G74" i="21" s="1"/>
  <c r="F74" i="21" a="1"/>
  <c r="F74" i="21" s="1"/>
  <c r="E74" i="21" a="1"/>
  <c r="E74" i="21" s="1"/>
  <c r="D74" i="21" a="1"/>
  <c r="D74" i="21" s="1"/>
  <c r="C74" i="21" a="1"/>
  <c r="C74" i="21" s="1"/>
  <c r="B74" i="21" a="1"/>
  <c r="B74" i="21" s="1"/>
  <c r="A74" i="21" a="1"/>
  <c r="A74" i="21" s="1"/>
  <c r="U73" i="21" a="1"/>
  <c r="U73" i="21" s="1"/>
  <c r="T73" i="21" a="1"/>
  <c r="T73" i="21" s="1"/>
  <c r="S73" i="21" a="1"/>
  <c r="S73" i="21" s="1"/>
  <c r="R73" i="21" a="1"/>
  <c r="R73" i="21" s="1"/>
  <c r="Q73" i="21" a="1"/>
  <c r="Q73" i="21" s="1"/>
  <c r="P73" i="21" a="1"/>
  <c r="P73" i="21" s="1"/>
  <c r="O73" i="21" a="1"/>
  <c r="O73" i="21" s="1"/>
  <c r="N73" i="21" a="1"/>
  <c r="N73" i="21" s="1"/>
  <c r="M73" i="21" a="1"/>
  <c r="M73" i="21" s="1"/>
  <c r="L73" i="21" a="1"/>
  <c r="L73" i="21" s="1"/>
  <c r="K73" i="21" a="1"/>
  <c r="K73" i="21" s="1"/>
  <c r="J73" i="21" a="1"/>
  <c r="J73" i="21" s="1"/>
  <c r="I73" i="21" a="1"/>
  <c r="I73" i="21" s="1"/>
  <c r="H73" i="21" a="1"/>
  <c r="H73" i="21" s="1"/>
  <c r="G73" i="21" a="1"/>
  <c r="G73" i="21" s="1"/>
  <c r="F73" i="21" a="1"/>
  <c r="F73" i="21" s="1"/>
  <c r="E73" i="21" a="1"/>
  <c r="E73" i="21" s="1"/>
  <c r="D73" i="21" a="1"/>
  <c r="D73" i="21" s="1"/>
  <c r="C73" i="21" a="1"/>
  <c r="C73" i="21" s="1"/>
  <c r="B73" i="21" a="1"/>
  <c r="B73" i="21" s="1"/>
  <c r="AN85" i="21" s="1"/>
  <c r="AN86" i="21" s="1"/>
  <c r="AN63" i="21" s="1"/>
  <c r="J56" i="21"/>
  <c r="J55" i="21"/>
  <c r="J54" i="21"/>
  <c r="H53" i="21"/>
  <c r="G53" i="21"/>
  <c r="F53" i="21"/>
  <c r="E53" i="21"/>
  <c r="D53" i="21"/>
  <c r="E45" i="21"/>
  <c r="F45" i="21" s="1"/>
  <c r="G45" i="21" s="1"/>
  <c r="H45" i="21" s="1"/>
  <c r="I45" i="21" s="1"/>
  <c r="J45" i="21" s="1"/>
  <c r="K45" i="21" s="1"/>
  <c r="L45" i="21" s="1"/>
  <c r="M45" i="21" s="1"/>
  <c r="N45" i="21" s="1"/>
  <c r="O45" i="21" s="1"/>
  <c r="P45" i="21" s="1"/>
  <c r="Q45" i="21" s="1"/>
  <c r="R45" i="21" s="1"/>
  <c r="S45" i="21" s="1"/>
  <c r="T45" i="21" s="1"/>
  <c r="U45" i="21" s="1"/>
  <c r="V45" i="21" s="1"/>
  <c r="W45" i="21" s="1"/>
  <c r="X45" i="21" s="1"/>
  <c r="Y45" i="21" s="1"/>
  <c r="Z45" i="21" s="1"/>
  <c r="AA45" i="21" s="1"/>
  <c r="AB45" i="21" s="1"/>
  <c r="AC45" i="21" s="1"/>
  <c r="AD45" i="21" s="1"/>
  <c r="AE45" i="21" s="1"/>
  <c r="AF45" i="21" s="1"/>
  <c r="AG45" i="21" s="1"/>
  <c r="AH45" i="21" s="1"/>
  <c r="AI45" i="21" s="1"/>
  <c r="AJ45" i="21" s="1"/>
  <c r="AK45" i="21" s="1"/>
  <c r="AL45" i="21" s="1"/>
  <c r="AM45" i="21" s="1"/>
  <c r="AN45" i="21" s="1"/>
  <c r="AO45" i="21" s="1"/>
  <c r="AP45" i="21" s="1"/>
  <c r="AQ45" i="21" s="1"/>
  <c r="F44" i="21"/>
  <c r="G44" i="21" s="1"/>
  <c r="H44" i="21" s="1"/>
  <c r="I44" i="21" s="1"/>
  <c r="J44" i="21" s="1"/>
  <c r="K44" i="21" s="1"/>
  <c r="L44" i="21" s="1"/>
  <c r="M44" i="21" s="1"/>
  <c r="N44" i="21" s="1"/>
  <c r="O44" i="21" s="1"/>
  <c r="P44" i="21" s="1"/>
  <c r="Q44" i="21" s="1"/>
  <c r="R44" i="21" s="1"/>
  <c r="S44" i="21" s="1"/>
  <c r="T44" i="21" s="1"/>
  <c r="U44" i="21" s="1"/>
  <c r="V44" i="21" s="1"/>
  <c r="W44" i="21" s="1"/>
  <c r="X44" i="21" s="1"/>
  <c r="Y44" i="21" s="1"/>
  <c r="Z44" i="21" s="1"/>
  <c r="AA44" i="21" s="1"/>
  <c r="AB44" i="21" s="1"/>
  <c r="AC44" i="21" s="1"/>
  <c r="AD44" i="21" s="1"/>
  <c r="AE44" i="21" s="1"/>
  <c r="AF44" i="21" s="1"/>
  <c r="AG44" i="21" s="1"/>
  <c r="AH44" i="21" s="1"/>
  <c r="AI44" i="21" s="1"/>
  <c r="AJ44" i="21" s="1"/>
  <c r="AK44" i="21" s="1"/>
  <c r="AL44" i="21" s="1"/>
  <c r="AM44" i="21" s="1"/>
  <c r="AN44" i="21" s="1"/>
  <c r="AO44" i="21" s="1"/>
  <c r="AP44" i="21" s="1"/>
  <c r="AQ44" i="21" s="1"/>
  <c r="E43" i="21"/>
  <c r="F43" i="21" s="1"/>
  <c r="G43" i="21" s="1"/>
  <c r="H43" i="21" s="1"/>
  <c r="I43" i="21" s="1"/>
  <c r="J43" i="21" s="1"/>
  <c r="K43" i="21" s="1"/>
  <c r="L43" i="21" s="1"/>
  <c r="M43" i="21" s="1"/>
  <c r="N43" i="21" s="1"/>
  <c r="O43" i="21" s="1"/>
  <c r="P43" i="21" s="1"/>
  <c r="Q43" i="21" s="1"/>
  <c r="R43" i="21" s="1"/>
  <c r="S43" i="21" s="1"/>
  <c r="T43" i="21" s="1"/>
  <c r="U43" i="21" s="1"/>
  <c r="V43" i="21" s="1"/>
  <c r="W43" i="21" s="1"/>
  <c r="X43" i="21" s="1"/>
  <c r="Y43" i="21" s="1"/>
  <c r="Z43" i="21" s="1"/>
  <c r="AA43" i="21" s="1"/>
  <c r="AB43" i="21" s="1"/>
  <c r="AC43" i="21" s="1"/>
  <c r="AD43" i="21" s="1"/>
  <c r="AE43" i="21" s="1"/>
  <c r="AF43" i="21" s="1"/>
  <c r="AG43" i="21" s="1"/>
  <c r="AH43" i="21" s="1"/>
  <c r="AI43" i="21" s="1"/>
  <c r="AJ43" i="21" s="1"/>
  <c r="AK43" i="21" s="1"/>
  <c r="AL43" i="21" s="1"/>
  <c r="AM43" i="21" s="1"/>
  <c r="AN43" i="21" s="1"/>
  <c r="AO43" i="21" s="1"/>
  <c r="AP43" i="21" s="1"/>
  <c r="AQ43" i="21" s="1"/>
  <c r="E42" i="21"/>
  <c r="F42" i="21" s="1"/>
  <c r="G42" i="21" s="1"/>
  <c r="H42" i="21" s="1"/>
  <c r="I42" i="21" s="1"/>
  <c r="J42" i="21" s="1"/>
  <c r="K42" i="21" s="1"/>
  <c r="L42" i="21" s="1"/>
  <c r="M42" i="21" s="1"/>
  <c r="N42" i="21" s="1"/>
  <c r="O42" i="21" s="1"/>
  <c r="P42" i="21" s="1"/>
  <c r="Q42" i="21" s="1"/>
  <c r="R42" i="21" s="1"/>
  <c r="S42" i="21" s="1"/>
  <c r="T42" i="21" s="1"/>
  <c r="U42" i="21" s="1"/>
  <c r="V42" i="21" s="1"/>
  <c r="W42" i="21" s="1"/>
  <c r="X42" i="21" s="1"/>
  <c r="Y42" i="21" s="1"/>
  <c r="Z42" i="21" s="1"/>
  <c r="AA42" i="21" s="1"/>
  <c r="AB42" i="21" s="1"/>
  <c r="AC42" i="21" s="1"/>
  <c r="AD42" i="21" s="1"/>
  <c r="AE42" i="21" s="1"/>
  <c r="AF42" i="21" s="1"/>
  <c r="AG42" i="21" s="1"/>
  <c r="AH42" i="21" s="1"/>
  <c r="AI42" i="21" s="1"/>
  <c r="AJ42" i="21" s="1"/>
  <c r="AK42" i="21" s="1"/>
  <c r="AL42" i="21" s="1"/>
  <c r="AM42" i="21" s="1"/>
  <c r="AN42" i="21" s="1"/>
  <c r="AO42" i="21" s="1"/>
  <c r="AP42" i="21" s="1"/>
  <c r="AQ42" i="21" s="1"/>
  <c r="AQ31" i="21"/>
  <c r="AO31" i="21"/>
  <c r="AM31" i="21"/>
  <c r="AK31" i="21"/>
  <c r="AJ31" i="21"/>
  <c r="AI31" i="21"/>
  <c r="AG31" i="21"/>
  <c r="AE31" i="21"/>
  <c r="AC31" i="21"/>
  <c r="AA31" i="21"/>
  <c r="Y31" i="21"/>
  <c r="W31" i="21"/>
  <c r="U31" i="21"/>
  <c r="T31" i="21"/>
  <c r="S31" i="21"/>
  <c r="Q31" i="21"/>
  <c r="O31" i="21"/>
  <c r="M31" i="21"/>
  <c r="K31" i="21"/>
  <c r="I31" i="21"/>
  <c r="G31" i="21"/>
  <c r="E31" i="21"/>
  <c r="U26" i="21" a="1"/>
  <c r="U26" i="21" s="1"/>
  <c r="T26" i="21" a="1"/>
  <c r="T26" i="21" s="1"/>
  <c r="S26" i="21" a="1"/>
  <c r="S26" i="21" s="1"/>
  <c r="R26" i="21" a="1"/>
  <c r="R26" i="21" s="1"/>
  <c r="Q26" i="21" a="1"/>
  <c r="Q26" i="21" s="1"/>
  <c r="P26" i="21" a="1"/>
  <c r="P26" i="21" s="1"/>
  <c r="O26" i="21" a="1"/>
  <c r="O26" i="21" s="1"/>
  <c r="N26" i="21" a="1"/>
  <c r="N26" i="21" s="1"/>
  <c r="M26" i="21" a="1"/>
  <c r="M26" i="21" s="1"/>
  <c r="L26" i="21" a="1"/>
  <c r="L26" i="21" s="1"/>
  <c r="K26" i="21" a="1"/>
  <c r="K26" i="21" s="1"/>
  <c r="J26" i="21" a="1"/>
  <c r="J26" i="21" s="1"/>
  <c r="I26" i="21" a="1"/>
  <c r="I26" i="21" s="1"/>
  <c r="H26" i="21" a="1"/>
  <c r="H26" i="21" s="1"/>
  <c r="G26" i="21" a="1"/>
  <c r="G26" i="21" s="1"/>
  <c r="F26" i="21" a="1"/>
  <c r="F26" i="21" s="1"/>
  <c r="E26" i="21" a="1"/>
  <c r="E26" i="21" s="1"/>
  <c r="D26" i="21" a="1"/>
  <c r="D26" i="21" s="1"/>
  <c r="C26" i="21" a="1"/>
  <c r="C26" i="21" s="1"/>
  <c r="B26" i="21" a="1"/>
  <c r="B26" i="21" s="1"/>
  <c r="A26" i="21" a="1"/>
  <c r="A26" i="21" s="1"/>
  <c r="U25" i="21" a="1"/>
  <c r="U25" i="21" s="1"/>
  <c r="T25" i="21" a="1"/>
  <c r="T25" i="21" s="1"/>
  <c r="S25" i="21" a="1"/>
  <c r="S25" i="21" s="1"/>
  <c r="R25" i="21" a="1"/>
  <c r="R25" i="21" s="1"/>
  <c r="Q25" i="21" a="1"/>
  <c r="Q25" i="21" s="1"/>
  <c r="P25" i="21" a="1"/>
  <c r="P25" i="21" s="1"/>
  <c r="O25" i="21" a="1"/>
  <c r="O25" i="21" s="1"/>
  <c r="N25" i="21" a="1"/>
  <c r="N25" i="21" s="1"/>
  <c r="M25" i="21" a="1"/>
  <c r="M25" i="21" s="1"/>
  <c r="L25" i="21" a="1"/>
  <c r="L25" i="21" s="1"/>
  <c r="K25" i="21" a="1"/>
  <c r="K25" i="21" s="1"/>
  <c r="J25" i="21" a="1"/>
  <c r="J25" i="21" s="1"/>
  <c r="I25" i="21" a="1"/>
  <c r="I25" i="21" s="1"/>
  <c r="H25" i="21" a="1"/>
  <c r="H25" i="21" s="1"/>
  <c r="G25" i="21" a="1"/>
  <c r="G25" i="21" s="1"/>
  <c r="F25" i="21" a="1"/>
  <c r="F25" i="21" s="1"/>
  <c r="E25" i="21" a="1"/>
  <c r="E25" i="21" s="1"/>
  <c r="D25" i="21" a="1"/>
  <c r="D25" i="21" s="1"/>
  <c r="C25" i="21" a="1"/>
  <c r="C25" i="21" s="1"/>
  <c r="B25" i="21" a="1"/>
  <c r="B25" i="21" s="1"/>
  <c r="J8" i="21"/>
  <c r="AG85" i="21" l="1"/>
  <c r="AG86" i="21" s="1"/>
  <c r="AG63" i="21" s="1"/>
  <c r="AK85" i="21"/>
  <c r="AK86" i="21" s="1"/>
  <c r="AK63" i="21" s="1"/>
  <c r="AH85" i="21"/>
  <c r="AH86" i="21" s="1"/>
  <c r="AH63" i="21" s="1"/>
  <c r="AL85" i="21"/>
  <c r="AL86" i="21" s="1"/>
  <c r="AL63" i="21" s="1"/>
  <c r="AI85" i="21"/>
  <c r="AI86" i="21" s="1"/>
  <c r="AI63" i="21" s="1"/>
  <c r="AM85" i="21"/>
  <c r="AM86" i="21" s="1"/>
  <c r="AM63" i="21" s="1"/>
  <c r="AF85" i="21"/>
  <c r="AF86" i="21" s="1"/>
  <c r="AF63" i="21" s="1"/>
  <c r="AJ85" i="21"/>
  <c r="AJ86" i="21" s="1"/>
  <c r="AJ63" i="21" s="1"/>
  <c r="E237" i="21"/>
  <c r="E238" i="21" s="1"/>
  <c r="Q122" i="21"/>
  <c r="Q124" i="21" s="1"/>
  <c r="Q126" i="21" s="1"/>
  <c r="AL205" i="21"/>
  <c r="W28" i="21"/>
  <c r="G28" i="21"/>
  <c r="J28" i="21"/>
  <c r="U28" i="21"/>
  <c r="L28" i="21"/>
  <c r="X28" i="21"/>
  <c r="N28" i="21"/>
  <c r="F28" i="21"/>
  <c r="P28" i="21"/>
  <c r="S28" i="21"/>
  <c r="V28" i="21"/>
  <c r="E28" i="21"/>
  <c r="Q28" i="21"/>
  <c r="O28" i="21"/>
  <c r="R28" i="21"/>
  <c r="H28" i="21"/>
  <c r="M28" i="21"/>
  <c r="T28" i="21"/>
  <c r="K28" i="21"/>
  <c r="I28" i="21"/>
  <c r="AI80" i="21"/>
  <c r="V244" i="21"/>
  <c r="R244" i="21"/>
  <c r="N244" i="21"/>
  <c r="J244" i="21"/>
  <c r="F244" i="21"/>
  <c r="U244" i="21"/>
  <c r="Q244" i="21"/>
  <c r="M244" i="21"/>
  <c r="I244" i="21"/>
  <c r="E244" i="21"/>
  <c r="X244" i="21"/>
  <c r="T244" i="21"/>
  <c r="P244" i="21"/>
  <c r="L244" i="21"/>
  <c r="H244" i="21"/>
  <c r="D244" i="21"/>
  <c r="J253" i="21" s="1"/>
  <c r="J254" i="21" s="1"/>
  <c r="J231" i="21" s="1"/>
  <c r="W244" i="21"/>
  <c r="S244" i="21"/>
  <c r="O244" i="21"/>
  <c r="K244" i="21"/>
  <c r="Z253" i="21" s="1"/>
  <c r="Z254" i="21" s="1"/>
  <c r="Z231" i="21" s="1"/>
  <c r="G244" i="21"/>
  <c r="W202" i="21"/>
  <c r="S202" i="21"/>
  <c r="O202" i="21"/>
  <c r="K202" i="21"/>
  <c r="G202" i="21"/>
  <c r="V202" i="21"/>
  <c r="R202" i="21"/>
  <c r="N202" i="21"/>
  <c r="J202" i="21"/>
  <c r="F202" i="21"/>
  <c r="U202" i="21"/>
  <c r="Q202" i="21"/>
  <c r="M202" i="21"/>
  <c r="I202" i="21"/>
  <c r="E202" i="21"/>
  <c r="X202" i="21"/>
  <c r="T202" i="21"/>
  <c r="P202" i="21"/>
  <c r="L202" i="21"/>
  <c r="H202" i="21"/>
  <c r="D202" i="21"/>
  <c r="X160" i="21"/>
  <c r="T160" i="21"/>
  <c r="P160" i="21"/>
  <c r="L160" i="21"/>
  <c r="AE169" i="21" s="1"/>
  <c r="AE170" i="21" s="1"/>
  <c r="AE147" i="21" s="1"/>
  <c r="H160" i="21"/>
  <c r="D160" i="21"/>
  <c r="I169" i="21" s="1"/>
  <c r="I170" i="21" s="1"/>
  <c r="I147" i="21" s="1"/>
  <c r="W160" i="21"/>
  <c r="S160" i="21"/>
  <c r="O160" i="21"/>
  <c r="K160" i="21"/>
  <c r="G160" i="21"/>
  <c r="W169" i="21" s="1"/>
  <c r="W170" i="21" s="1"/>
  <c r="W147" i="21" s="1"/>
  <c r="V160" i="21"/>
  <c r="R160" i="21"/>
  <c r="N160" i="21"/>
  <c r="J160" i="21"/>
  <c r="F160" i="21"/>
  <c r="S169" i="21" s="1"/>
  <c r="S170" i="21" s="1"/>
  <c r="S147" i="21" s="1"/>
  <c r="U160" i="21"/>
  <c r="Q160" i="21"/>
  <c r="M160" i="21"/>
  <c r="I160" i="21"/>
  <c r="AA169" i="21" s="1"/>
  <c r="AA170" i="21" s="1"/>
  <c r="E160" i="21"/>
  <c r="X118" i="21"/>
  <c r="T118" i="21"/>
  <c r="P118" i="21"/>
  <c r="L118" i="21"/>
  <c r="H118" i="21"/>
  <c r="K127" i="21" s="1"/>
  <c r="K128" i="21" s="1"/>
  <c r="K105" i="21" s="1"/>
  <c r="D118" i="21"/>
  <c r="E127" i="21" s="1"/>
  <c r="E128" i="21" s="1"/>
  <c r="E105" i="21" s="1"/>
  <c r="W118" i="21"/>
  <c r="S118" i="21"/>
  <c r="O118" i="21"/>
  <c r="K118" i="21"/>
  <c r="T127" i="21" s="1"/>
  <c r="T128" i="21" s="1"/>
  <c r="T105" i="21" s="1"/>
  <c r="G118" i="21"/>
  <c r="J127" i="21" s="1"/>
  <c r="J128" i="21" s="1"/>
  <c r="J105" i="21" s="1"/>
  <c r="V118" i="21"/>
  <c r="R118" i="21"/>
  <c r="N118" i="21"/>
  <c r="J118" i="21"/>
  <c r="P127" i="21" s="1"/>
  <c r="P128" i="21" s="1"/>
  <c r="P105" i="21" s="1"/>
  <c r="F118" i="21"/>
  <c r="I127" i="21" s="1"/>
  <c r="I128" i="21" s="1"/>
  <c r="I105" i="21" s="1"/>
  <c r="U118" i="21"/>
  <c r="Q118" i="21"/>
  <c r="M118" i="21"/>
  <c r="AG127" i="21" s="1"/>
  <c r="AG128" i="21" s="1"/>
  <c r="AG105" i="21" s="1"/>
  <c r="I118" i="21"/>
  <c r="N127" i="21" s="1"/>
  <c r="N128" i="21" s="1"/>
  <c r="N105" i="21" s="1"/>
  <c r="E118" i="21"/>
  <c r="H127" i="21" s="1"/>
  <c r="H128" i="21" s="1"/>
  <c r="H105" i="21" s="1"/>
  <c r="V76" i="21"/>
  <c r="R76" i="21"/>
  <c r="N76" i="21"/>
  <c r="J76" i="21"/>
  <c r="F76" i="21"/>
  <c r="U76" i="21"/>
  <c r="Q76" i="21"/>
  <c r="M76" i="21"/>
  <c r="I76" i="21"/>
  <c r="E76" i="21"/>
  <c r="AD85" i="21" s="1"/>
  <c r="AD86" i="21" s="1"/>
  <c r="AD63" i="21" s="1"/>
  <c r="X76" i="21"/>
  <c r="T76" i="21"/>
  <c r="P76" i="21"/>
  <c r="L76" i="21"/>
  <c r="H76" i="21"/>
  <c r="D76" i="21"/>
  <c r="W76" i="21"/>
  <c r="S76" i="21"/>
  <c r="O76" i="21"/>
  <c r="K76" i="21"/>
  <c r="G76" i="21"/>
  <c r="E111" i="21"/>
  <c r="E112" i="21" s="1"/>
  <c r="D111" i="21"/>
  <c r="D112" i="21" s="1"/>
  <c r="F111" i="21"/>
  <c r="F112" i="21" s="1"/>
  <c r="G111" i="21"/>
  <c r="G112" i="21" s="1"/>
  <c r="H111" i="21"/>
  <c r="H112" i="21" s="1"/>
  <c r="I111" i="21"/>
  <c r="I112" i="21" s="1"/>
  <c r="J111" i="21"/>
  <c r="J112" i="21" s="1"/>
  <c r="K111" i="21"/>
  <c r="K112" i="21" s="1"/>
  <c r="L111" i="21"/>
  <c r="L112" i="21" s="1"/>
  <c r="M111" i="21"/>
  <c r="M112" i="21" s="1"/>
  <c r="N111" i="21"/>
  <c r="N112" i="21" s="1"/>
  <c r="O111" i="21"/>
  <c r="O112" i="21" s="1"/>
  <c r="P111" i="21"/>
  <c r="P112" i="21" s="1"/>
  <c r="Q111" i="21"/>
  <c r="Q112" i="21" s="1"/>
  <c r="R111" i="21"/>
  <c r="R112" i="21" s="1"/>
  <c r="S111" i="21"/>
  <c r="S112" i="21" s="1"/>
  <c r="T111" i="21"/>
  <c r="T112" i="21" s="1"/>
  <c r="U111" i="21"/>
  <c r="U112" i="21" s="1"/>
  <c r="V111" i="21"/>
  <c r="V112" i="21" s="1"/>
  <c r="W111" i="21"/>
  <c r="W112" i="21" s="1"/>
  <c r="X111" i="21"/>
  <c r="X112" i="21" s="1"/>
  <c r="Y111" i="21"/>
  <c r="Y112" i="21" s="1"/>
  <c r="Z111" i="21"/>
  <c r="Z112" i="21" s="1"/>
  <c r="AA111" i="21"/>
  <c r="AA112" i="21" s="1"/>
  <c r="AB111" i="21"/>
  <c r="AB112" i="21" s="1"/>
  <c r="AC111" i="21"/>
  <c r="AC112" i="21" s="1"/>
  <c r="AD111" i="21"/>
  <c r="AD112" i="21" s="1"/>
  <c r="AE111" i="21"/>
  <c r="AE112" i="21" s="1"/>
  <c r="AF111" i="21"/>
  <c r="AF112" i="21" s="1"/>
  <c r="AG111" i="21"/>
  <c r="AG112" i="21" s="1"/>
  <c r="AH111" i="21"/>
  <c r="AH112" i="21" s="1"/>
  <c r="AI111" i="21"/>
  <c r="AI112" i="21" s="1"/>
  <c r="AJ111" i="21"/>
  <c r="AJ112" i="21" s="1"/>
  <c r="AK111" i="21"/>
  <c r="AK112" i="21" s="1"/>
  <c r="AL111" i="21"/>
  <c r="AL112" i="21" s="1"/>
  <c r="AM111" i="21"/>
  <c r="AM112" i="21" s="1"/>
  <c r="AN111" i="21"/>
  <c r="AN112" i="21" s="1"/>
  <c r="AO111" i="21"/>
  <c r="AO112" i="21" s="1"/>
  <c r="AP111" i="21"/>
  <c r="AP112" i="21" s="1"/>
  <c r="AQ111" i="21"/>
  <c r="AQ112" i="21" s="1"/>
  <c r="D237" i="21"/>
  <c r="D238" i="21" s="1"/>
  <c r="F237" i="21"/>
  <c r="F238" i="21" s="1"/>
  <c r="G237" i="21"/>
  <c r="G238" i="21" s="1"/>
  <c r="H237" i="21"/>
  <c r="H238" i="21" s="1"/>
  <c r="I237" i="21"/>
  <c r="I238" i="21" s="1"/>
  <c r="J237" i="21"/>
  <c r="J238" i="21" s="1"/>
  <c r="K237" i="21"/>
  <c r="K238" i="21" s="1"/>
  <c r="L237" i="21"/>
  <c r="L238" i="21" s="1"/>
  <c r="M237" i="21"/>
  <c r="M238" i="21" s="1"/>
  <c r="N237" i="21"/>
  <c r="N238" i="21" s="1"/>
  <c r="O237" i="21"/>
  <c r="O238" i="21" s="1"/>
  <c r="P237" i="21"/>
  <c r="P238" i="21" s="1"/>
  <c r="Q237" i="21"/>
  <c r="Q238" i="21" s="1"/>
  <c r="R237" i="21"/>
  <c r="R238" i="21" s="1"/>
  <c r="S237" i="21"/>
  <c r="S238" i="21" s="1"/>
  <c r="T237" i="21"/>
  <c r="T238" i="21" s="1"/>
  <c r="U237" i="21"/>
  <c r="U238" i="21" s="1"/>
  <c r="V237" i="21"/>
  <c r="V238" i="21" s="1"/>
  <c r="W237" i="21"/>
  <c r="W238" i="21" s="1"/>
  <c r="X237" i="21"/>
  <c r="X238" i="21" s="1"/>
  <c r="Y237" i="21"/>
  <c r="Y238" i="21" s="1"/>
  <c r="Z237" i="21"/>
  <c r="Z238" i="21" s="1"/>
  <c r="AA237" i="21"/>
  <c r="AA238" i="21" s="1"/>
  <c r="AB237" i="21"/>
  <c r="AB238" i="21" s="1"/>
  <c r="AC237" i="21"/>
  <c r="AC238" i="21" s="1"/>
  <c r="AD237" i="21"/>
  <c r="AD238" i="21" s="1"/>
  <c r="AE237" i="21"/>
  <c r="AE238" i="21" s="1"/>
  <c r="AF237" i="21"/>
  <c r="AF238" i="21" s="1"/>
  <c r="AG237" i="21"/>
  <c r="AG238" i="21" s="1"/>
  <c r="AH237" i="21"/>
  <c r="AH238" i="21" s="1"/>
  <c r="AI237" i="21"/>
  <c r="AI238" i="21" s="1"/>
  <c r="AJ237" i="21"/>
  <c r="AJ238" i="21" s="1"/>
  <c r="AK237" i="21"/>
  <c r="AK238" i="21" s="1"/>
  <c r="AL237" i="21"/>
  <c r="AL238" i="21" s="1"/>
  <c r="AM237" i="21"/>
  <c r="AM238" i="21" s="1"/>
  <c r="AN237" i="21"/>
  <c r="AN238" i="21" s="1"/>
  <c r="AO237" i="21"/>
  <c r="AO238" i="21" s="1"/>
  <c r="AP237" i="21"/>
  <c r="AP238" i="21" s="1"/>
  <c r="AQ237" i="21"/>
  <c r="AQ238" i="21" s="1"/>
  <c r="D69" i="21"/>
  <c r="D70" i="21" s="1"/>
  <c r="E69" i="21"/>
  <c r="E70" i="21" s="1"/>
  <c r="F69" i="21"/>
  <c r="F70" i="21" s="1"/>
  <c r="G69" i="21"/>
  <c r="G70" i="21" s="1"/>
  <c r="H69" i="21"/>
  <c r="H70" i="21" s="1"/>
  <c r="I69" i="21"/>
  <c r="I70" i="21" s="1"/>
  <c r="J69" i="21"/>
  <c r="J70" i="21" s="1"/>
  <c r="K69" i="21"/>
  <c r="K70" i="21" s="1"/>
  <c r="L69" i="21"/>
  <c r="L70" i="21" s="1"/>
  <c r="M69" i="21"/>
  <c r="M70" i="21" s="1"/>
  <c r="N69" i="21"/>
  <c r="N70" i="21" s="1"/>
  <c r="O69" i="21"/>
  <c r="O70" i="21" s="1"/>
  <c r="P69" i="21"/>
  <c r="P70" i="21" s="1"/>
  <c r="Q69" i="21"/>
  <c r="Q70" i="21" s="1"/>
  <c r="R69" i="21"/>
  <c r="R70" i="21" s="1"/>
  <c r="S69" i="21"/>
  <c r="S70" i="21" s="1"/>
  <c r="T69" i="21"/>
  <c r="T70" i="21" s="1"/>
  <c r="U69" i="21"/>
  <c r="U70" i="21" s="1"/>
  <c r="V69" i="21"/>
  <c r="V70" i="21" s="1"/>
  <c r="W69" i="21"/>
  <c r="W70" i="21" s="1"/>
  <c r="X69" i="21"/>
  <c r="X70" i="21" s="1"/>
  <c r="Y69" i="21"/>
  <c r="Y70" i="21" s="1"/>
  <c r="Z69" i="21"/>
  <c r="Z70" i="21" s="1"/>
  <c r="AA69" i="21"/>
  <c r="AA70" i="21" s="1"/>
  <c r="AB69" i="21"/>
  <c r="AB70" i="21" s="1"/>
  <c r="AC69" i="21"/>
  <c r="AC70" i="21" s="1"/>
  <c r="AD69" i="21"/>
  <c r="AD70" i="21" s="1"/>
  <c r="AE69" i="21"/>
  <c r="AE70" i="21" s="1"/>
  <c r="AF69" i="21"/>
  <c r="AF70" i="21" s="1"/>
  <c r="AG69" i="21"/>
  <c r="AG70" i="21" s="1"/>
  <c r="AH69" i="21"/>
  <c r="AH70" i="21" s="1"/>
  <c r="AI69" i="21"/>
  <c r="AI70" i="21" s="1"/>
  <c r="AJ69" i="21"/>
  <c r="AJ70" i="21" s="1"/>
  <c r="AK69" i="21"/>
  <c r="AK70" i="21" s="1"/>
  <c r="AL69" i="21"/>
  <c r="AL70" i="21" s="1"/>
  <c r="AM69" i="21"/>
  <c r="AM70" i="21" s="1"/>
  <c r="AN69" i="21"/>
  <c r="AN70" i="21" s="1"/>
  <c r="AO69" i="21"/>
  <c r="AO70" i="21" s="1"/>
  <c r="AP69" i="21"/>
  <c r="AP70" i="21" s="1"/>
  <c r="AQ69" i="21"/>
  <c r="AQ70" i="21" s="1"/>
  <c r="D153" i="21"/>
  <c r="D154" i="21" s="1"/>
  <c r="E153" i="21"/>
  <c r="E154" i="21" s="1"/>
  <c r="F153" i="21"/>
  <c r="F154" i="21" s="1"/>
  <c r="G153" i="21"/>
  <c r="G154" i="21" s="1"/>
  <c r="H153" i="21"/>
  <c r="H154" i="21" s="1"/>
  <c r="I153" i="21"/>
  <c r="I154" i="21" s="1"/>
  <c r="J153" i="21"/>
  <c r="J154" i="21" s="1"/>
  <c r="K153" i="21"/>
  <c r="K154" i="21" s="1"/>
  <c r="L153" i="21"/>
  <c r="L154" i="21" s="1"/>
  <c r="M153" i="21"/>
  <c r="M154" i="21" s="1"/>
  <c r="N153" i="21"/>
  <c r="N154" i="21" s="1"/>
  <c r="O153" i="21"/>
  <c r="O154" i="21" s="1"/>
  <c r="P153" i="21"/>
  <c r="P154" i="21" s="1"/>
  <c r="Q153" i="21"/>
  <c r="Q154" i="21" s="1"/>
  <c r="R153" i="21"/>
  <c r="R154" i="21" s="1"/>
  <c r="S153" i="21"/>
  <c r="S154" i="21" s="1"/>
  <c r="T153" i="21"/>
  <c r="T154" i="21" s="1"/>
  <c r="U153" i="21"/>
  <c r="U154" i="21" s="1"/>
  <c r="V153" i="21"/>
  <c r="V154" i="21" s="1"/>
  <c r="W153" i="21"/>
  <c r="W154" i="21" s="1"/>
  <c r="X153" i="21"/>
  <c r="X154" i="21" s="1"/>
  <c r="Y153" i="21"/>
  <c r="Y154" i="21" s="1"/>
  <c r="Z153" i="21"/>
  <c r="Z154" i="21" s="1"/>
  <c r="AA153" i="21"/>
  <c r="AA154" i="21" s="1"/>
  <c r="AB153" i="21"/>
  <c r="AB154" i="21" s="1"/>
  <c r="AC153" i="21"/>
  <c r="AC154" i="21" s="1"/>
  <c r="AD153" i="21"/>
  <c r="AD154" i="21" s="1"/>
  <c r="AE153" i="21"/>
  <c r="AE154" i="21" s="1"/>
  <c r="AF153" i="21"/>
  <c r="AF154" i="21" s="1"/>
  <c r="AG153" i="21"/>
  <c r="AG154" i="21" s="1"/>
  <c r="AH153" i="21"/>
  <c r="AH154" i="21" s="1"/>
  <c r="AI153" i="21"/>
  <c r="AI154" i="21" s="1"/>
  <c r="AJ153" i="21"/>
  <c r="AJ154" i="21" s="1"/>
  <c r="AK153" i="21"/>
  <c r="AK154" i="21" s="1"/>
  <c r="AL153" i="21"/>
  <c r="AL154" i="21" s="1"/>
  <c r="AM153" i="21"/>
  <c r="AM154" i="21" s="1"/>
  <c r="AN153" i="21"/>
  <c r="AN154" i="21" s="1"/>
  <c r="AO153" i="21"/>
  <c r="AO154" i="21" s="1"/>
  <c r="AP153" i="21"/>
  <c r="AP154" i="21" s="1"/>
  <c r="AQ153" i="21"/>
  <c r="AQ154" i="21" s="1"/>
  <c r="D195" i="21"/>
  <c r="D196" i="21" s="1"/>
  <c r="E195" i="21"/>
  <c r="E196" i="21" s="1"/>
  <c r="F195" i="21"/>
  <c r="F196" i="21" s="1"/>
  <c r="G195" i="21"/>
  <c r="G196" i="21" s="1"/>
  <c r="H195" i="21"/>
  <c r="H196" i="21" s="1"/>
  <c r="I195" i="21"/>
  <c r="I196" i="21" s="1"/>
  <c r="J195" i="21"/>
  <c r="J196" i="21" s="1"/>
  <c r="K195" i="21"/>
  <c r="K196" i="21" s="1"/>
  <c r="L195" i="21"/>
  <c r="L196" i="21" s="1"/>
  <c r="M195" i="21"/>
  <c r="M196" i="21" s="1"/>
  <c r="N195" i="21"/>
  <c r="N196" i="21" s="1"/>
  <c r="O195" i="21"/>
  <c r="O196" i="21" s="1"/>
  <c r="P195" i="21"/>
  <c r="P196" i="21" s="1"/>
  <c r="Q195" i="21"/>
  <c r="Q196" i="21" s="1"/>
  <c r="R195" i="21"/>
  <c r="R196" i="21" s="1"/>
  <c r="S195" i="21"/>
  <c r="S196" i="21" s="1"/>
  <c r="T195" i="21"/>
  <c r="T196" i="21" s="1"/>
  <c r="U195" i="21"/>
  <c r="U196" i="21" s="1"/>
  <c r="V195" i="21"/>
  <c r="V196" i="21" s="1"/>
  <c r="W195" i="21"/>
  <c r="W196" i="21" s="1"/>
  <c r="X195" i="21"/>
  <c r="X196" i="21" s="1"/>
  <c r="Y195" i="21"/>
  <c r="Y196" i="21" s="1"/>
  <c r="Z195" i="21"/>
  <c r="Z196" i="21" s="1"/>
  <c r="AA195" i="21"/>
  <c r="AA196" i="21" s="1"/>
  <c r="AB195" i="21"/>
  <c r="AB196" i="21" s="1"/>
  <c r="AC195" i="21"/>
  <c r="AC196" i="21" s="1"/>
  <c r="AD195" i="21"/>
  <c r="AD196" i="21" s="1"/>
  <c r="AE195" i="21"/>
  <c r="AE196" i="21" s="1"/>
  <c r="AF195" i="21"/>
  <c r="AF196" i="21" s="1"/>
  <c r="AG195" i="21"/>
  <c r="AG196" i="21" s="1"/>
  <c r="AH195" i="21"/>
  <c r="AH196" i="21" s="1"/>
  <c r="AI195" i="21"/>
  <c r="AI196" i="21" s="1"/>
  <c r="AJ195" i="21"/>
  <c r="AJ196" i="21" s="1"/>
  <c r="AK195" i="21"/>
  <c r="AK196" i="21" s="1"/>
  <c r="AL195" i="21"/>
  <c r="AL196" i="21" s="1"/>
  <c r="AM195" i="21"/>
  <c r="AM196" i="21" s="1"/>
  <c r="AN195" i="21"/>
  <c r="AN196" i="21" s="1"/>
  <c r="AO195" i="21"/>
  <c r="AO196" i="21" s="1"/>
  <c r="AP195" i="21"/>
  <c r="AP196" i="21" s="1"/>
  <c r="AQ195" i="21"/>
  <c r="AQ196" i="21" s="1"/>
  <c r="G121" i="21"/>
  <c r="G122" i="21" s="1"/>
  <c r="G163" i="21"/>
  <c r="G164" i="21" s="1"/>
  <c r="AQ121" i="21"/>
  <c r="K164" i="21"/>
  <c r="AJ130" i="21"/>
  <c r="AJ107" i="21" s="1"/>
  <c r="T32" i="21"/>
  <c r="T34" i="21" s="1"/>
  <c r="T36" i="21" s="1"/>
  <c r="AJ32" i="21"/>
  <c r="AJ34" i="21" s="1"/>
  <c r="AJ36" i="21" s="1"/>
  <c r="AB31" i="21"/>
  <c r="AB32" i="21" s="1"/>
  <c r="AB34" i="21" s="1"/>
  <c r="AB36" i="21" s="1"/>
  <c r="F79" i="21"/>
  <c r="F80" i="21" s="1"/>
  <c r="AH80" i="21"/>
  <c r="AH82" i="21" s="1"/>
  <c r="AH84" i="21" s="1"/>
  <c r="N79" i="21"/>
  <c r="N80" i="21" s="1"/>
  <c r="R80" i="21"/>
  <c r="K122" i="21"/>
  <c r="K124" i="21" s="1"/>
  <c r="K126" i="21" s="1"/>
  <c r="AQ164" i="21"/>
  <c r="AD79" i="21"/>
  <c r="AD80" i="21" s="1"/>
  <c r="V80" i="21"/>
  <c r="AL79" i="21"/>
  <c r="AL80" i="21" s="1"/>
  <c r="Z80" i="21"/>
  <c r="Z82" i="21" s="1"/>
  <c r="Z84" i="21" s="1"/>
  <c r="AA121" i="21"/>
  <c r="AA122" i="21" s="1"/>
  <c r="Y122" i="21"/>
  <c r="AE163" i="21"/>
  <c r="AE164" i="21" s="1"/>
  <c r="AL256" i="21"/>
  <c r="AM172" i="21"/>
  <c r="AM149" i="21" s="1"/>
  <c r="L31" i="21"/>
  <c r="L32" i="21" s="1"/>
  <c r="L34" i="21" s="1"/>
  <c r="L36" i="21" s="1"/>
  <c r="Y80" i="21"/>
  <c r="Y82" i="21" s="1"/>
  <c r="Y84" i="21" s="1"/>
  <c r="AP80" i="21"/>
  <c r="S121" i="21"/>
  <c r="S122" i="21" s="1"/>
  <c r="V163" i="21"/>
  <c r="V164" i="21" s="1"/>
  <c r="AA164" i="21"/>
  <c r="K205" i="21"/>
  <c r="K206" i="21" s="1"/>
  <c r="AE205" i="21"/>
  <c r="AE206" i="21" s="1"/>
  <c r="J206" i="21"/>
  <c r="Z206" i="21"/>
  <c r="Z208" i="21" s="1"/>
  <c r="Z210" i="21" s="1"/>
  <c r="Z214" i="21" s="1"/>
  <c r="Z191" i="21" s="1"/>
  <c r="AP206" i="21"/>
  <c r="O205" i="21"/>
  <c r="O206" i="21" s="1"/>
  <c r="AA206" i="21"/>
  <c r="AA208" i="21" s="1"/>
  <c r="AA210" i="21" s="1"/>
  <c r="AQ206" i="21"/>
  <c r="AQ208" i="21" s="1"/>
  <c r="AQ210" i="21" s="1"/>
  <c r="S80" i="21"/>
  <c r="AI121" i="21"/>
  <c r="AM163" i="21"/>
  <c r="F205" i="21"/>
  <c r="F206" i="21" s="1"/>
  <c r="S205" i="21"/>
  <c r="S206" i="21" s="1"/>
  <c r="AM205" i="21"/>
  <c r="R206" i="21"/>
  <c r="AH206" i="21"/>
  <c r="AH208" i="21" s="1"/>
  <c r="AH210" i="21" s="1"/>
  <c r="AH214" i="21" s="1"/>
  <c r="AH191" i="21" s="1"/>
  <c r="G205" i="21"/>
  <c r="G206" i="21" s="1"/>
  <c r="AI206" i="21"/>
  <c r="AI208" i="21" s="1"/>
  <c r="AI210" i="21" s="1"/>
  <c r="H31" i="21"/>
  <c r="H32" i="21" s="1"/>
  <c r="H34" i="21" s="1"/>
  <c r="H36" i="21" s="1"/>
  <c r="P31" i="21"/>
  <c r="P32" i="21" s="1"/>
  <c r="P34" i="21" s="1"/>
  <c r="P36" i="21" s="1"/>
  <c r="X31" i="21"/>
  <c r="X32" i="21" s="1"/>
  <c r="X34" i="21" s="1"/>
  <c r="X36" i="21" s="1"/>
  <c r="AF31" i="21"/>
  <c r="AF32" i="21" s="1"/>
  <c r="AF34" i="21" s="1"/>
  <c r="AF36" i="21" s="1"/>
  <c r="AN31" i="21"/>
  <c r="AN32" i="21" s="1"/>
  <c r="AN34" i="21" s="1"/>
  <c r="AN36" i="21" s="1"/>
  <c r="I32" i="21"/>
  <c r="I34" i="21" s="1"/>
  <c r="I36" i="21" s="1"/>
  <c r="Q32" i="21"/>
  <c r="Q34" i="21" s="1"/>
  <c r="Q36" i="21" s="1"/>
  <c r="Y32" i="21"/>
  <c r="Y34" i="21" s="1"/>
  <c r="Y36" i="21" s="1"/>
  <c r="AG32" i="21"/>
  <c r="AG34" i="21" s="1"/>
  <c r="AG36" i="21" s="1"/>
  <c r="AO32" i="21"/>
  <c r="AO34" i="21" s="1"/>
  <c r="AO36" i="21" s="1"/>
  <c r="J31" i="21"/>
  <c r="J32" i="21" s="1"/>
  <c r="J34" i="21" s="1"/>
  <c r="J36" i="21" s="1"/>
  <c r="R31" i="21"/>
  <c r="R32" i="21" s="1"/>
  <c r="R34" i="21" s="1"/>
  <c r="R36" i="21" s="1"/>
  <c r="Z31" i="21"/>
  <c r="Z32" i="21" s="1"/>
  <c r="Z34" i="21" s="1"/>
  <c r="Z36" i="21" s="1"/>
  <c r="AH31" i="21"/>
  <c r="AH32" i="21" s="1"/>
  <c r="AH34" i="21" s="1"/>
  <c r="AH36" i="21" s="1"/>
  <c r="AP31" i="21"/>
  <c r="AP32" i="21" s="1"/>
  <c r="AP34" i="21" s="1"/>
  <c r="AP36" i="21" s="1"/>
  <c r="G32" i="21"/>
  <c r="G34" i="21" s="1"/>
  <c r="G36" i="21" s="1"/>
  <c r="O32" i="21"/>
  <c r="O34" i="21" s="1"/>
  <c r="O36" i="21" s="1"/>
  <c r="W32" i="21"/>
  <c r="W34" i="21" s="1"/>
  <c r="W36" i="21" s="1"/>
  <c r="AE32" i="21"/>
  <c r="AE34" i="21" s="1"/>
  <c r="AE36" i="21" s="1"/>
  <c r="AM32" i="21"/>
  <c r="AM34" i="21" s="1"/>
  <c r="AM36" i="21" s="1"/>
  <c r="F31" i="21"/>
  <c r="F32" i="21" s="1"/>
  <c r="F34" i="21" s="1"/>
  <c r="F36" i="21" s="1"/>
  <c r="N31" i="21"/>
  <c r="N32" i="21" s="1"/>
  <c r="N34" i="21" s="1"/>
  <c r="N36" i="21" s="1"/>
  <c r="V31" i="21"/>
  <c r="V32" i="21" s="1"/>
  <c r="V34" i="21" s="1"/>
  <c r="V36" i="21" s="1"/>
  <c r="AD31" i="21"/>
  <c r="AD32" i="21" s="1"/>
  <c r="AD34" i="21" s="1"/>
  <c r="AD36" i="21" s="1"/>
  <c r="AL31" i="21"/>
  <c r="AL32" i="21" s="1"/>
  <c r="AL34" i="21" s="1"/>
  <c r="AL36" i="21" s="1"/>
  <c r="P121" i="21"/>
  <c r="P122" i="21" s="1"/>
  <c r="X121" i="21"/>
  <c r="X122" i="21" s="1"/>
  <c r="AF122" i="21"/>
  <c r="AN122" i="21"/>
  <c r="AN124" i="21" s="1"/>
  <c r="AN126" i="21" s="1"/>
  <c r="F163" i="21"/>
  <c r="F164" i="21" s="1"/>
  <c r="S163" i="21"/>
  <c r="S164" i="21" s="1"/>
  <c r="AD163" i="21"/>
  <c r="AD164" i="21" s="1"/>
  <c r="AL163" i="21"/>
  <c r="W164" i="21"/>
  <c r="N205" i="21"/>
  <c r="N206" i="21" s="1"/>
  <c r="W205" i="21"/>
  <c r="W206" i="21" s="1"/>
  <c r="H247" i="21"/>
  <c r="H248" i="21" s="1"/>
  <c r="H250" i="21" s="1"/>
  <c r="H252" i="21" s="1"/>
  <c r="P247" i="21"/>
  <c r="P248" i="21" s="1"/>
  <c r="P250" i="21" s="1"/>
  <c r="P252" i="21" s="1"/>
  <c r="X247" i="21"/>
  <c r="X248" i="21" s="1"/>
  <c r="X250" i="21" s="1"/>
  <c r="X252" i="21" s="1"/>
  <c r="AF247" i="21"/>
  <c r="AN247" i="21"/>
  <c r="I248" i="21"/>
  <c r="I250" i="21" s="1"/>
  <c r="I252" i="21" s="1"/>
  <c r="Q248" i="21"/>
  <c r="Q250" i="21" s="1"/>
  <c r="Q252" i="21" s="1"/>
  <c r="Y248" i="21"/>
  <c r="AG248" i="21"/>
  <c r="AO248" i="21"/>
  <c r="AO250" i="21" s="1"/>
  <c r="AO252" i="21" s="1"/>
  <c r="H79" i="21"/>
  <c r="H80" i="21" s="1"/>
  <c r="P79" i="21"/>
  <c r="P80" i="21" s="1"/>
  <c r="X79" i="21"/>
  <c r="X80" i="21" s="1"/>
  <c r="AF79" i="21"/>
  <c r="AF80" i="21" s="1"/>
  <c r="AN79" i="21"/>
  <c r="AN80" i="21" s="1"/>
  <c r="I80" i="21"/>
  <c r="AK80" i="21"/>
  <c r="H121" i="21"/>
  <c r="H122" i="21" s="1"/>
  <c r="H124" i="21" s="1"/>
  <c r="H126" i="21" s="1"/>
  <c r="AJ121" i="21"/>
  <c r="L122" i="21"/>
  <c r="T122" i="21"/>
  <c r="AG122" i="21"/>
  <c r="AO122" i="21"/>
  <c r="AO124" i="21" s="1"/>
  <c r="AO126" i="21" s="1"/>
  <c r="AQ130" i="21"/>
  <c r="AQ107" i="21" s="1"/>
  <c r="J247" i="21"/>
  <c r="J248" i="21" s="1"/>
  <c r="J250" i="21" s="1"/>
  <c r="J252" i="21" s="1"/>
  <c r="R247" i="21"/>
  <c r="R248" i="21" s="1"/>
  <c r="R250" i="21" s="1"/>
  <c r="R252" i="21" s="1"/>
  <c r="Z247" i="21"/>
  <c r="Z248" i="21" s="1"/>
  <c r="Z250" i="21" s="1"/>
  <c r="Z252" i="21" s="1"/>
  <c r="AH247" i="21"/>
  <c r="AP247" i="21"/>
  <c r="J79" i="21"/>
  <c r="J80" i="21" s="1"/>
  <c r="U80" i="21"/>
  <c r="AL130" i="21"/>
  <c r="AL107" i="21" s="1"/>
  <c r="AP130" i="21"/>
  <c r="AB121" i="21"/>
  <c r="AB122" i="21" s="1"/>
  <c r="AM121" i="21"/>
  <c r="O122" i="21"/>
  <c r="W122" i="21"/>
  <c r="AH163" i="21"/>
  <c r="AP163" i="21"/>
  <c r="O164" i="21"/>
  <c r="O166" i="21" s="1"/>
  <c r="O168" i="21" s="1"/>
  <c r="AD205" i="21"/>
  <c r="AD206" i="21" s="1"/>
  <c r="L247" i="21"/>
  <c r="L248" i="21" s="1"/>
  <c r="T247" i="21"/>
  <c r="T248" i="21" s="1"/>
  <c r="T250" i="21" s="1"/>
  <c r="T252" i="21" s="1"/>
  <c r="AB247" i="21"/>
  <c r="AB248" i="21" s="1"/>
  <c r="AJ247" i="21"/>
  <c r="E248" i="21"/>
  <c r="M248" i="21"/>
  <c r="U248" i="21"/>
  <c r="AC248" i="21"/>
  <c r="AC250" i="21" s="1"/>
  <c r="AC252" i="21" s="1"/>
  <c r="AK248" i="21"/>
  <c r="L79" i="21"/>
  <c r="L80" i="21" s="1"/>
  <c r="T79" i="21"/>
  <c r="T80" i="21" s="1"/>
  <c r="AB79" i="21"/>
  <c r="AB80" i="21" s="1"/>
  <c r="AJ79" i="21"/>
  <c r="AJ80" i="21" s="1"/>
  <c r="E80" i="21"/>
  <c r="AO80" i="21"/>
  <c r="I122" i="21"/>
  <c r="AE122" i="21"/>
  <c r="J137" i="21"/>
  <c r="AI163" i="21"/>
  <c r="V205" i="21"/>
  <c r="V206" i="21" s="1"/>
  <c r="L206" i="21"/>
  <c r="T206" i="21"/>
  <c r="AB206" i="21"/>
  <c r="AJ206" i="21"/>
  <c r="F247" i="21"/>
  <c r="F248" i="21" s="1"/>
  <c r="N247" i="21"/>
  <c r="N248" i="21" s="1"/>
  <c r="N250" i="21" s="1"/>
  <c r="N252" i="21" s="1"/>
  <c r="V247" i="21"/>
  <c r="V248" i="21" s="1"/>
  <c r="AD247" i="21"/>
  <c r="AD248" i="21" s="1"/>
  <c r="AD250" i="21" s="1"/>
  <c r="AD252" i="21" s="1"/>
  <c r="AL247" i="21"/>
  <c r="AI130" i="21"/>
  <c r="AI107" i="21" s="1"/>
  <c r="AM130" i="21"/>
  <c r="AM107" i="21" s="1"/>
  <c r="AF256" i="21"/>
  <c r="AF233" i="21" s="1"/>
  <c r="AJ256" i="21"/>
  <c r="AJ233" i="21" s="1"/>
  <c r="AN256" i="21"/>
  <c r="AI172" i="21"/>
  <c r="AI149" i="21" s="1"/>
  <c r="AO256" i="21"/>
  <c r="AO233" i="21" s="1"/>
  <c r="Y88" i="21"/>
  <c r="AG214" i="21"/>
  <c r="AG191" i="21" s="1"/>
  <c r="AK214" i="21"/>
  <c r="AK191" i="21" s="1"/>
  <c r="AO214" i="21"/>
  <c r="AO191" i="21" s="1"/>
  <c r="Q130" i="21"/>
  <c r="Q107" i="21" s="1"/>
  <c r="AO130" i="21"/>
  <c r="AO107" i="21" s="1"/>
  <c r="AH172" i="21"/>
  <c r="AH149" i="21" s="1"/>
  <c r="AL172" i="21"/>
  <c r="AL149" i="21" s="1"/>
  <c r="AP172" i="21"/>
  <c r="AP149" i="21" s="1"/>
  <c r="AL214" i="21"/>
  <c r="AL191" i="21" s="1"/>
  <c r="AH256" i="21"/>
  <c r="AH233" i="21" s="1"/>
  <c r="AP256" i="21"/>
  <c r="AP233" i="21" s="1"/>
  <c r="M32" i="21"/>
  <c r="M34" i="21" s="1"/>
  <c r="M36" i="21" s="1"/>
  <c r="S32" i="21"/>
  <c r="S34" i="21" s="1"/>
  <c r="S36" i="21" s="1"/>
  <c r="AC32" i="21"/>
  <c r="AC34" i="21" s="1"/>
  <c r="AC36" i="21" s="1"/>
  <c r="AI32" i="21"/>
  <c r="AI34" i="21" s="1"/>
  <c r="AI36" i="21" s="1"/>
  <c r="K32" i="21"/>
  <c r="K34" i="21" s="1"/>
  <c r="K36" i="21" s="1"/>
  <c r="U32" i="21"/>
  <c r="U34" i="21" s="1"/>
  <c r="U36" i="21" s="1"/>
  <c r="AA32" i="21"/>
  <c r="AA34" i="21" s="1"/>
  <c r="AA36" i="21" s="1"/>
  <c r="AK32" i="21"/>
  <c r="AK34" i="21" s="1"/>
  <c r="AK36" i="21" s="1"/>
  <c r="AQ32" i="21"/>
  <c r="AQ34" i="21" s="1"/>
  <c r="AQ36" i="21" s="1"/>
  <c r="G80" i="21"/>
  <c r="M80" i="21"/>
  <c r="W80" i="21"/>
  <c r="AC80" i="21"/>
  <c r="AH88" i="21"/>
  <c r="AH65" i="21" s="1"/>
  <c r="AM80" i="21"/>
  <c r="O80" i="21"/>
  <c r="Z88" i="21"/>
  <c r="Z65" i="21" s="1"/>
  <c r="AE80" i="21"/>
  <c r="J53" i="21"/>
  <c r="K80" i="21"/>
  <c r="Q80" i="21"/>
  <c r="AA80" i="21"/>
  <c r="AG80" i="21"/>
  <c r="AQ80" i="21"/>
  <c r="R121" i="21"/>
  <c r="R122" i="21" s="1"/>
  <c r="AH121" i="21"/>
  <c r="AH122" i="21" s="1"/>
  <c r="E122" i="21"/>
  <c r="U122" i="21"/>
  <c r="AK122" i="21"/>
  <c r="I163" i="21"/>
  <c r="I164" i="21" s="1"/>
  <c r="N163" i="21"/>
  <c r="N164" i="21" s="1"/>
  <c r="N166" i="21" s="1"/>
  <c r="N168" i="21" s="1"/>
  <c r="Y163" i="21"/>
  <c r="Y164" i="21" s="1"/>
  <c r="N121" i="21"/>
  <c r="N122" i="21" s="1"/>
  <c r="AD121" i="21"/>
  <c r="AD122" i="21" s="1"/>
  <c r="E163" i="21"/>
  <c r="E164" i="21" s="1"/>
  <c r="J163" i="21"/>
  <c r="J164" i="21" s="1"/>
  <c r="U163" i="21"/>
  <c r="U164" i="21" s="1"/>
  <c r="Z163" i="21"/>
  <c r="Z164" i="21" s="1"/>
  <c r="H164" i="21"/>
  <c r="P164" i="21"/>
  <c r="X164" i="21"/>
  <c r="AF164" i="21"/>
  <c r="AN164" i="21"/>
  <c r="J95" i="21"/>
  <c r="J121" i="21"/>
  <c r="J122" i="21" s="1"/>
  <c r="Z121" i="21"/>
  <c r="Z122" i="21" s="1"/>
  <c r="AP121" i="21"/>
  <c r="M122" i="21"/>
  <c r="AC122" i="21"/>
  <c r="AN130" i="21"/>
  <c r="AN107" i="21" s="1"/>
  <c r="AG163" i="21"/>
  <c r="AG164" i="21"/>
  <c r="AK163" i="21"/>
  <c r="AK164" i="21"/>
  <c r="AO163" i="21"/>
  <c r="AO164" i="21"/>
  <c r="Q163" i="21"/>
  <c r="Q164" i="21" s="1"/>
  <c r="J179" i="21"/>
  <c r="F121" i="21"/>
  <c r="F122" i="21" s="1"/>
  <c r="V121" i="21"/>
  <c r="V122" i="21" s="1"/>
  <c r="AL121" i="21"/>
  <c r="M163" i="21"/>
  <c r="M164" i="21" s="1"/>
  <c r="M166" i="21" s="1"/>
  <c r="M168" i="21" s="1"/>
  <c r="R163" i="21"/>
  <c r="R164" i="21" s="1"/>
  <c r="R166" i="21" s="1"/>
  <c r="R168" i="21" s="1"/>
  <c r="AC163" i="21"/>
  <c r="AC164" i="21" s="1"/>
  <c r="L164" i="21"/>
  <c r="L166" i="21" s="1"/>
  <c r="L168" i="21" s="1"/>
  <c r="T164" i="21"/>
  <c r="AB164" i="21"/>
  <c r="AJ164" i="21"/>
  <c r="Q205" i="21"/>
  <c r="Q206" i="21" s="1"/>
  <c r="AG205" i="21"/>
  <c r="M205" i="21"/>
  <c r="M206" i="21" s="1"/>
  <c r="AC205" i="21"/>
  <c r="AC206" i="21" s="1"/>
  <c r="P206" i="21"/>
  <c r="AA214" i="21"/>
  <c r="AA191" i="21" s="1"/>
  <c r="AF206" i="21"/>
  <c r="AQ214" i="21"/>
  <c r="AQ191" i="21" s="1"/>
  <c r="I205" i="21"/>
  <c r="I206" i="21" s="1"/>
  <c r="Y205" i="21"/>
  <c r="Y206" i="21" s="1"/>
  <c r="AO205" i="21"/>
  <c r="AM214" i="21"/>
  <c r="AM191" i="21" s="1"/>
  <c r="E205" i="21"/>
  <c r="E206" i="21" s="1"/>
  <c r="U205" i="21"/>
  <c r="U206" i="21" s="1"/>
  <c r="AK205" i="21"/>
  <c r="H206" i="21"/>
  <c r="X206" i="21"/>
  <c r="AI214" i="21"/>
  <c r="AI191" i="21" s="1"/>
  <c r="AN206" i="21"/>
  <c r="J221" i="21"/>
  <c r="G247" i="21"/>
  <c r="G248" i="21" s="1"/>
  <c r="K247" i="21"/>
  <c r="K248" i="21" s="1"/>
  <c r="K250" i="21" s="1"/>
  <c r="K252" i="21" s="1"/>
  <c r="O247" i="21"/>
  <c r="O248" i="21" s="1"/>
  <c r="O250" i="21" s="1"/>
  <c r="O252" i="21" s="1"/>
  <c r="S247" i="21"/>
  <c r="S248" i="21" s="1"/>
  <c r="W247" i="21"/>
  <c r="W248" i="21" s="1"/>
  <c r="AA247" i="21"/>
  <c r="AA248" i="21" s="1"/>
  <c r="AE247" i="21"/>
  <c r="AE248" i="21" s="1"/>
  <c r="AI247" i="21"/>
  <c r="AI248" i="21"/>
  <c r="AM247" i="21"/>
  <c r="AM248" i="21"/>
  <c r="AQ247" i="21"/>
  <c r="AQ248" i="21"/>
  <c r="AQ82" i="21" l="1"/>
  <c r="AQ84" i="21" s="1"/>
  <c r="AQ88" i="21" s="1"/>
  <c r="K82" i="21"/>
  <c r="K84" i="21" s="1"/>
  <c r="K88" i="21" s="1"/>
  <c r="K65" i="21" s="1"/>
  <c r="O82" i="21"/>
  <c r="O84" i="21" s="1"/>
  <c r="O88" i="21" s="1"/>
  <c r="O65" i="21" s="1"/>
  <c r="W82" i="21"/>
  <c r="W84" i="21" s="1"/>
  <c r="W88" i="21" s="1"/>
  <c r="AB82" i="21"/>
  <c r="AB84" i="21" s="1"/>
  <c r="AB88" i="21" s="1"/>
  <c r="AB65" i="21" s="1"/>
  <c r="AK82" i="21"/>
  <c r="AK84" i="21" s="1"/>
  <c r="AK88" i="21" s="1"/>
  <c r="X82" i="21"/>
  <c r="X84" i="21" s="1"/>
  <c r="X88" i="21" s="1"/>
  <c r="V82" i="21"/>
  <c r="V84" i="21" s="1"/>
  <c r="V88" i="21" s="1"/>
  <c r="R82" i="21"/>
  <c r="R84" i="21" s="1"/>
  <c r="R88" i="21" s="1"/>
  <c r="R65" i="21" s="1"/>
  <c r="AI82" i="21"/>
  <c r="AI84" i="21" s="1"/>
  <c r="AI88" i="21" s="1"/>
  <c r="AG82" i="21"/>
  <c r="AG84" i="21" s="1"/>
  <c r="AG88" i="21" s="1"/>
  <c r="AM82" i="21"/>
  <c r="AM84" i="21" s="1"/>
  <c r="AM88" i="21" s="1"/>
  <c r="M82" i="21"/>
  <c r="M84" i="21" s="1"/>
  <c r="M88" i="21" s="1"/>
  <c r="M65" i="21" s="1"/>
  <c r="AO82" i="21"/>
  <c r="AO84" i="21" s="1"/>
  <c r="AO88" i="21" s="1"/>
  <c r="T82" i="21"/>
  <c r="T84" i="21" s="1"/>
  <c r="T88" i="21" s="1"/>
  <c r="I82" i="21"/>
  <c r="I84" i="21" s="1"/>
  <c r="I88" i="21" s="1"/>
  <c r="I65" i="21" s="1"/>
  <c r="P82" i="21"/>
  <c r="P84" i="21" s="1"/>
  <c r="P88" i="21" s="1"/>
  <c r="P65" i="21" s="1"/>
  <c r="AD82" i="21"/>
  <c r="AD84" i="21" s="1"/>
  <c r="AD88" i="21" s="1"/>
  <c r="N82" i="21"/>
  <c r="N84" i="21" s="1"/>
  <c r="N88" i="21" s="1"/>
  <c r="N65" i="21" s="1"/>
  <c r="AA82" i="21"/>
  <c r="AA84" i="21" s="1"/>
  <c r="AA88" i="21" s="1"/>
  <c r="AA65" i="21" s="1"/>
  <c r="AE82" i="21"/>
  <c r="AE84" i="21" s="1"/>
  <c r="AE88" i="21" s="1"/>
  <c r="G82" i="21"/>
  <c r="G84" i="21" s="1"/>
  <c r="G88" i="21" s="1"/>
  <c r="G65" i="21" s="1"/>
  <c r="E82" i="21"/>
  <c r="E84" i="21" s="1"/>
  <c r="E88" i="21" s="1"/>
  <c r="L82" i="21"/>
  <c r="L84" i="21" s="1"/>
  <c r="L88" i="21" s="1"/>
  <c r="L65" i="21" s="1"/>
  <c r="U82" i="21"/>
  <c r="U84" i="21" s="1"/>
  <c r="U88" i="21" s="1"/>
  <c r="U65" i="21" s="1"/>
  <c r="AN82" i="21"/>
  <c r="AN84" i="21" s="1"/>
  <c r="AN88" i="21" s="1"/>
  <c r="H82" i="21"/>
  <c r="H84" i="21" s="1"/>
  <c r="H88" i="21" s="1"/>
  <c r="H65" i="21" s="1"/>
  <c r="S82" i="21"/>
  <c r="S84" i="21" s="1"/>
  <c r="S88" i="21" s="1"/>
  <c r="S65" i="21" s="1"/>
  <c r="AP82" i="21"/>
  <c r="AP84" i="21" s="1"/>
  <c r="AP88" i="21" s="1"/>
  <c r="Q82" i="21"/>
  <c r="Q84" i="21" s="1"/>
  <c r="Q88" i="21" s="1"/>
  <c r="Q65" i="21" s="1"/>
  <c r="AC82" i="21"/>
  <c r="AC84" i="21" s="1"/>
  <c r="AC88" i="21" s="1"/>
  <c r="AC65" i="21" s="1"/>
  <c r="AJ82" i="21"/>
  <c r="AJ84" i="21" s="1"/>
  <c r="AJ88" i="21" s="1"/>
  <c r="J82" i="21"/>
  <c r="J84" i="21" s="1"/>
  <c r="J88" i="21" s="1"/>
  <c r="J65" i="21" s="1"/>
  <c r="AF82" i="21"/>
  <c r="AF84" i="21" s="1"/>
  <c r="AF88" i="21" s="1"/>
  <c r="AL82" i="21"/>
  <c r="AL84" i="21" s="1"/>
  <c r="AL88" i="21" s="1"/>
  <c r="F82" i="21"/>
  <c r="F84" i="21" s="1"/>
  <c r="F88" i="21" s="1"/>
  <c r="F65" i="21" s="1"/>
  <c r="V124" i="21"/>
  <c r="V126" i="21" s="1"/>
  <c r="V130" i="21" s="1"/>
  <c r="M124" i="21"/>
  <c r="M126" i="21" s="1"/>
  <c r="M130" i="21" s="1"/>
  <c r="M107" i="21" s="1"/>
  <c r="U124" i="21"/>
  <c r="U126" i="21" s="1"/>
  <c r="U130" i="21" s="1"/>
  <c r="U107" i="21" s="1"/>
  <c r="I124" i="21"/>
  <c r="I126" i="21" s="1"/>
  <c r="I130" i="21" s="1"/>
  <c r="W124" i="21"/>
  <c r="W126" i="21" s="1"/>
  <c r="W130" i="21" s="1"/>
  <c r="W107" i="21" s="1"/>
  <c r="T124" i="21"/>
  <c r="T126" i="21" s="1"/>
  <c r="T130" i="21" s="1"/>
  <c r="Y124" i="21"/>
  <c r="Y126" i="21" s="1"/>
  <c r="Y130" i="21" s="1"/>
  <c r="Y107" i="21" s="1"/>
  <c r="F124" i="21"/>
  <c r="F126" i="21" s="1"/>
  <c r="F130" i="21" s="1"/>
  <c r="F107" i="21" s="1"/>
  <c r="E124" i="21"/>
  <c r="E126" i="21" s="1"/>
  <c r="E130" i="21" s="1"/>
  <c r="O124" i="21"/>
  <c r="O126" i="21" s="1"/>
  <c r="O130" i="21" s="1"/>
  <c r="O107" i="21" s="1"/>
  <c r="L124" i="21"/>
  <c r="L126" i="21" s="1"/>
  <c r="L130" i="21" s="1"/>
  <c r="L107" i="21" s="1"/>
  <c r="AF124" i="21"/>
  <c r="AF126" i="21" s="1"/>
  <c r="AF130" i="21" s="1"/>
  <c r="AF107" i="21" s="1"/>
  <c r="S124" i="21"/>
  <c r="S126" i="21" s="1"/>
  <c r="S130" i="21" s="1"/>
  <c r="S107" i="21" s="1"/>
  <c r="AA124" i="21"/>
  <c r="AA126" i="21" s="1"/>
  <c r="AA130" i="21" s="1"/>
  <c r="AA107" i="21" s="1"/>
  <c r="Z124" i="21"/>
  <c r="Z126" i="21" s="1"/>
  <c r="Z130" i="21" s="1"/>
  <c r="Z107" i="21" s="1"/>
  <c r="AD124" i="21"/>
  <c r="AD126" i="21" s="1"/>
  <c r="AD130" i="21" s="1"/>
  <c r="AD107" i="21" s="1"/>
  <c r="AH124" i="21"/>
  <c r="AH126" i="21" s="1"/>
  <c r="AH130" i="21" s="1"/>
  <c r="X124" i="21"/>
  <c r="X126" i="21" s="1"/>
  <c r="X130" i="21" s="1"/>
  <c r="AC124" i="21"/>
  <c r="AC126" i="21" s="1"/>
  <c r="AC130" i="21" s="1"/>
  <c r="AC107" i="21" s="1"/>
  <c r="J124" i="21"/>
  <c r="J126" i="21" s="1"/>
  <c r="J130" i="21" s="1"/>
  <c r="N124" i="21"/>
  <c r="N126" i="21" s="1"/>
  <c r="N130" i="21" s="1"/>
  <c r="AK124" i="21"/>
  <c r="AK126" i="21" s="1"/>
  <c r="AK130" i="21" s="1"/>
  <c r="R124" i="21"/>
  <c r="R126" i="21" s="1"/>
  <c r="R130" i="21" s="1"/>
  <c r="R107" i="21" s="1"/>
  <c r="AE124" i="21"/>
  <c r="AE126" i="21" s="1"/>
  <c r="AE130" i="21" s="1"/>
  <c r="AB124" i="21"/>
  <c r="AB126" i="21" s="1"/>
  <c r="AB130" i="21" s="1"/>
  <c r="AB107" i="21" s="1"/>
  <c r="AG124" i="21"/>
  <c r="AG126" i="21" s="1"/>
  <c r="AG130" i="21" s="1"/>
  <c r="P124" i="21"/>
  <c r="P126" i="21" s="1"/>
  <c r="P130" i="21" s="1"/>
  <c r="G124" i="21"/>
  <c r="G126" i="21" s="1"/>
  <c r="G130" i="21" s="1"/>
  <c r="Y166" i="21"/>
  <c r="Y168" i="21" s="1"/>
  <c r="Y172" i="21" s="1"/>
  <c r="AB166" i="21"/>
  <c r="AB168" i="21" s="1"/>
  <c r="AB172" i="21" s="1"/>
  <c r="AN166" i="21"/>
  <c r="AN168" i="21" s="1"/>
  <c r="AN172" i="21" s="1"/>
  <c r="H166" i="21"/>
  <c r="H168" i="21" s="1"/>
  <c r="H172" i="21" s="1"/>
  <c r="H149" i="21" s="1"/>
  <c r="E166" i="21"/>
  <c r="E168" i="21" s="1"/>
  <c r="E172" i="21" s="1"/>
  <c r="E149" i="21" s="1"/>
  <c r="AD166" i="21"/>
  <c r="AD168" i="21" s="1"/>
  <c r="AD172" i="21" s="1"/>
  <c r="AQ166" i="21"/>
  <c r="AQ168" i="21" s="1"/>
  <c r="AQ172" i="21" s="1"/>
  <c r="G166" i="21"/>
  <c r="G168" i="21" s="1"/>
  <c r="G172" i="21" s="1"/>
  <c r="G149" i="21" s="1"/>
  <c r="AJ166" i="21"/>
  <c r="AJ168" i="21" s="1"/>
  <c r="AJ172" i="21" s="1"/>
  <c r="AC166" i="21"/>
  <c r="AC168" i="21" s="1"/>
  <c r="AC172" i="21" s="1"/>
  <c r="AO166" i="21"/>
  <c r="AO168" i="21" s="1"/>
  <c r="AO172" i="21" s="1"/>
  <c r="AG166" i="21"/>
  <c r="AG168" i="21" s="1"/>
  <c r="AG172" i="21" s="1"/>
  <c r="P166" i="21"/>
  <c r="P168" i="21" s="1"/>
  <c r="P172" i="21" s="1"/>
  <c r="P149" i="21" s="1"/>
  <c r="J166" i="21"/>
  <c r="J168" i="21" s="1"/>
  <c r="J172" i="21" s="1"/>
  <c r="J149" i="21" s="1"/>
  <c r="V166" i="21"/>
  <c r="V168" i="21" s="1"/>
  <c r="V172" i="21" s="1"/>
  <c r="V149" i="21" s="1"/>
  <c r="K166" i="21"/>
  <c r="K168" i="21" s="1"/>
  <c r="K172" i="21" s="1"/>
  <c r="K149" i="21" s="1"/>
  <c r="T166" i="21"/>
  <c r="T168" i="21" s="1"/>
  <c r="T172" i="21" s="1"/>
  <c r="T149" i="21" s="1"/>
  <c r="AK166" i="21"/>
  <c r="AK168" i="21" s="1"/>
  <c r="AK172" i="21" s="1"/>
  <c r="AF166" i="21"/>
  <c r="AF168" i="21" s="1"/>
  <c r="AF172" i="21" s="1"/>
  <c r="Z166" i="21"/>
  <c r="Z168" i="21" s="1"/>
  <c r="Z172" i="21" s="1"/>
  <c r="Z149" i="21" s="1"/>
  <c r="I166" i="21"/>
  <c r="I168" i="21" s="1"/>
  <c r="I172" i="21" s="1"/>
  <c r="S166" i="21"/>
  <c r="S168" i="21" s="1"/>
  <c r="S172" i="21" s="1"/>
  <c r="Q166" i="21"/>
  <c r="Q168" i="21" s="1"/>
  <c r="Q172" i="21" s="1"/>
  <c r="Q149" i="21" s="1"/>
  <c r="X166" i="21"/>
  <c r="X168" i="21" s="1"/>
  <c r="X172" i="21" s="1"/>
  <c r="U166" i="21"/>
  <c r="U168" i="21" s="1"/>
  <c r="U172" i="21" s="1"/>
  <c r="U149" i="21" s="1"/>
  <c r="W166" i="21"/>
  <c r="W168" i="21" s="1"/>
  <c r="W172" i="21" s="1"/>
  <c r="F166" i="21"/>
  <c r="F168" i="21" s="1"/>
  <c r="F172" i="21" s="1"/>
  <c r="F149" i="21" s="1"/>
  <c r="AA166" i="21"/>
  <c r="AA168" i="21" s="1"/>
  <c r="AA172" i="21" s="1"/>
  <c r="AE166" i="21"/>
  <c r="AE168" i="21" s="1"/>
  <c r="AE172" i="21" s="1"/>
  <c r="AJ208" i="21"/>
  <c r="AJ210" i="21" s="1"/>
  <c r="AJ214" i="21" s="1"/>
  <c r="AJ191" i="21" s="1"/>
  <c r="V208" i="21"/>
  <c r="V210" i="21" s="1"/>
  <c r="V214" i="21" s="1"/>
  <c r="V191" i="21" s="1"/>
  <c r="AD208" i="21"/>
  <c r="AD210" i="21" s="1"/>
  <c r="AD214" i="21" s="1"/>
  <c r="AD191" i="21" s="1"/>
  <c r="R208" i="21"/>
  <c r="R210" i="21" s="1"/>
  <c r="R214" i="21" s="1"/>
  <c r="R191" i="21" s="1"/>
  <c r="J208" i="21"/>
  <c r="J210" i="21" s="1"/>
  <c r="J214" i="21" s="1"/>
  <c r="J191" i="21" s="1"/>
  <c r="H208" i="21"/>
  <c r="H210" i="21" s="1"/>
  <c r="H214" i="21" s="1"/>
  <c r="H191" i="21" s="1"/>
  <c r="AC208" i="21"/>
  <c r="AC210" i="21" s="1"/>
  <c r="AC214" i="21" s="1"/>
  <c r="AC191" i="21" s="1"/>
  <c r="T208" i="21"/>
  <c r="T210" i="21" s="1"/>
  <c r="T214" i="21" s="1"/>
  <c r="T191" i="21" s="1"/>
  <c r="N208" i="21"/>
  <c r="N210" i="21" s="1"/>
  <c r="N214" i="21" s="1"/>
  <c r="N191" i="21" s="1"/>
  <c r="G208" i="21"/>
  <c r="G210" i="21" s="1"/>
  <c r="G214" i="21" s="1"/>
  <c r="S208" i="21"/>
  <c r="S210" i="21" s="1"/>
  <c r="S214" i="21" s="1"/>
  <c r="S191" i="21" s="1"/>
  <c r="AP208" i="21"/>
  <c r="AP210" i="21" s="1"/>
  <c r="AP214" i="21" s="1"/>
  <c r="K208" i="21"/>
  <c r="K210" i="21" s="1"/>
  <c r="K214" i="21" s="1"/>
  <c r="K191" i="21" s="1"/>
  <c r="AN208" i="21"/>
  <c r="AN210" i="21" s="1"/>
  <c r="AN214" i="21" s="1"/>
  <c r="AF208" i="21"/>
  <c r="AF210" i="21" s="1"/>
  <c r="AF214" i="21" s="1"/>
  <c r="AF191" i="21" s="1"/>
  <c r="M208" i="21"/>
  <c r="M210" i="21" s="1"/>
  <c r="M214" i="21" s="1"/>
  <c r="M191" i="21" s="1"/>
  <c r="L208" i="21"/>
  <c r="L210" i="21" s="1"/>
  <c r="L214" i="21" s="1"/>
  <c r="L191" i="21" s="1"/>
  <c r="F208" i="21"/>
  <c r="F210" i="21" s="1"/>
  <c r="F214" i="21" s="1"/>
  <c r="F191" i="21" s="1"/>
  <c r="U208" i="21"/>
  <c r="U210" i="21" s="1"/>
  <c r="U214" i="21" s="1"/>
  <c r="U191" i="21" s="1"/>
  <c r="Y208" i="21"/>
  <c r="Y210" i="21" s="1"/>
  <c r="Y214" i="21" s="1"/>
  <c r="Y191" i="21" s="1"/>
  <c r="X208" i="21"/>
  <c r="X210" i="21" s="1"/>
  <c r="X214" i="21" s="1"/>
  <c r="X191" i="21" s="1"/>
  <c r="E208" i="21"/>
  <c r="E210" i="21" s="1"/>
  <c r="E214" i="21" s="1"/>
  <c r="I208" i="21"/>
  <c r="I210" i="21" s="1"/>
  <c r="I214" i="21" s="1"/>
  <c r="I191" i="21" s="1"/>
  <c r="P208" i="21"/>
  <c r="P210" i="21" s="1"/>
  <c r="P214" i="21" s="1"/>
  <c r="P191" i="21" s="1"/>
  <c r="Q208" i="21"/>
  <c r="Q210" i="21" s="1"/>
  <c r="Q214" i="21" s="1"/>
  <c r="Q191" i="21" s="1"/>
  <c r="AB208" i="21"/>
  <c r="AB210" i="21" s="1"/>
  <c r="AB214" i="21" s="1"/>
  <c r="AB191" i="21" s="1"/>
  <c r="W208" i="21"/>
  <c r="W210" i="21" s="1"/>
  <c r="W214" i="21" s="1"/>
  <c r="W191" i="21" s="1"/>
  <c r="O208" i="21"/>
  <c r="O210" i="21" s="1"/>
  <c r="O214" i="21" s="1"/>
  <c r="O191" i="21" s="1"/>
  <c r="AE208" i="21"/>
  <c r="AE210" i="21" s="1"/>
  <c r="AE214" i="21" s="1"/>
  <c r="AE191" i="21" s="1"/>
  <c r="AQ250" i="21"/>
  <c r="AQ252" i="21" s="1"/>
  <c r="AQ256" i="21" s="1"/>
  <c r="AI250" i="21"/>
  <c r="AI252" i="21" s="1"/>
  <c r="AI256" i="21" s="1"/>
  <c r="W250" i="21"/>
  <c r="W252" i="21" s="1"/>
  <c r="W256" i="21" s="1"/>
  <c r="G250" i="21"/>
  <c r="G252" i="21" s="1"/>
  <c r="G256" i="21" s="1"/>
  <c r="G233" i="21" s="1"/>
  <c r="V250" i="21"/>
  <c r="V252" i="21" s="1"/>
  <c r="V256" i="21" s="1"/>
  <c r="U250" i="21"/>
  <c r="U252" i="21" s="1"/>
  <c r="U256" i="21" s="1"/>
  <c r="U233" i="21" s="1"/>
  <c r="AB250" i="21"/>
  <c r="AB252" i="21" s="1"/>
  <c r="AB256" i="21" s="1"/>
  <c r="AB233" i="21" s="1"/>
  <c r="Y250" i="21"/>
  <c r="Y252" i="21" s="1"/>
  <c r="Y256" i="21" s="1"/>
  <c r="Y233" i="21" s="1"/>
  <c r="AG250" i="21"/>
  <c r="AG252" i="21" s="1"/>
  <c r="AG256" i="21" s="1"/>
  <c r="S250" i="21"/>
  <c r="S252" i="21" s="1"/>
  <c r="S256" i="21" s="1"/>
  <c r="S233" i="21" s="1"/>
  <c r="M250" i="21"/>
  <c r="M252" i="21" s="1"/>
  <c r="M256" i="21" s="1"/>
  <c r="AA250" i="21"/>
  <c r="AA252" i="21" s="1"/>
  <c r="AA256" i="21" s="1"/>
  <c r="AA233" i="21" s="1"/>
  <c r="AM250" i="21"/>
  <c r="AM252" i="21" s="1"/>
  <c r="AM256" i="21" s="1"/>
  <c r="AE250" i="21"/>
  <c r="AE252" i="21" s="1"/>
  <c r="AE256" i="21" s="1"/>
  <c r="AE233" i="21" s="1"/>
  <c r="F250" i="21"/>
  <c r="F252" i="21" s="1"/>
  <c r="F256" i="21" s="1"/>
  <c r="F233" i="21" s="1"/>
  <c r="AK250" i="21"/>
  <c r="AK252" i="21" s="1"/>
  <c r="AK256" i="21" s="1"/>
  <c r="E250" i="21"/>
  <c r="E252" i="21" s="1"/>
  <c r="E256" i="21" s="1"/>
  <c r="L250" i="21"/>
  <c r="L252" i="21" s="1"/>
  <c r="L256" i="21" s="1"/>
  <c r="L233" i="21" s="1"/>
  <c r="AH255" i="21"/>
  <c r="AH232" i="21" s="1"/>
  <c r="I211" i="21"/>
  <c r="I212" i="21" s="1"/>
  <c r="I189" i="21" s="1"/>
  <c r="Z256" i="21"/>
  <c r="Z233" i="21" s="1"/>
  <c r="Q256" i="21"/>
  <c r="Q255" i="21" s="1"/>
  <c r="Q232" i="21" s="1"/>
  <c r="X256" i="21"/>
  <c r="X233" i="21" s="1"/>
  <c r="O256" i="21"/>
  <c r="O233" i="21" s="1"/>
  <c r="R256" i="21"/>
  <c r="R233" i="21" s="1"/>
  <c r="I256" i="21"/>
  <c r="I233" i="21" s="1"/>
  <c r="P256" i="21"/>
  <c r="P233" i="21" s="1"/>
  <c r="N256" i="21"/>
  <c r="N233" i="21" s="1"/>
  <c r="T256" i="21"/>
  <c r="T233" i="21" s="1"/>
  <c r="K256" i="21"/>
  <c r="K233" i="21" s="1"/>
  <c r="AD256" i="21"/>
  <c r="AD233" i="21" s="1"/>
  <c r="AC256" i="21"/>
  <c r="AC233" i="21" s="1"/>
  <c r="J256" i="21"/>
  <c r="J233" i="21" s="1"/>
  <c r="H256" i="21"/>
  <c r="H233" i="21" s="1"/>
  <c r="AK215" i="21"/>
  <c r="AK192" i="21" s="1"/>
  <c r="AF255" i="21"/>
  <c r="AF232" i="21" s="1"/>
  <c r="AJ255" i="21"/>
  <c r="AJ232" i="21" s="1"/>
  <c r="AH257" i="21"/>
  <c r="AH234" i="21" s="1"/>
  <c r="T253" i="21"/>
  <c r="T254" i="21" s="1"/>
  <c r="T231" i="21" s="1"/>
  <c r="E253" i="21"/>
  <c r="E254" i="21" s="1"/>
  <c r="E231" i="21" s="1"/>
  <c r="AO215" i="21"/>
  <c r="AO192" i="21" s="1"/>
  <c r="T85" i="21"/>
  <c r="T86" i="21" s="1"/>
  <c r="T63" i="21" s="1"/>
  <c r="E85" i="21"/>
  <c r="E86" i="21" s="1"/>
  <c r="E63" i="21" s="1"/>
  <c r="AK213" i="21"/>
  <c r="AK190" i="21" s="1"/>
  <c r="M169" i="21"/>
  <c r="M170" i="21" s="1"/>
  <c r="M147" i="21" s="1"/>
  <c r="G127" i="21"/>
  <c r="G128" i="21" s="1"/>
  <c r="G105" i="21" s="1"/>
  <c r="AL171" i="21"/>
  <c r="AL148" i="21" s="1"/>
  <c r="AQ129" i="21"/>
  <c r="AQ106" i="21" s="1"/>
  <c r="AI129" i="21"/>
  <c r="AI106" i="21" s="1"/>
  <c r="AI131" i="21"/>
  <c r="AI108" i="21" s="1"/>
  <c r="M253" i="21"/>
  <c r="M254" i="21" s="1"/>
  <c r="M231" i="21" s="1"/>
  <c r="Q253" i="21"/>
  <c r="Q254" i="21" s="1"/>
  <c r="Q231" i="21" s="1"/>
  <c r="V253" i="21"/>
  <c r="V254" i="21" s="1"/>
  <c r="V231" i="21" s="1"/>
  <c r="O253" i="21"/>
  <c r="O254" i="21" s="1"/>
  <c r="O231" i="21" s="1"/>
  <c r="F253" i="21"/>
  <c r="F254" i="21" s="1"/>
  <c r="F231" i="21" s="1"/>
  <c r="AC253" i="21"/>
  <c r="AC254" i="21" s="1"/>
  <c r="AC231" i="21" s="1"/>
  <c r="X253" i="21"/>
  <c r="X254" i="21" s="1"/>
  <c r="X231" i="21" s="1"/>
  <c r="G253" i="21"/>
  <c r="G254" i="21" s="1"/>
  <c r="G231" i="21" s="1"/>
  <c r="W211" i="21"/>
  <c r="W212" i="21" s="1"/>
  <c r="W189" i="21" s="1"/>
  <c r="G211" i="21"/>
  <c r="G212" i="21" s="1"/>
  <c r="G189" i="21" s="1"/>
  <c r="M211" i="21"/>
  <c r="M212" i="21" s="1"/>
  <c r="M189" i="21" s="1"/>
  <c r="F211" i="21"/>
  <c r="F212" i="21" s="1"/>
  <c r="F189" i="21" s="1"/>
  <c r="N211" i="21"/>
  <c r="N212" i="21" s="1"/>
  <c r="N189" i="21" s="1"/>
  <c r="K211" i="21"/>
  <c r="K212" i="21" s="1"/>
  <c r="K189" i="21" s="1"/>
  <c r="Q211" i="21"/>
  <c r="Q212" i="21" s="1"/>
  <c r="Q189" i="21" s="1"/>
  <c r="AC169" i="21"/>
  <c r="AC170" i="21" s="1"/>
  <c r="AC147" i="21" s="1"/>
  <c r="AD169" i="21"/>
  <c r="AD170" i="21" s="1"/>
  <c r="AD147" i="21" s="1"/>
  <c r="V127" i="21"/>
  <c r="V128" i="21" s="1"/>
  <c r="V105" i="21" s="1"/>
  <c r="F127" i="21"/>
  <c r="F128" i="21" s="1"/>
  <c r="F105" i="21" s="1"/>
  <c r="H85" i="21"/>
  <c r="H86" i="21" s="1"/>
  <c r="H63" i="21" s="1"/>
  <c r="G85" i="21"/>
  <c r="G86" i="21" s="1"/>
  <c r="G63" i="21" s="1"/>
  <c r="AE85" i="21"/>
  <c r="AE86" i="21" s="1"/>
  <c r="AE63" i="21" s="1"/>
  <c r="F85" i="21"/>
  <c r="F86" i="21" s="1"/>
  <c r="F63" i="21" s="1"/>
  <c r="I85" i="21"/>
  <c r="I86" i="21" s="1"/>
  <c r="I63" i="21" s="1"/>
  <c r="K85" i="21"/>
  <c r="K86" i="21" s="1"/>
  <c r="K63" i="21" s="1"/>
  <c r="AB253" i="21"/>
  <c r="AB254" i="21" s="1"/>
  <c r="AB231" i="21" s="1"/>
  <c r="AD211" i="21"/>
  <c r="AD212" i="21" s="1"/>
  <c r="AD189" i="21" s="1"/>
  <c r="AE211" i="21"/>
  <c r="AE212" i="21" s="1"/>
  <c r="AE189" i="21" s="1"/>
  <c r="AA211" i="21"/>
  <c r="AA212" i="21" s="1"/>
  <c r="AA189" i="21" s="1"/>
  <c r="AB211" i="21"/>
  <c r="AB212" i="21" s="1"/>
  <c r="AB189" i="21" s="1"/>
  <c r="AC211" i="21"/>
  <c r="AC212" i="21" s="1"/>
  <c r="AC189" i="21" s="1"/>
  <c r="Y169" i="21"/>
  <c r="Y170" i="21" s="1"/>
  <c r="Y147" i="21" s="1"/>
  <c r="AO255" i="21"/>
  <c r="AO232" i="21" s="1"/>
  <c r="AI171" i="21"/>
  <c r="AI148" i="21" s="1"/>
  <c r="AO129" i="21"/>
  <c r="AO106" i="21" s="1"/>
  <c r="AL215" i="21"/>
  <c r="AL192" i="21" s="1"/>
  <c r="L172" i="21"/>
  <c r="L149" i="21" s="1"/>
  <c r="O172" i="21"/>
  <c r="O149" i="21" s="1"/>
  <c r="R172" i="21"/>
  <c r="R149" i="21" s="1"/>
  <c r="N172" i="21"/>
  <c r="M172" i="21"/>
  <c r="M173" i="21" s="1"/>
  <c r="M150" i="21" s="1"/>
  <c r="AL173" i="21"/>
  <c r="AL150" i="21" s="1"/>
  <c r="AP173" i="21"/>
  <c r="AP150" i="21" s="1"/>
  <c r="R85" i="21"/>
  <c r="R86" i="21" s="1"/>
  <c r="R63" i="21" s="1"/>
  <c r="Y85" i="21"/>
  <c r="Y86" i="21" s="1"/>
  <c r="Y63" i="21" s="1"/>
  <c r="AP171" i="21"/>
  <c r="AP148" i="21" s="1"/>
  <c r="AB85" i="21"/>
  <c r="AB86" i="21" s="1"/>
  <c r="AB63" i="21" s="1"/>
  <c r="AH127" i="21"/>
  <c r="AH128" i="21" s="1"/>
  <c r="AH105" i="21" s="1"/>
  <c r="S85" i="21"/>
  <c r="S86" i="21" s="1"/>
  <c r="S63" i="21" s="1"/>
  <c r="AB169" i="21"/>
  <c r="AB170" i="21" s="1"/>
  <c r="AB147" i="21" s="1"/>
  <c r="AC127" i="21"/>
  <c r="AC128" i="21" s="1"/>
  <c r="AC105" i="21" s="1"/>
  <c r="X169" i="21"/>
  <c r="X170" i="21" s="1"/>
  <c r="X147" i="21" s="1"/>
  <c r="AB127" i="21"/>
  <c r="AB128" i="21" s="1"/>
  <c r="AB105" i="21" s="1"/>
  <c r="G169" i="21"/>
  <c r="G170" i="21" s="1"/>
  <c r="G147" i="21" s="1"/>
  <c r="W85" i="21"/>
  <c r="W86" i="21" s="1"/>
  <c r="W63" i="21" s="1"/>
  <c r="V85" i="21"/>
  <c r="V86" i="21" s="1"/>
  <c r="V63" i="21" s="1"/>
  <c r="AC85" i="21"/>
  <c r="AC86" i="21" s="1"/>
  <c r="AC63" i="21" s="1"/>
  <c r="M85" i="21"/>
  <c r="M86" i="21" s="1"/>
  <c r="M63" i="21" s="1"/>
  <c r="P85" i="21"/>
  <c r="P86" i="21" s="1"/>
  <c r="P63" i="21" s="1"/>
  <c r="Q127" i="21"/>
  <c r="Q128" i="21" s="1"/>
  <c r="Q105" i="21" s="1"/>
  <c r="S127" i="21"/>
  <c r="S128" i="21" s="1"/>
  <c r="S105" i="21" s="1"/>
  <c r="K169" i="21"/>
  <c r="K170" i="21" s="1"/>
  <c r="K147" i="21" s="1"/>
  <c r="F169" i="21"/>
  <c r="F170" i="21" s="1"/>
  <c r="F147" i="21" s="1"/>
  <c r="E169" i="21"/>
  <c r="E170" i="21" s="1"/>
  <c r="E147" i="21" s="1"/>
  <c r="J211" i="21"/>
  <c r="J212" i="21" s="1"/>
  <c r="J189" i="21" s="1"/>
  <c r="X211" i="21"/>
  <c r="X212" i="21" s="1"/>
  <c r="X189" i="21" s="1"/>
  <c r="L85" i="21"/>
  <c r="L86" i="21" s="1"/>
  <c r="L63" i="21" s="1"/>
  <c r="U211" i="21"/>
  <c r="U212" i="21" s="1"/>
  <c r="U189" i="21" s="1"/>
  <c r="L211" i="21"/>
  <c r="L212" i="21" s="1"/>
  <c r="L189" i="21" s="1"/>
  <c r="O85" i="21"/>
  <c r="O86" i="21" s="1"/>
  <c r="O63" i="21" s="1"/>
  <c r="N85" i="21"/>
  <c r="N86" i="21" s="1"/>
  <c r="N63" i="21" s="1"/>
  <c r="U85" i="21"/>
  <c r="U86" i="21" s="1"/>
  <c r="U63" i="21" s="1"/>
  <c r="X85" i="21"/>
  <c r="X86" i="21" s="1"/>
  <c r="X63" i="21" s="1"/>
  <c r="X127" i="21"/>
  <c r="X128" i="21" s="1"/>
  <c r="X105" i="21" s="1"/>
  <c r="AD127" i="21"/>
  <c r="AD128" i="21" s="1"/>
  <c r="AD105" i="21" s="1"/>
  <c r="P169" i="21"/>
  <c r="P170" i="21" s="1"/>
  <c r="P147" i="21" s="1"/>
  <c r="N169" i="21"/>
  <c r="N170" i="21" s="1"/>
  <c r="N147" i="21" s="1"/>
  <c r="Q169" i="21"/>
  <c r="Q170" i="21" s="1"/>
  <c r="Q147" i="21" s="1"/>
  <c r="H211" i="21"/>
  <c r="H212" i="21" s="1"/>
  <c r="H189" i="21" s="1"/>
  <c r="AA85" i="21"/>
  <c r="AA86" i="21" s="1"/>
  <c r="AA63" i="21" s="1"/>
  <c r="Z85" i="21"/>
  <c r="Z86" i="21" s="1"/>
  <c r="Z63" i="21" s="1"/>
  <c r="J85" i="21"/>
  <c r="J86" i="21" s="1"/>
  <c r="J63" i="21" s="1"/>
  <c r="Q85" i="21"/>
  <c r="Q86" i="21" s="1"/>
  <c r="Q63" i="21" s="1"/>
  <c r="W127" i="21"/>
  <c r="W128" i="21" s="1"/>
  <c r="W105" i="21" s="1"/>
  <c r="R127" i="21"/>
  <c r="R128" i="21" s="1"/>
  <c r="R105" i="21" s="1"/>
  <c r="H169" i="21"/>
  <c r="H170" i="21" s="1"/>
  <c r="H147" i="21" s="1"/>
  <c r="J169" i="21"/>
  <c r="J170" i="21" s="1"/>
  <c r="J147" i="21" s="1"/>
  <c r="R211" i="21"/>
  <c r="R212" i="21" s="1"/>
  <c r="R189" i="21" s="1"/>
  <c r="S211" i="21"/>
  <c r="S212" i="21" s="1"/>
  <c r="S189" i="21" s="1"/>
  <c r="AP255" i="21"/>
  <c r="AP232" i="21" s="1"/>
  <c r="I253" i="21"/>
  <c r="I254" i="21" s="1"/>
  <c r="I231" i="21" s="1"/>
  <c r="H253" i="21"/>
  <c r="H254" i="21" s="1"/>
  <c r="H231" i="21" s="1"/>
  <c r="L127" i="21"/>
  <c r="L128" i="21" s="1"/>
  <c r="L105" i="21" s="1"/>
  <c r="M127" i="21"/>
  <c r="M128" i="21" s="1"/>
  <c r="M105" i="21" s="1"/>
  <c r="AJ131" i="21"/>
  <c r="AJ108" i="21" s="1"/>
  <c r="AM129" i="21"/>
  <c r="AM106" i="21" s="1"/>
  <c r="AJ129" i="21"/>
  <c r="AJ106" i="21" s="1"/>
  <c r="K130" i="21"/>
  <c r="K107" i="21" s="1"/>
  <c r="Y127" i="21"/>
  <c r="Y128" i="21" s="1"/>
  <c r="Y105" i="21" s="1"/>
  <c r="AE127" i="21"/>
  <c r="AE128" i="21" s="1"/>
  <c r="AE105" i="21" s="1"/>
  <c r="O127" i="21"/>
  <c r="O128" i="21" s="1"/>
  <c r="O105" i="21" s="1"/>
  <c r="Z127" i="21"/>
  <c r="Z128" i="21" s="1"/>
  <c r="Z105" i="21" s="1"/>
  <c r="AM131" i="21"/>
  <c r="AM108" i="21" s="1"/>
  <c r="AL131" i="21"/>
  <c r="AL108" i="21" s="1"/>
  <c r="H130" i="21"/>
  <c r="H107" i="21" s="1"/>
  <c r="U127" i="21"/>
  <c r="U128" i="21" s="1"/>
  <c r="U105" i="21" s="1"/>
  <c r="AF127" i="21"/>
  <c r="AF128" i="21" s="1"/>
  <c r="AF105" i="21" s="1"/>
  <c r="AA127" i="21"/>
  <c r="AA128" i="21" s="1"/>
  <c r="AA105" i="21" s="1"/>
  <c r="AA147" i="21"/>
  <c r="T169" i="21"/>
  <c r="T170" i="21" s="1"/>
  <c r="T147" i="21" s="1"/>
  <c r="O169" i="21"/>
  <c r="O170" i="21" s="1"/>
  <c r="O147" i="21" s="1"/>
  <c r="Z169" i="21"/>
  <c r="Z170" i="21" s="1"/>
  <c r="Z147" i="21" s="1"/>
  <c r="U169" i="21"/>
  <c r="U170" i="21" s="1"/>
  <c r="U147" i="21" s="1"/>
  <c r="V169" i="21"/>
  <c r="V170" i="21" s="1"/>
  <c r="V147" i="21" s="1"/>
  <c r="L169" i="21"/>
  <c r="L170" i="21" s="1"/>
  <c r="L147" i="21" s="1"/>
  <c r="R169" i="21"/>
  <c r="R170" i="21" s="1"/>
  <c r="R147" i="21" s="1"/>
  <c r="Y253" i="21"/>
  <c r="Y254" i="21" s="1"/>
  <c r="P253" i="21"/>
  <c r="P254" i="21" s="1"/>
  <c r="P231" i="21" s="1"/>
  <c r="AA253" i="21"/>
  <c r="AA254" i="21" s="1"/>
  <c r="AA231" i="21" s="1"/>
  <c r="K253" i="21"/>
  <c r="K254" i="21" s="1"/>
  <c r="K231" i="21" s="1"/>
  <c r="R253" i="21"/>
  <c r="R254" i="21" s="1"/>
  <c r="R231" i="21" s="1"/>
  <c r="U253" i="21"/>
  <c r="U254" i="21" s="1"/>
  <c r="U231" i="21" s="1"/>
  <c r="L253" i="21"/>
  <c r="L254" i="21" s="1"/>
  <c r="L231" i="21" s="1"/>
  <c r="W253" i="21"/>
  <c r="W254" i="21" s="1"/>
  <c r="W231" i="21" s="1"/>
  <c r="AD253" i="21"/>
  <c r="AD254" i="21" s="1"/>
  <c r="AD231" i="21" s="1"/>
  <c r="N253" i="21"/>
  <c r="N254" i="21" s="1"/>
  <c r="N231" i="21" s="1"/>
  <c r="S253" i="21"/>
  <c r="S254" i="21" s="1"/>
  <c r="S231" i="21" s="1"/>
  <c r="AE253" i="21"/>
  <c r="AE254" i="21" s="1"/>
  <c r="AE231" i="21" s="1"/>
  <c r="P211" i="21"/>
  <c r="P212" i="21" s="1"/>
  <c r="P189" i="21" s="1"/>
  <c r="AL213" i="21"/>
  <c r="AL190" i="21" s="1"/>
  <c r="V211" i="21"/>
  <c r="V212" i="21" s="1"/>
  <c r="V189" i="21" s="1"/>
  <c r="Y211" i="21"/>
  <c r="Y212" i="21" s="1"/>
  <c r="Y189" i="21" s="1"/>
  <c r="O211" i="21"/>
  <c r="O212" i="21" s="1"/>
  <c r="O189" i="21" s="1"/>
  <c r="Z211" i="21"/>
  <c r="Z212" i="21" s="1"/>
  <c r="Z189" i="21" s="1"/>
  <c r="T211" i="21"/>
  <c r="T212" i="21" s="1"/>
  <c r="T189" i="21" s="1"/>
  <c r="Z255" i="21"/>
  <c r="Z232" i="21" s="1"/>
  <c r="AP257" i="21"/>
  <c r="AP234" i="21" s="1"/>
  <c r="AO257" i="21"/>
  <c r="AO234" i="21" s="1"/>
  <c r="AO131" i="21"/>
  <c r="AO108" i="21" s="1"/>
  <c r="AO213" i="21"/>
  <c r="AO190" i="21" s="1"/>
  <c r="AQ131" i="21"/>
  <c r="AQ108" i="21" s="1"/>
  <c r="AI173" i="21"/>
  <c r="AI150" i="21" s="1"/>
  <c r="AH171" i="21"/>
  <c r="AH148" i="21" s="1"/>
  <c r="AL129" i="21"/>
  <c r="AL106" i="21" s="1"/>
  <c r="AM171" i="21"/>
  <c r="AM148" i="21" s="1"/>
  <c r="AH173" i="21"/>
  <c r="AH150" i="21" s="1"/>
  <c r="AM173" i="21"/>
  <c r="AM150" i="21" s="1"/>
  <c r="AL257" i="21"/>
  <c r="AL234" i="21" s="1"/>
  <c r="AL233" i="21"/>
  <c r="Y65" i="21"/>
  <c r="AN255" i="21"/>
  <c r="AN232" i="21" s="1"/>
  <c r="AN233" i="21"/>
  <c r="AP129" i="21"/>
  <c r="AP106" i="21" s="1"/>
  <c r="AP107" i="21"/>
  <c r="AH215" i="21"/>
  <c r="AH192" i="21" s="1"/>
  <c r="AP131" i="21"/>
  <c r="AP108" i="21" s="1"/>
  <c r="AG215" i="21"/>
  <c r="AG192" i="21" s="1"/>
  <c r="AL255" i="21"/>
  <c r="AL232" i="21" s="1"/>
  <c r="AG213" i="21"/>
  <c r="AG190" i="21" s="1"/>
  <c r="F37" i="21"/>
  <c r="F21" i="21"/>
  <c r="F22" i="21" s="1"/>
  <c r="E22" i="21"/>
  <c r="F40" i="21"/>
  <c r="F17" i="21" s="1"/>
  <c r="AH213" i="21"/>
  <c r="AH190" i="21" s="1"/>
  <c r="AF257" i="21"/>
  <c r="AF234" i="21" s="1"/>
  <c r="AN257" i="21"/>
  <c r="AN234" i="21" s="1"/>
  <c r="AJ257" i="21"/>
  <c r="AJ234" i="21" s="1"/>
  <c r="G37" i="21"/>
  <c r="AI215" i="21"/>
  <c r="AI192" i="21" s="1"/>
  <c r="AI213" i="21"/>
  <c r="AI190" i="21" s="1"/>
  <c r="Z87" i="21"/>
  <c r="Z64" i="21" s="1"/>
  <c r="Z89" i="21"/>
  <c r="Z66" i="21" s="1"/>
  <c r="AQ213" i="21"/>
  <c r="AQ190" i="21" s="1"/>
  <c r="AQ215" i="21"/>
  <c r="AQ192" i="21" s="1"/>
  <c r="AN131" i="21"/>
  <c r="AN108" i="21" s="1"/>
  <c r="AN129" i="21"/>
  <c r="AN106" i="21" s="1"/>
  <c r="AH87" i="21"/>
  <c r="AH64" i="21" s="1"/>
  <c r="AH89" i="21"/>
  <c r="AH66" i="21" s="1"/>
  <c r="AM215" i="21"/>
  <c r="AM192" i="21" s="1"/>
  <c r="AM213" i="21"/>
  <c r="AM190" i="21" s="1"/>
  <c r="AJ65" i="21" l="1"/>
  <c r="AJ87" i="21"/>
  <c r="AJ64" i="21" s="1"/>
  <c r="AJ89" i="21"/>
  <c r="AJ66" i="21" s="1"/>
  <c r="AM65" i="21"/>
  <c r="AM89" i="21"/>
  <c r="AM66" i="21" s="1"/>
  <c r="AM87" i="21"/>
  <c r="AM64" i="21" s="1"/>
  <c r="V65" i="21"/>
  <c r="V89" i="21"/>
  <c r="V66" i="21" s="1"/>
  <c r="W65" i="21"/>
  <c r="W87" i="21"/>
  <c r="W64" i="21" s="1"/>
  <c r="AL65" i="21"/>
  <c r="AL87" i="21"/>
  <c r="AL64" i="21" s="1"/>
  <c r="AL89" i="21"/>
  <c r="AL66" i="21" s="1"/>
  <c r="E89" i="21"/>
  <c r="E66" i="21" s="1"/>
  <c r="E87" i="21"/>
  <c r="E64" i="21" s="1"/>
  <c r="E65" i="21"/>
  <c r="T65" i="21"/>
  <c r="T87" i="21"/>
  <c r="T64" i="21" s="1"/>
  <c r="T89" i="21"/>
  <c r="T66" i="21" s="1"/>
  <c r="AG65" i="21"/>
  <c r="AG89" i="21"/>
  <c r="AG66" i="21" s="1"/>
  <c r="AG87" i="21"/>
  <c r="AG64" i="21" s="1"/>
  <c r="X89" i="21"/>
  <c r="X66" i="21" s="1"/>
  <c r="X65" i="21"/>
  <c r="X87" i="21"/>
  <c r="X64" i="21" s="1"/>
  <c r="AN89" i="21"/>
  <c r="AN66" i="21" s="1"/>
  <c r="AN87" i="21"/>
  <c r="AN64" i="21" s="1"/>
  <c r="AN65" i="21"/>
  <c r="AD89" i="21"/>
  <c r="AD66" i="21" s="1"/>
  <c r="AD87" i="21"/>
  <c r="AD64" i="21" s="1"/>
  <c r="AD65" i="21"/>
  <c r="AO65" i="21"/>
  <c r="AO89" i="21"/>
  <c r="AO66" i="21" s="1"/>
  <c r="AO87" i="21"/>
  <c r="AO64" i="21" s="1"/>
  <c r="AI65" i="21"/>
  <c r="AI87" i="21"/>
  <c r="AI64" i="21" s="1"/>
  <c r="AI89" i="21"/>
  <c r="AI66" i="21" s="1"/>
  <c r="AK65" i="21"/>
  <c r="AK87" i="21"/>
  <c r="AK64" i="21" s="1"/>
  <c r="AK89" i="21"/>
  <c r="AK66" i="21" s="1"/>
  <c r="AF89" i="21"/>
  <c r="AF66" i="21" s="1"/>
  <c r="AF65" i="21"/>
  <c r="AF87" i="21"/>
  <c r="AF64" i="21" s="1"/>
  <c r="AP65" i="21"/>
  <c r="AP89" i="21"/>
  <c r="AP66" i="21" s="1"/>
  <c r="AP87" i="21"/>
  <c r="AP64" i="21" s="1"/>
  <c r="AE65" i="21"/>
  <c r="AE89" i="21"/>
  <c r="AE66" i="21" s="1"/>
  <c r="AE87" i="21"/>
  <c r="AE64" i="21" s="1"/>
  <c r="AQ65" i="21"/>
  <c r="AQ87" i="21"/>
  <c r="AQ64" i="21" s="1"/>
  <c r="AQ89" i="21"/>
  <c r="AQ66" i="21" s="1"/>
  <c r="G129" i="21"/>
  <c r="G106" i="21" s="1"/>
  <c r="G107" i="21"/>
  <c r="AE107" i="21"/>
  <c r="AE131" i="21"/>
  <c r="AE108" i="21" s="1"/>
  <c r="J131" i="21"/>
  <c r="J108" i="21" s="1"/>
  <c r="J129" i="21"/>
  <c r="J106" i="21" s="1"/>
  <c r="J107" i="21"/>
  <c r="I107" i="21"/>
  <c r="I129" i="21"/>
  <c r="I106" i="21" s="1"/>
  <c r="I131" i="21"/>
  <c r="I108" i="21" s="1"/>
  <c r="P129" i="21"/>
  <c r="P106" i="21" s="1"/>
  <c r="P131" i="21"/>
  <c r="P108" i="21" s="1"/>
  <c r="P107" i="21"/>
  <c r="AG107" i="21"/>
  <c r="AG131" i="21"/>
  <c r="AG108" i="21" s="1"/>
  <c r="AG129" i="21"/>
  <c r="AG106" i="21" s="1"/>
  <c r="AK107" i="21"/>
  <c r="AK131" i="21"/>
  <c r="AK108" i="21" s="1"/>
  <c r="AK129" i="21"/>
  <c r="AK106" i="21" s="1"/>
  <c r="X107" i="21"/>
  <c r="X131" i="21"/>
  <c r="X108" i="21" s="1"/>
  <c r="T129" i="21"/>
  <c r="T106" i="21" s="1"/>
  <c r="T107" i="21"/>
  <c r="T131" i="21"/>
  <c r="T108" i="21" s="1"/>
  <c r="N107" i="21"/>
  <c r="N129" i="21"/>
  <c r="N106" i="21" s="1"/>
  <c r="N131" i="21"/>
  <c r="N108" i="21" s="1"/>
  <c r="AH131" i="21"/>
  <c r="AH108" i="21" s="1"/>
  <c r="AH107" i="21"/>
  <c r="AH129" i="21"/>
  <c r="AH106" i="21" s="1"/>
  <c r="E107" i="21"/>
  <c r="E129" i="21"/>
  <c r="E106" i="21" s="1"/>
  <c r="E131" i="21"/>
  <c r="E108" i="21" s="1"/>
  <c r="V107" i="21"/>
  <c r="V129" i="21"/>
  <c r="V106" i="21" s="1"/>
  <c r="V131" i="21"/>
  <c r="V108" i="21" s="1"/>
  <c r="AA149" i="21"/>
  <c r="AA171" i="21"/>
  <c r="AA148" i="21" s="1"/>
  <c r="AA173" i="21"/>
  <c r="AA150" i="21" s="1"/>
  <c r="AG149" i="21"/>
  <c r="AG171" i="21"/>
  <c r="AG148" i="21" s="1"/>
  <c r="AG173" i="21"/>
  <c r="AG150" i="21" s="1"/>
  <c r="AF149" i="21"/>
  <c r="AF173" i="21"/>
  <c r="AF150" i="21" s="1"/>
  <c r="AF171" i="21"/>
  <c r="AF148" i="21" s="1"/>
  <c r="AO149" i="21"/>
  <c r="AO173" i="21"/>
  <c r="AO150" i="21" s="1"/>
  <c r="AO171" i="21"/>
  <c r="AO148" i="21" s="1"/>
  <c r="AQ171" i="21"/>
  <c r="AQ148" i="21" s="1"/>
  <c r="AQ173" i="21"/>
  <c r="AQ150" i="21" s="1"/>
  <c r="AQ149" i="21"/>
  <c r="AN149" i="21"/>
  <c r="AN173" i="21"/>
  <c r="AN150" i="21" s="1"/>
  <c r="AN171" i="21"/>
  <c r="AN148" i="21" s="1"/>
  <c r="X149" i="21"/>
  <c r="X173" i="21"/>
  <c r="X150" i="21" s="1"/>
  <c r="W149" i="21"/>
  <c r="W173" i="21"/>
  <c r="W150" i="21" s="1"/>
  <c r="W171" i="21"/>
  <c r="W148" i="21" s="1"/>
  <c r="S149" i="21"/>
  <c r="S171" i="21"/>
  <c r="S148" i="21" s="1"/>
  <c r="S173" i="21"/>
  <c r="S150" i="21" s="1"/>
  <c r="AK149" i="21"/>
  <c r="AK171" i="21"/>
  <c r="AK148" i="21" s="1"/>
  <c r="AK173" i="21"/>
  <c r="AK150" i="21" s="1"/>
  <c r="AC173" i="21"/>
  <c r="AC150" i="21" s="1"/>
  <c r="AC171" i="21"/>
  <c r="AC148" i="21" s="1"/>
  <c r="AC149" i="21"/>
  <c r="AD149" i="21"/>
  <c r="AD173" i="21"/>
  <c r="AD150" i="21" s="1"/>
  <c r="AD171" i="21"/>
  <c r="AD148" i="21" s="1"/>
  <c r="AB149" i="21"/>
  <c r="AB171" i="21"/>
  <c r="AB148" i="21" s="1"/>
  <c r="AB173" i="21"/>
  <c r="AB150" i="21" s="1"/>
  <c r="AE171" i="21"/>
  <c r="AE148" i="21" s="1"/>
  <c r="AE149" i="21"/>
  <c r="AE173" i="21"/>
  <c r="AE150" i="21" s="1"/>
  <c r="I149" i="21"/>
  <c r="I171" i="21"/>
  <c r="I148" i="21" s="1"/>
  <c r="I173" i="21"/>
  <c r="I150" i="21" s="1"/>
  <c r="AJ149" i="21"/>
  <c r="AJ171" i="21"/>
  <c r="AJ148" i="21" s="1"/>
  <c r="AJ173" i="21"/>
  <c r="AJ150" i="21" s="1"/>
  <c r="Y149" i="21"/>
  <c r="Y171" i="21"/>
  <c r="Y148" i="21" s="1"/>
  <c r="Y173" i="21"/>
  <c r="Y150" i="21" s="1"/>
  <c r="E213" i="21"/>
  <c r="E190" i="21" s="1"/>
  <c r="E191" i="21"/>
  <c r="E215" i="21"/>
  <c r="E192" i="21" s="1"/>
  <c r="G191" i="21"/>
  <c r="G215" i="21"/>
  <c r="G192" i="21" s="1"/>
  <c r="AN191" i="21"/>
  <c r="AN213" i="21"/>
  <c r="AN190" i="21" s="1"/>
  <c r="AN215" i="21"/>
  <c r="AN192" i="21" s="1"/>
  <c r="AP191" i="21"/>
  <c r="AP215" i="21"/>
  <c r="AP192" i="21" s="1"/>
  <c r="AP213" i="21"/>
  <c r="AP190" i="21" s="1"/>
  <c r="AF215" i="21"/>
  <c r="AF192" i="21" s="1"/>
  <c r="I215" i="21"/>
  <c r="I192" i="21" s="1"/>
  <c r="AJ213" i="21"/>
  <c r="AJ190" i="21" s="1"/>
  <c r="AJ215" i="21"/>
  <c r="AJ192" i="21" s="1"/>
  <c r="I213" i="21"/>
  <c r="I190" i="21" s="1"/>
  <c r="AF213" i="21"/>
  <c r="AF190" i="21" s="1"/>
  <c r="AK233" i="21"/>
  <c r="AK255" i="21"/>
  <c r="AK232" i="21" s="1"/>
  <c r="AK257" i="21"/>
  <c r="AK234" i="21" s="1"/>
  <c r="M233" i="21"/>
  <c r="M255" i="21"/>
  <c r="M232" i="21" s="1"/>
  <c r="W233" i="21"/>
  <c r="W257" i="21"/>
  <c r="W234" i="21" s="1"/>
  <c r="AI233" i="21"/>
  <c r="AI255" i="21"/>
  <c r="AI232" i="21" s="1"/>
  <c r="AI257" i="21"/>
  <c r="AI234" i="21" s="1"/>
  <c r="E233" i="21"/>
  <c r="E257" i="21"/>
  <c r="E234" i="21" s="1"/>
  <c r="E255" i="21"/>
  <c r="E232" i="21" s="1"/>
  <c r="AM233" i="21"/>
  <c r="AM257" i="21"/>
  <c r="AM234" i="21" s="1"/>
  <c r="AM255" i="21"/>
  <c r="AM232" i="21" s="1"/>
  <c r="AG233" i="21"/>
  <c r="AG255" i="21"/>
  <c r="AG232" i="21" s="1"/>
  <c r="AG257" i="21"/>
  <c r="AG234" i="21" s="1"/>
  <c r="V257" i="21"/>
  <c r="V234" i="21" s="1"/>
  <c r="V233" i="21"/>
  <c r="V255" i="21"/>
  <c r="V232" i="21" s="1"/>
  <c r="AQ233" i="21"/>
  <c r="AQ257" i="21"/>
  <c r="AQ234" i="21" s="1"/>
  <c r="AQ255" i="21"/>
  <c r="AQ232" i="21" s="1"/>
  <c r="Q233" i="21"/>
  <c r="F38" i="21"/>
  <c r="F15" i="21" s="1"/>
  <c r="J255" i="21"/>
  <c r="J232" i="21" s="1"/>
  <c r="Z257" i="21"/>
  <c r="Z234" i="21" s="1"/>
  <c r="AB257" i="21"/>
  <c r="AB234" i="21" s="1"/>
  <c r="J257" i="21"/>
  <c r="J234" i="21" s="1"/>
  <c r="T257" i="21"/>
  <c r="T234" i="21" s="1"/>
  <c r="AC255" i="21"/>
  <c r="AC232" i="21" s="1"/>
  <c r="W213" i="21"/>
  <c r="W190" i="21" s="1"/>
  <c r="X255" i="21"/>
  <c r="X232" i="21" s="1"/>
  <c r="W215" i="21"/>
  <c r="W192" i="21" s="1"/>
  <c r="AC257" i="21"/>
  <c r="AC234" i="21" s="1"/>
  <c r="T255" i="21"/>
  <c r="T232" i="21" s="1"/>
  <c r="X257" i="21"/>
  <c r="X234" i="21" s="1"/>
  <c r="N213" i="21"/>
  <c r="N190" i="21" s="1"/>
  <c r="AA215" i="21"/>
  <c r="AA192" i="21" s="1"/>
  <c r="K213" i="21"/>
  <c r="K190" i="21" s="1"/>
  <c r="X215" i="21"/>
  <c r="X192" i="21" s="1"/>
  <c r="AB215" i="21"/>
  <c r="AB192" i="21" s="1"/>
  <c r="S215" i="21"/>
  <c r="S192" i="21" s="1"/>
  <c r="X213" i="21"/>
  <c r="X190" i="21" s="1"/>
  <c r="AB213" i="21"/>
  <c r="AB190" i="21" s="1"/>
  <c r="Q257" i="21"/>
  <c r="Q234" i="21" s="1"/>
  <c r="K255" i="21"/>
  <c r="K232" i="21" s="1"/>
  <c r="R131" i="21"/>
  <c r="R108" i="21" s="1"/>
  <c r="R129" i="21"/>
  <c r="R106" i="21" s="1"/>
  <c r="S213" i="21"/>
  <c r="S190" i="21" s="1"/>
  <c r="K215" i="21"/>
  <c r="K192" i="21" s="1"/>
  <c r="G213" i="21"/>
  <c r="G190" i="21" s="1"/>
  <c r="R255" i="21"/>
  <c r="R232" i="21" s="1"/>
  <c r="Q213" i="21"/>
  <c r="Q190" i="21" s="1"/>
  <c r="G173" i="21"/>
  <c r="G150" i="21" s="1"/>
  <c r="R257" i="21"/>
  <c r="R234" i="21" s="1"/>
  <c r="K257" i="21"/>
  <c r="K234" i="21" s="1"/>
  <c r="E173" i="21"/>
  <c r="E150" i="21" s="1"/>
  <c r="F255" i="21"/>
  <c r="F232" i="21" s="1"/>
  <c r="M257" i="21"/>
  <c r="M234" i="21" s="1"/>
  <c r="N215" i="21"/>
  <c r="N192" i="21" s="1"/>
  <c r="F257" i="21"/>
  <c r="F234" i="21" s="1"/>
  <c r="M213" i="21"/>
  <c r="M190" i="21" s="1"/>
  <c r="F131" i="21"/>
  <c r="F108" i="21" s="1"/>
  <c r="O255" i="21"/>
  <c r="O232" i="21" s="1"/>
  <c r="L257" i="21"/>
  <c r="L234" i="21" s="1"/>
  <c r="O257" i="21"/>
  <c r="O234" i="21" s="1"/>
  <c r="S255" i="21"/>
  <c r="S232" i="21" s="1"/>
  <c r="S257" i="21"/>
  <c r="S234" i="21" s="1"/>
  <c r="G257" i="21"/>
  <c r="G234" i="21" s="1"/>
  <c r="G255" i="21"/>
  <c r="G232" i="21" s="1"/>
  <c r="M171" i="21"/>
  <c r="M148" i="21" s="1"/>
  <c r="H257" i="21"/>
  <c r="H234" i="21" s="1"/>
  <c r="H255" i="21"/>
  <c r="H232" i="21" s="1"/>
  <c r="G171" i="21"/>
  <c r="G148" i="21" s="1"/>
  <c r="Q215" i="21"/>
  <c r="Q192" i="21" s="1"/>
  <c r="M215" i="21"/>
  <c r="M192" i="21" s="1"/>
  <c r="K173" i="21"/>
  <c r="K150" i="21" s="1"/>
  <c r="F89" i="21"/>
  <c r="F66" i="21" s="1"/>
  <c r="H171" i="21"/>
  <c r="H148" i="21" s="1"/>
  <c r="F129" i="21"/>
  <c r="F106" i="21" s="1"/>
  <c r="K171" i="21"/>
  <c r="K148" i="21" s="1"/>
  <c r="F213" i="21"/>
  <c r="F190" i="21" s="1"/>
  <c r="H215" i="21"/>
  <c r="H192" i="21" s="1"/>
  <c r="U213" i="21"/>
  <c r="U190" i="21" s="1"/>
  <c r="F215" i="21"/>
  <c r="F192" i="21" s="1"/>
  <c r="T171" i="21"/>
  <c r="T148" i="21" s="1"/>
  <c r="Q129" i="21"/>
  <c r="Q106" i="21" s="1"/>
  <c r="G131" i="21"/>
  <c r="G108" i="21" s="1"/>
  <c r="F87" i="21"/>
  <c r="F64" i="21" s="1"/>
  <c r="I87" i="21"/>
  <c r="I64" i="21" s="1"/>
  <c r="H89" i="21"/>
  <c r="H66" i="21" s="1"/>
  <c r="M87" i="21"/>
  <c r="M64" i="21" s="1"/>
  <c r="M89" i="21"/>
  <c r="M66" i="21" s="1"/>
  <c r="G89" i="21"/>
  <c r="G66" i="21" s="1"/>
  <c r="K89" i="21"/>
  <c r="K66" i="21" s="1"/>
  <c r="G87" i="21"/>
  <c r="G64" i="21" s="1"/>
  <c r="H87" i="21"/>
  <c r="H64" i="21" s="1"/>
  <c r="K87" i="21"/>
  <c r="K64" i="21" s="1"/>
  <c r="R87" i="21"/>
  <c r="R64" i="21" s="1"/>
  <c r="I89" i="21"/>
  <c r="I66" i="21" s="1"/>
  <c r="AA213" i="21"/>
  <c r="AA190" i="21" s="1"/>
  <c r="AC131" i="21"/>
  <c r="AC108" i="21" s="1"/>
  <c r="AB89" i="21"/>
  <c r="AB66" i="21" s="1"/>
  <c r="Q173" i="21"/>
  <c r="Q150" i="21" s="1"/>
  <c r="H173" i="21"/>
  <c r="H150" i="21" s="1"/>
  <c r="X129" i="21"/>
  <c r="X106" i="21" s="1"/>
  <c r="AC129" i="21"/>
  <c r="AC106" i="21" s="1"/>
  <c r="O87" i="21"/>
  <c r="O64" i="21" s="1"/>
  <c r="P87" i="21"/>
  <c r="P64" i="21" s="1"/>
  <c r="F173" i="21"/>
  <c r="F150" i="21" s="1"/>
  <c r="AB255" i="21"/>
  <c r="AB232" i="21" s="1"/>
  <c r="W255" i="21"/>
  <c r="W232" i="21" s="1"/>
  <c r="T215" i="21"/>
  <c r="T192" i="21" s="1"/>
  <c r="U257" i="21"/>
  <c r="U234" i="21" s="1"/>
  <c r="AC89" i="21"/>
  <c r="AC66" i="21" s="1"/>
  <c r="P173" i="21"/>
  <c r="P150" i="21" s="1"/>
  <c r="AA89" i="21"/>
  <c r="AA66" i="21" s="1"/>
  <c r="L215" i="21"/>
  <c r="L192" i="21" s="1"/>
  <c r="AA87" i="21"/>
  <c r="AA64" i="21" s="1"/>
  <c r="O173" i="21"/>
  <c r="O150" i="21" s="1"/>
  <c r="J213" i="21"/>
  <c r="J190" i="21" s="1"/>
  <c r="I257" i="21"/>
  <c r="I234" i="21" s="1"/>
  <c r="U87" i="21"/>
  <c r="U64" i="21" s="1"/>
  <c r="V87" i="21"/>
  <c r="V64" i="21" s="1"/>
  <c r="X171" i="21"/>
  <c r="X148" i="21" s="1"/>
  <c r="M131" i="21"/>
  <c r="M108" i="21" s="1"/>
  <c r="P213" i="21"/>
  <c r="P190" i="21" s="1"/>
  <c r="N87" i="21"/>
  <c r="N64" i="21" s="1"/>
  <c r="AD131" i="21"/>
  <c r="AD108" i="21" s="1"/>
  <c r="N89" i="21"/>
  <c r="N66" i="21" s="1"/>
  <c r="M149" i="21"/>
  <c r="J171" i="21"/>
  <c r="J148" i="21" s="1"/>
  <c r="U215" i="21"/>
  <c r="U192" i="21" s="1"/>
  <c r="H213" i="21"/>
  <c r="H190" i="21" s="1"/>
  <c r="M129" i="21"/>
  <c r="M106" i="21" s="1"/>
  <c r="AD257" i="21"/>
  <c r="AD234" i="21" s="1"/>
  <c r="AD215" i="21"/>
  <c r="AD192" i="21" s="1"/>
  <c r="Q131" i="21"/>
  <c r="Q108" i="21" s="1"/>
  <c r="J173" i="21"/>
  <c r="J150" i="21" s="1"/>
  <c r="AC215" i="21"/>
  <c r="AC192" i="21" s="1"/>
  <c r="Q87" i="21"/>
  <c r="Q64" i="21" s="1"/>
  <c r="L173" i="21"/>
  <c r="L150" i="21" s="1"/>
  <c r="Q89" i="21"/>
  <c r="Q66" i="21" s="1"/>
  <c r="R89" i="21"/>
  <c r="R66" i="21" s="1"/>
  <c r="O131" i="21"/>
  <c r="O108" i="21" s="1"/>
  <c r="O129" i="21"/>
  <c r="O106" i="21" s="1"/>
  <c r="AD213" i="21"/>
  <c r="AD190" i="21" s="1"/>
  <c r="AD129" i="21"/>
  <c r="AD106" i="21" s="1"/>
  <c r="AC213" i="21"/>
  <c r="AC190" i="21" s="1"/>
  <c r="I255" i="21"/>
  <c r="I232" i="21" s="1"/>
  <c r="AE215" i="21"/>
  <c r="AE192" i="21" s="1"/>
  <c r="AE213" i="21"/>
  <c r="AE190" i="21" s="1"/>
  <c r="N173" i="21"/>
  <c r="N150" i="21" s="1"/>
  <c r="J87" i="21"/>
  <c r="J64" i="21" s="1"/>
  <c r="O89" i="21"/>
  <c r="O66" i="21" s="1"/>
  <c r="W89" i="21"/>
  <c r="W66" i="21" s="1"/>
  <c r="L89" i="21"/>
  <c r="L66" i="21" s="1"/>
  <c r="P89" i="21"/>
  <c r="P66" i="21" s="1"/>
  <c r="AB87" i="21"/>
  <c r="AB64" i="21" s="1"/>
  <c r="J89" i="21"/>
  <c r="J66" i="21" s="1"/>
  <c r="L87" i="21"/>
  <c r="L64" i="21" s="1"/>
  <c r="H129" i="21"/>
  <c r="H106" i="21" s="1"/>
  <c r="H131" i="21"/>
  <c r="H108" i="21" s="1"/>
  <c r="N149" i="21"/>
  <c r="N171" i="21"/>
  <c r="N148" i="21" s="1"/>
  <c r="P215" i="21"/>
  <c r="P192" i="21" s="1"/>
  <c r="R171" i="21"/>
  <c r="R148" i="21" s="1"/>
  <c r="Z171" i="21"/>
  <c r="Z148" i="21" s="1"/>
  <c r="R173" i="21"/>
  <c r="R150" i="21" s="1"/>
  <c r="F171" i="21"/>
  <c r="F148" i="21" s="1"/>
  <c r="Z173" i="21"/>
  <c r="Z150" i="21" s="1"/>
  <c r="Q171" i="21"/>
  <c r="Q148" i="21" s="1"/>
  <c r="R215" i="21"/>
  <c r="R192" i="21" s="1"/>
  <c r="E171" i="21"/>
  <c r="E148" i="21" s="1"/>
  <c r="O171" i="21"/>
  <c r="O148" i="21" s="1"/>
  <c r="S129" i="21"/>
  <c r="S106" i="21" s="1"/>
  <c r="W131" i="21"/>
  <c r="W108" i="21" s="1"/>
  <c r="S87" i="21"/>
  <c r="S64" i="21" s="1"/>
  <c r="L129" i="21"/>
  <c r="L106" i="21" s="1"/>
  <c r="L213" i="21"/>
  <c r="L190" i="21" s="1"/>
  <c r="J215" i="21"/>
  <c r="J192" i="21" s="1"/>
  <c r="L171" i="21"/>
  <c r="L148" i="21" s="1"/>
  <c r="P171" i="21"/>
  <c r="P148" i="21" s="1"/>
  <c r="S131" i="21"/>
  <c r="S108" i="21" s="1"/>
  <c r="W129" i="21"/>
  <c r="W106" i="21" s="1"/>
  <c r="Y89" i="21"/>
  <c r="Y66" i="21" s="1"/>
  <c r="S89" i="21"/>
  <c r="S66" i="21" s="1"/>
  <c r="Y215" i="21"/>
  <c r="Y192" i="21" s="1"/>
  <c r="R213" i="21"/>
  <c r="R190" i="21" s="1"/>
  <c r="AC87" i="21"/>
  <c r="AC64" i="21" s="1"/>
  <c r="AA131" i="21"/>
  <c r="AA108" i="21" s="1"/>
  <c r="Y87" i="21"/>
  <c r="Y64" i="21" s="1"/>
  <c r="AA129" i="21"/>
  <c r="AA106" i="21" s="1"/>
  <c r="U89" i="21"/>
  <c r="U66" i="21" s="1"/>
  <c r="AB131" i="21"/>
  <c r="AB108" i="21" s="1"/>
  <c r="AB129" i="21"/>
  <c r="AB106" i="21" s="1"/>
  <c r="L131" i="21"/>
  <c r="L108" i="21" s="1"/>
  <c r="V171" i="21"/>
  <c r="V148" i="21" s="1"/>
  <c r="T213" i="21"/>
  <c r="T190" i="21" s="1"/>
  <c r="N257" i="21"/>
  <c r="N234" i="21" s="1"/>
  <c r="Y213" i="21"/>
  <c r="Y190" i="21" s="1"/>
  <c r="Z215" i="21"/>
  <c r="Z192" i="21" s="1"/>
  <c r="K129" i="21"/>
  <c r="K106" i="21" s="1"/>
  <c r="U173" i="21"/>
  <c r="U150" i="21" s="1"/>
  <c r="AE129" i="21"/>
  <c r="AE106" i="21" s="1"/>
  <c r="P255" i="21"/>
  <c r="P232" i="21" s="1"/>
  <c r="K131" i="21"/>
  <c r="K108" i="21" s="1"/>
  <c r="AA255" i="21"/>
  <c r="AA232" i="21" s="1"/>
  <c r="V215" i="21"/>
  <c r="V192" i="21" s="1"/>
  <c r="V173" i="21"/>
  <c r="V150" i="21" s="1"/>
  <c r="Y129" i="21"/>
  <c r="Y106" i="21" s="1"/>
  <c r="AA257" i="21"/>
  <c r="AA234" i="21" s="1"/>
  <c r="T173" i="21"/>
  <c r="T150" i="21" s="1"/>
  <c r="V213" i="21"/>
  <c r="V190" i="21" s="1"/>
  <c r="AF131" i="21"/>
  <c r="AF108" i="21" s="1"/>
  <c r="AF129" i="21"/>
  <c r="AF106" i="21" s="1"/>
  <c r="Y131" i="21"/>
  <c r="Y108" i="21" s="1"/>
  <c r="L255" i="21"/>
  <c r="L232" i="21" s="1"/>
  <c r="O213" i="21"/>
  <c r="O190" i="21" s="1"/>
  <c r="U131" i="21"/>
  <c r="U108" i="21" s="1"/>
  <c r="P257" i="21"/>
  <c r="P234" i="21" s="1"/>
  <c r="Z213" i="21"/>
  <c r="Z190" i="21" s="1"/>
  <c r="U129" i="21"/>
  <c r="U106" i="21" s="1"/>
  <c r="AE255" i="21"/>
  <c r="AE232" i="21" s="1"/>
  <c r="Z129" i="21"/>
  <c r="Z106" i="21" s="1"/>
  <c r="AE257" i="21"/>
  <c r="AE234" i="21" s="1"/>
  <c r="Z131" i="21"/>
  <c r="Z108" i="21" s="1"/>
  <c r="U255" i="21"/>
  <c r="U232" i="21" s="1"/>
  <c r="U171" i="21"/>
  <c r="U148" i="21" s="1"/>
  <c r="O215" i="21"/>
  <c r="O192" i="21" s="1"/>
  <c r="AD255" i="21"/>
  <c r="AD232" i="21" s="1"/>
  <c r="N255" i="21"/>
  <c r="N232" i="21" s="1"/>
  <c r="Y231" i="21"/>
  <c r="Y257" i="21"/>
  <c r="Y234" i="21" s="1"/>
  <c r="Y255" i="21"/>
  <c r="Y232" i="21" s="1"/>
  <c r="J37" i="21"/>
  <c r="J38" i="21" s="1"/>
  <c r="J15" i="21" s="1"/>
  <c r="W37" i="21"/>
  <c r="W38" i="21" s="1"/>
  <c r="W15" i="21" s="1"/>
  <c r="K37" i="21"/>
  <c r="K38" i="21" s="1"/>
  <c r="K15" i="21" s="1"/>
  <c r="N40" i="21"/>
  <c r="N17" i="21" s="1"/>
  <c r="AE40" i="21"/>
  <c r="AE17" i="21" s="1"/>
  <c r="AB37" i="21"/>
  <c r="AB38" i="21" s="1"/>
  <c r="AB15" i="21" s="1"/>
  <c r="G38" i="21"/>
  <c r="G15" i="21" s="1"/>
  <c r="E38" i="21"/>
  <c r="E15" i="21" s="1"/>
  <c r="T37" i="21"/>
  <c r="O37" i="21"/>
  <c r="R37" i="21"/>
  <c r="P37" i="21"/>
  <c r="U37" i="21"/>
  <c r="H37" i="21"/>
  <c r="M37" i="21"/>
  <c r="Q40" i="21"/>
  <c r="Q17" i="21" s="1"/>
  <c r="S37" i="21"/>
  <c r="V40" i="21"/>
  <c r="V17" i="21" s="1"/>
  <c r="N37" i="21"/>
  <c r="L37" i="21"/>
  <c r="I37" i="21"/>
  <c r="S40" i="21"/>
  <c r="S17" i="21" s="1"/>
  <c r="X37" i="21"/>
  <c r="X40" i="21"/>
  <c r="X17" i="21" s="1"/>
  <c r="Q37" i="21"/>
  <c r="V37" i="21"/>
  <c r="F41" i="21"/>
  <c r="F18" i="21" s="1"/>
  <c r="F39" i="21"/>
  <c r="F16" i="21" s="1"/>
  <c r="E17" i="21"/>
  <c r="AG40" i="21"/>
  <c r="AG17" i="21" s="1"/>
  <c r="AC40" i="21"/>
  <c r="AC17" i="21" s="1"/>
  <c r="Z40" i="21"/>
  <c r="Z17" i="21" s="1"/>
  <c r="P40" i="21"/>
  <c r="P17" i="21" s="1"/>
  <c r="M40" i="21"/>
  <c r="M17" i="21" s="1"/>
  <c r="AP40" i="21"/>
  <c r="AP17" i="21" s="1"/>
  <c r="G40" i="21"/>
  <c r="G17" i="21" s="1"/>
  <c r="AJ40" i="21"/>
  <c r="AJ17" i="21" s="1"/>
  <c r="AL40" i="21"/>
  <c r="AL17" i="21" s="1"/>
  <c r="AQ40" i="21"/>
  <c r="AQ17" i="21" s="1"/>
  <c r="L40" i="21"/>
  <c r="L17" i="21" s="1"/>
  <c r="I40" i="21"/>
  <c r="I17" i="21" s="1"/>
  <c r="AK37" i="21"/>
  <c r="AD37" i="21"/>
  <c r="AM37" i="21"/>
  <c r="AF37" i="21"/>
  <c r="Y37" i="21"/>
  <c r="AO37" i="21"/>
  <c r="AH37" i="21"/>
  <c r="AA37" i="21"/>
  <c r="AQ37" i="21"/>
  <c r="AJ37" i="21"/>
  <c r="AC37" i="21"/>
  <c r="AL37" i="21"/>
  <c r="AE37" i="21"/>
  <c r="AN37" i="21"/>
  <c r="AG37" i="21"/>
  <c r="Z37" i="21"/>
  <c r="AP37" i="21"/>
  <c r="AI37" i="21"/>
  <c r="H40" i="21"/>
  <c r="H17" i="21" s="1"/>
  <c r="O40" i="21"/>
  <c r="O17" i="21" s="1"/>
  <c r="AK40" i="21"/>
  <c r="AK17" i="21" s="1"/>
  <c r="AO40" i="21"/>
  <c r="AO17" i="21" s="1"/>
  <c r="AI40" i="21"/>
  <c r="AI17" i="21" s="1"/>
  <c r="AF40" i="21"/>
  <c r="AF17" i="21" s="1"/>
  <c r="AM40" i="21"/>
  <c r="AM17" i="21" s="1"/>
  <c r="AN40" i="21"/>
  <c r="AN17" i="21" s="1"/>
  <c r="AB40" i="21"/>
  <c r="AB17" i="21" s="1"/>
  <c r="AH40" i="21"/>
  <c r="AH17" i="21" s="1"/>
  <c r="K40" i="21"/>
  <c r="K17" i="21" s="1"/>
  <c r="J40" i="21"/>
  <c r="J17" i="21" s="1"/>
  <c r="W40" i="21"/>
  <c r="W17" i="21" s="1"/>
  <c r="Y40" i="21"/>
  <c r="Y17" i="21" s="1"/>
  <c r="AD40" i="21"/>
  <c r="AD17" i="21" s="1"/>
  <c r="R40" i="21"/>
  <c r="R17" i="21" s="1"/>
  <c r="T40" i="21"/>
  <c r="T17" i="21" s="1"/>
  <c r="U40" i="21"/>
  <c r="U17" i="21" s="1"/>
  <c r="AA40" i="21"/>
  <c r="AA17" i="21" s="1"/>
  <c r="V38" i="21" l="1"/>
  <c r="V15" i="21" s="1"/>
  <c r="H38" i="21"/>
  <c r="H15" i="21" s="1"/>
  <c r="O38" i="21"/>
  <c r="O15" i="21" s="1"/>
  <c r="Q38" i="21"/>
  <c r="Q15" i="21" s="1"/>
  <c r="I38" i="21"/>
  <c r="I15" i="21" s="1"/>
  <c r="S38" i="21"/>
  <c r="S15" i="21" s="1"/>
  <c r="U38" i="21"/>
  <c r="U15" i="21" s="1"/>
  <c r="T38" i="21"/>
  <c r="T15" i="21" s="1"/>
  <c r="Y38" i="21"/>
  <c r="Y15" i="21" s="1"/>
  <c r="L38" i="21"/>
  <c r="L15" i="21" s="1"/>
  <c r="P38" i="21"/>
  <c r="P15" i="21" s="1"/>
  <c r="Z38" i="21"/>
  <c r="Z15" i="21" s="1"/>
  <c r="AA38" i="21"/>
  <c r="AA15" i="21" s="1"/>
  <c r="X38" i="21"/>
  <c r="X15" i="21" s="1"/>
  <c r="N38" i="21"/>
  <c r="N15" i="21" s="1"/>
  <c r="M38" i="21"/>
  <c r="M15" i="21" s="1"/>
  <c r="R38" i="21"/>
  <c r="R15" i="21" s="1"/>
  <c r="AP38" i="21"/>
  <c r="AP15" i="21" s="1"/>
  <c r="AE38" i="21"/>
  <c r="AE15" i="21" s="1"/>
  <c r="AQ38" i="21"/>
  <c r="AQ15" i="21" s="1"/>
  <c r="AK38" i="21"/>
  <c r="AK15" i="21" s="1"/>
  <c r="AL38" i="21"/>
  <c r="AL15" i="21" s="1"/>
  <c r="AF38" i="21"/>
  <c r="AF15" i="21" s="1"/>
  <c r="AG38" i="21"/>
  <c r="AG15" i="21" s="1"/>
  <c r="AC38" i="21"/>
  <c r="AC15" i="21" s="1"/>
  <c r="AH38" i="21"/>
  <c r="AH15" i="21" s="1"/>
  <c r="AM38" i="21"/>
  <c r="AM15" i="21" s="1"/>
  <c r="AI38" i="21"/>
  <c r="AI15" i="21" s="1"/>
  <c r="AN38" i="21"/>
  <c r="AN15" i="21" s="1"/>
  <c r="AJ38" i="21"/>
  <c r="AJ15" i="21" s="1"/>
  <c r="AO38" i="21"/>
  <c r="AO15" i="21" s="1"/>
  <c r="AD38" i="21"/>
  <c r="AD15" i="21" s="1"/>
  <c r="AP39" i="21"/>
  <c r="AP16" i="21" s="1"/>
  <c r="AJ41" i="21"/>
  <c r="AJ18" i="21" s="1"/>
  <c r="E41" i="21"/>
  <c r="E18" i="21" s="1"/>
  <c r="E39" i="21"/>
  <c r="E16" i="21" s="1"/>
  <c r="G21" i="21"/>
  <c r="G22" i="21" s="1"/>
  <c r="AP41" i="21"/>
  <c r="AP18" i="21" s="1"/>
  <c r="AJ39" i="21"/>
  <c r="AJ16" i="21" s="1"/>
  <c r="G39" i="21"/>
  <c r="G16" i="21" s="1"/>
  <c r="G41" i="21"/>
  <c r="G18" i="21" s="1"/>
  <c r="AQ39" i="21"/>
  <c r="AQ16" i="21" s="1"/>
  <c r="AQ41" i="21"/>
  <c r="AQ18" i="21" s="1"/>
  <c r="AL41" i="21"/>
  <c r="AL18" i="21" s="1"/>
  <c r="AL39" i="21"/>
  <c r="AL16" i="21" s="1"/>
  <c r="K39" i="21"/>
  <c r="K16" i="21" s="1"/>
  <c r="K41" i="21"/>
  <c r="K18" i="21" s="1"/>
  <c r="AH41" i="21"/>
  <c r="AH18" i="21" s="1"/>
  <c r="AH39" i="21"/>
  <c r="AH16" i="21" s="1"/>
  <c r="AM41" i="21"/>
  <c r="AM18" i="21" s="1"/>
  <c r="AM39" i="21"/>
  <c r="AM16" i="21" s="1"/>
  <c r="AI41" i="21"/>
  <c r="AI18" i="21" s="1"/>
  <c r="AI39" i="21"/>
  <c r="AI16" i="21" s="1"/>
  <c r="W39" i="21"/>
  <c r="W16" i="21" s="1"/>
  <c r="W41" i="21"/>
  <c r="W18" i="21" s="1"/>
  <c r="AB41" i="21"/>
  <c r="AB18" i="21" s="1"/>
  <c r="AB39" i="21"/>
  <c r="AB16" i="21" s="1"/>
  <c r="AO41" i="21"/>
  <c r="AO18" i="21" s="1"/>
  <c r="AO39" i="21"/>
  <c r="AO16" i="21" s="1"/>
  <c r="J41" i="21"/>
  <c r="J18" i="21" s="1"/>
  <c r="J39" i="21"/>
  <c r="J16" i="21" s="1"/>
  <c r="AN41" i="21"/>
  <c r="AN18" i="21" s="1"/>
  <c r="AN39" i="21"/>
  <c r="AN16" i="21" s="1"/>
  <c r="AK41" i="21"/>
  <c r="AK18" i="21" s="1"/>
  <c r="AK39" i="21"/>
  <c r="AK16" i="21" s="1"/>
  <c r="AE39" i="21" l="1"/>
  <c r="AE16" i="21" s="1"/>
  <c r="AC39" i="21"/>
  <c r="AC16" i="21" s="1"/>
  <c r="AC41" i="21"/>
  <c r="AC18" i="21" s="1"/>
  <c r="AF41" i="21"/>
  <c r="AF18" i="21" s="1"/>
  <c r="AF39" i="21"/>
  <c r="AF16" i="21" s="1"/>
  <c r="AD41" i="21"/>
  <c r="AD18" i="21" s="1"/>
  <c r="AE41" i="21"/>
  <c r="AE18" i="21" s="1"/>
  <c r="AD39" i="21"/>
  <c r="AD16" i="21" s="1"/>
  <c r="AG41" i="21"/>
  <c r="AG18" i="21" s="1"/>
  <c r="AG39" i="21"/>
  <c r="AG16" i="21" s="1"/>
  <c r="N39" i="21"/>
  <c r="N16" i="21" s="1"/>
  <c r="Q39" i="21"/>
  <c r="Q16" i="21" s="1"/>
  <c r="T41" i="21"/>
  <c r="T18" i="21" s="1"/>
  <c r="M41" i="21"/>
  <c r="M18" i="21" s="1"/>
  <c r="I39" i="21"/>
  <c r="I16" i="21" s="1"/>
  <c r="H41" i="21"/>
  <c r="H18" i="21" s="1"/>
  <c r="H39" i="21"/>
  <c r="H16" i="21" s="1"/>
  <c r="L39" i="21"/>
  <c r="L16" i="21" s="1"/>
  <c r="L41" i="21"/>
  <c r="L18" i="21" s="1"/>
  <c r="I41" i="21"/>
  <c r="I18" i="21" s="1"/>
  <c r="R41" i="21"/>
  <c r="R18" i="21" s="1"/>
  <c r="Y39" i="21"/>
  <c r="Y16" i="21" s="1"/>
  <c r="U41" i="21"/>
  <c r="U18" i="21" s="1"/>
  <c r="P41" i="21"/>
  <c r="P18" i="21" s="1"/>
  <c r="U39" i="21"/>
  <c r="U16" i="21" s="1"/>
  <c r="Q41" i="21"/>
  <c r="Q18" i="21" s="1"/>
  <c r="N41" i="21"/>
  <c r="N18" i="21" s="1"/>
  <c r="R39" i="21"/>
  <c r="R16" i="21" s="1"/>
  <c r="Y41" i="21"/>
  <c r="Y18" i="21" s="1"/>
  <c r="O39" i="21"/>
  <c r="O16" i="21" s="1"/>
  <c r="AA39" i="21"/>
  <c r="AA16" i="21" s="1"/>
  <c r="V39" i="21"/>
  <c r="V16" i="21" s="1"/>
  <c r="O41" i="21"/>
  <c r="O18" i="21" s="1"/>
  <c r="AA41" i="21"/>
  <c r="AA18" i="21" s="1"/>
  <c r="P39" i="21"/>
  <c r="P16" i="21" s="1"/>
  <c r="V41" i="21"/>
  <c r="V18" i="21" s="1"/>
  <c r="Z41" i="21"/>
  <c r="Z18" i="21" s="1"/>
  <c r="T39" i="21"/>
  <c r="T16" i="21" s="1"/>
  <c r="Z39" i="21"/>
  <c r="Z16" i="21" s="1"/>
  <c r="M39" i="21"/>
  <c r="M16" i="21" s="1"/>
  <c r="S39" i="21"/>
  <c r="S16" i="21" s="1"/>
  <c r="X39" i="21"/>
  <c r="X16" i="21" s="1"/>
  <c r="S41" i="21"/>
  <c r="S18" i="21" s="1"/>
  <c r="X41" i="21"/>
  <c r="X18" i="21" s="1"/>
  <c r="H21" i="21"/>
  <c r="H22" i="21" s="1"/>
  <c r="I21" i="21" l="1"/>
  <c r="I22" i="21" s="1"/>
  <c r="J21" i="21" l="1"/>
  <c r="J22" i="21" s="1"/>
  <c r="K21" i="21" l="1"/>
  <c r="K22" i="21" s="1"/>
  <c r="L21" i="21" l="1"/>
  <c r="L22" i="21" s="1"/>
  <c r="M21" i="21" l="1"/>
  <c r="M22" i="21" s="1"/>
  <c r="N21" i="21" l="1"/>
  <c r="N22" i="21" s="1"/>
  <c r="O21" i="21" l="1"/>
  <c r="O22" i="21" s="1"/>
  <c r="P21" i="21" l="1"/>
  <c r="P22" i="21" s="1"/>
  <c r="Q21" i="21" l="1"/>
  <c r="Q22" i="21" s="1"/>
  <c r="R21" i="21" l="1"/>
  <c r="R22" i="21" s="1"/>
  <c r="S21" i="21" l="1"/>
  <c r="S22" i="21" s="1"/>
  <c r="T21" i="21" l="1"/>
  <c r="T22" i="21" s="1"/>
  <c r="U21" i="21" l="1"/>
  <c r="U22" i="21" s="1"/>
  <c r="V21" i="21" l="1"/>
  <c r="V22" i="21" s="1"/>
  <c r="W21" i="21" l="1"/>
  <c r="W22" i="21" s="1"/>
  <c r="X21" i="21" l="1"/>
  <c r="X22" i="21" s="1"/>
  <c r="Y21" i="21" l="1"/>
  <c r="Y22" i="21" s="1"/>
  <c r="Z21" i="21" l="1"/>
  <c r="Z22" i="21" s="1"/>
  <c r="E233" i="18"/>
  <c r="E236" i="18"/>
  <c r="E239" i="18"/>
  <c r="E242" i="18"/>
  <c r="E245" i="18"/>
  <c r="E248" i="18"/>
  <c r="E251" i="18"/>
  <c r="E255" i="18"/>
  <c r="E257" i="18"/>
  <c r="E260" i="18"/>
  <c r="AA21" i="21" l="1"/>
  <c r="AA22" i="21" s="1"/>
  <c r="V4" i="18"/>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AB21" i="21" l="1"/>
  <c r="AB22" i="21" s="1"/>
  <c r="K212" i="18"/>
  <c r="O217" i="18"/>
  <c r="N217" i="18"/>
  <c r="M217" i="18"/>
  <c r="L217" i="18"/>
  <c r="K217" i="18"/>
  <c r="O216" i="18"/>
  <c r="N216" i="18"/>
  <c r="M216" i="18"/>
  <c r="L216" i="18"/>
  <c r="K216" i="18"/>
  <c r="O215" i="18"/>
  <c r="N215" i="18"/>
  <c r="M215" i="18"/>
  <c r="L215" i="18"/>
  <c r="K215" i="18"/>
  <c r="AC21" i="21" l="1"/>
  <c r="AC22" i="21" s="1"/>
  <c r="N214" i="18"/>
  <c r="M214" i="18"/>
  <c r="L214" i="18"/>
  <c r="K214" i="18"/>
  <c r="O214" i="18"/>
  <c r="AD21" i="21" l="1"/>
  <c r="AD22" i="21" s="1"/>
  <c r="E261" i="18"/>
  <c r="W173" i="18" s="1"/>
  <c r="I259" i="18"/>
  <c r="E259" i="18"/>
  <c r="E258" i="18"/>
  <c r="V173" i="18" s="1"/>
  <c r="I256" i="18"/>
  <c r="E256" i="18"/>
  <c r="U173" i="18"/>
  <c r="E254" i="18"/>
  <c r="I253" i="18" s="1"/>
  <c r="E253" i="18"/>
  <c r="E252" i="18"/>
  <c r="T173" i="18" s="1"/>
  <c r="I250" i="18"/>
  <c r="E250" i="18"/>
  <c r="E249" i="18"/>
  <c r="S173" i="18" s="1"/>
  <c r="I247" i="18"/>
  <c r="E247" i="18"/>
  <c r="E246" i="18"/>
  <c r="W172" i="18" s="1"/>
  <c r="I244" i="18"/>
  <c r="E244" i="18"/>
  <c r="E243" i="18"/>
  <c r="V172" i="18" s="1"/>
  <c r="I241" i="18"/>
  <c r="E241" i="18"/>
  <c r="E240" i="18"/>
  <c r="U172" i="18" s="1"/>
  <c r="I238" i="18"/>
  <c r="E238" i="18"/>
  <c r="E237" i="18"/>
  <c r="T172" i="18" s="1"/>
  <c r="I235" i="18"/>
  <c r="E235" i="18"/>
  <c r="E234" i="18"/>
  <c r="S172" i="18" s="1"/>
  <c r="I232" i="18"/>
  <c r="E232" i="18"/>
  <c r="E219" i="18"/>
  <c r="E218" i="18"/>
  <c r="E217" i="18"/>
  <c r="E216" i="18"/>
  <c r="BC169" i="18" s="1"/>
  <c r="E215" i="18"/>
  <c r="AR171" i="18" s="1"/>
  <c r="E214" i="18"/>
  <c r="BD176" i="18" s="1"/>
  <c r="E213" i="18"/>
  <c r="S166" i="18" s="1"/>
  <c r="E212" i="18"/>
  <c r="E211" i="18"/>
  <c r="E192" i="18"/>
  <c r="E191" i="18"/>
  <c r="I190" i="18"/>
  <c r="E190" i="18"/>
  <c r="I189" i="18"/>
  <c r="E189" i="18"/>
  <c r="I18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T178" i="18"/>
  <c r="S178" i="18"/>
  <c r="V164" i="18"/>
  <c r="U164" i="18"/>
  <c r="BE162" i="18"/>
  <c r="BE177" i="18" s="1"/>
  <c r="BD162" i="18"/>
  <c r="BD168" i="18" s="1"/>
  <c r="BC162" i="18"/>
  <c r="BB162" i="18"/>
  <c r="BB177" i="18" s="1"/>
  <c r="BA162" i="18"/>
  <c r="BA177" i="18" s="1"/>
  <c r="AZ162" i="18"/>
  <c r="AZ168" i="18" s="1"/>
  <c r="AY162" i="18"/>
  <c r="AX162" i="18"/>
  <c r="AX177" i="18" s="1"/>
  <c r="AW162" i="18"/>
  <c r="AW177" i="18" s="1"/>
  <c r="AV162" i="18"/>
  <c r="AV168" i="18" s="1"/>
  <c r="AU162" i="18"/>
  <c r="AT162" i="18"/>
  <c r="AT168" i="18" s="1"/>
  <c r="AS162" i="18"/>
  <c r="AR162" i="18"/>
  <c r="AR168" i="18" s="1"/>
  <c r="AQ162" i="18"/>
  <c r="AP162" i="18"/>
  <c r="AP168" i="18" s="1"/>
  <c r="AO162" i="18"/>
  <c r="AN162" i="18"/>
  <c r="AN168" i="18" s="1"/>
  <c r="AM162" i="18"/>
  <c r="AL162" i="18"/>
  <c r="AL168" i="18" s="1"/>
  <c r="AK162" i="18"/>
  <c r="AJ162" i="18"/>
  <c r="AJ168" i="18" s="1"/>
  <c r="AI162" i="18"/>
  <c r="AH162" i="18"/>
  <c r="AH168" i="18" s="1"/>
  <c r="AG162" i="18"/>
  <c r="AF162" i="18"/>
  <c r="AF168" i="18" s="1"/>
  <c r="AF177" i="18" s="1"/>
  <c r="AE162" i="18"/>
  <c r="AD162" i="18"/>
  <c r="AD168" i="18" s="1"/>
  <c r="AC162" i="18"/>
  <c r="AC129" i="18" s="1"/>
  <c r="AC20" i="18" s="1"/>
  <c r="AB162" i="18"/>
  <c r="AB168" i="18" s="1"/>
  <c r="AA162" i="18"/>
  <c r="AA129" i="18" s="1"/>
  <c r="AA20" i="18" s="1"/>
  <c r="Z162" i="18"/>
  <c r="Z168" i="18" s="1"/>
  <c r="Y162" i="18"/>
  <c r="X162" i="18"/>
  <c r="X168" i="18" s="1"/>
  <c r="W162" i="18"/>
  <c r="V162" i="18"/>
  <c r="V168" i="18" s="1"/>
  <c r="U162" i="18"/>
  <c r="T162" i="18"/>
  <c r="T168" i="18" s="1"/>
  <c r="R162" i="18"/>
  <c r="Q162" i="18"/>
  <c r="P162" i="18"/>
  <c r="O162" i="18"/>
  <c r="N162" i="18"/>
  <c r="M162" i="18"/>
  <c r="L162" i="18"/>
  <c r="K162" i="18"/>
  <c r="J162" i="18"/>
  <c r="I162" i="18"/>
  <c r="H162" i="18"/>
  <c r="G162" i="18"/>
  <c r="F162" i="18"/>
  <c r="E162" i="18"/>
  <c r="D162" i="18"/>
  <c r="F156" i="18" a="1"/>
  <c r="F156" i="18" s="1"/>
  <c r="F155" i="18" a="1"/>
  <c r="F155" i="18" s="1"/>
  <c r="S28" i="18" s="1"/>
  <c r="H152" i="18" a="1"/>
  <c r="H152" i="18" s="1"/>
  <c r="H151" i="18" a="1"/>
  <c r="H151" i="18" s="1"/>
  <c r="BE146" i="18"/>
  <c r="BE148" i="18" s="1"/>
  <c r="BD146" i="18"/>
  <c r="BD148" i="18" s="1"/>
  <c r="BC146" i="18"/>
  <c r="BC148" i="18" s="1"/>
  <c r="BB146" i="18"/>
  <c r="BB148" i="18" s="1"/>
  <c r="BA146" i="18"/>
  <c r="BA148" i="18" s="1"/>
  <c r="AZ146" i="18"/>
  <c r="AZ148" i="18" s="1"/>
  <c r="AY146" i="18"/>
  <c r="AY148" i="18" s="1"/>
  <c r="AX146" i="18"/>
  <c r="AX148" i="18" s="1"/>
  <c r="AW146" i="18"/>
  <c r="AW148" i="18" s="1"/>
  <c r="AV146" i="18"/>
  <c r="AV148" i="18" s="1"/>
  <c r="AU146" i="18"/>
  <c r="AU148" i="18" s="1"/>
  <c r="AT146" i="18"/>
  <c r="AT148" i="18" s="1"/>
  <c r="AS146" i="18"/>
  <c r="AS148" i="18" s="1"/>
  <c r="AR146" i="18"/>
  <c r="AR148" i="18" s="1"/>
  <c r="AQ146" i="18"/>
  <c r="AQ148" i="18" s="1"/>
  <c r="AP146" i="18"/>
  <c r="AP148" i="18" s="1"/>
  <c r="AO146" i="18"/>
  <c r="AO148" i="18" s="1"/>
  <c r="AN146" i="18"/>
  <c r="AN148" i="18" s="1"/>
  <c r="AM146" i="18"/>
  <c r="AM148" i="18" s="1"/>
  <c r="AL146" i="18"/>
  <c r="AL148" i="18" s="1"/>
  <c r="AK146" i="18"/>
  <c r="AK148" i="18" s="1"/>
  <c r="AJ146" i="18"/>
  <c r="AJ148" i="18" s="1"/>
  <c r="AI146" i="18"/>
  <c r="AI148" i="18" s="1"/>
  <c r="AH146" i="18"/>
  <c r="AH148" i="18" s="1"/>
  <c r="AG146" i="18"/>
  <c r="AG148" i="18" s="1"/>
  <c r="AF146" i="18"/>
  <c r="AF148" i="18" s="1"/>
  <c r="AE146" i="18"/>
  <c r="AE148" i="18" s="1"/>
  <c r="AD146" i="18"/>
  <c r="AD148" i="18" s="1"/>
  <c r="AC146" i="18"/>
  <c r="AC148" i="18" s="1"/>
  <c r="AB146" i="18"/>
  <c r="AB148" i="18" s="1"/>
  <c r="AA146" i="18"/>
  <c r="AA148" i="18" s="1"/>
  <c r="Z146" i="18"/>
  <c r="Z148" i="18" s="1"/>
  <c r="Y146" i="18"/>
  <c r="Y148" i="18" s="1"/>
  <c r="X146" i="18"/>
  <c r="X148" i="18" s="1"/>
  <c r="W146" i="18"/>
  <c r="W148" i="18" s="1"/>
  <c r="V146" i="18"/>
  <c r="V148" i="18" s="1"/>
  <c r="U146" i="18"/>
  <c r="U148" i="18" s="1"/>
  <c r="T146" i="18"/>
  <c r="T148" i="18" s="1"/>
  <c r="S146" i="18"/>
  <c r="S148" i="18" s="1"/>
  <c r="BE141" i="18"/>
  <c r="BD141" i="18"/>
  <c r="BC141" i="18"/>
  <c r="BB141" i="18"/>
  <c r="BA141" i="18"/>
  <c r="AZ141" i="18"/>
  <c r="AY141" i="18"/>
  <c r="AX141" i="18"/>
  <c r="AW141" i="18"/>
  <c r="AV141" i="18"/>
  <c r="BE139" i="18"/>
  <c r="BE142" i="18" s="1"/>
  <c r="BE144" i="18" s="1"/>
  <c r="BE26" i="18" s="1"/>
  <c r="BD139" i="18"/>
  <c r="BD142" i="18" s="1"/>
  <c r="BD144" i="18" s="1"/>
  <c r="BD26" i="18" s="1"/>
  <c r="BC139" i="18"/>
  <c r="BC142" i="18" s="1"/>
  <c r="BB139" i="18"/>
  <c r="BB142" i="18" s="1"/>
  <c r="BB144" i="18" s="1"/>
  <c r="BB26" i="18" s="1"/>
  <c r="BA139" i="18"/>
  <c r="BA142" i="18" s="1"/>
  <c r="AZ139" i="18"/>
  <c r="AZ142" i="18" s="1"/>
  <c r="AZ144" i="18" s="1"/>
  <c r="AZ26" i="18" s="1"/>
  <c r="AY139" i="18"/>
  <c r="AY142" i="18" s="1"/>
  <c r="AY144" i="18" s="1"/>
  <c r="AY26" i="18" s="1"/>
  <c r="AX139" i="18"/>
  <c r="AX142" i="18" s="1"/>
  <c r="AX144" i="18" s="1"/>
  <c r="AX26" i="18" s="1"/>
  <c r="AW139" i="18"/>
  <c r="AW142" i="18" s="1"/>
  <c r="AV139" i="18"/>
  <c r="AV142" i="18" s="1"/>
  <c r="AV144" i="18" s="1"/>
  <c r="AV26" i="18" s="1"/>
  <c r="K136" i="18" a="1"/>
  <c r="K136" i="18" s="1"/>
  <c r="J136" i="18" a="1"/>
  <c r="J136" i="18" s="1"/>
  <c r="I136" i="18" a="1"/>
  <c r="I136" i="18" s="1"/>
  <c r="H136" i="18" a="1"/>
  <c r="H136" i="18" s="1"/>
  <c r="G136" i="18" a="1"/>
  <c r="G136" i="18" s="1"/>
  <c r="F136" i="18" a="1"/>
  <c r="F136" i="18" s="1"/>
  <c r="E136" i="18" a="1"/>
  <c r="E136" i="18" s="1"/>
  <c r="D136" i="18" a="1"/>
  <c r="D136" i="18" s="1"/>
  <c r="C136" i="18" a="1"/>
  <c r="C136" i="18" s="1"/>
  <c r="B136" i="18" a="1"/>
  <c r="B136" i="18" s="1"/>
  <c r="A136" i="18" a="1"/>
  <c r="A136" i="18" s="1"/>
  <c r="K135" i="18" a="1"/>
  <c r="K135" i="18" s="1"/>
  <c r="J135" i="18" a="1"/>
  <c r="J135" i="18" s="1"/>
  <c r="I135" i="18" a="1"/>
  <c r="I135" i="18" s="1"/>
  <c r="H135" i="18" a="1"/>
  <c r="H135" i="18" s="1"/>
  <c r="G135" i="18" a="1"/>
  <c r="G135" i="18" s="1"/>
  <c r="F135" i="18" a="1"/>
  <c r="F135" i="18" s="1"/>
  <c r="E135" i="18" a="1"/>
  <c r="E135" i="18" s="1"/>
  <c r="D135" i="18" a="1"/>
  <c r="D135" i="18" s="1"/>
  <c r="C135" i="18" a="1"/>
  <c r="C135" i="18" s="1"/>
  <c r="B135" i="18" a="1"/>
  <c r="B135" i="18" s="1"/>
  <c r="T141" i="18" s="1"/>
  <c r="BE130" i="18"/>
  <c r="BB130" i="18"/>
  <c r="BA130" i="18"/>
  <c r="AX130" i="18"/>
  <c r="AW130" i="18"/>
  <c r="AF130" i="18"/>
  <c r="BE129" i="18"/>
  <c r="BE20" i="18" s="1"/>
  <c r="BD129" i="18"/>
  <c r="BD20" i="18" s="1"/>
  <c r="BC129" i="18"/>
  <c r="BC20" i="18" s="1"/>
  <c r="BB129" i="18"/>
  <c r="BB20" i="18" s="1"/>
  <c r="BA129" i="18"/>
  <c r="BA20" i="18" s="1"/>
  <c r="AZ129" i="18"/>
  <c r="AZ20" i="18" s="1"/>
  <c r="AY129" i="18"/>
  <c r="AY20" i="18" s="1"/>
  <c r="AX129" i="18"/>
  <c r="AX20" i="18" s="1"/>
  <c r="AW129" i="18"/>
  <c r="AW20" i="18" s="1"/>
  <c r="AV129" i="18"/>
  <c r="AV20" i="18" s="1"/>
  <c r="AU129" i="18"/>
  <c r="AU20" i="18" s="1"/>
  <c r="AT129" i="18"/>
  <c r="AT20" i="18" s="1"/>
  <c r="AS129" i="18"/>
  <c r="AS20" i="18" s="1"/>
  <c r="AR129" i="18"/>
  <c r="AR20" i="18" s="1"/>
  <c r="AQ129" i="18"/>
  <c r="AQ20" i="18" s="1"/>
  <c r="AP129" i="18"/>
  <c r="AP20" i="18" s="1"/>
  <c r="AO129" i="18"/>
  <c r="AO20" i="18" s="1"/>
  <c r="AN129" i="18"/>
  <c r="AN20" i="18" s="1"/>
  <c r="AM129" i="18"/>
  <c r="AM20" i="18" s="1"/>
  <c r="AL129" i="18"/>
  <c r="AL20" i="18" s="1"/>
  <c r="AK129" i="18"/>
  <c r="AK20" i="18" s="1"/>
  <c r="AJ129" i="18"/>
  <c r="AJ20" i="18" s="1"/>
  <c r="AI129" i="18"/>
  <c r="AI20" i="18" s="1"/>
  <c r="AH129" i="18"/>
  <c r="AH20" i="18" s="1"/>
  <c r="AG129" i="18"/>
  <c r="AG20" i="18" s="1"/>
  <c r="AF129" i="18"/>
  <c r="AF20" i="18" s="1"/>
  <c r="AE129" i="18"/>
  <c r="AE20" i="18" s="1"/>
  <c r="AD129" i="18"/>
  <c r="AD20" i="18" s="1"/>
  <c r="AB129" i="18"/>
  <c r="AB20" i="18" s="1"/>
  <c r="Z129" i="18"/>
  <c r="Z20" i="18" s="1"/>
  <c r="Y129" i="18"/>
  <c r="Y20" i="18" s="1"/>
  <c r="X129" i="18"/>
  <c r="X20" i="18" s="1"/>
  <c r="W129" i="18"/>
  <c r="W20" i="18" s="1"/>
  <c r="V129" i="18"/>
  <c r="V20" i="18" s="1"/>
  <c r="U129" i="18"/>
  <c r="U20" i="18" s="1"/>
  <c r="T129" i="18"/>
  <c r="T20" i="18" s="1"/>
  <c r="S129" i="18"/>
  <c r="S20" i="18" s="1"/>
  <c r="Y76" i="18"/>
  <c r="AZ74" i="18"/>
  <c r="S73" i="18"/>
  <c r="Y73" i="18" s="1"/>
  <c r="H88" i="18" s="1"/>
  <c r="Y72" i="18"/>
  <c r="Y71" i="18"/>
  <c r="P70" i="18"/>
  <c r="P74" i="18" s="1"/>
  <c r="M70" i="18"/>
  <c r="M75" i="18" s="1"/>
  <c r="J70" i="18"/>
  <c r="J75" i="18" s="1"/>
  <c r="G70" i="18"/>
  <c r="D70" i="18"/>
  <c r="D39" i="18"/>
  <c r="AP29" i="18"/>
  <c r="AX27" i="18"/>
  <c r="AX29" i="18" s="1"/>
  <c r="BA27" i="18" s="1"/>
  <c r="AG27" i="18"/>
  <c r="S27" i="18"/>
  <c r="N2" i="18"/>
  <c r="AX132" i="18" l="1"/>
  <c r="AX145" i="18" s="1"/>
  <c r="AX23" i="18" s="1"/>
  <c r="BA131" i="18"/>
  <c r="BA22" i="18" s="1"/>
  <c r="BA132" i="18"/>
  <c r="AF21" i="18"/>
  <c r="AF132" i="18"/>
  <c r="BB21" i="18"/>
  <c r="BB132" i="18"/>
  <c r="AW21" i="18"/>
  <c r="AW132" i="18"/>
  <c r="BE21" i="18"/>
  <c r="BE132" i="18"/>
  <c r="AP27" i="18"/>
  <c r="AR116" i="18"/>
  <c r="Y70" i="18"/>
  <c r="AR120" i="18" s="1"/>
  <c r="V141" i="18"/>
  <c r="S139" i="18"/>
  <c r="S142" i="18" s="1"/>
  <c r="S141" i="18"/>
  <c r="AM176" i="18"/>
  <c r="AZ24" i="18"/>
  <c r="BD24" i="18"/>
  <c r="J207" i="18"/>
  <c r="AE118" i="18" s="1"/>
  <c r="S176" i="18"/>
  <c r="AY176" i="18"/>
  <c r="AY24" i="18"/>
  <c r="G75" i="18"/>
  <c r="P78" i="18"/>
  <c r="G78" i="18"/>
  <c r="J78" i="18"/>
  <c r="M78" i="18"/>
  <c r="D77" i="18"/>
  <c r="G77" i="18"/>
  <c r="J77" i="18"/>
  <c r="M77" i="18"/>
  <c r="P77" i="18"/>
  <c r="AE21" i="21"/>
  <c r="AE22" i="21" s="1"/>
  <c r="D66" i="18"/>
  <c r="D1" i="23" s="1"/>
  <c r="D2" i="21"/>
  <c r="BA168" i="18"/>
  <c r="AZ177" i="18"/>
  <c r="AZ130" i="18" s="1"/>
  <c r="BE168" i="18"/>
  <c r="AI176" i="18"/>
  <c r="AV177" i="18"/>
  <c r="AV130" i="18" s="1"/>
  <c r="Q189" i="18"/>
  <c r="AD40" i="18" s="1"/>
  <c r="Q190" i="18"/>
  <c r="R190" i="18" s="1"/>
  <c r="AG41" i="18" s="1"/>
  <c r="BD177" i="18"/>
  <c r="BD130" i="18" s="1"/>
  <c r="BB168" i="18"/>
  <c r="W176" i="18"/>
  <c r="BC176" i="18"/>
  <c r="AB177" i="18"/>
  <c r="AB130" i="18" s="1"/>
  <c r="AB132" i="18" s="1"/>
  <c r="AA176" i="18"/>
  <c r="AQ176" i="18"/>
  <c r="T182" i="18"/>
  <c r="AC182" i="18"/>
  <c r="S184" i="18"/>
  <c r="AB184" i="18"/>
  <c r="W184" i="18"/>
  <c r="AF184" i="18"/>
  <c r="AE176" i="18"/>
  <c r="AU176" i="18"/>
  <c r="S182" i="18"/>
  <c r="AB182" i="18"/>
  <c r="W182" i="18"/>
  <c r="AF182" i="18"/>
  <c r="V184" i="18"/>
  <c r="AE184" i="18"/>
  <c r="V182" i="18"/>
  <c r="AE182" i="18"/>
  <c r="U184" i="18"/>
  <c r="AD184" i="18"/>
  <c r="U182" i="18"/>
  <c r="AD182" i="18"/>
  <c r="T184" i="18"/>
  <c r="AC184" i="18"/>
  <c r="AV24" i="18"/>
  <c r="T169" i="18"/>
  <c r="X171" i="18"/>
  <c r="AC163" i="18"/>
  <c r="AB169" i="18"/>
  <c r="Y176" i="18"/>
  <c r="AG176" i="18"/>
  <c r="AO176" i="18"/>
  <c r="AW176" i="18"/>
  <c r="BE176" i="18"/>
  <c r="AK163" i="18"/>
  <c r="AZ169" i="18"/>
  <c r="U176" i="18"/>
  <c r="AC176" i="18"/>
  <c r="AK176" i="18"/>
  <c r="AS176" i="18"/>
  <c r="BA176" i="18"/>
  <c r="S165" i="18"/>
  <c r="V165" i="18"/>
  <c r="W165" i="18"/>
  <c r="AS163" i="18"/>
  <c r="AJ169" i="18"/>
  <c r="AV171" i="18"/>
  <c r="U163" i="18"/>
  <c r="BA163" i="18"/>
  <c r="AR169" i="18"/>
  <c r="P75" i="18"/>
  <c r="M74" i="18"/>
  <c r="J74" i="18"/>
  <c r="Q188" i="18"/>
  <c r="AA189" i="18"/>
  <c r="W164" i="18"/>
  <c r="D200" i="18"/>
  <c r="D201" i="18" s="1"/>
  <c r="I119" i="18" s="1"/>
  <c r="BE131" i="18"/>
  <c r="BE22" i="18" s="1"/>
  <c r="BA21" i="18"/>
  <c r="AX24" i="18"/>
  <c r="BE24" i="18"/>
  <c r="BB24" i="18"/>
  <c r="AG163" i="18"/>
  <c r="AW163" i="18"/>
  <c r="AF169" i="18"/>
  <c r="AV169" i="18"/>
  <c r="V176" i="18"/>
  <c r="Z176" i="18"/>
  <c r="AD176" i="18"/>
  <c r="AH176" i="18"/>
  <c r="AL176" i="18"/>
  <c r="AP176" i="18"/>
  <c r="AT176" i="18"/>
  <c r="AX176" i="18"/>
  <c r="BB176" i="18"/>
  <c r="Y163" i="18"/>
  <c r="AO163" i="18"/>
  <c r="BE163" i="18"/>
  <c r="X169" i="18"/>
  <c r="AN169" i="18"/>
  <c r="BD169" i="18"/>
  <c r="T176" i="18"/>
  <c r="X176" i="18"/>
  <c r="AB176" i="18"/>
  <c r="AF176" i="18"/>
  <c r="AJ176" i="18"/>
  <c r="AN176" i="18"/>
  <c r="AR176" i="18"/>
  <c r="AV176" i="18"/>
  <c r="AZ176" i="18"/>
  <c r="U165" i="18"/>
  <c r="S164" i="18"/>
  <c r="T164" i="18"/>
  <c r="T165" i="18"/>
  <c r="V163" i="18"/>
  <c r="Z163" i="18"/>
  <c r="AD163" i="18"/>
  <c r="AH163" i="18"/>
  <c r="AL163" i="18"/>
  <c r="AP163" i="18"/>
  <c r="AT163" i="18"/>
  <c r="AX163" i="18"/>
  <c r="BB163" i="18"/>
  <c r="U169" i="18"/>
  <c r="Y169" i="18"/>
  <c r="AC169" i="18"/>
  <c r="AG169" i="18"/>
  <c r="AK169" i="18"/>
  <c r="AO169" i="18"/>
  <c r="AS169" i="18"/>
  <c r="AW169" i="18"/>
  <c r="BA169" i="18"/>
  <c r="BE169" i="18"/>
  <c r="S163" i="18"/>
  <c r="W163" i="18"/>
  <c r="AA163" i="18"/>
  <c r="AE163" i="18"/>
  <c r="AI163" i="18"/>
  <c r="AM163" i="18"/>
  <c r="AQ163" i="18"/>
  <c r="AU163" i="18"/>
  <c r="AY163" i="18"/>
  <c r="BC163" i="18"/>
  <c r="V169" i="18"/>
  <c r="Z169" i="18"/>
  <c r="AD169" i="18"/>
  <c r="AH169" i="18"/>
  <c r="AL169" i="18"/>
  <c r="AP169" i="18"/>
  <c r="AT169" i="18"/>
  <c r="AX169" i="18"/>
  <c r="BB169" i="18"/>
  <c r="T163" i="18"/>
  <c r="X163" i="18"/>
  <c r="AB163" i="18"/>
  <c r="AF163" i="18"/>
  <c r="AJ163" i="18"/>
  <c r="AN163" i="18"/>
  <c r="AR163" i="18"/>
  <c r="AV163" i="18"/>
  <c r="AZ163" i="18"/>
  <c r="BD163" i="18"/>
  <c r="S169" i="18"/>
  <c r="W169" i="18"/>
  <c r="AA169" i="18"/>
  <c r="AE169" i="18"/>
  <c r="AI169" i="18"/>
  <c r="AM169" i="18"/>
  <c r="AQ169" i="18"/>
  <c r="AU169" i="18"/>
  <c r="AY169" i="18"/>
  <c r="AF171" i="18"/>
  <c r="AZ171" i="18"/>
  <c r="AJ171" i="18"/>
  <c r="BD171" i="18"/>
  <c r="T171" i="18"/>
  <c r="AN171" i="18"/>
  <c r="G207" i="18"/>
  <c r="AB118" i="18" s="1"/>
  <c r="BA144" i="18"/>
  <c r="BA26" i="18" s="1"/>
  <c r="BA24" i="18"/>
  <c r="AW144" i="18"/>
  <c r="AW26" i="18" s="1"/>
  <c r="AW24" i="18"/>
  <c r="Y168" i="18"/>
  <c r="Y177" i="18" s="1"/>
  <c r="Y130" i="18" s="1"/>
  <c r="Y132" i="18" s="1"/>
  <c r="AG168" i="18"/>
  <c r="AG177" i="18" s="1"/>
  <c r="AG130" i="18" s="1"/>
  <c r="AG132" i="18" s="1"/>
  <c r="AO168" i="18"/>
  <c r="AO177" i="18" s="1"/>
  <c r="AO130" i="18" s="1"/>
  <c r="AO132" i="18" s="1"/>
  <c r="AW168" i="18"/>
  <c r="AJ177" i="18"/>
  <c r="AJ130" i="18" s="1"/>
  <c r="S29" i="18"/>
  <c r="AX168" i="18"/>
  <c r="T177" i="18"/>
  <c r="T130" i="18" s="1"/>
  <c r="AN177" i="18"/>
  <c r="AN130" i="18" s="1"/>
  <c r="AX131" i="18"/>
  <c r="AX22" i="18" s="1"/>
  <c r="AX21" i="18"/>
  <c r="U168" i="18"/>
  <c r="U177" i="18" s="1"/>
  <c r="U130" i="18" s="1"/>
  <c r="U132" i="18" s="1"/>
  <c r="AC168" i="18"/>
  <c r="AC177" i="18" s="1"/>
  <c r="AC130" i="18" s="1"/>
  <c r="AC132" i="18" s="1"/>
  <c r="AK168" i="18"/>
  <c r="AK177" i="18" s="1"/>
  <c r="AK130" i="18" s="1"/>
  <c r="AK132" i="18" s="1"/>
  <c r="AS168" i="18"/>
  <c r="AS177" i="18" s="1"/>
  <c r="AS130" i="18" s="1"/>
  <c r="AS132" i="18" s="1"/>
  <c r="X177" i="18"/>
  <c r="X130" i="18" s="1"/>
  <c r="AR177" i="18"/>
  <c r="AR130" i="18" s="1"/>
  <c r="V27" i="18"/>
  <c r="W41" i="18"/>
  <c r="I40" i="18"/>
  <c r="N39" i="18"/>
  <c r="D138" i="18"/>
  <c r="U141" i="18" s="1"/>
  <c r="N40" i="18"/>
  <c r="D40" i="18"/>
  <c r="D75" i="18"/>
  <c r="D74" i="18"/>
  <c r="BE147" i="18"/>
  <c r="BE145" i="18"/>
  <c r="BE23" i="18" s="1"/>
  <c r="BE140" i="18"/>
  <c r="BE143" i="18" s="1"/>
  <c r="BE25" i="18" s="1"/>
  <c r="AV131" i="18"/>
  <c r="AV22" i="18" s="1"/>
  <c r="AV147" i="18"/>
  <c r="AV140" i="18"/>
  <c r="AV143" i="18" s="1"/>
  <c r="AV25" i="18" s="1"/>
  <c r="BA145" i="18"/>
  <c r="BA23" i="18" s="1"/>
  <c r="BA147" i="18"/>
  <c r="BA140" i="18"/>
  <c r="BA143" i="18" s="1"/>
  <c r="BA25" i="18" s="1"/>
  <c r="F158" i="18" a="1"/>
  <c r="F158" i="18" s="1"/>
  <c r="AG28" i="18" s="1"/>
  <c r="F159" i="18" a="1"/>
  <c r="F159" i="18" s="1"/>
  <c r="AF131" i="18"/>
  <c r="AF22" i="18" s="1"/>
  <c r="AW147" i="18"/>
  <c r="AW145" i="18"/>
  <c r="AW23" i="18" s="1"/>
  <c r="AW131" i="18"/>
  <c r="AW22" i="18" s="1"/>
  <c r="AW140" i="18"/>
  <c r="AW143" i="18" s="1"/>
  <c r="AW25" i="18" s="1"/>
  <c r="BB147" i="18"/>
  <c r="BB140" i="18"/>
  <c r="BB143" i="18" s="1"/>
  <c r="BB25" i="18" s="1"/>
  <c r="BB131" i="18"/>
  <c r="BB22" i="18" s="1"/>
  <c r="BB145" i="18"/>
  <c r="BB23" i="18" s="1"/>
  <c r="J138" i="18"/>
  <c r="BC144" i="18"/>
  <c r="BC26" i="18" s="1"/>
  <c r="BC24" i="18"/>
  <c r="G138" i="18"/>
  <c r="L138" i="18"/>
  <c r="S168" i="18"/>
  <c r="S177" i="18" s="1"/>
  <c r="S130" i="18" s="1"/>
  <c r="W168" i="18"/>
  <c r="W177" i="18" s="1"/>
  <c r="W130" i="18" s="1"/>
  <c r="W132" i="18" s="1"/>
  <c r="AA168" i="18"/>
  <c r="AA177" i="18" s="1"/>
  <c r="AA130" i="18" s="1"/>
  <c r="AA132" i="18" s="1"/>
  <c r="AE168" i="18"/>
  <c r="AE177" i="18" s="1"/>
  <c r="AE130" i="18" s="1"/>
  <c r="AE132" i="18" s="1"/>
  <c r="AI168" i="18"/>
  <c r="AI177" i="18" s="1"/>
  <c r="AI130" i="18" s="1"/>
  <c r="AI132" i="18" s="1"/>
  <c r="AM168" i="18"/>
  <c r="AM177" i="18" s="1"/>
  <c r="AM130" i="18" s="1"/>
  <c r="AM132" i="18" s="1"/>
  <c r="AQ168" i="18"/>
  <c r="AQ177" i="18" s="1"/>
  <c r="AQ130" i="18" s="1"/>
  <c r="AQ132" i="18" s="1"/>
  <c r="AU168" i="18"/>
  <c r="AU177" i="18" s="1"/>
  <c r="AU130" i="18" s="1"/>
  <c r="AU132" i="18" s="1"/>
  <c r="AY177" i="18"/>
  <c r="AY130" i="18" s="1"/>
  <c r="AY132" i="18" s="1"/>
  <c r="AY168" i="18"/>
  <c r="BC177" i="18"/>
  <c r="BC130" i="18" s="1"/>
  <c r="BC132" i="18" s="1"/>
  <c r="BC168" i="18"/>
  <c r="H138" i="18"/>
  <c r="N138" i="18"/>
  <c r="G74" i="18"/>
  <c r="AX147" i="18"/>
  <c r="AX140" i="18"/>
  <c r="AX143" i="18" s="1"/>
  <c r="AX25" i="18" s="1"/>
  <c r="M138" i="18"/>
  <c r="I138" i="18"/>
  <c r="E138" i="18"/>
  <c r="X141" i="18" s="1"/>
  <c r="F138" i="18"/>
  <c r="K138" i="18"/>
  <c r="AB171" i="18"/>
  <c r="BC171" i="18"/>
  <c r="AY171" i="18"/>
  <c r="AU171" i="18"/>
  <c r="AQ171" i="18"/>
  <c r="AM171" i="18"/>
  <c r="AI171" i="18"/>
  <c r="AE171" i="18"/>
  <c r="AA171" i="18"/>
  <c r="W171" i="18"/>
  <c r="S171" i="18"/>
  <c r="BB171" i="18"/>
  <c r="AX171" i="18"/>
  <c r="AT171" i="18"/>
  <c r="AP171" i="18"/>
  <c r="AL171" i="18"/>
  <c r="AH171" i="18"/>
  <c r="AD171" i="18"/>
  <c r="Z171" i="18"/>
  <c r="V171" i="18"/>
  <c r="BE171" i="18"/>
  <c r="BA171" i="18"/>
  <c r="AW171" i="18"/>
  <c r="AS171" i="18"/>
  <c r="AO171" i="18"/>
  <c r="AK171" i="18"/>
  <c r="AG171" i="18"/>
  <c r="AC171" i="18"/>
  <c r="Y171" i="18"/>
  <c r="U171" i="18"/>
  <c r="V177" i="18"/>
  <c r="V130" i="18" s="1"/>
  <c r="V132" i="18" s="1"/>
  <c r="Z177" i="18"/>
  <c r="Z130" i="18" s="1"/>
  <c r="Z132" i="18" s="1"/>
  <c r="AD177" i="18"/>
  <c r="AD130" i="18" s="1"/>
  <c r="AD132" i="18" s="1"/>
  <c r="AH177" i="18"/>
  <c r="AH130" i="18" s="1"/>
  <c r="AH132" i="18" s="1"/>
  <c r="AL177" i="18"/>
  <c r="AL130" i="18" s="1"/>
  <c r="AL132" i="18" s="1"/>
  <c r="AP177" i="18"/>
  <c r="AP130" i="18" s="1"/>
  <c r="AP132" i="18" s="1"/>
  <c r="AT177" i="18"/>
  <c r="AT130" i="18" s="1"/>
  <c r="AT132" i="18" s="1"/>
  <c r="AA188" i="18"/>
  <c r="T139" i="18" l="1"/>
  <c r="X131" i="18"/>
  <c r="X22" i="18" s="1"/>
  <c r="X132" i="18"/>
  <c r="T21" i="18"/>
  <c r="T132" i="18"/>
  <c r="T145" i="18" s="1"/>
  <c r="T23" i="18" s="1"/>
  <c r="AZ21" i="18"/>
  <c r="AZ132" i="18"/>
  <c r="AV132" i="18"/>
  <c r="AV145" i="18" s="1"/>
  <c r="AV23" i="18" s="1"/>
  <c r="BD145" i="18"/>
  <c r="BD23" i="18" s="1"/>
  <c r="BD132" i="18"/>
  <c r="S140" i="18"/>
  <c r="S143" i="18" s="1"/>
  <c r="S25" i="18" s="1"/>
  <c r="S132" i="18"/>
  <c r="AR131" i="18"/>
  <c r="AR22" i="18" s="1"/>
  <c r="AR132" i="18"/>
  <c r="AN131" i="18"/>
  <c r="AN22" i="18" s="1"/>
  <c r="AN132" i="18"/>
  <c r="AJ21" i="18"/>
  <c r="AJ132" i="18"/>
  <c r="BD147" i="18"/>
  <c r="U139" i="18"/>
  <c r="U142" i="18" s="1"/>
  <c r="U144" i="18" s="1"/>
  <c r="U26" i="18" s="1"/>
  <c r="W141" i="18"/>
  <c r="AR122" i="18"/>
  <c r="AY122" i="18" s="1"/>
  <c r="AY117" i="18"/>
  <c r="AR117" i="18"/>
  <c r="BD140" i="18"/>
  <c r="BD143" i="18" s="1"/>
  <c r="BD25" i="18" s="1"/>
  <c r="BD131" i="18"/>
  <c r="BD22" i="18" s="1"/>
  <c r="I121" i="18"/>
  <c r="AF97" i="18"/>
  <c r="AV97" i="18"/>
  <c r="AJ97" i="18"/>
  <c r="AB97" i="18"/>
  <c r="AN97" i="18"/>
  <c r="AR97" i="18"/>
  <c r="AY121" i="18"/>
  <c r="AO141" i="18"/>
  <c r="AR119" i="18"/>
  <c r="AY120" i="18"/>
  <c r="AZ147" i="18"/>
  <c r="AY119" i="18"/>
  <c r="AY116" i="18"/>
  <c r="BD21" i="18"/>
  <c r="R189" i="18"/>
  <c r="AG40" i="18" s="1"/>
  <c r="AZ145" i="18"/>
  <c r="AZ23" i="18" s="1"/>
  <c r="AZ131" i="18"/>
  <c r="AZ22" i="18" s="1"/>
  <c r="AZ140" i="18"/>
  <c r="AZ143" i="18" s="1"/>
  <c r="AZ25" i="18" s="1"/>
  <c r="AH141" i="18"/>
  <c r="Y141" i="18"/>
  <c r="AR141" i="18"/>
  <c r="AD41" i="18"/>
  <c r="V139" i="18"/>
  <c r="Y147" i="18"/>
  <c r="S144" i="18"/>
  <c r="S26" i="18" s="1"/>
  <c r="S24" i="18"/>
  <c r="T142" i="18"/>
  <c r="T24" i="18" s="1"/>
  <c r="AF21" i="21"/>
  <c r="AF22" i="21" s="1"/>
  <c r="X147" i="18"/>
  <c r="T131" i="18"/>
  <c r="T22" i="18" s="1"/>
  <c r="AN140" i="18"/>
  <c r="AB147" i="18"/>
  <c r="AB145" i="18"/>
  <c r="AB23" i="18" s="1"/>
  <c r="AB21" i="18"/>
  <c r="AB131" i="18"/>
  <c r="AB22" i="18" s="1"/>
  <c r="AV21" i="18"/>
  <c r="W139" i="18"/>
  <c r="AS131" i="18"/>
  <c r="AS22" i="18" s="1"/>
  <c r="AS147" i="18"/>
  <c r="AS21" i="18"/>
  <c r="AS145" i="18"/>
  <c r="AS23" i="18" s="1"/>
  <c r="AO21" i="18"/>
  <c r="AO131" i="18"/>
  <c r="AO22" i="18" s="1"/>
  <c r="AO145" i="18"/>
  <c r="AO23" i="18" s="1"/>
  <c r="AK131" i="18"/>
  <c r="AK22" i="18" s="1"/>
  <c r="AK21" i="18"/>
  <c r="AK145" i="18"/>
  <c r="AK23" i="18" s="1"/>
  <c r="AG131" i="18"/>
  <c r="AG22" i="18" s="1"/>
  <c r="AG21" i="18"/>
  <c r="AC131" i="18"/>
  <c r="AC22" i="18" s="1"/>
  <c r="AC147" i="18"/>
  <c r="AC21" i="18"/>
  <c r="AC145" i="18"/>
  <c r="AC23" i="18" s="1"/>
  <c r="Y131" i="18"/>
  <c r="Y22" i="18" s="1"/>
  <c r="Y21" i="18"/>
  <c r="Y145" i="18"/>
  <c r="Y23" i="18" s="1"/>
  <c r="U21" i="18"/>
  <c r="U145" i="18"/>
  <c r="U23" i="18" s="1"/>
  <c r="U140" i="18"/>
  <c r="U131" i="18"/>
  <c r="U22" i="18" s="1"/>
  <c r="AK147" i="18"/>
  <c r="U147" i="18"/>
  <c r="Y74" i="18"/>
  <c r="X140" i="18"/>
  <c r="AN147" i="18"/>
  <c r="AB189" i="18"/>
  <c r="AV40" i="18" s="1"/>
  <c r="AS40" i="18"/>
  <c r="R188" i="18"/>
  <c r="AG39" i="18" s="1"/>
  <c r="AD39" i="18"/>
  <c r="AJ145" i="18"/>
  <c r="AJ23" i="18" s="1"/>
  <c r="AJ131" i="18"/>
  <c r="AJ22" i="18" s="1"/>
  <c r="AR145" i="18"/>
  <c r="AR23" i="18" s="1"/>
  <c r="AR21" i="18"/>
  <c r="T147" i="18"/>
  <c r="T140" i="18"/>
  <c r="X21" i="18"/>
  <c r="X145" i="18"/>
  <c r="X23" i="18" s="1"/>
  <c r="AN145" i="18"/>
  <c r="AN23" i="18" s="1"/>
  <c r="AN21" i="18"/>
  <c r="AH147" i="18"/>
  <c r="AH140" i="18"/>
  <c r="AH131" i="18"/>
  <c r="AH22" i="18" s="1"/>
  <c r="AH21" i="18"/>
  <c r="AH145" i="18"/>
  <c r="AH23" i="18" s="1"/>
  <c r="AU147" i="18"/>
  <c r="AU140" i="18"/>
  <c r="AU145" i="18"/>
  <c r="AU23" i="18" s="1"/>
  <c r="AU21" i="18"/>
  <c r="AU131" i="18"/>
  <c r="AU22" i="18" s="1"/>
  <c r="AE147" i="18"/>
  <c r="AE140" i="18"/>
  <c r="AE145" i="18"/>
  <c r="AE23" i="18" s="1"/>
  <c r="AE21" i="18"/>
  <c r="AE131" i="18"/>
  <c r="AE22" i="18" s="1"/>
  <c r="X139" i="18"/>
  <c r="AT139" i="18"/>
  <c r="AP139" i="18"/>
  <c r="AC139" i="18"/>
  <c r="AT147" i="18"/>
  <c r="AT140" i="18"/>
  <c r="AT145" i="18"/>
  <c r="AT23" i="18" s="1"/>
  <c r="AT21" i="18"/>
  <c r="AT131" i="18"/>
  <c r="AT22" i="18" s="1"/>
  <c r="AD147" i="18"/>
  <c r="AD140" i="18"/>
  <c r="AD145" i="18"/>
  <c r="AD23" i="18" s="1"/>
  <c r="AD21" i="18"/>
  <c r="AD131" i="18"/>
  <c r="AD22" i="18" s="1"/>
  <c r="AS140" i="18"/>
  <c r="AA139" i="18"/>
  <c r="AB141" i="18"/>
  <c r="AB139" i="18"/>
  <c r="AC141" i="18"/>
  <c r="AD139" i="18"/>
  <c r="AD141" i="18"/>
  <c r="Z139" i="18"/>
  <c r="AU139" i="18"/>
  <c r="AP141" i="18"/>
  <c r="AG139" i="18"/>
  <c r="AA141" i="18"/>
  <c r="AQ141" i="18"/>
  <c r="AF140" i="18"/>
  <c r="AG147" i="18"/>
  <c r="AP147" i="18"/>
  <c r="AP140" i="18"/>
  <c r="AP145" i="18"/>
  <c r="AP23" i="18" s="1"/>
  <c r="AP131" i="18"/>
  <c r="AP22" i="18" s="1"/>
  <c r="AP21" i="18"/>
  <c r="AY147" i="18"/>
  <c r="AY140" i="18"/>
  <c r="AY143" i="18" s="1"/>
  <c r="AY25" i="18" s="1"/>
  <c r="AY21" i="18"/>
  <c r="AY145" i="18"/>
  <c r="AY23" i="18" s="1"/>
  <c r="AY131" i="18"/>
  <c r="AY22" i="18" s="1"/>
  <c r="AQ131" i="18"/>
  <c r="AQ22" i="18" s="1"/>
  <c r="AQ147" i="18"/>
  <c r="AQ140" i="18"/>
  <c r="AQ21" i="18"/>
  <c r="AQ145" i="18"/>
  <c r="AQ23" i="18" s="1"/>
  <c r="AI147" i="18"/>
  <c r="AI140" i="18"/>
  <c r="AI131" i="18"/>
  <c r="AI22" i="18" s="1"/>
  <c r="AI21" i="18"/>
  <c r="AI145" i="18"/>
  <c r="AI23" i="18" s="1"/>
  <c r="AA147" i="18"/>
  <c r="AA131" i="18"/>
  <c r="AA22" i="18" s="1"/>
  <c r="AA140" i="18"/>
  <c r="AA21" i="18"/>
  <c r="AA145" i="18"/>
  <c r="AA23" i="18" s="1"/>
  <c r="S147" i="18"/>
  <c r="S21" i="18"/>
  <c r="S131" i="18"/>
  <c r="S22" i="18" s="1"/>
  <c r="S145" i="18"/>
  <c r="S23" i="18" s="1"/>
  <c r="AF139" i="18"/>
  <c r="AG141" i="18"/>
  <c r="AH139" i="18"/>
  <c r="AN141" i="18"/>
  <c r="AI139" i="18"/>
  <c r="AJ141" i="18"/>
  <c r="AE139" i="18"/>
  <c r="Z141" i="18"/>
  <c r="AK139" i="18"/>
  <c r="AE141" i="18"/>
  <c r="AU141" i="18"/>
  <c r="AR140" i="18"/>
  <c r="AF147" i="18"/>
  <c r="AO140" i="18"/>
  <c r="AJ140" i="18"/>
  <c r="AG140" i="18"/>
  <c r="Y75" i="18"/>
  <c r="W40" i="18"/>
  <c r="Z147" i="18"/>
  <c r="Z140" i="18"/>
  <c r="Z145" i="18"/>
  <c r="Z23" i="18" s="1"/>
  <c r="Z131" i="18"/>
  <c r="Z22" i="18" s="1"/>
  <c r="Z21" i="18"/>
  <c r="AB188" i="18"/>
  <c r="AV39" i="18" s="1"/>
  <c r="AS39" i="18"/>
  <c r="AL147" i="18"/>
  <c r="AL140" i="18"/>
  <c r="AL131" i="18"/>
  <c r="AL22" i="18" s="1"/>
  <c r="AL21" i="18"/>
  <c r="V147" i="18"/>
  <c r="V140" i="18"/>
  <c r="V131" i="18"/>
  <c r="V22" i="18" s="1"/>
  <c r="V21" i="18"/>
  <c r="V145" i="18"/>
  <c r="V23" i="18" s="1"/>
  <c r="AC140" i="18"/>
  <c r="AL139" i="18"/>
  <c r="AL141" i="18"/>
  <c r="AM139" i="18"/>
  <c r="AS141" i="18"/>
  <c r="AN139" i="18"/>
  <c r="AT141" i="18"/>
  <c r="AJ139" i="18"/>
  <c r="AF141" i="18"/>
  <c r="Y139" i="18"/>
  <c r="AO139" i="18"/>
  <c r="AI141" i="18"/>
  <c r="Y140" i="18"/>
  <c r="W39" i="18"/>
  <c r="BC147" i="18"/>
  <c r="BC140" i="18"/>
  <c r="BC143" i="18" s="1"/>
  <c r="BC25" i="18" s="1"/>
  <c r="BC21" i="18"/>
  <c r="BC131" i="18"/>
  <c r="BC22" i="18" s="1"/>
  <c r="BC145" i="18"/>
  <c r="BC23" i="18" s="1"/>
  <c r="AM147" i="18"/>
  <c r="AM140" i="18"/>
  <c r="AM145" i="18"/>
  <c r="AM23" i="18" s="1"/>
  <c r="AM21" i="18"/>
  <c r="AM131" i="18"/>
  <c r="AM22" i="18" s="1"/>
  <c r="W147" i="18"/>
  <c r="W140" i="18"/>
  <c r="W21" i="18"/>
  <c r="W145" i="18"/>
  <c r="W23" i="18" s="1"/>
  <c r="W131" i="18"/>
  <c r="W22" i="18" s="1"/>
  <c r="AQ139" i="18"/>
  <c r="AR139" i="18"/>
  <c r="AK141" i="18"/>
  <c r="AS139" i="18"/>
  <c r="AM141" i="18"/>
  <c r="AF145" i="18"/>
  <c r="AF23" i="18" s="1"/>
  <c r="AR147" i="18"/>
  <c r="AJ27" i="18"/>
  <c r="AG29" i="18"/>
  <c r="AK140" i="18"/>
  <c r="AB140" i="18"/>
  <c r="AO147" i="18"/>
  <c r="AJ147" i="18"/>
  <c r="AG145" i="18"/>
  <c r="AG23" i="18" s="1"/>
  <c r="V142" i="18" l="1"/>
  <c r="V144" i="18" s="1"/>
  <c r="V26" i="18" s="1"/>
  <c r="AI124" i="18"/>
  <c r="AE124" i="18"/>
  <c r="AA124" i="18"/>
  <c r="AG124" i="18"/>
  <c r="AC124" i="18"/>
  <c r="AZ97" i="18"/>
  <c r="G202" i="18"/>
  <c r="L120" i="18" s="1"/>
  <c r="J202" i="18"/>
  <c r="O120" i="18" s="1"/>
  <c r="D202" i="18"/>
  <c r="I120" i="18" s="1"/>
  <c r="AR142" i="18"/>
  <c r="AR144" i="18" s="1"/>
  <c r="AR26" i="18" s="1"/>
  <c r="X142" i="18"/>
  <c r="X24" i="18" s="1"/>
  <c r="W142" i="18"/>
  <c r="W24" i="18" s="1"/>
  <c r="T144" i="18"/>
  <c r="T26" i="18" s="1"/>
  <c r="Y142" i="18"/>
  <c r="Y24" i="18" s="1"/>
  <c r="U24" i="18"/>
  <c r="AI142" i="18"/>
  <c r="AI144" i="18" s="1"/>
  <c r="AI26" i="18" s="1"/>
  <c r="U143" i="18"/>
  <c r="U25" i="18" s="1"/>
  <c r="AD142" i="18"/>
  <c r="AD144" i="18" s="1"/>
  <c r="AD26" i="18" s="1"/>
  <c r="AN142" i="18"/>
  <c r="AN143" i="18" s="1"/>
  <c r="AN25" i="18" s="1"/>
  <c r="T143" i="18"/>
  <c r="T25" i="18" s="1"/>
  <c r="AG21" i="21"/>
  <c r="AG22" i="21" s="1"/>
  <c r="AQ142" i="18"/>
  <c r="AQ24" i="18" s="1"/>
  <c r="AJ142" i="18"/>
  <c r="AJ144" i="18" s="1"/>
  <c r="AJ26" i="18" s="1"/>
  <c r="AM142" i="18"/>
  <c r="AM144" i="18" s="1"/>
  <c r="AM26" i="18" s="1"/>
  <c r="Z142" i="18"/>
  <c r="Z143" i="18" s="1"/>
  <c r="Z25" i="18" s="1"/>
  <c r="AE142" i="18"/>
  <c r="AE144" i="18" s="1"/>
  <c r="AE26" i="18" s="1"/>
  <c r="V143" i="18"/>
  <c r="V25" i="18" s="1"/>
  <c r="AF142" i="18"/>
  <c r="AF143" i="18" s="1"/>
  <c r="AF25" i="18" s="1"/>
  <c r="AK142" i="18"/>
  <c r="AK143" i="18" s="1"/>
  <c r="AK25" i="18" s="1"/>
  <c r="AH142" i="18"/>
  <c r="AH144" i="18" s="1"/>
  <c r="AH26" i="18" s="1"/>
  <c r="AO142" i="18"/>
  <c r="AO143" i="18" s="1"/>
  <c r="AO25" i="18" s="1"/>
  <c r="AB142" i="18"/>
  <c r="AB143" i="18" s="1"/>
  <c r="AB25" i="18" s="1"/>
  <c r="AC142" i="18"/>
  <c r="AC143" i="18" s="1"/>
  <c r="AC25" i="18" s="1"/>
  <c r="AL142" i="18"/>
  <c r="AL143" i="18" s="1"/>
  <c r="AL25" i="18" s="1"/>
  <c r="E193" i="18"/>
  <c r="AL145" i="18"/>
  <c r="AL23" i="18" s="1"/>
  <c r="AG142" i="18"/>
  <c r="AG143" i="18" s="1"/>
  <c r="AG25" i="18" s="1"/>
  <c r="AP142" i="18"/>
  <c r="AP143" i="18" s="1"/>
  <c r="AP25" i="18" s="1"/>
  <c r="AS142" i="18"/>
  <c r="AS143" i="18" s="1"/>
  <c r="AS25" i="18" s="1"/>
  <c r="AA142" i="18"/>
  <c r="AA143" i="18" s="1"/>
  <c r="AA25" i="18" s="1"/>
  <c r="AT142" i="18"/>
  <c r="AU142" i="18"/>
  <c r="AU143" i="18" s="1"/>
  <c r="AU25" i="18" s="1"/>
  <c r="V24" i="18" l="1"/>
  <c r="AI125" i="18"/>
  <c r="AE125" i="18"/>
  <c r="AA125" i="18"/>
  <c r="AC125" i="18"/>
  <c r="AG125" i="18"/>
  <c r="AR143" i="18"/>
  <c r="AR25" i="18" s="1"/>
  <c r="AR24" i="18"/>
  <c r="AQ143" i="18"/>
  <c r="AQ25" i="18" s="1"/>
  <c r="X143" i="18"/>
  <c r="X25" i="18" s="1"/>
  <c r="X144" i="18"/>
  <c r="X26" i="18" s="1"/>
  <c r="W143" i="18"/>
  <c r="W25" i="18" s="1"/>
  <c r="W144" i="18"/>
  <c r="W26" i="18" s="1"/>
  <c r="Y144" i="18"/>
  <c r="Y26" i="18" s="1"/>
  <c r="AD143" i="18"/>
  <c r="AD25" i="18" s="1"/>
  <c r="AI24" i="18"/>
  <c r="Y143" i="18"/>
  <c r="Y25" i="18" s="1"/>
  <c r="AI143" i="18"/>
  <c r="AI25" i="18" s="1"/>
  <c r="AD24" i="18"/>
  <c r="AN24" i="18"/>
  <c r="AM143" i="18"/>
  <c r="AM25" i="18" s="1"/>
  <c r="AN144" i="18"/>
  <c r="AN26" i="18" s="1"/>
  <c r="AJ143" i="18"/>
  <c r="AJ25" i="18" s="1"/>
  <c r="AH143" i="18"/>
  <c r="AH25" i="18" s="1"/>
  <c r="AH21" i="21"/>
  <c r="AH22" i="21" s="1"/>
  <c r="AE143" i="18"/>
  <c r="AE25" i="18" s="1"/>
  <c r="AQ144" i="18"/>
  <c r="AQ26" i="18" s="1"/>
  <c r="Z144" i="18"/>
  <c r="Z26" i="18" s="1"/>
  <c r="AE24" i="18"/>
  <c r="AJ24" i="18"/>
  <c r="AH24" i="18"/>
  <c r="Z24" i="18"/>
  <c r="AF144" i="18"/>
  <c r="AF26" i="18" s="1"/>
  <c r="AM24" i="18"/>
  <c r="AK24" i="18"/>
  <c r="AF24" i="18"/>
  <c r="AK144" i="18"/>
  <c r="AK26" i="18" s="1"/>
  <c r="AS144" i="18"/>
  <c r="AS26" i="18" s="1"/>
  <c r="AS24" i="18"/>
  <c r="AC144" i="18"/>
  <c r="AC26" i="18" s="1"/>
  <c r="AC24" i="18"/>
  <c r="AT144" i="18"/>
  <c r="AT26" i="18" s="1"/>
  <c r="AT24" i="18"/>
  <c r="AT143" i="18"/>
  <c r="AT25" i="18" s="1"/>
  <c r="AG144" i="18"/>
  <c r="AG26" i="18" s="1"/>
  <c r="AG24" i="18"/>
  <c r="AB144" i="18"/>
  <c r="AB26" i="18" s="1"/>
  <c r="AB24" i="18"/>
  <c r="AO144" i="18"/>
  <c r="AO26" i="18" s="1"/>
  <c r="AO24" i="18"/>
  <c r="AU144" i="18"/>
  <c r="AU26" i="18" s="1"/>
  <c r="AU24" i="18"/>
  <c r="AA144" i="18"/>
  <c r="AA26" i="18" s="1"/>
  <c r="AA24" i="18"/>
  <c r="AP144" i="18"/>
  <c r="AP26" i="18" s="1"/>
  <c r="AP24" i="18"/>
  <c r="AL144" i="18"/>
  <c r="AL26" i="18" s="1"/>
  <c r="AL24" i="18"/>
  <c r="AI21" i="21" l="1"/>
  <c r="AI22" i="21" s="1"/>
  <c r="E200" i="13"/>
  <c r="E198" i="13"/>
  <c r="E196" i="13"/>
  <c r="E194" i="13"/>
  <c r="E192" i="13"/>
  <c r="AJ21" i="21" l="1"/>
  <c r="AJ22" i="21" s="1"/>
  <c r="E224" i="18"/>
  <c r="T189" i="18" s="1"/>
  <c r="AK40" i="18" s="1"/>
  <c r="E226" i="18"/>
  <c r="T190" i="18" s="1"/>
  <c r="AK41" i="18" s="1"/>
  <c r="E228" i="18"/>
  <c r="AD188" i="18" s="1"/>
  <c r="E222" i="18"/>
  <c r="T188" i="18" s="1"/>
  <c r="AK39" i="18" s="1"/>
  <c r="E230" i="18"/>
  <c r="AD189" i="18" s="1"/>
  <c r="G190" i="13"/>
  <c r="G191" i="13" s="1"/>
  <c r="G192" i="13"/>
  <c r="G193" i="13" s="1"/>
  <c r="G194" i="13"/>
  <c r="G195" i="13" s="1"/>
  <c r="G196" i="13"/>
  <c r="G197" i="13" s="1"/>
  <c r="G198" i="13"/>
  <c r="G199" i="13" s="1"/>
  <c r="G200" i="13"/>
  <c r="G201" i="13" s="1"/>
  <c r="AK21" i="21" l="1"/>
  <c r="AK22" i="21" s="1"/>
  <c r="H190" i="13"/>
  <c r="H191" i="13" s="1"/>
  <c r="N190" i="13"/>
  <c r="N191" i="13" s="1"/>
  <c r="H192" i="13"/>
  <c r="H193" i="13" s="1"/>
  <c r="F190" i="13"/>
  <c r="F191" i="13" s="1"/>
  <c r="I190" i="13"/>
  <c r="I191" i="13" s="1"/>
  <c r="J190" i="13"/>
  <c r="J191" i="13" s="1"/>
  <c r="K190" i="13"/>
  <c r="K191" i="13" s="1"/>
  <c r="L190" i="13"/>
  <c r="L191" i="13" s="1"/>
  <c r="M190" i="13"/>
  <c r="M191" i="13" s="1"/>
  <c r="F192" i="13"/>
  <c r="F193" i="13" s="1"/>
  <c r="I192" i="13"/>
  <c r="I193" i="13" s="1"/>
  <c r="J192" i="13"/>
  <c r="J193" i="13" s="1"/>
  <c r="K192" i="13"/>
  <c r="K193" i="13" s="1"/>
  <c r="L192" i="13"/>
  <c r="L193" i="13" s="1"/>
  <c r="M192" i="13"/>
  <c r="M193" i="13" s="1"/>
  <c r="N192" i="13"/>
  <c r="N193" i="13" s="1"/>
  <c r="F194" i="13"/>
  <c r="F195" i="13" s="1"/>
  <c r="I194" i="13"/>
  <c r="I195" i="13" s="1"/>
  <c r="J194" i="13"/>
  <c r="J195" i="13" s="1"/>
  <c r="K194" i="13"/>
  <c r="K195" i="13" s="1"/>
  <c r="L194" i="13"/>
  <c r="L195" i="13" s="1"/>
  <c r="M194" i="13"/>
  <c r="M195" i="13" s="1"/>
  <c r="N194" i="13"/>
  <c r="N195" i="13" s="1"/>
  <c r="F196" i="13"/>
  <c r="F197" i="13" s="1"/>
  <c r="I196" i="13"/>
  <c r="I197" i="13" s="1"/>
  <c r="J196" i="13"/>
  <c r="J197" i="13" s="1"/>
  <c r="K196" i="13"/>
  <c r="K197" i="13" s="1"/>
  <c r="L196" i="13"/>
  <c r="L197" i="13" s="1"/>
  <c r="M196" i="13"/>
  <c r="M197" i="13" s="1"/>
  <c r="N196" i="13"/>
  <c r="N197" i="13" s="1"/>
  <c r="F198" i="13"/>
  <c r="F199" i="13" s="1"/>
  <c r="H198" i="13"/>
  <c r="H199" i="13" s="1"/>
  <c r="I198" i="13"/>
  <c r="I199" i="13" s="1"/>
  <c r="J198" i="13"/>
  <c r="J199" i="13" s="1"/>
  <c r="K198" i="13"/>
  <c r="K199" i="13" s="1"/>
  <c r="L198" i="13"/>
  <c r="L199" i="13" s="1"/>
  <c r="M198" i="13"/>
  <c r="M199" i="13" s="1"/>
  <c r="N198" i="13"/>
  <c r="N199" i="13" s="1"/>
  <c r="F200" i="13"/>
  <c r="F201" i="13" s="1"/>
  <c r="I200" i="13"/>
  <c r="I201" i="13" s="1"/>
  <c r="J200" i="13"/>
  <c r="J201" i="13" s="1"/>
  <c r="K200" i="13"/>
  <c r="K201" i="13" s="1"/>
  <c r="L200" i="13"/>
  <c r="L201" i="13" s="1"/>
  <c r="M200" i="13"/>
  <c r="M201" i="13" s="1"/>
  <c r="N200" i="13"/>
  <c r="N201" i="13" s="1"/>
  <c r="AL21" i="21" l="1"/>
  <c r="AL22" i="21" s="1"/>
  <c r="E197" i="13"/>
  <c r="E201" i="13"/>
  <c r="E199" i="13"/>
  <c r="E193" i="13"/>
  <c r="E195" i="13"/>
  <c r="H200" i="13"/>
  <c r="H201" i="13" s="1"/>
  <c r="H197" i="13"/>
  <c r="H194" i="13"/>
  <c r="H195" i="13" s="1"/>
  <c r="AM21" i="21" l="1"/>
  <c r="AM22" i="21" s="1"/>
  <c r="E223" i="18"/>
  <c r="E229" i="18"/>
  <c r="E231" i="18"/>
  <c r="E225" i="18"/>
  <c r="E227" i="18"/>
  <c r="H1002" i="9"/>
  <c r="G1002" i="9"/>
  <c r="D1002" i="9"/>
  <c r="C1002" i="9"/>
  <c r="H1001" i="9"/>
  <c r="G1001" i="9"/>
  <c r="D1001" i="9"/>
  <c r="C1001" i="9"/>
  <c r="H1000" i="9"/>
  <c r="G1000" i="9"/>
  <c r="D1000" i="9"/>
  <c r="C1000" i="9"/>
  <c r="H999" i="9"/>
  <c r="G999" i="9"/>
  <c r="D999" i="9"/>
  <c r="C999" i="9"/>
  <c r="H998" i="9"/>
  <c r="G998" i="9"/>
  <c r="D998" i="9"/>
  <c r="C998" i="9"/>
  <c r="H997" i="9"/>
  <c r="G997" i="9"/>
  <c r="D997" i="9"/>
  <c r="C997" i="9"/>
  <c r="H996" i="9"/>
  <c r="G996" i="9"/>
  <c r="D996" i="9"/>
  <c r="C996" i="9"/>
  <c r="H995" i="9"/>
  <c r="G995" i="9"/>
  <c r="D995" i="9"/>
  <c r="C995" i="9"/>
  <c r="H994" i="9"/>
  <c r="G994" i="9"/>
  <c r="D994" i="9"/>
  <c r="C994" i="9"/>
  <c r="H993" i="9"/>
  <c r="G993" i="9"/>
  <c r="D993" i="9"/>
  <c r="C993" i="9"/>
  <c r="H992" i="9"/>
  <c r="G992" i="9"/>
  <c r="D992" i="9"/>
  <c r="C992" i="9"/>
  <c r="H991" i="9"/>
  <c r="G991" i="9"/>
  <c r="D991" i="9"/>
  <c r="C991" i="9"/>
  <c r="H990" i="9"/>
  <c r="G990" i="9"/>
  <c r="D990" i="9"/>
  <c r="C990" i="9"/>
  <c r="H989" i="9"/>
  <c r="G989" i="9"/>
  <c r="D989" i="9"/>
  <c r="C989" i="9"/>
  <c r="H988" i="9"/>
  <c r="G988" i="9"/>
  <c r="D988" i="9"/>
  <c r="C988" i="9"/>
  <c r="H987" i="9"/>
  <c r="G987" i="9"/>
  <c r="D987" i="9"/>
  <c r="C987" i="9"/>
  <c r="H986" i="9"/>
  <c r="G986" i="9"/>
  <c r="D986" i="9"/>
  <c r="C986" i="9"/>
  <c r="H985" i="9"/>
  <c r="G985" i="9"/>
  <c r="D985" i="9"/>
  <c r="C985" i="9"/>
  <c r="H984" i="9"/>
  <c r="G984" i="9"/>
  <c r="D984" i="9"/>
  <c r="C984" i="9"/>
  <c r="H983" i="9"/>
  <c r="G983" i="9"/>
  <c r="D983" i="9"/>
  <c r="C983" i="9"/>
  <c r="H982" i="9"/>
  <c r="G982" i="9"/>
  <c r="D982" i="9"/>
  <c r="C982" i="9"/>
  <c r="H981" i="9"/>
  <c r="G981" i="9"/>
  <c r="D981" i="9"/>
  <c r="C981" i="9"/>
  <c r="H980" i="9"/>
  <c r="G980" i="9"/>
  <c r="D980" i="9"/>
  <c r="C980" i="9"/>
  <c r="H979" i="9"/>
  <c r="G979" i="9"/>
  <c r="D979" i="9"/>
  <c r="C979" i="9"/>
  <c r="H978" i="9"/>
  <c r="G978" i="9"/>
  <c r="D978" i="9"/>
  <c r="C978" i="9"/>
  <c r="H977" i="9"/>
  <c r="G977" i="9"/>
  <c r="D977" i="9"/>
  <c r="C977" i="9"/>
  <c r="H976" i="9"/>
  <c r="G976" i="9"/>
  <c r="D976" i="9"/>
  <c r="C976" i="9"/>
  <c r="H975" i="9"/>
  <c r="G975" i="9"/>
  <c r="D975" i="9"/>
  <c r="C975" i="9"/>
  <c r="H974" i="9"/>
  <c r="G974" i="9"/>
  <c r="D974" i="9"/>
  <c r="C974" i="9"/>
  <c r="H973" i="9"/>
  <c r="G973" i="9"/>
  <c r="D973" i="9"/>
  <c r="C973" i="9"/>
  <c r="H972" i="9"/>
  <c r="G972" i="9"/>
  <c r="D972" i="9"/>
  <c r="C972" i="9"/>
  <c r="H971" i="9"/>
  <c r="G971" i="9"/>
  <c r="D971" i="9"/>
  <c r="C971" i="9"/>
  <c r="H970" i="9"/>
  <c r="G970" i="9"/>
  <c r="D970" i="9"/>
  <c r="C970" i="9"/>
  <c r="H969" i="9"/>
  <c r="G969" i="9"/>
  <c r="D969" i="9"/>
  <c r="C969" i="9"/>
  <c r="H968" i="9"/>
  <c r="G968" i="9"/>
  <c r="D968" i="9"/>
  <c r="C968" i="9"/>
  <c r="H967" i="9"/>
  <c r="G967" i="9"/>
  <c r="D967" i="9"/>
  <c r="C967" i="9"/>
  <c r="H966" i="9"/>
  <c r="G966" i="9"/>
  <c r="D966" i="9"/>
  <c r="C966" i="9"/>
  <c r="H965" i="9"/>
  <c r="G965" i="9"/>
  <c r="D965" i="9"/>
  <c r="C965" i="9"/>
  <c r="H964" i="9"/>
  <c r="G964" i="9"/>
  <c r="D964" i="9"/>
  <c r="C964" i="9"/>
  <c r="H963" i="9"/>
  <c r="G963" i="9"/>
  <c r="D963" i="9"/>
  <c r="C963" i="9"/>
  <c r="H962" i="9"/>
  <c r="G962" i="9"/>
  <c r="D962" i="9"/>
  <c r="C962" i="9"/>
  <c r="H961" i="9"/>
  <c r="G961" i="9"/>
  <c r="D961" i="9"/>
  <c r="C961" i="9"/>
  <c r="H960" i="9"/>
  <c r="G960" i="9"/>
  <c r="D960" i="9"/>
  <c r="C960" i="9"/>
  <c r="H959" i="9"/>
  <c r="G959" i="9"/>
  <c r="D959" i="9"/>
  <c r="C959" i="9"/>
  <c r="H958" i="9"/>
  <c r="G958" i="9"/>
  <c r="D958" i="9"/>
  <c r="C958" i="9"/>
  <c r="H957" i="9"/>
  <c r="G957" i="9"/>
  <c r="D957" i="9"/>
  <c r="C957" i="9"/>
  <c r="H956" i="9"/>
  <c r="G956" i="9"/>
  <c r="D956" i="9"/>
  <c r="C956" i="9"/>
  <c r="H955" i="9"/>
  <c r="G955" i="9"/>
  <c r="D955" i="9"/>
  <c r="C955" i="9"/>
  <c r="H954" i="9"/>
  <c r="G954" i="9"/>
  <c r="D954" i="9"/>
  <c r="C954" i="9"/>
  <c r="H953" i="9"/>
  <c r="G953" i="9"/>
  <c r="D953" i="9"/>
  <c r="C953" i="9"/>
  <c r="H952" i="9"/>
  <c r="G952" i="9"/>
  <c r="D952" i="9"/>
  <c r="C952" i="9"/>
  <c r="H951" i="9"/>
  <c r="G951" i="9"/>
  <c r="D951" i="9"/>
  <c r="C951" i="9"/>
  <c r="H950" i="9"/>
  <c r="G950" i="9"/>
  <c r="D950" i="9"/>
  <c r="C950" i="9"/>
  <c r="H949" i="9"/>
  <c r="G949" i="9"/>
  <c r="D949" i="9"/>
  <c r="C949" i="9"/>
  <c r="H948" i="9"/>
  <c r="G948" i="9"/>
  <c r="D948" i="9"/>
  <c r="C948" i="9"/>
  <c r="H947" i="9"/>
  <c r="G947" i="9"/>
  <c r="D947" i="9"/>
  <c r="C947" i="9"/>
  <c r="H946" i="9"/>
  <c r="G946" i="9"/>
  <c r="D946" i="9"/>
  <c r="C946" i="9"/>
  <c r="H945" i="9"/>
  <c r="G945" i="9"/>
  <c r="D945" i="9"/>
  <c r="C945" i="9"/>
  <c r="H944" i="9"/>
  <c r="G944" i="9"/>
  <c r="D944" i="9"/>
  <c r="C944" i="9"/>
  <c r="H943" i="9"/>
  <c r="G943" i="9"/>
  <c r="D943" i="9"/>
  <c r="C943" i="9"/>
  <c r="H942" i="9"/>
  <c r="G942" i="9"/>
  <c r="D942" i="9"/>
  <c r="C942" i="9"/>
  <c r="H941" i="9"/>
  <c r="G941" i="9"/>
  <c r="D941" i="9"/>
  <c r="C941" i="9"/>
  <c r="H940" i="9"/>
  <c r="G940" i="9"/>
  <c r="D940" i="9"/>
  <c r="C940" i="9"/>
  <c r="H939" i="9"/>
  <c r="G939" i="9"/>
  <c r="D939" i="9"/>
  <c r="C939" i="9"/>
  <c r="H938" i="9"/>
  <c r="G938" i="9"/>
  <c r="D938" i="9"/>
  <c r="C938" i="9"/>
  <c r="H937" i="9"/>
  <c r="G937" i="9"/>
  <c r="D937" i="9"/>
  <c r="C937" i="9"/>
  <c r="H936" i="9"/>
  <c r="G936" i="9"/>
  <c r="D936" i="9"/>
  <c r="C936" i="9"/>
  <c r="H935" i="9"/>
  <c r="G935" i="9"/>
  <c r="D935" i="9"/>
  <c r="C935" i="9"/>
  <c r="H934" i="9"/>
  <c r="G934" i="9"/>
  <c r="D934" i="9"/>
  <c r="C934" i="9"/>
  <c r="H933" i="9"/>
  <c r="G933" i="9"/>
  <c r="D933" i="9"/>
  <c r="C933" i="9"/>
  <c r="H932" i="9"/>
  <c r="G932" i="9"/>
  <c r="D932" i="9"/>
  <c r="C932" i="9"/>
  <c r="H931" i="9"/>
  <c r="G931" i="9"/>
  <c r="D931" i="9"/>
  <c r="C931" i="9"/>
  <c r="H930" i="9"/>
  <c r="G930" i="9"/>
  <c r="D930" i="9"/>
  <c r="C930" i="9"/>
  <c r="H929" i="9"/>
  <c r="G929" i="9"/>
  <c r="D929" i="9"/>
  <c r="C929" i="9"/>
  <c r="H928" i="9"/>
  <c r="G928" i="9"/>
  <c r="D928" i="9"/>
  <c r="C928" i="9"/>
  <c r="H927" i="9"/>
  <c r="G927" i="9"/>
  <c r="D927" i="9"/>
  <c r="C927" i="9"/>
  <c r="H926" i="9"/>
  <c r="G926" i="9"/>
  <c r="D926" i="9"/>
  <c r="C926" i="9"/>
  <c r="H925" i="9"/>
  <c r="G925" i="9"/>
  <c r="D925" i="9"/>
  <c r="C925" i="9"/>
  <c r="H924" i="9"/>
  <c r="G924" i="9"/>
  <c r="D924" i="9"/>
  <c r="C924" i="9"/>
  <c r="H923" i="9"/>
  <c r="G923" i="9"/>
  <c r="D923" i="9"/>
  <c r="C923" i="9"/>
  <c r="H922" i="9"/>
  <c r="G922" i="9"/>
  <c r="D922" i="9"/>
  <c r="C922" i="9"/>
  <c r="H921" i="9"/>
  <c r="G921" i="9"/>
  <c r="D921" i="9"/>
  <c r="C921" i="9"/>
  <c r="H920" i="9"/>
  <c r="G920" i="9"/>
  <c r="D920" i="9"/>
  <c r="C920" i="9"/>
  <c r="H919" i="9"/>
  <c r="G919" i="9"/>
  <c r="D919" i="9"/>
  <c r="C919" i="9"/>
  <c r="H918" i="9"/>
  <c r="G918" i="9"/>
  <c r="D918" i="9"/>
  <c r="C918" i="9"/>
  <c r="H917" i="9"/>
  <c r="G917" i="9"/>
  <c r="D917" i="9"/>
  <c r="C917" i="9"/>
  <c r="H916" i="9"/>
  <c r="G916" i="9"/>
  <c r="D916" i="9"/>
  <c r="C916" i="9"/>
  <c r="H915" i="9"/>
  <c r="G915" i="9"/>
  <c r="D915" i="9"/>
  <c r="C915" i="9"/>
  <c r="H914" i="9"/>
  <c r="G914" i="9"/>
  <c r="D914" i="9"/>
  <c r="C914" i="9"/>
  <c r="H913" i="9"/>
  <c r="G913" i="9"/>
  <c r="D913" i="9"/>
  <c r="C913" i="9"/>
  <c r="H912" i="9"/>
  <c r="G912" i="9"/>
  <c r="D912" i="9"/>
  <c r="C912" i="9"/>
  <c r="H911" i="9"/>
  <c r="G911" i="9"/>
  <c r="D911" i="9"/>
  <c r="C911" i="9"/>
  <c r="H910" i="9"/>
  <c r="G910" i="9"/>
  <c r="D910" i="9"/>
  <c r="C910" i="9"/>
  <c r="H909" i="9"/>
  <c r="G909" i="9"/>
  <c r="D909" i="9"/>
  <c r="C909" i="9"/>
  <c r="H908" i="9"/>
  <c r="G908" i="9"/>
  <c r="D908" i="9"/>
  <c r="C908" i="9"/>
  <c r="H907" i="9"/>
  <c r="G907" i="9"/>
  <c r="D907" i="9"/>
  <c r="C907" i="9"/>
  <c r="H906" i="9"/>
  <c r="G906" i="9"/>
  <c r="D906" i="9"/>
  <c r="C906" i="9"/>
  <c r="H905" i="9"/>
  <c r="G905" i="9"/>
  <c r="D905" i="9"/>
  <c r="C905" i="9"/>
  <c r="H904" i="9"/>
  <c r="G904" i="9"/>
  <c r="D904" i="9"/>
  <c r="C904" i="9"/>
  <c r="H903" i="9"/>
  <c r="G903" i="9"/>
  <c r="D903" i="9"/>
  <c r="C903" i="9"/>
  <c r="H902" i="9"/>
  <c r="G902" i="9"/>
  <c r="D902" i="9"/>
  <c r="C902" i="9"/>
  <c r="H901" i="9"/>
  <c r="G901" i="9"/>
  <c r="D901" i="9"/>
  <c r="C901" i="9"/>
  <c r="H900" i="9"/>
  <c r="G900" i="9"/>
  <c r="D900" i="9"/>
  <c r="C900" i="9"/>
  <c r="H899" i="9"/>
  <c r="G899" i="9"/>
  <c r="D899" i="9"/>
  <c r="C899" i="9"/>
  <c r="H898" i="9"/>
  <c r="G898" i="9"/>
  <c r="D898" i="9"/>
  <c r="C898" i="9"/>
  <c r="H897" i="9"/>
  <c r="G897" i="9"/>
  <c r="D897" i="9"/>
  <c r="C897" i="9"/>
  <c r="H896" i="9"/>
  <c r="G896" i="9"/>
  <c r="D896" i="9"/>
  <c r="C896" i="9"/>
  <c r="H895" i="9"/>
  <c r="G895" i="9"/>
  <c r="D895" i="9"/>
  <c r="C895" i="9"/>
  <c r="H894" i="9"/>
  <c r="G894" i="9"/>
  <c r="D894" i="9"/>
  <c r="C894" i="9"/>
  <c r="H893" i="9"/>
  <c r="G893" i="9"/>
  <c r="D893" i="9"/>
  <c r="C893" i="9"/>
  <c r="H892" i="9"/>
  <c r="G892" i="9"/>
  <c r="D892" i="9"/>
  <c r="C892" i="9"/>
  <c r="H891" i="9"/>
  <c r="G891" i="9"/>
  <c r="D891" i="9"/>
  <c r="C891" i="9"/>
  <c r="H890" i="9"/>
  <c r="G890" i="9"/>
  <c r="D890" i="9"/>
  <c r="C890" i="9"/>
  <c r="H889" i="9"/>
  <c r="G889" i="9"/>
  <c r="D889" i="9"/>
  <c r="C889" i="9"/>
  <c r="H888" i="9"/>
  <c r="G888" i="9"/>
  <c r="D888" i="9"/>
  <c r="C888" i="9"/>
  <c r="H887" i="9"/>
  <c r="G887" i="9"/>
  <c r="D887" i="9"/>
  <c r="C887" i="9"/>
  <c r="H886" i="9"/>
  <c r="G886" i="9"/>
  <c r="D886" i="9"/>
  <c r="C886" i="9"/>
  <c r="H885" i="9"/>
  <c r="G885" i="9"/>
  <c r="D885" i="9"/>
  <c r="C885" i="9"/>
  <c r="H884" i="9"/>
  <c r="G884" i="9"/>
  <c r="D884" i="9"/>
  <c r="C884" i="9"/>
  <c r="H883" i="9"/>
  <c r="G883" i="9"/>
  <c r="D883" i="9"/>
  <c r="C883" i="9"/>
  <c r="H882" i="9"/>
  <c r="G882" i="9"/>
  <c r="D882" i="9"/>
  <c r="C882" i="9"/>
  <c r="H881" i="9"/>
  <c r="G881" i="9"/>
  <c r="D881" i="9"/>
  <c r="C881" i="9"/>
  <c r="H880" i="9"/>
  <c r="G880" i="9"/>
  <c r="D880" i="9"/>
  <c r="C880" i="9"/>
  <c r="H879" i="9"/>
  <c r="G879" i="9"/>
  <c r="D879" i="9"/>
  <c r="C879" i="9"/>
  <c r="H878" i="9"/>
  <c r="G878" i="9"/>
  <c r="D878" i="9"/>
  <c r="C878" i="9"/>
  <c r="H877" i="9"/>
  <c r="G877" i="9"/>
  <c r="D877" i="9"/>
  <c r="C877" i="9"/>
  <c r="H876" i="9"/>
  <c r="G876" i="9"/>
  <c r="D876" i="9"/>
  <c r="C876" i="9"/>
  <c r="H875" i="9"/>
  <c r="G875" i="9"/>
  <c r="D875" i="9"/>
  <c r="C875" i="9"/>
  <c r="H874" i="9"/>
  <c r="G874" i="9"/>
  <c r="D874" i="9"/>
  <c r="C874" i="9"/>
  <c r="H873" i="9"/>
  <c r="G873" i="9"/>
  <c r="D873" i="9"/>
  <c r="C873" i="9"/>
  <c r="H872" i="9"/>
  <c r="G872" i="9"/>
  <c r="D872" i="9"/>
  <c r="C872" i="9"/>
  <c r="H871" i="9"/>
  <c r="G871" i="9"/>
  <c r="D871" i="9"/>
  <c r="C871" i="9"/>
  <c r="H870" i="9"/>
  <c r="G870" i="9"/>
  <c r="D870" i="9"/>
  <c r="C870" i="9"/>
  <c r="H869" i="9"/>
  <c r="G869" i="9"/>
  <c r="D869" i="9"/>
  <c r="C869" i="9"/>
  <c r="H868" i="9"/>
  <c r="G868" i="9"/>
  <c r="D868" i="9"/>
  <c r="C868" i="9"/>
  <c r="H867" i="9"/>
  <c r="G867" i="9"/>
  <c r="D867" i="9"/>
  <c r="C867" i="9"/>
  <c r="H866" i="9"/>
  <c r="G866" i="9"/>
  <c r="D866" i="9"/>
  <c r="C866" i="9"/>
  <c r="H865" i="9"/>
  <c r="G865" i="9"/>
  <c r="D865" i="9"/>
  <c r="C865" i="9"/>
  <c r="H864" i="9"/>
  <c r="G864" i="9"/>
  <c r="D864" i="9"/>
  <c r="C864" i="9"/>
  <c r="H863" i="9"/>
  <c r="G863" i="9"/>
  <c r="D863" i="9"/>
  <c r="C863" i="9"/>
  <c r="H862" i="9"/>
  <c r="G862" i="9"/>
  <c r="D862" i="9"/>
  <c r="C862" i="9"/>
  <c r="H861" i="9"/>
  <c r="G861" i="9"/>
  <c r="D861" i="9"/>
  <c r="C861" i="9"/>
  <c r="H860" i="9"/>
  <c r="G860" i="9"/>
  <c r="D860" i="9"/>
  <c r="C860" i="9"/>
  <c r="H859" i="9"/>
  <c r="G859" i="9"/>
  <c r="D859" i="9"/>
  <c r="C859" i="9"/>
  <c r="H858" i="9"/>
  <c r="G858" i="9"/>
  <c r="D858" i="9"/>
  <c r="C858" i="9"/>
  <c r="H857" i="9"/>
  <c r="G857" i="9"/>
  <c r="D857" i="9"/>
  <c r="C857" i="9"/>
  <c r="H856" i="9"/>
  <c r="G856" i="9"/>
  <c r="D856" i="9"/>
  <c r="C856" i="9"/>
  <c r="H855" i="9"/>
  <c r="G855" i="9"/>
  <c r="D855" i="9"/>
  <c r="C855" i="9"/>
  <c r="H854" i="9"/>
  <c r="G854" i="9"/>
  <c r="D854" i="9"/>
  <c r="C854" i="9"/>
  <c r="H853" i="9"/>
  <c r="G853" i="9"/>
  <c r="D853" i="9"/>
  <c r="C853" i="9"/>
  <c r="H852" i="9"/>
  <c r="G852" i="9"/>
  <c r="D852" i="9"/>
  <c r="C852" i="9"/>
  <c r="H851" i="9"/>
  <c r="G851" i="9"/>
  <c r="D851" i="9"/>
  <c r="C851" i="9"/>
  <c r="H850" i="9"/>
  <c r="G850" i="9"/>
  <c r="D850" i="9"/>
  <c r="C850" i="9"/>
  <c r="H849" i="9"/>
  <c r="G849" i="9"/>
  <c r="D849" i="9"/>
  <c r="C849" i="9"/>
  <c r="H848" i="9"/>
  <c r="G848" i="9"/>
  <c r="D848" i="9"/>
  <c r="C848" i="9"/>
  <c r="H847" i="9"/>
  <c r="G847" i="9"/>
  <c r="D847" i="9"/>
  <c r="C847" i="9"/>
  <c r="H846" i="9"/>
  <c r="G846" i="9"/>
  <c r="D846" i="9"/>
  <c r="C846" i="9"/>
  <c r="H845" i="9"/>
  <c r="G845" i="9"/>
  <c r="D845" i="9"/>
  <c r="C845" i="9"/>
  <c r="H844" i="9"/>
  <c r="G844" i="9"/>
  <c r="D844" i="9"/>
  <c r="C844" i="9"/>
  <c r="H843" i="9"/>
  <c r="G843" i="9"/>
  <c r="D843" i="9"/>
  <c r="C843" i="9"/>
  <c r="H842" i="9"/>
  <c r="G842" i="9"/>
  <c r="D842" i="9"/>
  <c r="C842" i="9"/>
  <c r="H841" i="9"/>
  <c r="G841" i="9"/>
  <c r="D841" i="9"/>
  <c r="C841" i="9"/>
  <c r="H840" i="9"/>
  <c r="G840" i="9"/>
  <c r="D840" i="9"/>
  <c r="C840" i="9"/>
  <c r="H839" i="9"/>
  <c r="G839" i="9"/>
  <c r="D839" i="9"/>
  <c r="C839" i="9"/>
  <c r="H838" i="9"/>
  <c r="G838" i="9"/>
  <c r="D838" i="9"/>
  <c r="C838" i="9"/>
  <c r="H837" i="9"/>
  <c r="G837" i="9"/>
  <c r="D837" i="9"/>
  <c r="C837" i="9"/>
  <c r="H836" i="9"/>
  <c r="G836" i="9"/>
  <c r="D836" i="9"/>
  <c r="C836" i="9"/>
  <c r="H835" i="9"/>
  <c r="G835" i="9"/>
  <c r="D835" i="9"/>
  <c r="C835" i="9"/>
  <c r="H834" i="9"/>
  <c r="G834" i="9"/>
  <c r="D834" i="9"/>
  <c r="C834" i="9"/>
  <c r="H833" i="9"/>
  <c r="G833" i="9"/>
  <c r="D833" i="9"/>
  <c r="C833" i="9"/>
  <c r="H832" i="9"/>
  <c r="G832" i="9"/>
  <c r="D832" i="9"/>
  <c r="C832" i="9"/>
  <c r="H831" i="9"/>
  <c r="G831" i="9"/>
  <c r="D831" i="9"/>
  <c r="C831" i="9"/>
  <c r="H830" i="9"/>
  <c r="G830" i="9"/>
  <c r="D830" i="9"/>
  <c r="C830" i="9"/>
  <c r="H829" i="9"/>
  <c r="G829" i="9"/>
  <c r="D829" i="9"/>
  <c r="C829" i="9"/>
  <c r="H828" i="9"/>
  <c r="G828" i="9"/>
  <c r="D828" i="9"/>
  <c r="C828" i="9"/>
  <c r="H827" i="9"/>
  <c r="G827" i="9"/>
  <c r="D827" i="9"/>
  <c r="C827" i="9"/>
  <c r="H826" i="9"/>
  <c r="G826" i="9"/>
  <c r="D826" i="9"/>
  <c r="C826" i="9"/>
  <c r="H825" i="9"/>
  <c r="G825" i="9"/>
  <c r="D825" i="9"/>
  <c r="C825" i="9"/>
  <c r="H824" i="9"/>
  <c r="G824" i="9"/>
  <c r="D824" i="9"/>
  <c r="C824" i="9"/>
  <c r="H823" i="9"/>
  <c r="G823" i="9"/>
  <c r="D823" i="9"/>
  <c r="C823" i="9"/>
  <c r="H822" i="9"/>
  <c r="G822" i="9"/>
  <c r="D822" i="9"/>
  <c r="C822" i="9"/>
  <c r="H821" i="9"/>
  <c r="G821" i="9"/>
  <c r="D821" i="9"/>
  <c r="C821" i="9"/>
  <c r="H820" i="9"/>
  <c r="G820" i="9"/>
  <c r="D820" i="9"/>
  <c r="C820" i="9"/>
  <c r="H819" i="9"/>
  <c r="G819" i="9"/>
  <c r="D819" i="9"/>
  <c r="C819" i="9"/>
  <c r="H818" i="9"/>
  <c r="G818" i="9"/>
  <c r="D818" i="9"/>
  <c r="C818" i="9"/>
  <c r="H817" i="9"/>
  <c r="G817" i="9"/>
  <c r="D817" i="9"/>
  <c r="C817" i="9"/>
  <c r="H816" i="9"/>
  <c r="G816" i="9"/>
  <c r="D816" i="9"/>
  <c r="C816" i="9"/>
  <c r="H815" i="9"/>
  <c r="G815" i="9"/>
  <c r="D815" i="9"/>
  <c r="C815" i="9"/>
  <c r="H814" i="9"/>
  <c r="G814" i="9"/>
  <c r="D814" i="9"/>
  <c r="C814" i="9"/>
  <c r="H813" i="9"/>
  <c r="G813" i="9"/>
  <c r="D813" i="9"/>
  <c r="C813" i="9"/>
  <c r="H812" i="9"/>
  <c r="G812" i="9"/>
  <c r="D812" i="9"/>
  <c r="C812" i="9"/>
  <c r="H811" i="9"/>
  <c r="G811" i="9"/>
  <c r="D811" i="9"/>
  <c r="C811" i="9"/>
  <c r="H810" i="9"/>
  <c r="G810" i="9"/>
  <c r="D810" i="9"/>
  <c r="C810" i="9"/>
  <c r="H809" i="9"/>
  <c r="G809" i="9"/>
  <c r="D809" i="9"/>
  <c r="C809" i="9"/>
  <c r="H808" i="9"/>
  <c r="G808" i="9"/>
  <c r="D808" i="9"/>
  <c r="C808" i="9"/>
  <c r="H807" i="9"/>
  <c r="G807" i="9"/>
  <c r="D807" i="9"/>
  <c r="C807" i="9"/>
  <c r="H806" i="9"/>
  <c r="G806" i="9"/>
  <c r="D806" i="9"/>
  <c r="C806" i="9"/>
  <c r="H805" i="9"/>
  <c r="G805" i="9"/>
  <c r="D805" i="9"/>
  <c r="C805" i="9"/>
  <c r="H804" i="9"/>
  <c r="G804" i="9"/>
  <c r="D804" i="9"/>
  <c r="C804" i="9"/>
  <c r="H803" i="9"/>
  <c r="G803" i="9"/>
  <c r="D803" i="9"/>
  <c r="C803" i="9"/>
  <c r="H802" i="9"/>
  <c r="G802" i="9"/>
  <c r="D802" i="9"/>
  <c r="C802" i="9"/>
  <c r="H801" i="9"/>
  <c r="G801" i="9"/>
  <c r="D801" i="9"/>
  <c r="C801" i="9"/>
  <c r="H800" i="9"/>
  <c r="G800" i="9"/>
  <c r="D800" i="9"/>
  <c r="C800" i="9"/>
  <c r="H799" i="9"/>
  <c r="G799" i="9"/>
  <c r="D799" i="9"/>
  <c r="C799" i="9"/>
  <c r="H798" i="9"/>
  <c r="G798" i="9"/>
  <c r="D798" i="9"/>
  <c r="C798" i="9"/>
  <c r="H797" i="9"/>
  <c r="G797" i="9"/>
  <c r="D797" i="9"/>
  <c r="C797" i="9"/>
  <c r="H796" i="9"/>
  <c r="G796" i="9"/>
  <c r="D796" i="9"/>
  <c r="C796" i="9"/>
  <c r="H795" i="9"/>
  <c r="G795" i="9"/>
  <c r="D795" i="9"/>
  <c r="C795" i="9"/>
  <c r="H794" i="9"/>
  <c r="G794" i="9"/>
  <c r="D794" i="9"/>
  <c r="C794" i="9"/>
  <c r="H793" i="9"/>
  <c r="G793" i="9"/>
  <c r="D793" i="9"/>
  <c r="C793" i="9"/>
  <c r="H792" i="9"/>
  <c r="G792" i="9"/>
  <c r="D792" i="9"/>
  <c r="C792" i="9"/>
  <c r="H791" i="9"/>
  <c r="G791" i="9"/>
  <c r="D791" i="9"/>
  <c r="C791" i="9"/>
  <c r="H790" i="9"/>
  <c r="G790" i="9"/>
  <c r="D790" i="9"/>
  <c r="C790" i="9"/>
  <c r="H789" i="9"/>
  <c r="G789" i="9"/>
  <c r="D789" i="9"/>
  <c r="C789" i="9"/>
  <c r="H788" i="9"/>
  <c r="G788" i="9"/>
  <c r="D788" i="9"/>
  <c r="C788" i="9"/>
  <c r="H787" i="9"/>
  <c r="G787" i="9"/>
  <c r="D787" i="9"/>
  <c r="C787" i="9"/>
  <c r="H786" i="9"/>
  <c r="G786" i="9"/>
  <c r="D786" i="9"/>
  <c r="C786" i="9"/>
  <c r="H785" i="9"/>
  <c r="G785" i="9"/>
  <c r="D785" i="9"/>
  <c r="C785" i="9"/>
  <c r="H784" i="9"/>
  <c r="G784" i="9"/>
  <c r="D784" i="9"/>
  <c r="C784" i="9"/>
  <c r="H783" i="9"/>
  <c r="G783" i="9"/>
  <c r="D783" i="9"/>
  <c r="C783" i="9"/>
  <c r="H782" i="9"/>
  <c r="G782" i="9"/>
  <c r="D782" i="9"/>
  <c r="C782" i="9"/>
  <c r="H781" i="9"/>
  <c r="G781" i="9"/>
  <c r="D781" i="9"/>
  <c r="C781" i="9"/>
  <c r="H780" i="9"/>
  <c r="G780" i="9"/>
  <c r="D780" i="9"/>
  <c r="C780" i="9"/>
  <c r="H779" i="9"/>
  <c r="G779" i="9"/>
  <c r="D779" i="9"/>
  <c r="C779" i="9"/>
  <c r="H778" i="9"/>
  <c r="G778" i="9"/>
  <c r="D778" i="9"/>
  <c r="C778" i="9"/>
  <c r="H777" i="9"/>
  <c r="G777" i="9"/>
  <c r="D777" i="9"/>
  <c r="C777" i="9"/>
  <c r="H776" i="9"/>
  <c r="G776" i="9"/>
  <c r="D776" i="9"/>
  <c r="C776" i="9"/>
  <c r="H775" i="9"/>
  <c r="G775" i="9"/>
  <c r="D775" i="9"/>
  <c r="C775" i="9"/>
  <c r="H774" i="9"/>
  <c r="G774" i="9"/>
  <c r="D774" i="9"/>
  <c r="C774" i="9"/>
  <c r="H773" i="9"/>
  <c r="G773" i="9"/>
  <c r="D773" i="9"/>
  <c r="C773" i="9"/>
  <c r="H772" i="9"/>
  <c r="G772" i="9"/>
  <c r="D772" i="9"/>
  <c r="C772" i="9"/>
  <c r="H771" i="9"/>
  <c r="G771" i="9"/>
  <c r="D771" i="9"/>
  <c r="C771" i="9"/>
  <c r="H770" i="9"/>
  <c r="G770" i="9"/>
  <c r="D770" i="9"/>
  <c r="C770" i="9"/>
  <c r="H769" i="9"/>
  <c r="G769" i="9"/>
  <c r="D769" i="9"/>
  <c r="C769" i="9"/>
  <c r="H768" i="9"/>
  <c r="G768" i="9"/>
  <c r="D768" i="9"/>
  <c r="C768" i="9"/>
  <c r="H767" i="9"/>
  <c r="G767" i="9"/>
  <c r="D767" i="9"/>
  <c r="C767" i="9"/>
  <c r="H766" i="9"/>
  <c r="G766" i="9"/>
  <c r="D766" i="9"/>
  <c r="C766" i="9"/>
  <c r="H765" i="9"/>
  <c r="G765" i="9"/>
  <c r="D765" i="9"/>
  <c r="C765" i="9"/>
  <c r="H764" i="9"/>
  <c r="G764" i="9"/>
  <c r="D764" i="9"/>
  <c r="C764" i="9"/>
  <c r="H763" i="9"/>
  <c r="G763" i="9"/>
  <c r="D763" i="9"/>
  <c r="C763" i="9"/>
  <c r="H762" i="9"/>
  <c r="G762" i="9"/>
  <c r="D762" i="9"/>
  <c r="C762" i="9"/>
  <c r="H761" i="9"/>
  <c r="G761" i="9"/>
  <c r="D761" i="9"/>
  <c r="C761" i="9"/>
  <c r="H760" i="9"/>
  <c r="G760" i="9"/>
  <c r="D760" i="9"/>
  <c r="C760" i="9"/>
  <c r="H759" i="9"/>
  <c r="G759" i="9"/>
  <c r="D759" i="9"/>
  <c r="C759" i="9"/>
  <c r="H758" i="9"/>
  <c r="G758" i="9"/>
  <c r="D758" i="9"/>
  <c r="C758" i="9"/>
  <c r="H757" i="9"/>
  <c r="G757" i="9"/>
  <c r="D757" i="9"/>
  <c r="C757" i="9"/>
  <c r="H756" i="9"/>
  <c r="G756" i="9"/>
  <c r="D756" i="9"/>
  <c r="C756" i="9"/>
  <c r="H755" i="9"/>
  <c r="G755" i="9"/>
  <c r="D755" i="9"/>
  <c r="C755" i="9"/>
  <c r="H754" i="9"/>
  <c r="G754" i="9"/>
  <c r="D754" i="9"/>
  <c r="C754" i="9"/>
  <c r="H753" i="9"/>
  <c r="G753" i="9"/>
  <c r="D753" i="9"/>
  <c r="C753" i="9"/>
  <c r="H752" i="9"/>
  <c r="G752" i="9"/>
  <c r="D752" i="9"/>
  <c r="C752" i="9"/>
  <c r="H751" i="9"/>
  <c r="G751" i="9"/>
  <c r="D751" i="9"/>
  <c r="C751" i="9"/>
  <c r="H750" i="9"/>
  <c r="G750" i="9"/>
  <c r="D750" i="9"/>
  <c r="C750" i="9"/>
  <c r="H749" i="9"/>
  <c r="G749" i="9"/>
  <c r="D749" i="9"/>
  <c r="C749" i="9"/>
  <c r="H748" i="9"/>
  <c r="G748" i="9"/>
  <c r="D748" i="9"/>
  <c r="C748" i="9"/>
  <c r="H747" i="9"/>
  <c r="G747" i="9"/>
  <c r="D747" i="9"/>
  <c r="C747" i="9"/>
  <c r="H746" i="9"/>
  <c r="G746" i="9"/>
  <c r="D746" i="9"/>
  <c r="C746" i="9"/>
  <c r="H745" i="9"/>
  <c r="G745" i="9"/>
  <c r="D745" i="9"/>
  <c r="C745" i="9"/>
  <c r="H744" i="9"/>
  <c r="G744" i="9"/>
  <c r="D744" i="9"/>
  <c r="C744" i="9"/>
  <c r="H743" i="9"/>
  <c r="G743" i="9"/>
  <c r="D743" i="9"/>
  <c r="C743" i="9"/>
  <c r="H742" i="9"/>
  <c r="G742" i="9"/>
  <c r="D742" i="9"/>
  <c r="C742" i="9"/>
  <c r="H741" i="9"/>
  <c r="G741" i="9"/>
  <c r="D741" i="9"/>
  <c r="C741" i="9"/>
  <c r="H740" i="9"/>
  <c r="G740" i="9"/>
  <c r="D740" i="9"/>
  <c r="C740" i="9"/>
  <c r="H739" i="9"/>
  <c r="G739" i="9"/>
  <c r="D739" i="9"/>
  <c r="C739" i="9"/>
  <c r="H738" i="9"/>
  <c r="G738" i="9"/>
  <c r="D738" i="9"/>
  <c r="C738" i="9"/>
  <c r="H737" i="9"/>
  <c r="G737" i="9"/>
  <c r="D737" i="9"/>
  <c r="C737" i="9"/>
  <c r="H736" i="9"/>
  <c r="G736" i="9"/>
  <c r="D736" i="9"/>
  <c r="C736" i="9"/>
  <c r="H735" i="9"/>
  <c r="G735" i="9"/>
  <c r="D735" i="9"/>
  <c r="C735" i="9"/>
  <c r="H734" i="9"/>
  <c r="G734" i="9"/>
  <c r="D734" i="9"/>
  <c r="C734" i="9"/>
  <c r="H733" i="9"/>
  <c r="G733" i="9"/>
  <c r="D733" i="9"/>
  <c r="C733" i="9"/>
  <c r="H732" i="9"/>
  <c r="G732" i="9"/>
  <c r="D732" i="9"/>
  <c r="C732" i="9"/>
  <c r="H731" i="9"/>
  <c r="G731" i="9"/>
  <c r="D731" i="9"/>
  <c r="C731" i="9"/>
  <c r="H730" i="9"/>
  <c r="G730" i="9"/>
  <c r="D730" i="9"/>
  <c r="C730" i="9"/>
  <c r="H729" i="9"/>
  <c r="G729" i="9"/>
  <c r="D729" i="9"/>
  <c r="C729" i="9"/>
  <c r="H728" i="9"/>
  <c r="G728" i="9"/>
  <c r="D728" i="9"/>
  <c r="C728" i="9"/>
  <c r="H727" i="9"/>
  <c r="G727" i="9"/>
  <c r="D727" i="9"/>
  <c r="C727" i="9"/>
  <c r="H726" i="9"/>
  <c r="G726" i="9"/>
  <c r="D726" i="9"/>
  <c r="C726" i="9"/>
  <c r="H725" i="9"/>
  <c r="G725" i="9"/>
  <c r="D725" i="9"/>
  <c r="C725" i="9"/>
  <c r="H724" i="9"/>
  <c r="G724" i="9"/>
  <c r="D724" i="9"/>
  <c r="C724" i="9"/>
  <c r="H723" i="9"/>
  <c r="G723" i="9"/>
  <c r="D723" i="9"/>
  <c r="C723" i="9"/>
  <c r="H722" i="9"/>
  <c r="G722" i="9"/>
  <c r="D722" i="9"/>
  <c r="C722" i="9"/>
  <c r="H721" i="9"/>
  <c r="G721" i="9"/>
  <c r="D721" i="9"/>
  <c r="C721" i="9"/>
  <c r="H720" i="9"/>
  <c r="G720" i="9"/>
  <c r="D720" i="9"/>
  <c r="C720" i="9"/>
  <c r="H719" i="9"/>
  <c r="G719" i="9"/>
  <c r="D719" i="9"/>
  <c r="C719" i="9"/>
  <c r="H718" i="9"/>
  <c r="G718" i="9"/>
  <c r="D718" i="9"/>
  <c r="C718" i="9"/>
  <c r="H717" i="9"/>
  <c r="G717" i="9"/>
  <c r="D717" i="9"/>
  <c r="C717" i="9"/>
  <c r="H716" i="9"/>
  <c r="G716" i="9"/>
  <c r="D716" i="9"/>
  <c r="C716" i="9"/>
  <c r="H715" i="9"/>
  <c r="G715" i="9"/>
  <c r="D715" i="9"/>
  <c r="C715" i="9"/>
  <c r="H714" i="9"/>
  <c r="G714" i="9"/>
  <c r="D714" i="9"/>
  <c r="C714" i="9"/>
  <c r="H713" i="9"/>
  <c r="G713" i="9"/>
  <c r="D713" i="9"/>
  <c r="C713" i="9"/>
  <c r="H712" i="9"/>
  <c r="G712" i="9"/>
  <c r="D712" i="9"/>
  <c r="C712" i="9"/>
  <c r="H711" i="9"/>
  <c r="G711" i="9"/>
  <c r="D711" i="9"/>
  <c r="C711" i="9"/>
  <c r="H710" i="9"/>
  <c r="G710" i="9"/>
  <c r="D710" i="9"/>
  <c r="C710" i="9"/>
  <c r="H709" i="9"/>
  <c r="G709" i="9"/>
  <c r="D709" i="9"/>
  <c r="C709" i="9"/>
  <c r="H708" i="9"/>
  <c r="G708" i="9"/>
  <c r="D708" i="9"/>
  <c r="C708" i="9"/>
  <c r="H707" i="9"/>
  <c r="G707" i="9"/>
  <c r="D707" i="9"/>
  <c r="C707" i="9"/>
  <c r="H706" i="9"/>
  <c r="G706" i="9"/>
  <c r="D706" i="9"/>
  <c r="C706" i="9"/>
  <c r="H705" i="9"/>
  <c r="G705" i="9"/>
  <c r="D705" i="9"/>
  <c r="C705" i="9"/>
  <c r="H704" i="9"/>
  <c r="G704" i="9"/>
  <c r="D704" i="9"/>
  <c r="C704" i="9"/>
  <c r="H703" i="9"/>
  <c r="G703" i="9"/>
  <c r="D703" i="9"/>
  <c r="C703" i="9"/>
  <c r="H702" i="9"/>
  <c r="G702" i="9"/>
  <c r="D702" i="9"/>
  <c r="C702" i="9"/>
  <c r="H701" i="9"/>
  <c r="G701" i="9"/>
  <c r="D701" i="9"/>
  <c r="C701" i="9"/>
  <c r="H700" i="9"/>
  <c r="G700" i="9"/>
  <c r="D700" i="9"/>
  <c r="C700" i="9"/>
  <c r="H699" i="9"/>
  <c r="G699" i="9"/>
  <c r="D699" i="9"/>
  <c r="C699" i="9"/>
  <c r="H698" i="9"/>
  <c r="G698" i="9"/>
  <c r="D698" i="9"/>
  <c r="C698" i="9"/>
  <c r="H697" i="9"/>
  <c r="G697" i="9"/>
  <c r="D697" i="9"/>
  <c r="C697" i="9"/>
  <c r="H696" i="9"/>
  <c r="G696" i="9"/>
  <c r="D696" i="9"/>
  <c r="C696" i="9"/>
  <c r="H695" i="9"/>
  <c r="G695" i="9"/>
  <c r="D695" i="9"/>
  <c r="C695" i="9"/>
  <c r="H694" i="9"/>
  <c r="G694" i="9"/>
  <c r="D694" i="9"/>
  <c r="C694" i="9"/>
  <c r="H693" i="9"/>
  <c r="G693" i="9"/>
  <c r="D693" i="9"/>
  <c r="C693" i="9"/>
  <c r="H692" i="9"/>
  <c r="G692" i="9"/>
  <c r="D692" i="9"/>
  <c r="C692" i="9"/>
  <c r="H691" i="9"/>
  <c r="G691" i="9"/>
  <c r="D691" i="9"/>
  <c r="C691" i="9"/>
  <c r="H690" i="9"/>
  <c r="G690" i="9"/>
  <c r="D690" i="9"/>
  <c r="C690" i="9"/>
  <c r="H689" i="9"/>
  <c r="G689" i="9"/>
  <c r="D689" i="9"/>
  <c r="C689" i="9"/>
  <c r="H688" i="9"/>
  <c r="G688" i="9"/>
  <c r="D688" i="9"/>
  <c r="C688" i="9"/>
  <c r="H687" i="9"/>
  <c r="G687" i="9"/>
  <c r="D687" i="9"/>
  <c r="C687" i="9"/>
  <c r="H686" i="9"/>
  <c r="G686" i="9"/>
  <c r="D686" i="9"/>
  <c r="C686" i="9"/>
  <c r="H685" i="9"/>
  <c r="G685" i="9"/>
  <c r="D685" i="9"/>
  <c r="C685" i="9"/>
  <c r="H684" i="9"/>
  <c r="G684" i="9"/>
  <c r="D684" i="9"/>
  <c r="C684" i="9"/>
  <c r="H683" i="9"/>
  <c r="G683" i="9"/>
  <c r="D683" i="9"/>
  <c r="C683" i="9"/>
  <c r="H682" i="9"/>
  <c r="G682" i="9"/>
  <c r="D682" i="9"/>
  <c r="C682" i="9"/>
  <c r="H681" i="9"/>
  <c r="G681" i="9"/>
  <c r="D681" i="9"/>
  <c r="C681" i="9"/>
  <c r="H680" i="9"/>
  <c r="G680" i="9"/>
  <c r="D680" i="9"/>
  <c r="C680" i="9"/>
  <c r="H679" i="9"/>
  <c r="G679" i="9"/>
  <c r="D679" i="9"/>
  <c r="C679" i="9"/>
  <c r="H678" i="9"/>
  <c r="G678" i="9"/>
  <c r="D678" i="9"/>
  <c r="C678" i="9"/>
  <c r="H677" i="9"/>
  <c r="G677" i="9"/>
  <c r="D677" i="9"/>
  <c r="C677" i="9"/>
  <c r="H676" i="9"/>
  <c r="G676" i="9"/>
  <c r="D676" i="9"/>
  <c r="C676" i="9"/>
  <c r="H675" i="9"/>
  <c r="G675" i="9"/>
  <c r="D675" i="9"/>
  <c r="C675" i="9"/>
  <c r="H674" i="9"/>
  <c r="G674" i="9"/>
  <c r="D674" i="9"/>
  <c r="C674" i="9"/>
  <c r="H673" i="9"/>
  <c r="G673" i="9"/>
  <c r="D673" i="9"/>
  <c r="C673" i="9"/>
  <c r="H672" i="9"/>
  <c r="G672" i="9"/>
  <c r="D672" i="9"/>
  <c r="C672" i="9"/>
  <c r="H671" i="9"/>
  <c r="G671" i="9"/>
  <c r="D671" i="9"/>
  <c r="C671" i="9"/>
  <c r="H670" i="9"/>
  <c r="G670" i="9"/>
  <c r="D670" i="9"/>
  <c r="C670" i="9"/>
  <c r="H669" i="9"/>
  <c r="G669" i="9"/>
  <c r="D669" i="9"/>
  <c r="C669" i="9"/>
  <c r="H668" i="9"/>
  <c r="G668" i="9"/>
  <c r="D668" i="9"/>
  <c r="C668" i="9"/>
  <c r="H667" i="9"/>
  <c r="G667" i="9"/>
  <c r="D667" i="9"/>
  <c r="C667" i="9"/>
  <c r="H666" i="9"/>
  <c r="G666" i="9"/>
  <c r="D666" i="9"/>
  <c r="C666" i="9"/>
  <c r="H665" i="9"/>
  <c r="G665" i="9"/>
  <c r="D665" i="9"/>
  <c r="C665" i="9"/>
  <c r="H664" i="9"/>
  <c r="G664" i="9"/>
  <c r="D664" i="9"/>
  <c r="C664" i="9"/>
  <c r="H663" i="9"/>
  <c r="G663" i="9"/>
  <c r="D663" i="9"/>
  <c r="C663" i="9"/>
  <c r="H662" i="9"/>
  <c r="G662" i="9"/>
  <c r="D662" i="9"/>
  <c r="C662" i="9"/>
  <c r="H661" i="9"/>
  <c r="G661" i="9"/>
  <c r="D661" i="9"/>
  <c r="C661" i="9"/>
  <c r="H660" i="9"/>
  <c r="G660" i="9"/>
  <c r="D660" i="9"/>
  <c r="C660" i="9"/>
  <c r="H659" i="9"/>
  <c r="G659" i="9"/>
  <c r="D659" i="9"/>
  <c r="C659" i="9"/>
  <c r="H658" i="9"/>
  <c r="G658" i="9"/>
  <c r="D658" i="9"/>
  <c r="C658" i="9"/>
  <c r="H657" i="9"/>
  <c r="G657" i="9"/>
  <c r="D657" i="9"/>
  <c r="C657" i="9"/>
  <c r="H656" i="9"/>
  <c r="G656" i="9"/>
  <c r="D656" i="9"/>
  <c r="C656" i="9"/>
  <c r="H655" i="9"/>
  <c r="G655" i="9"/>
  <c r="D655" i="9"/>
  <c r="C655" i="9"/>
  <c r="H654" i="9"/>
  <c r="G654" i="9"/>
  <c r="D654" i="9"/>
  <c r="C654" i="9"/>
  <c r="H653" i="9"/>
  <c r="G653" i="9"/>
  <c r="D653" i="9"/>
  <c r="C653" i="9"/>
  <c r="H652" i="9"/>
  <c r="G652" i="9"/>
  <c r="D652" i="9"/>
  <c r="C652" i="9"/>
  <c r="H651" i="9"/>
  <c r="G651" i="9"/>
  <c r="D651" i="9"/>
  <c r="C651" i="9"/>
  <c r="H650" i="9"/>
  <c r="G650" i="9"/>
  <c r="D650" i="9"/>
  <c r="C650" i="9"/>
  <c r="H649" i="9"/>
  <c r="G649" i="9"/>
  <c r="D649" i="9"/>
  <c r="C649" i="9"/>
  <c r="H648" i="9"/>
  <c r="G648" i="9"/>
  <c r="D648" i="9"/>
  <c r="C648" i="9"/>
  <c r="H647" i="9"/>
  <c r="G647" i="9"/>
  <c r="D647" i="9"/>
  <c r="C647" i="9"/>
  <c r="H646" i="9"/>
  <c r="G646" i="9"/>
  <c r="D646" i="9"/>
  <c r="C646" i="9"/>
  <c r="H645" i="9"/>
  <c r="G645" i="9"/>
  <c r="D645" i="9"/>
  <c r="C645" i="9"/>
  <c r="H644" i="9"/>
  <c r="G644" i="9"/>
  <c r="D644" i="9"/>
  <c r="C644" i="9"/>
  <c r="H643" i="9"/>
  <c r="G643" i="9"/>
  <c r="D643" i="9"/>
  <c r="C643" i="9"/>
  <c r="H642" i="9"/>
  <c r="G642" i="9"/>
  <c r="D642" i="9"/>
  <c r="C642" i="9"/>
  <c r="H641" i="9"/>
  <c r="G641" i="9"/>
  <c r="D641" i="9"/>
  <c r="C641" i="9"/>
  <c r="H640" i="9"/>
  <c r="G640" i="9"/>
  <c r="D640" i="9"/>
  <c r="C640" i="9"/>
  <c r="H639" i="9"/>
  <c r="G639" i="9"/>
  <c r="D639" i="9"/>
  <c r="C639" i="9"/>
  <c r="H638" i="9"/>
  <c r="G638" i="9"/>
  <c r="D638" i="9"/>
  <c r="C638" i="9"/>
  <c r="H637" i="9"/>
  <c r="G637" i="9"/>
  <c r="D637" i="9"/>
  <c r="C637" i="9"/>
  <c r="H636" i="9"/>
  <c r="G636" i="9"/>
  <c r="D636" i="9"/>
  <c r="C636" i="9"/>
  <c r="H635" i="9"/>
  <c r="G635" i="9"/>
  <c r="D635" i="9"/>
  <c r="C635" i="9"/>
  <c r="H634" i="9"/>
  <c r="G634" i="9"/>
  <c r="D634" i="9"/>
  <c r="C634" i="9"/>
  <c r="H633" i="9"/>
  <c r="G633" i="9"/>
  <c r="D633" i="9"/>
  <c r="C633" i="9"/>
  <c r="H632" i="9"/>
  <c r="G632" i="9"/>
  <c r="D632" i="9"/>
  <c r="C632" i="9"/>
  <c r="H631" i="9"/>
  <c r="G631" i="9"/>
  <c r="D631" i="9"/>
  <c r="C631" i="9"/>
  <c r="H630" i="9"/>
  <c r="G630" i="9"/>
  <c r="D630" i="9"/>
  <c r="C630" i="9"/>
  <c r="H629" i="9"/>
  <c r="G629" i="9"/>
  <c r="D629" i="9"/>
  <c r="C629" i="9"/>
  <c r="H628" i="9"/>
  <c r="G628" i="9"/>
  <c r="D628" i="9"/>
  <c r="C628" i="9"/>
  <c r="H627" i="9"/>
  <c r="G627" i="9"/>
  <c r="D627" i="9"/>
  <c r="C627" i="9"/>
  <c r="H626" i="9"/>
  <c r="G626" i="9"/>
  <c r="D626" i="9"/>
  <c r="C626" i="9"/>
  <c r="H625" i="9"/>
  <c r="G625" i="9"/>
  <c r="D625" i="9"/>
  <c r="C625" i="9"/>
  <c r="H624" i="9"/>
  <c r="G624" i="9"/>
  <c r="D624" i="9"/>
  <c r="C624" i="9"/>
  <c r="H623" i="9"/>
  <c r="G623" i="9"/>
  <c r="D623" i="9"/>
  <c r="C623" i="9"/>
  <c r="H622" i="9"/>
  <c r="G622" i="9"/>
  <c r="D622" i="9"/>
  <c r="C622" i="9"/>
  <c r="H621" i="9"/>
  <c r="G621" i="9"/>
  <c r="D621" i="9"/>
  <c r="C621" i="9"/>
  <c r="H620" i="9"/>
  <c r="G620" i="9"/>
  <c r="D620" i="9"/>
  <c r="C620" i="9"/>
  <c r="H619" i="9"/>
  <c r="G619" i="9"/>
  <c r="D619" i="9"/>
  <c r="C619" i="9"/>
  <c r="H618" i="9"/>
  <c r="G618" i="9"/>
  <c r="D618" i="9"/>
  <c r="C618" i="9"/>
  <c r="H617" i="9"/>
  <c r="G617" i="9"/>
  <c r="D617" i="9"/>
  <c r="C617" i="9"/>
  <c r="H616" i="9"/>
  <c r="G616" i="9"/>
  <c r="D616" i="9"/>
  <c r="C616" i="9"/>
  <c r="H615" i="9"/>
  <c r="G615" i="9"/>
  <c r="D615" i="9"/>
  <c r="C615" i="9"/>
  <c r="H614" i="9"/>
  <c r="G614" i="9"/>
  <c r="D614" i="9"/>
  <c r="C614" i="9"/>
  <c r="H613" i="9"/>
  <c r="G613" i="9"/>
  <c r="D613" i="9"/>
  <c r="C613" i="9"/>
  <c r="H612" i="9"/>
  <c r="G612" i="9"/>
  <c r="D612" i="9"/>
  <c r="C612" i="9"/>
  <c r="H611" i="9"/>
  <c r="G611" i="9"/>
  <c r="D611" i="9"/>
  <c r="C611" i="9"/>
  <c r="H610" i="9"/>
  <c r="G610" i="9"/>
  <c r="D610" i="9"/>
  <c r="C610" i="9"/>
  <c r="H609" i="9"/>
  <c r="G609" i="9"/>
  <c r="D609" i="9"/>
  <c r="C609" i="9"/>
  <c r="H608" i="9"/>
  <c r="G608" i="9"/>
  <c r="D608" i="9"/>
  <c r="C608" i="9"/>
  <c r="H607" i="9"/>
  <c r="G607" i="9"/>
  <c r="D607" i="9"/>
  <c r="C607" i="9"/>
  <c r="H606" i="9"/>
  <c r="G606" i="9"/>
  <c r="D606" i="9"/>
  <c r="C606" i="9"/>
  <c r="H605" i="9"/>
  <c r="G605" i="9"/>
  <c r="D605" i="9"/>
  <c r="C605" i="9"/>
  <c r="H604" i="9"/>
  <c r="G604" i="9"/>
  <c r="D604" i="9"/>
  <c r="C604" i="9"/>
  <c r="H603" i="9"/>
  <c r="G603" i="9"/>
  <c r="D603" i="9"/>
  <c r="C603" i="9"/>
  <c r="H602" i="9"/>
  <c r="G602" i="9"/>
  <c r="D602" i="9"/>
  <c r="C602" i="9"/>
  <c r="H601" i="9"/>
  <c r="G601" i="9"/>
  <c r="D601" i="9"/>
  <c r="C601" i="9"/>
  <c r="H600" i="9"/>
  <c r="G600" i="9"/>
  <c r="D600" i="9"/>
  <c r="C600" i="9"/>
  <c r="H599" i="9"/>
  <c r="G599" i="9"/>
  <c r="D599" i="9"/>
  <c r="C599" i="9"/>
  <c r="H598" i="9"/>
  <c r="G598" i="9"/>
  <c r="D598" i="9"/>
  <c r="C598" i="9"/>
  <c r="H597" i="9"/>
  <c r="G597" i="9"/>
  <c r="D597" i="9"/>
  <c r="C597" i="9"/>
  <c r="H596" i="9"/>
  <c r="G596" i="9"/>
  <c r="D596" i="9"/>
  <c r="C596" i="9"/>
  <c r="H595" i="9"/>
  <c r="G595" i="9"/>
  <c r="D595" i="9"/>
  <c r="C595" i="9"/>
  <c r="H594" i="9"/>
  <c r="G594" i="9"/>
  <c r="D594" i="9"/>
  <c r="C594" i="9"/>
  <c r="H593" i="9"/>
  <c r="G593" i="9"/>
  <c r="D593" i="9"/>
  <c r="C593" i="9"/>
  <c r="H592" i="9"/>
  <c r="G592" i="9"/>
  <c r="D592" i="9"/>
  <c r="C592" i="9"/>
  <c r="H591" i="9"/>
  <c r="G591" i="9"/>
  <c r="D591" i="9"/>
  <c r="C591" i="9"/>
  <c r="H590" i="9"/>
  <c r="G590" i="9"/>
  <c r="D590" i="9"/>
  <c r="C590" i="9"/>
  <c r="H589" i="9"/>
  <c r="G589" i="9"/>
  <c r="D589" i="9"/>
  <c r="C589" i="9"/>
  <c r="H588" i="9"/>
  <c r="G588" i="9"/>
  <c r="D588" i="9"/>
  <c r="C588" i="9"/>
  <c r="H587" i="9"/>
  <c r="G587" i="9"/>
  <c r="D587" i="9"/>
  <c r="C587" i="9"/>
  <c r="H586" i="9"/>
  <c r="G586" i="9"/>
  <c r="D586" i="9"/>
  <c r="C586" i="9"/>
  <c r="H585" i="9"/>
  <c r="G585" i="9"/>
  <c r="D585" i="9"/>
  <c r="C585" i="9"/>
  <c r="H584" i="9"/>
  <c r="G584" i="9"/>
  <c r="D584" i="9"/>
  <c r="C584" i="9"/>
  <c r="H583" i="9"/>
  <c r="G583" i="9"/>
  <c r="D583" i="9"/>
  <c r="C583" i="9"/>
  <c r="H582" i="9"/>
  <c r="G582" i="9"/>
  <c r="D582" i="9"/>
  <c r="C582" i="9"/>
  <c r="H581" i="9"/>
  <c r="G581" i="9"/>
  <c r="D581" i="9"/>
  <c r="C581" i="9"/>
  <c r="H580" i="9"/>
  <c r="G580" i="9"/>
  <c r="D580" i="9"/>
  <c r="C580" i="9"/>
  <c r="H579" i="9"/>
  <c r="G579" i="9"/>
  <c r="D579" i="9"/>
  <c r="C579" i="9"/>
  <c r="H578" i="9"/>
  <c r="G578" i="9"/>
  <c r="D578" i="9"/>
  <c r="C578" i="9"/>
  <c r="H577" i="9"/>
  <c r="G577" i="9"/>
  <c r="D577" i="9"/>
  <c r="C577" i="9"/>
  <c r="H576" i="9"/>
  <c r="G576" i="9"/>
  <c r="D576" i="9"/>
  <c r="C576" i="9"/>
  <c r="H575" i="9"/>
  <c r="G575" i="9"/>
  <c r="D575" i="9"/>
  <c r="C575" i="9"/>
  <c r="H574" i="9"/>
  <c r="G574" i="9"/>
  <c r="D574" i="9"/>
  <c r="C574" i="9"/>
  <c r="H573" i="9"/>
  <c r="G573" i="9"/>
  <c r="D573" i="9"/>
  <c r="C573" i="9"/>
  <c r="H572" i="9"/>
  <c r="G572" i="9"/>
  <c r="D572" i="9"/>
  <c r="C572" i="9"/>
  <c r="H571" i="9"/>
  <c r="G571" i="9"/>
  <c r="D571" i="9"/>
  <c r="C571" i="9"/>
  <c r="H570" i="9"/>
  <c r="G570" i="9"/>
  <c r="D570" i="9"/>
  <c r="C570" i="9"/>
  <c r="H569" i="9"/>
  <c r="G569" i="9"/>
  <c r="D569" i="9"/>
  <c r="C569" i="9"/>
  <c r="H568" i="9"/>
  <c r="G568" i="9"/>
  <c r="D568" i="9"/>
  <c r="C568" i="9"/>
  <c r="H567" i="9"/>
  <c r="G567" i="9"/>
  <c r="D567" i="9"/>
  <c r="C567" i="9"/>
  <c r="H566" i="9"/>
  <c r="G566" i="9"/>
  <c r="D566" i="9"/>
  <c r="C566" i="9"/>
  <c r="H565" i="9"/>
  <c r="G565" i="9"/>
  <c r="D565" i="9"/>
  <c r="C565" i="9"/>
  <c r="H564" i="9"/>
  <c r="G564" i="9"/>
  <c r="D564" i="9"/>
  <c r="C564" i="9"/>
  <c r="H563" i="9"/>
  <c r="G563" i="9"/>
  <c r="D563" i="9"/>
  <c r="C563" i="9"/>
  <c r="H562" i="9"/>
  <c r="G562" i="9"/>
  <c r="D562" i="9"/>
  <c r="C562" i="9"/>
  <c r="H561" i="9"/>
  <c r="G561" i="9"/>
  <c r="D561" i="9"/>
  <c r="C561" i="9"/>
  <c r="H560" i="9"/>
  <c r="G560" i="9"/>
  <c r="D560" i="9"/>
  <c r="C560" i="9"/>
  <c r="H559" i="9"/>
  <c r="G559" i="9"/>
  <c r="D559" i="9"/>
  <c r="C559" i="9"/>
  <c r="H558" i="9"/>
  <c r="G558" i="9"/>
  <c r="D558" i="9"/>
  <c r="C558" i="9"/>
  <c r="H557" i="9"/>
  <c r="G557" i="9"/>
  <c r="D557" i="9"/>
  <c r="C557" i="9"/>
  <c r="H556" i="9"/>
  <c r="G556" i="9"/>
  <c r="D556" i="9"/>
  <c r="C556" i="9"/>
  <c r="H555" i="9"/>
  <c r="G555" i="9"/>
  <c r="D555" i="9"/>
  <c r="C555" i="9"/>
  <c r="H554" i="9"/>
  <c r="G554" i="9"/>
  <c r="D554" i="9"/>
  <c r="C554" i="9"/>
  <c r="H553" i="9"/>
  <c r="G553" i="9"/>
  <c r="D553" i="9"/>
  <c r="C553" i="9"/>
  <c r="H552" i="9"/>
  <c r="G552" i="9"/>
  <c r="D552" i="9"/>
  <c r="C552" i="9"/>
  <c r="H551" i="9"/>
  <c r="G551" i="9"/>
  <c r="D551" i="9"/>
  <c r="C551" i="9"/>
  <c r="H550" i="9"/>
  <c r="G550" i="9"/>
  <c r="D550" i="9"/>
  <c r="C550" i="9"/>
  <c r="H549" i="9"/>
  <c r="G549" i="9"/>
  <c r="D549" i="9"/>
  <c r="C549" i="9"/>
  <c r="H548" i="9"/>
  <c r="G548" i="9"/>
  <c r="D548" i="9"/>
  <c r="C548" i="9"/>
  <c r="H547" i="9"/>
  <c r="G547" i="9"/>
  <c r="D547" i="9"/>
  <c r="C547" i="9"/>
  <c r="H546" i="9"/>
  <c r="G546" i="9"/>
  <c r="D546" i="9"/>
  <c r="C546" i="9"/>
  <c r="H545" i="9"/>
  <c r="G545" i="9"/>
  <c r="D545" i="9"/>
  <c r="C545" i="9"/>
  <c r="H544" i="9"/>
  <c r="G544" i="9"/>
  <c r="D544" i="9"/>
  <c r="C544" i="9"/>
  <c r="H543" i="9"/>
  <c r="G543" i="9"/>
  <c r="D543" i="9"/>
  <c r="C543" i="9"/>
  <c r="H542" i="9"/>
  <c r="G542" i="9"/>
  <c r="D542" i="9"/>
  <c r="C542" i="9"/>
  <c r="H541" i="9"/>
  <c r="G541" i="9"/>
  <c r="D541" i="9"/>
  <c r="C541" i="9"/>
  <c r="H540" i="9"/>
  <c r="G540" i="9"/>
  <c r="D540" i="9"/>
  <c r="C540" i="9"/>
  <c r="H539" i="9"/>
  <c r="G539" i="9"/>
  <c r="D539" i="9"/>
  <c r="C539" i="9"/>
  <c r="H538" i="9"/>
  <c r="G538" i="9"/>
  <c r="D538" i="9"/>
  <c r="C538" i="9"/>
  <c r="H537" i="9"/>
  <c r="G537" i="9"/>
  <c r="D537" i="9"/>
  <c r="C537" i="9"/>
  <c r="H536" i="9"/>
  <c r="G536" i="9"/>
  <c r="D536" i="9"/>
  <c r="C536" i="9"/>
  <c r="H535" i="9"/>
  <c r="G535" i="9"/>
  <c r="D535" i="9"/>
  <c r="C535" i="9"/>
  <c r="H534" i="9"/>
  <c r="G534" i="9"/>
  <c r="D534" i="9"/>
  <c r="C534" i="9"/>
  <c r="H533" i="9"/>
  <c r="G533" i="9"/>
  <c r="D533" i="9"/>
  <c r="C533" i="9"/>
  <c r="H532" i="9"/>
  <c r="G532" i="9"/>
  <c r="D532" i="9"/>
  <c r="C532" i="9"/>
  <c r="H531" i="9"/>
  <c r="G531" i="9"/>
  <c r="D531" i="9"/>
  <c r="C531" i="9"/>
  <c r="H530" i="9"/>
  <c r="G530" i="9"/>
  <c r="D530" i="9"/>
  <c r="C530" i="9"/>
  <c r="H529" i="9"/>
  <c r="G529" i="9"/>
  <c r="D529" i="9"/>
  <c r="C529" i="9"/>
  <c r="H528" i="9"/>
  <c r="G528" i="9"/>
  <c r="D528" i="9"/>
  <c r="C528" i="9"/>
  <c r="H527" i="9"/>
  <c r="G527" i="9"/>
  <c r="D527" i="9"/>
  <c r="C527" i="9"/>
  <c r="H526" i="9"/>
  <c r="G526" i="9"/>
  <c r="D526" i="9"/>
  <c r="C526" i="9"/>
  <c r="H525" i="9"/>
  <c r="G525" i="9"/>
  <c r="D525" i="9"/>
  <c r="C525" i="9"/>
  <c r="H524" i="9"/>
  <c r="G524" i="9"/>
  <c r="D524" i="9"/>
  <c r="C524" i="9"/>
  <c r="H523" i="9"/>
  <c r="G523" i="9"/>
  <c r="D523" i="9"/>
  <c r="C523" i="9"/>
  <c r="H522" i="9"/>
  <c r="G522" i="9"/>
  <c r="D522" i="9"/>
  <c r="C522" i="9"/>
  <c r="H521" i="9"/>
  <c r="G521" i="9"/>
  <c r="D521" i="9"/>
  <c r="C521" i="9"/>
  <c r="H520" i="9"/>
  <c r="G520" i="9"/>
  <c r="D520" i="9"/>
  <c r="C520" i="9"/>
  <c r="H519" i="9"/>
  <c r="G519" i="9"/>
  <c r="D519" i="9"/>
  <c r="C519" i="9"/>
  <c r="H518" i="9"/>
  <c r="G518" i="9"/>
  <c r="D518" i="9"/>
  <c r="C518" i="9"/>
  <c r="H517" i="9"/>
  <c r="G517" i="9"/>
  <c r="D517" i="9"/>
  <c r="C517" i="9"/>
  <c r="H516" i="9"/>
  <c r="G516" i="9"/>
  <c r="D516" i="9"/>
  <c r="C516" i="9"/>
  <c r="H515" i="9"/>
  <c r="G515" i="9"/>
  <c r="D515" i="9"/>
  <c r="C515" i="9"/>
  <c r="H514" i="9"/>
  <c r="G514" i="9"/>
  <c r="D514" i="9"/>
  <c r="C514" i="9"/>
  <c r="H513" i="9"/>
  <c r="G513" i="9"/>
  <c r="D513" i="9"/>
  <c r="C513" i="9"/>
  <c r="H512" i="9"/>
  <c r="G512" i="9"/>
  <c r="D512" i="9"/>
  <c r="C512" i="9"/>
  <c r="H511" i="9"/>
  <c r="G511" i="9"/>
  <c r="D511" i="9"/>
  <c r="C511" i="9"/>
  <c r="H510" i="9"/>
  <c r="G510" i="9"/>
  <c r="D510" i="9"/>
  <c r="C510" i="9"/>
  <c r="H509" i="9"/>
  <c r="G509" i="9"/>
  <c r="D509" i="9"/>
  <c r="C509" i="9"/>
  <c r="H508" i="9"/>
  <c r="G508" i="9"/>
  <c r="D508" i="9"/>
  <c r="C508" i="9"/>
  <c r="H507" i="9"/>
  <c r="G507" i="9"/>
  <c r="D507" i="9"/>
  <c r="C507" i="9"/>
  <c r="H506" i="9"/>
  <c r="G506" i="9"/>
  <c r="D506" i="9"/>
  <c r="C506" i="9"/>
  <c r="H505" i="9"/>
  <c r="G505" i="9"/>
  <c r="D505" i="9"/>
  <c r="C505" i="9"/>
  <c r="H504" i="9"/>
  <c r="G504" i="9"/>
  <c r="D504" i="9"/>
  <c r="C504" i="9"/>
  <c r="H503" i="9"/>
  <c r="G503" i="9"/>
  <c r="D503" i="9"/>
  <c r="C503" i="9"/>
  <c r="H502" i="9"/>
  <c r="G502" i="9"/>
  <c r="D502" i="9"/>
  <c r="C502" i="9"/>
  <c r="H501" i="9"/>
  <c r="G501" i="9"/>
  <c r="D501" i="9"/>
  <c r="C501" i="9"/>
  <c r="H500" i="9"/>
  <c r="G500" i="9"/>
  <c r="D500" i="9"/>
  <c r="C500" i="9"/>
  <c r="H499" i="9"/>
  <c r="G499" i="9"/>
  <c r="D499" i="9"/>
  <c r="C499" i="9"/>
  <c r="H498" i="9"/>
  <c r="G498" i="9"/>
  <c r="D498" i="9"/>
  <c r="C498" i="9"/>
  <c r="H497" i="9"/>
  <c r="G497" i="9"/>
  <c r="D497" i="9"/>
  <c r="C497" i="9"/>
  <c r="H496" i="9"/>
  <c r="G496" i="9"/>
  <c r="D496" i="9"/>
  <c r="C496" i="9"/>
  <c r="H495" i="9"/>
  <c r="G495" i="9"/>
  <c r="D495" i="9"/>
  <c r="C495" i="9"/>
  <c r="H494" i="9"/>
  <c r="G494" i="9"/>
  <c r="D494" i="9"/>
  <c r="C494" i="9"/>
  <c r="H493" i="9"/>
  <c r="G493" i="9"/>
  <c r="D493" i="9"/>
  <c r="C493" i="9"/>
  <c r="H492" i="9"/>
  <c r="G492" i="9"/>
  <c r="D492" i="9"/>
  <c r="C492" i="9"/>
  <c r="H491" i="9"/>
  <c r="G491" i="9"/>
  <c r="D491" i="9"/>
  <c r="C491" i="9"/>
  <c r="H490" i="9"/>
  <c r="G490" i="9"/>
  <c r="D490" i="9"/>
  <c r="C490" i="9"/>
  <c r="H489" i="9"/>
  <c r="G489" i="9"/>
  <c r="D489" i="9"/>
  <c r="C489" i="9"/>
  <c r="H488" i="9"/>
  <c r="G488" i="9"/>
  <c r="D488" i="9"/>
  <c r="C488" i="9"/>
  <c r="H487" i="9"/>
  <c r="G487" i="9"/>
  <c r="D487" i="9"/>
  <c r="C487" i="9"/>
  <c r="H486" i="9"/>
  <c r="G486" i="9"/>
  <c r="D486" i="9"/>
  <c r="C486" i="9"/>
  <c r="H485" i="9"/>
  <c r="G485" i="9"/>
  <c r="D485" i="9"/>
  <c r="C485" i="9"/>
  <c r="H484" i="9"/>
  <c r="G484" i="9"/>
  <c r="D484" i="9"/>
  <c r="C484" i="9"/>
  <c r="H483" i="9"/>
  <c r="G483" i="9"/>
  <c r="D483" i="9"/>
  <c r="C483" i="9"/>
  <c r="H482" i="9"/>
  <c r="G482" i="9"/>
  <c r="D482" i="9"/>
  <c r="C482" i="9"/>
  <c r="H481" i="9"/>
  <c r="G481" i="9"/>
  <c r="D481" i="9"/>
  <c r="C481" i="9"/>
  <c r="H480" i="9"/>
  <c r="G480" i="9"/>
  <c r="D480" i="9"/>
  <c r="C480" i="9"/>
  <c r="H479" i="9"/>
  <c r="G479" i="9"/>
  <c r="D479" i="9"/>
  <c r="C479" i="9"/>
  <c r="H478" i="9"/>
  <c r="G478" i="9"/>
  <c r="D478" i="9"/>
  <c r="C478" i="9"/>
  <c r="H477" i="9"/>
  <c r="G477" i="9"/>
  <c r="D477" i="9"/>
  <c r="C477" i="9"/>
  <c r="H476" i="9"/>
  <c r="G476" i="9"/>
  <c r="D476" i="9"/>
  <c r="C476" i="9"/>
  <c r="H475" i="9"/>
  <c r="G475" i="9"/>
  <c r="D475" i="9"/>
  <c r="C475" i="9"/>
  <c r="H474" i="9"/>
  <c r="G474" i="9"/>
  <c r="D474" i="9"/>
  <c r="C474" i="9"/>
  <c r="H473" i="9"/>
  <c r="G473" i="9"/>
  <c r="D473" i="9"/>
  <c r="C473" i="9"/>
  <c r="H472" i="9"/>
  <c r="G472" i="9"/>
  <c r="D472" i="9"/>
  <c r="C472" i="9"/>
  <c r="H471" i="9"/>
  <c r="G471" i="9"/>
  <c r="D471" i="9"/>
  <c r="C471" i="9"/>
  <c r="H470" i="9"/>
  <c r="G470" i="9"/>
  <c r="D470" i="9"/>
  <c r="C470" i="9"/>
  <c r="H469" i="9"/>
  <c r="G469" i="9"/>
  <c r="D469" i="9"/>
  <c r="C469" i="9"/>
  <c r="H468" i="9"/>
  <c r="G468" i="9"/>
  <c r="D468" i="9"/>
  <c r="C468" i="9"/>
  <c r="H467" i="9"/>
  <c r="G467" i="9"/>
  <c r="D467" i="9"/>
  <c r="C467" i="9"/>
  <c r="H466" i="9"/>
  <c r="G466" i="9"/>
  <c r="D466" i="9"/>
  <c r="C466" i="9"/>
  <c r="H465" i="9"/>
  <c r="G465" i="9"/>
  <c r="D465" i="9"/>
  <c r="C465" i="9"/>
  <c r="H464" i="9"/>
  <c r="G464" i="9"/>
  <c r="D464" i="9"/>
  <c r="C464" i="9"/>
  <c r="H463" i="9"/>
  <c r="G463" i="9"/>
  <c r="D463" i="9"/>
  <c r="C463" i="9"/>
  <c r="H462" i="9"/>
  <c r="G462" i="9"/>
  <c r="D462" i="9"/>
  <c r="C462" i="9"/>
  <c r="H461" i="9"/>
  <c r="G461" i="9"/>
  <c r="D461" i="9"/>
  <c r="C461" i="9"/>
  <c r="H460" i="9"/>
  <c r="G460" i="9"/>
  <c r="D460" i="9"/>
  <c r="C460" i="9"/>
  <c r="H459" i="9"/>
  <c r="G459" i="9"/>
  <c r="D459" i="9"/>
  <c r="C459" i="9"/>
  <c r="H458" i="9"/>
  <c r="G458" i="9"/>
  <c r="D458" i="9"/>
  <c r="C458" i="9"/>
  <c r="H457" i="9"/>
  <c r="G457" i="9"/>
  <c r="D457" i="9"/>
  <c r="C457" i="9"/>
  <c r="H456" i="9"/>
  <c r="G456" i="9"/>
  <c r="D456" i="9"/>
  <c r="C456" i="9"/>
  <c r="H455" i="9"/>
  <c r="G455" i="9"/>
  <c r="D455" i="9"/>
  <c r="C455" i="9"/>
  <c r="H454" i="9"/>
  <c r="G454" i="9"/>
  <c r="D454" i="9"/>
  <c r="C454" i="9"/>
  <c r="H453" i="9"/>
  <c r="G453" i="9"/>
  <c r="D453" i="9"/>
  <c r="C453" i="9"/>
  <c r="H452" i="9"/>
  <c r="G452" i="9"/>
  <c r="D452" i="9"/>
  <c r="C452" i="9"/>
  <c r="H451" i="9"/>
  <c r="G451" i="9"/>
  <c r="D451" i="9"/>
  <c r="C451" i="9"/>
  <c r="H450" i="9"/>
  <c r="G450" i="9"/>
  <c r="D450" i="9"/>
  <c r="C450" i="9"/>
  <c r="H449" i="9"/>
  <c r="G449" i="9"/>
  <c r="D449" i="9"/>
  <c r="C449" i="9"/>
  <c r="H448" i="9"/>
  <c r="G448" i="9"/>
  <c r="D448" i="9"/>
  <c r="C448" i="9"/>
  <c r="H447" i="9"/>
  <c r="G447" i="9"/>
  <c r="D447" i="9"/>
  <c r="C447" i="9"/>
  <c r="H446" i="9"/>
  <c r="G446" i="9"/>
  <c r="D446" i="9"/>
  <c r="C446" i="9"/>
  <c r="H445" i="9"/>
  <c r="G445" i="9"/>
  <c r="D445" i="9"/>
  <c r="C445" i="9"/>
  <c r="H444" i="9"/>
  <c r="G444" i="9"/>
  <c r="D444" i="9"/>
  <c r="C444" i="9"/>
  <c r="H443" i="9"/>
  <c r="G443" i="9"/>
  <c r="D443" i="9"/>
  <c r="C443" i="9"/>
  <c r="H442" i="9"/>
  <c r="G442" i="9"/>
  <c r="D442" i="9"/>
  <c r="C442" i="9"/>
  <c r="H441" i="9"/>
  <c r="G441" i="9"/>
  <c r="D441" i="9"/>
  <c r="C441" i="9"/>
  <c r="H440" i="9"/>
  <c r="G440" i="9"/>
  <c r="D440" i="9"/>
  <c r="C440" i="9"/>
  <c r="H439" i="9"/>
  <c r="G439" i="9"/>
  <c r="D439" i="9"/>
  <c r="C439" i="9"/>
  <c r="H438" i="9"/>
  <c r="G438" i="9"/>
  <c r="D438" i="9"/>
  <c r="C438" i="9"/>
  <c r="H437" i="9"/>
  <c r="G437" i="9"/>
  <c r="D437" i="9"/>
  <c r="C437" i="9"/>
  <c r="H436" i="9"/>
  <c r="G436" i="9"/>
  <c r="D436" i="9"/>
  <c r="C436" i="9"/>
  <c r="H435" i="9"/>
  <c r="G435" i="9"/>
  <c r="D435" i="9"/>
  <c r="C435" i="9"/>
  <c r="H434" i="9"/>
  <c r="G434" i="9"/>
  <c r="D434" i="9"/>
  <c r="C434" i="9"/>
  <c r="H433" i="9"/>
  <c r="G433" i="9"/>
  <c r="D433" i="9"/>
  <c r="C433" i="9"/>
  <c r="H432" i="9"/>
  <c r="G432" i="9"/>
  <c r="D432" i="9"/>
  <c r="C432" i="9"/>
  <c r="H431" i="9"/>
  <c r="G431" i="9"/>
  <c r="D431" i="9"/>
  <c r="C431" i="9"/>
  <c r="H430" i="9"/>
  <c r="G430" i="9"/>
  <c r="D430" i="9"/>
  <c r="C430" i="9"/>
  <c r="H429" i="9"/>
  <c r="G429" i="9"/>
  <c r="D429" i="9"/>
  <c r="C429" i="9"/>
  <c r="H428" i="9"/>
  <c r="G428" i="9"/>
  <c r="D428" i="9"/>
  <c r="C428" i="9"/>
  <c r="H427" i="9"/>
  <c r="G427" i="9"/>
  <c r="D427" i="9"/>
  <c r="C427" i="9"/>
  <c r="H426" i="9"/>
  <c r="G426" i="9"/>
  <c r="D426" i="9"/>
  <c r="C426" i="9"/>
  <c r="H425" i="9"/>
  <c r="G425" i="9"/>
  <c r="D425" i="9"/>
  <c r="C425" i="9"/>
  <c r="H424" i="9"/>
  <c r="G424" i="9"/>
  <c r="D424" i="9"/>
  <c r="C424" i="9"/>
  <c r="H423" i="9"/>
  <c r="G423" i="9"/>
  <c r="D423" i="9"/>
  <c r="C423" i="9"/>
  <c r="H422" i="9"/>
  <c r="G422" i="9"/>
  <c r="D422" i="9"/>
  <c r="C422" i="9"/>
  <c r="H421" i="9"/>
  <c r="G421" i="9"/>
  <c r="D421" i="9"/>
  <c r="C421" i="9"/>
  <c r="H420" i="9"/>
  <c r="G420" i="9"/>
  <c r="D420" i="9"/>
  <c r="C420" i="9"/>
  <c r="H419" i="9"/>
  <c r="G419" i="9"/>
  <c r="D419" i="9"/>
  <c r="C419" i="9"/>
  <c r="H418" i="9"/>
  <c r="G418" i="9"/>
  <c r="D418" i="9"/>
  <c r="C418" i="9"/>
  <c r="H417" i="9"/>
  <c r="G417" i="9"/>
  <c r="D417" i="9"/>
  <c r="C417" i="9"/>
  <c r="H416" i="9"/>
  <c r="G416" i="9"/>
  <c r="D416" i="9"/>
  <c r="C416" i="9"/>
  <c r="H415" i="9"/>
  <c r="G415" i="9"/>
  <c r="D415" i="9"/>
  <c r="C415" i="9"/>
  <c r="H414" i="9"/>
  <c r="G414" i="9"/>
  <c r="D414" i="9"/>
  <c r="C414" i="9"/>
  <c r="H413" i="9"/>
  <c r="G413" i="9"/>
  <c r="D413" i="9"/>
  <c r="C413" i="9"/>
  <c r="H412" i="9"/>
  <c r="G412" i="9"/>
  <c r="D412" i="9"/>
  <c r="C412" i="9"/>
  <c r="H411" i="9"/>
  <c r="G411" i="9"/>
  <c r="D411" i="9"/>
  <c r="C411" i="9"/>
  <c r="H410" i="9"/>
  <c r="G410" i="9"/>
  <c r="D410" i="9"/>
  <c r="C410" i="9"/>
  <c r="H409" i="9"/>
  <c r="G409" i="9"/>
  <c r="D409" i="9"/>
  <c r="C409" i="9"/>
  <c r="H408" i="9"/>
  <c r="G408" i="9"/>
  <c r="D408" i="9"/>
  <c r="C408" i="9"/>
  <c r="H407" i="9"/>
  <c r="G407" i="9"/>
  <c r="D407" i="9"/>
  <c r="C407" i="9"/>
  <c r="H406" i="9"/>
  <c r="G406" i="9"/>
  <c r="D406" i="9"/>
  <c r="C406" i="9"/>
  <c r="H405" i="9"/>
  <c r="G405" i="9"/>
  <c r="D405" i="9"/>
  <c r="C405" i="9"/>
  <c r="H404" i="9"/>
  <c r="G404" i="9"/>
  <c r="D404" i="9"/>
  <c r="C404" i="9"/>
  <c r="H403" i="9"/>
  <c r="G403" i="9"/>
  <c r="D403" i="9"/>
  <c r="C403" i="9"/>
  <c r="H402" i="9"/>
  <c r="G402" i="9"/>
  <c r="D402" i="9"/>
  <c r="C402" i="9"/>
  <c r="H401" i="9"/>
  <c r="G401" i="9"/>
  <c r="D401" i="9"/>
  <c r="C401" i="9"/>
  <c r="H400" i="9"/>
  <c r="G400" i="9"/>
  <c r="D400" i="9"/>
  <c r="C400" i="9"/>
  <c r="H399" i="9"/>
  <c r="G399" i="9"/>
  <c r="D399" i="9"/>
  <c r="C399" i="9"/>
  <c r="H398" i="9"/>
  <c r="G398" i="9"/>
  <c r="D398" i="9"/>
  <c r="C398" i="9"/>
  <c r="H397" i="9"/>
  <c r="G397" i="9"/>
  <c r="D397" i="9"/>
  <c r="C397" i="9"/>
  <c r="H396" i="9"/>
  <c r="G396" i="9"/>
  <c r="D396" i="9"/>
  <c r="C396" i="9"/>
  <c r="H395" i="9"/>
  <c r="G395" i="9"/>
  <c r="D395" i="9"/>
  <c r="C395" i="9"/>
  <c r="H394" i="9"/>
  <c r="G394" i="9"/>
  <c r="D394" i="9"/>
  <c r="C394" i="9"/>
  <c r="H393" i="9"/>
  <c r="G393" i="9"/>
  <c r="D393" i="9"/>
  <c r="C393" i="9"/>
  <c r="H392" i="9"/>
  <c r="G392" i="9"/>
  <c r="D392" i="9"/>
  <c r="C392" i="9"/>
  <c r="H391" i="9"/>
  <c r="G391" i="9"/>
  <c r="D391" i="9"/>
  <c r="C391" i="9"/>
  <c r="H390" i="9"/>
  <c r="G390" i="9"/>
  <c r="D390" i="9"/>
  <c r="C390" i="9"/>
  <c r="H389" i="9"/>
  <c r="G389" i="9"/>
  <c r="D389" i="9"/>
  <c r="C389" i="9"/>
  <c r="H388" i="9"/>
  <c r="G388" i="9"/>
  <c r="D388" i="9"/>
  <c r="C388" i="9"/>
  <c r="H387" i="9"/>
  <c r="G387" i="9"/>
  <c r="D387" i="9"/>
  <c r="C387" i="9"/>
  <c r="H386" i="9"/>
  <c r="G386" i="9"/>
  <c r="D386" i="9"/>
  <c r="C386" i="9"/>
  <c r="H385" i="9"/>
  <c r="G385" i="9"/>
  <c r="D385" i="9"/>
  <c r="C385" i="9"/>
  <c r="H384" i="9"/>
  <c r="G384" i="9"/>
  <c r="D384" i="9"/>
  <c r="C384" i="9"/>
  <c r="H383" i="9"/>
  <c r="G383" i="9"/>
  <c r="D383" i="9"/>
  <c r="C383" i="9"/>
  <c r="H382" i="9"/>
  <c r="G382" i="9"/>
  <c r="D382" i="9"/>
  <c r="C382" i="9"/>
  <c r="H381" i="9"/>
  <c r="G381" i="9"/>
  <c r="D381" i="9"/>
  <c r="C381" i="9"/>
  <c r="H380" i="9"/>
  <c r="G380" i="9"/>
  <c r="D380" i="9"/>
  <c r="C380" i="9"/>
  <c r="H379" i="9"/>
  <c r="G379" i="9"/>
  <c r="D379" i="9"/>
  <c r="C379" i="9"/>
  <c r="H378" i="9"/>
  <c r="G378" i="9"/>
  <c r="D378" i="9"/>
  <c r="C378" i="9"/>
  <c r="H377" i="9"/>
  <c r="G377" i="9"/>
  <c r="D377" i="9"/>
  <c r="C377" i="9"/>
  <c r="H376" i="9"/>
  <c r="G376" i="9"/>
  <c r="D376" i="9"/>
  <c r="C376" i="9"/>
  <c r="H375" i="9"/>
  <c r="G375" i="9"/>
  <c r="D375" i="9"/>
  <c r="C375" i="9"/>
  <c r="H374" i="9"/>
  <c r="G374" i="9"/>
  <c r="D374" i="9"/>
  <c r="C374" i="9"/>
  <c r="H373" i="9"/>
  <c r="G373" i="9"/>
  <c r="D373" i="9"/>
  <c r="C373" i="9"/>
  <c r="H372" i="9"/>
  <c r="G372" i="9"/>
  <c r="D372" i="9"/>
  <c r="C372" i="9"/>
  <c r="H371" i="9"/>
  <c r="G371" i="9"/>
  <c r="D371" i="9"/>
  <c r="C371" i="9"/>
  <c r="H370" i="9"/>
  <c r="G370" i="9"/>
  <c r="D370" i="9"/>
  <c r="C370" i="9"/>
  <c r="H369" i="9"/>
  <c r="G369" i="9"/>
  <c r="D369" i="9"/>
  <c r="C369" i="9"/>
  <c r="H368" i="9"/>
  <c r="G368" i="9"/>
  <c r="D368" i="9"/>
  <c r="C368" i="9"/>
  <c r="H367" i="9"/>
  <c r="G367" i="9"/>
  <c r="D367" i="9"/>
  <c r="C367" i="9"/>
  <c r="H366" i="9"/>
  <c r="G366" i="9"/>
  <c r="D366" i="9"/>
  <c r="C366" i="9"/>
  <c r="H365" i="9"/>
  <c r="G365" i="9"/>
  <c r="D365" i="9"/>
  <c r="C365" i="9"/>
  <c r="H364" i="9"/>
  <c r="G364" i="9"/>
  <c r="D364" i="9"/>
  <c r="C364" i="9"/>
  <c r="H363" i="9"/>
  <c r="G363" i="9"/>
  <c r="D363" i="9"/>
  <c r="C363" i="9"/>
  <c r="H362" i="9"/>
  <c r="G362" i="9"/>
  <c r="D362" i="9"/>
  <c r="C362" i="9"/>
  <c r="H361" i="9"/>
  <c r="G361" i="9"/>
  <c r="D361" i="9"/>
  <c r="C361" i="9"/>
  <c r="H360" i="9"/>
  <c r="G360" i="9"/>
  <c r="D360" i="9"/>
  <c r="C360" i="9"/>
  <c r="H359" i="9"/>
  <c r="G359" i="9"/>
  <c r="D359" i="9"/>
  <c r="C359" i="9"/>
  <c r="H358" i="9"/>
  <c r="G358" i="9"/>
  <c r="D358" i="9"/>
  <c r="C358" i="9"/>
  <c r="H357" i="9"/>
  <c r="G357" i="9"/>
  <c r="D357" i="9"/>
  <c r="C357" i="9"/>
  <c r="H356" i="9"/>
  <c r="G356" i="9"/>
  <c r="D356" i="9"/>
  <c r="C356" i="9"/>
  <c r="H355" i="9"/>
  <c r="G355" i="9"/>
  <c r="D355" i="9"/>
  <c r="C355" i="9"/>
  <c r="H354" i="9"/>
  <c r="G354" i="9"/>
  <c r="D354" i="9"/>
  <c r="C354" i="9"/>
  <c r="H353" i="9"/>
  <c r="G353" i="9"/>
  <c r="D353" i="9"/>
  <c r="C353" i="9"/>
  <c r="H352" i="9"/>
  <c r="G352" i="9"/>
  <c r="D352" i="9"/>
  <c r="C352" i="9"/>
  <c r="H351" i="9"/>
  <c r="G351" i="9"/>
  <c r="D351" i="9"/>
  <c r="C351" i="9"/>
  <c r="H350" i="9"/>
  <c r="G350" i="9"/>
  <c r="D350" i="9"/>
  <c r="C350" i="9"/>
  <c r="H349" i="9"/>
  <c r="G349" i="9"/>
  <c r="D349" i="9"/>
  <c r="C349" i="9"/>
  <c r="H348" i="9"/>
  <c r="G348" i="9"/>
  <c r="D348" i="9"/>
  <c r="C348" i="9"/>
  <c r="H347" i="9"/>
  <c r="G347" i="9"/>
  <c r="D347" i="9"/>
  <c r="C347" i="9"/>
  <c r="H346" i="9"/>
  <c r="G346" i="9"/>
  <c r="D346" i="9"/>
  <c r="C346" i="9"/>
  <c r="H345" i="9"/>
  <c r="G345" i="9"/>
  <c r="D345" i="9"/>
  <c r="C345" i="9"/>
  <c r="H344" i="9"/>
  <c r="G344" i="9"/>
  <c r="D344" i="9"/>
  <c r="C344" i="9"/>
  <c r="H343" i="9"/>
  <c r="G343" i="9"/>
  <c r="D343" i="9"/>
  <c r="C343" i="9"/>
  <c r="H342" i="9"/>
  <c r="G342" i="9"/>
  <c r="D342" i="9"/>
  <c r="C342" i="9"/>
  <c r="H341" i="9"/>
  <c r="G341" i="9"/>
  <c r="D341" i="9"/>
  <c r="C341" i="9"/>
  <c r="H340" i="9"/>
  <c r="G340" i="9"/>
  <c r="D340" i="9"/>
  <c r="C340" i="9"/>
  <c r="H339" i="9"/>
  <c r="G339" i="9"/>
  <c r="D339" i="9"/>
  <c r="C339" i="9"/>
  <c r="H338" i="9"/>
  <c r="G338" i="9"/>
  <c r="D338" i="9"/>
  <c r="C338" i="9"/>
  <c r="H337" i="9"/>
  <c r="G337" i="9"/>
  <c r="D337" i="9"/>
  <c r="C337" i="9"/>
  <c r="H336" i="9"/>
  <c r="G336" i="9"/>
  <c r="D336" i="9"/>
  <c r="C336" i="9"/>
  <c r="H335" i="9"/>
  <c r="G335" i="9"/>
  <c r="D335" i="9"/>
  <c r="C335" i="9"/>
  <c r="H334" i="9"/>
  <c r="G334" i="9"/>
  <c r="D334" i="9"/>
  <c r="C334" i="9"/>
  <c r="H333" i="9"/>
  <c r="G333" i="9"/>
  <c r="D333" i="9"/>
  <c r="C333" i="9"/>
  <c r="H332" i="9"/>
  <c r="G332" i="9"/>
  <c r="D332" i="9"/>
  <c r="C332" i="9"/>
  <c r="H331" i="9"/>
  <c r="G331" i="9"/>
  <c r="D331" i="9"/>
  <c r="C331" i="9"/>
  <c r="H330" i="9"/>
  <c r="G330" i="9"/>
  <c r="D330" i="9"/>
  <c r="C330" i="9"/>
  <c r="H329" i="9"/>
  <c r="G329" i="9"/>
  <c r="D329" i="9"/>
  <c r="C329" i="9"/>
  <c r="H328" i="9"/>
  <c r="G328" i="9"/>
  <c r="D328" i="9"/>
  <c r="C328" i="9"/>
  <c r="H327" i="9"/>
  <c r="G327" i="9"/>
  <c r="D327" i="9"/>
  <c r="C327" i="9"/>
  <c r="H326" i="9"/>
  <c r="G326" i="9"/>
  <c r="D326" i="9"/>
  <c r="C326" i="9"/>
  <c r="H325" i="9"/>
  <c r="G325" i="9"/>
  <c r="D325" i="9"/>
  <c r="C325" i="9"/>
  <c r="H324" i="9"/>
  <c r="G324" i="9"/>
  <c r="D324" i="9"/>
  <c r="C324" i="9"/>
  <c r="H323" i="9"/>
  <c r="G323" i="9"/>
  <c r="D323" i="9"/>
  <c r="C323" i="9"/>
  <c r="H322" i="9"/>
  <c r="G322" i="9"/>
  <c r="D322" i="9"/>
  <c r="C322" i="9"/>
  <c r="H321" i="9"/>
  <c r="G321" i="9"/>
  <c r="D321" i="9"/>
  <c r="C321" i="9"/>
  <c r="H320" i="9"/>
  <c r="G320" i="9"/>
  <c r="D320" i="9"/>
  <c r="C320" i="9"/>
  <c r="H319" i="9"/>
  <c r="G319" i="9"/>
  <c r="D319" i="9"/>
  <c r="C319" i="9"/>
  <c r="H318" i="9"/>
  <c r="G318" i="9"/>
  <c r="D318" i="9"/>
  <c r="C318" i="9"/>
  <c r="H317" i="9"/>
  <c r="G317" i="9"/>
  <c r="D317" i="9"/>
  <c r="C317" i="9"/>
  <c r="H316" i="9"/>
  <c r="G316" i="9"/>
  <c r="D316" i="9"/>
  <c r="C316" i="9"/>
  <c r="H315" i="9"/>
  <c r="G315" i="9"/>
  <c r="D315" i="9"/>
  <c r="C315" i="9"/>
  <c r="H314" i="9"/>
  <c r="G314" i="9"/>
  <c r="D314" i="9"/>
  <c r="C314" i="9"/>
  <c r="H313" i="9"/>
  <c r="G313" i="9"/>
  <c r="D313" i="9"/>
  <c r="C313" i="9"/>
  <c r="H312" i="9"/>
  <c r="G312" i="9"/>
  <c r="D312" i="9"/>
  <c r="C312" i="9"/>
  <c r="H311" i="9"/>
  <c r="G311" i="9"/>
  <c r="D311" i="9"/>
  <c r="C311" i="9"/>
  <c r="H310" i="9"/>
  <c r="G310" i="9"/>
  <c r="D310" i="9"/>
  <c r="C310" i="9"/>
  <c r="H309" i="9"/>
  <c r="G309" i="9"/>
  <c r="D309" i="9"/>
  <c r="C309" i="9"/>
  <c r="H308" i="9"/>
  <c r="G308" i="9"/>
  <c r="D308" i="9"/>
  <c r="C308" i="9"/>
  <c r="H307" i="9"/>
  <c r="G307" i="9"/>
  <c r="D307" i="9"/>
  <c r="C307" i="9"/>
  <c r="H306" i="9"/>
  <c r="G306" i="9"/>
  <c r="D306" i="9"/>
  <c r="C306" i="9"/>
  <c r="H305" i="9"/>
  <c r="G305" i="9"/>
  <c r="D305" i="9"/>
  <c r="C305" i="9"/>
  <c r="H304" i="9"/>
  <c r="G304" i="9"/>
  <c r="D304" i="9"/>
  <c r="C304" i="9"/>
  <c r="H303" i="9"/>
  <c r="G303" i="9"/>
  <c r="D303" i="9"/>
  <c r="C303" i="9"/>
  <c r="H302" i="9"/>
  <c r="G302" i="9"/>
  <c r="D302" i="9"/>
  <c r="C302" i="9"/>
  <c r="H301" i="9"/>
  <c r="G301" i="9"/>
  <c r="D301" i="9"/>
  <c r="C301" i="9"/>
  <c r="H300" i="9"/>
  <c r="G300" i="9"/>
  <c r="D300" i="9"/>
  <c r="C300" i="9"/>
  <c r="H299" i="9"/>
  <c r="G299" i="9"/>
  <c r="D299" i="9"/>
  <c r="C299" i="9"/>
  <c r="H298" i="9"/>
  <c r="G298" i="9"/>
  <c r="D298" i="9"/>
  <c r="C298" i="9"/>
  <c r="H297" i="9"/>
  <c r="G297" i="9"/>
  <c r="D297" i="9"/>
  <c r="C297" i="9"/>
  <c r="H296" i="9"/>
  <c r="G296" i="9"/>
  <c r="D296" i="9"/>
  <c r="C296" i="9"/>
  <c r="H295" i="9"/>
  <c r="G295" i="9"/>
  <c r="D295" i="9"/>
  <c r="C295" i="9"/>
  <c r="H294" i="9"/>
  <c r="G294" i="9"/>
  <c r="D294" i="9"/>
  <c r="C294" i="9"/>
  <c r="H293" i="9"/>
  <c r="G293" i="9"/>
  <c r="D293" i="9"/>
  <c r="C293" i="9"/>
  <c r="H292" i="9"/>
  <c r="G292" i="9"/>
  <c r="D292" i="9"/>
  <c r="C292" i="9"/>
  <c r="H291" i="9"/>
  <c r="G291" i="9"/>
  <c r="D291" i="9"/>
  <c r="C291" i="9"/>
  <c r="H290" i="9"/>
  <c r="G290" i="9"/>
  <c r="D290" i="9"/>
  <c r="C290" i="9"/>
  <c r="H289" i="9"/>
  <c r="G289" i="9"/>
  <c r="D289" i="9"/>
  <c r="C289" i="9"/>
  <c r="H288" i="9"/>
  <c r="G288" i="9"/>
  <c r="D288" i="9"/>
  <c r="C288" i="9"/>
  <c r="H287" i="9"/>
  <c r="G287" i="9"/>
  <c r="D287" i="9"/>
  <c r="C287" i="9"/>
  <c r="H286" i="9"/>
  <c r="G286" i="9"/>
  <c r="D286" i="9"/>
  <c r="C286" i="9"/>
  <c r="H285" i="9"/>
  <c r="G285" i="9"/>
  <c r="D285" i="9"/>
  <c r="C285" i="9"/>
  <c r="H284" i="9"/>
  <c r="G284" i="9"/>
  <c r="D284" i="9"/>
  <c r="C284" i="9"/>
  <c r="H283" i="9"/>
  <c r="G283" i="9"/>
  <c r="D283" i="9"/>
  <c r="C283" i="9"/>
  <c r="H282" i="9"/>
  <c r="G282" i="9"/>
  <c r="D282" i="9"/>
  <c r="C282" i="9"/>
  <c r="H281" i="9"/>
  <c r="G281" i="9"/>
  <c r="D281" i="9"/>
  <c r="C281" i="9"/>
  <c r="H280" i="9"/>
  <c r="G280" i="9"/>
  <c r="D280" i="9"/>
  <c r="C280" i="9"/>
  <c r="H279" i="9"/>
  <c r="G279" i="9"/>
  <c r="D279" i="9"/>
  <c r="C279" i="9"/>
  <c r="H278" i="9"/>
  <c r="G278" i="9"/>
  <c r="D278" i="9"/>
  <c r="C278" i="9"/>
  <c r="H277" i="9"/>
  <c r="G277" i="9"/>
  <c r="D277" i="9"/>
  <c r="C277" i="9"/>
  <c r="H276" i="9"/>
  <c r="G276" i="9"/>
  <c r="D276" i="9"/>
  <c r="C276" i="9"/>
  <c r="H275" i="9"/>
  <c r="G275" i="9"/>
  <c r="D275" i="9"/>
  <c r="C275" i="9"/>
  <c r="H274" i="9"/>
  <c r="G274" i="9"/>
  <c r="D274" i="9"/>
  <c r="C274" i="9"/>
  <c r="H273" i="9"/>
  <c r="G273" i="9"/>
  <c r="D273" i="9"/>
  <c r="C273" i="9"/>
  <c r="H272" i="9"/>
  <c r="G272" i="9"/>
  <c r="D272" i="9"/>
  <c r="C272" i="9"/>
  <c r="H271" i="9"/>
  <c r="G271" i="9"/>
  <c r="D271" i="9"/>
  <c r="C271" i="9"/>
  <c r="H270" i="9"/>
  <c r="G270" i="9"/>
  <c r="D270" i="9"/>
  <c r="C270" i="9"/>
  <c r="H269" i="9"/>
  <c r="G269" i="9"/>
  <c r="D269" i="9"/>
  <c r="C269" i="9"/>
  <c r="H268" i="9"/>
  <c r="G268" i="9"/>
  <c r="D268" i="9"/>
  <c r="C268" i="9"/>
  <c r="H267" i="9"/>
  <c r="G267" i="9"/>
  <c r="D267" i="9"/>
  <c r="C267" i="9"/>
  <c r="H266" i="9"/>
  <c r="G266" i="9"/>
  <c r="D266" i="9"/>
  <c r="C266" i="9"/>
  <c r="H265" i="9"/>
  <c r="G265" i="9"/>
  <c r="D265" i="9"/>
  <c r="C265" i="9"/>
  <c r="H264" i="9"/>
  <c r="G264" i="9"/>
  <c r="D264" i="9"/>
  <c r="C264" i="9"/>
  <c r="H263" i="9"/>
  <c r="G263" i="9"/>
  <c r="D263" i="9"/>
  <c r="C263" i="9"/>
  <c r="H262" i="9"/>
  <c r="G262" i="9"/>
  <c r="D262" i="9"/>
  <c r="C262" i="9"/>
  <c r="H261" i="9"/>
  <c r="G261" i="9"/>
  <c r="D261" i="9"/>
  <c r="C261" i="9"/>
  <c r="H260" i="9"/>
  <c r="G260" i="9"/>
  <c r="D260" i="9"/>
  <c r="C260" i="9"/>
  <c r="H259" i="9"/>
  <c r="G259" i="9"/>
  <c r="D259" i="9"/>
  <c r="C259" i="9"/>
  <c r="H258" i="9"/>
  <c r="G258" i="9"/>
  <c r="D258" i="9"/>
  <c r="C258" i="9"/>
  <c r="H257" i="9"/>
  <c r="G257" i="9"/>
  <c r="D257" i="9"/>
  <c r="C257" i="9"/>
  <c r="H256" i="9"/>
  <c r="G256" i="9"/>
  <c r="D256" i="9"/>
  <c r="C256" i="9"/>
  <c r="H255" i="9"/>
  <c r="G255" i="9"/>
  <c r="D255" i="9"/>
  <c r="C255" i="9"/>
  <c r="H254" i="9"/>
  <c r="G254" i="9"/>
  <c r="D254" i="9"/>
  <c r="C254" i="9"/>
  <c r="H253" i="9"/>
  <c r="G253" i="9"/>
  <c r="D253" i="9"/>
  <c r="C253" i="9"/>
  <c r="H252" i="9"/>
  <c r="G252" i="9"/>
  <c r="D252" i="9"/>
  <c r="C252" i="9"/>
  <c r="H251" i="9"/>
  <c r="G251" i="9"/>
  <c r="D251" i="9"/>
  <c r="C251" i="9"/>
  <c r="H250" i="9"/>
  <c r="G250" i="9"/>
  <c r="D250" i="9"/>
  <c r="C250" i="9"/>
  <c r="H249" i="9"/>
  <c r="G249" i="9"/>
  <c r="D249" i="9"/>
  <c r="C249" i="9"/>
  <c r="H248" i="9"/>
  <c r="G248" i="9"/>
  <c r="D248" i="9"/>
  <c r="C248" i="9"/>
  <c r="H247" i="9"/>
  <c r="G247" i="9"/>
  <c r="D247" i="9"/>
  <c r="C247" i="9"/>
  <c r="H246" i="9"/>
  <c r="G246" i="9"/>
  <c r="D246" i="9"/>
  <c r="C246" i="9"/>
  <c r="H245" i="9"/>
  <c r="G245" i="9"/>
  <c r="D245" i="9"/>
  <c r="C245" i="9"/>
  <c r="H244" i="9"/>
  <c r="G244" i="9"/>
  <c r="D244" i="9"/>
  <c r="C244" i="9"/>
  <c r="H243" i="9"/>
  <c r="G243" i="9"/>
  <c r="D243" i="9"/>
  <c r="C243" i="9"/>
  <c r="H242" i="9"/>
  <c r="G242" i="9"/>
  <c r="D242" i="9"/>
  <c r="C242" i="9"/>
  <c r="H241" i="9"/>
  <c r="G241" i="9"/>
  <c r="D241" i="9"/>
  <c r="C241" i="9"/>
  <c r="H240" i="9"/>
  <c r="G240" i="9"/>
  <c r="D240" i="9"/>
  <c r="C240" i="9"/>
  <c r="H239" i="9"/>
  <c r="G239" i="9"/>
  <c r="D239" i="9"/>
  <c r="C239" i="9"/>
  <c r="H238" i="9"/>
  <c r="G238" i="9"/>
  <c r="D238" i="9"/>
  <c r="C238" i="9"/>
  <c r="H237" i="9"/>
  <c r="G237" i="9"/>
  <c r="D237" i="9"/>
  <c r="C237" i="9"/>
  <c r="H236" i="9"/>
  <c r="G236" i="9"/>
  <c r="D236" i="9"/>
  <c r="C236" i="9"/>
  <c r="H235" i="9"/>
  <c r="G235" i="9"/>
  <c r="D235" i="9"/>
  <c r="C235" i="9"/>
  <c r="H234" i="9"/>
  <c r="G234" i="9"/>
  <c r="D234" i="9"/>
  <c r="C234" i="9"/>
  <c r="H233" i="9"/>
  <c r="G233" i="9"/>
  <c r="D233" i="9"/>
  <c r="C233" i="9"/>
  <c r="H232" i="9"/>
  <c r="G232" i="9"/>
  <c r="D232" i="9"/>
  <c r="C232" i="9"/>
  <c r="H231" i="9"/>
  <c r="G231" i="9"/>
  <c r="D231" i="9"/>
  <c r="C231" i="9"/>
  <c r="H230" i="9"/>
  <c r="G230" i="9"/>
  <c r="D230" i="9"/>
  <c r="C230" i="9"/>
  <c r="H229" i="9"/>
  <c r="G229" i="9"/>
  <c r="D229" i="9"/>
  <c r="C229" i="9"/>
  <c r="H228" i="9"/>
  <c r="G228" i="9"/>
  <c r="D228" i="9"/>
  <c r="C228" i="9"/>
  <c r="H227" i="9"/>
  <c r="G227" i="9"/>
  <c r="D227" i="9"/>
  <c r="C227" i="9"/>
  <c r="H226" i="9"/>
  <c r="G226" i="9"/>
  <c r="D226" i="9"/>
  <c r="C226" i="9"/>
  <c r="H225" i="9"/>
  <c r="G225" i="9"/>
  <c r="D225" i="9"/>
  <c r="C225" i="9"/>
  <c r="H224" i="9"/>
  <c r="G224" i="9"/>
  <c r="D224" i="9"/>
  <c r="C224" i="9"/>
  <c r="H223" i="9"/>
  <c r="G223" i="9"/>
  <c r="D223" i="9"/>
  <c r="C223" i="9"/>
  <c r="H222" i="9"/>
  <c r="G222" i="9"/>
  <c r="D222" i="9"/>
  <c r="C222" i="9"/>
  <c r="H221" i="9"/>
  <c r="G221" i="9"/>
  <c r="D221" i="9"/>
  <c r="C221" i="9"/>
  <c r="H220" i="9"/>
  <c r="G220" i="9"/>
  <c r="D220" i="9"/>
  <c r="C220" i="9"/>
  <c r="H219" i="9"/>
  <c r="G219" i="9"/>
  <c r="D219" i="9"/>
  <c r="C219" i="9"/>
  <c r="H218" i="9"/>
  <c r="G218" i="9"/>
  <c r="D218" i="9"/>
  <c r="C218" i="9"/>
  <c r="H217" i="9"/>
  <c r="G217" i="9"/>
  <c r="D217" i="9"/>
  <c r="C217" i="9"/>
  <c r="H216" i="9"/>
  <c r="G216" i="9"/>
  <c r="D216" i="9"/>
  <c r="C216" i="9"/>
  <c r="H215" i="9"/>
  <c r="G215" i="9"/>
  <c r="D215" i="9"/>
  <c r="C215" i="9"/>
  <c r="H214" i="9"/>
  <c r="G214" i="9"/>
  <c r="D214" i="9"/>
  <c r="C214" i="9"/>
  <c r="H213" i="9"/>
  <c r="G213" i="9"/>
  <c r="D213" i="9"/>
  <c r="C213" i="9"/>
  <c r="H212" i="9"/>
  <c r="G212" i="9"/>
  <c r="D212" i="9"/>
  <c r="C212" i="9"/>
  <c r="H211" i="9"/>
  <c r="G211" i="9"/>
  <c r="D211" i="9"/>
  <c r="C211" i="9"/>
  <c r="H210" i="9"/>
  <c r="G210" i="9"/>
  <c r="D210" i="9"/>
  <c r="C210" i="9"/>
  <c r="H209" i="9"/>
  <c r="G209" i="9"/>
  <c r="D209" i="9"/>
  <c r="C209" i="9"/>
  <c r="H208" i="9"/>
  <c r="G208" i="9"/>
  <c r="D208" i="9"/>
  <c r="C208" i="9"/>
  <c r="H207" i="9"/>
  <c r="G207" i="9"/>
  <c r="D207" i="9"/>
  <c r="C207" i="9"/>
  <c r="H206" i="9"/>
  <c r="G206" i="9"/>
  <c r="D206" i="9"/>
  <c r="C206" i="9"/>
  <c r="H205" i="9"/>
  <c r="G205" i="9"/>
  <c r="D205" i="9"/>
  <c r="C205" i="9"/>
  <c r="H204" i="9"/>
  <c r="G204" i="9"/>
  <c r="D204" i="9"/>
  <c r="C204" i="9"/>
  <c r="H203" i="9"/>
  <c r="G203" i="9"/>
  <c r="D203" i="9"/>
  <c r="C203" i="9"/>
  <c r="H202" i="9"/>
  <c r="G202" i="9"/>
  <c r="D202" i="9"/>
  <c r="C202" i="9"/>
  <c r="H201" i="9"/>
  <c r="G201" i="9"/>
  <c r="D201" i="9"/>
  <c r="C201" i="9"/>
  <c r="H200" i="9"/>
  <c r="G200" i="9"/>
  <c r="D200" i="9"/>
  <c r="C200" i="9"/>
  <c r="H199" i="9"/>
  <c r="G199" i="9"/>
  <c r="D199" i="9"/>
  <c r="C199" i="9"/>
  <c r="H198" i="9"/>
  <c r="G198" i="9"/>
  <c r="D198" i="9"/>
  <c r="C198" i="9"/>
  <c r="H197" i="9"/>
  <c r="G197" i="9"/>
  <c r="D197" i="9"/>
  <c r="C197" i="9"/>
  <c r="H196" i="9"/>
  <c r="G196" i="9"/>
  <c r="D196" i="9"/>
  <c r="C196" i="9"/>
  <c r="H195" i="9"/>
  <c r="G195" i="9"/>
  <c r="D195" i="9"/>
  <c r="C195" i="9"/>
  <c r="H194" i="9"/>
  <c r="G194" i="9"/>
  <c r="D194" i="9"/>
  <c r="C194" i="9"/>
  <c r="H193" i="9"/>
  <c r="G193" i="9"/>
  <c r="D193" i="9"/>
  <c r="C193" i="9"/>
  <c r="H192" i="9"/>
  <c r="G192" i="9"/>
  <c r="D192" i="9"/>
  <c r="C192" i="9"/>
  <c r="H191" i="9"/>
  <c r="G191" i="9"/>
  <c r="D191" i="9"/>
  <c r="C191" i="9"/>
  <c r="H190" i="9"/>
  <c r="G190" i="9"/>
  <c r="D190" i="9"/>
  <c r="C190" i="9"/>
  <c r="H189" i="9"/>
  <c r="G189" i="9"/>
  <c r="D189" i="9"/>
  <c r="C189" i="9"/>
  <c r="H188" i="9"/>
  <c r="G188" i="9"/>
  <c r="D188" i="9"/>
  <c r="C188" i="9"/>
  <c r="H187" i="9"/>
  <c r="G187" i="9"/>
  <c r="D187" i="9"/>
  <c r="C187" i="9"/>
  <c r="H186" i="9"/>
  <c r="G186" i="9"/>
  <c r="D186" i="9"/>
  <c r="C186" i="9"/>
  <c r="H185" i="9"/>
  <c r="G185" i="9"/>
  <c r="D185" i="9"/>
  <c r="C185" i="9"/>
  <c r="H184" i="9"/>
  <c r="G184" i="9"/>
  <c r="D184" i="9"/>
  <c r="C184" i="9"/>
  <c r="H183" i="9"/>
  <c r="G183" i="9"/>
  <c r="D183" i="9"/>
  <c r="C183" i="9"/>
  <c r="H182" i="9"/>
  <c r="G182" i="9"/>
  <c r="D182" i="9"/>
  <c r="C182" i="9"/>
  <c r="H181" i="9"/>
  <c r="G181" i="9"/>
  <c r="D181" i="9"/>
  <c r="C181" i="9"/>
  <c r="H180" i="9"/>
  <c r="G180" i="9"/>
  <c r="D180" i="9"/>
  <c r="C180" i="9"/>
  <c r="H179" i="9"/>
  <c r="G179" i="9"/>
  <c r="D179" i="9"/>
  <c r="C179" i="9"/>
  <c r="H178" i="9"/>
  <c r="G178" i="9"/>
  <c r="D178" i="9"/>
  <c r="C178" i="9"/>
  <c r="H177" i="9"/>
  <c r="G177" i="9"/>
  <c r="D177" i="9"/>
  <c r="C177" i="9"/>
  <c r="H176" i="9"/>
  <c r="G176" i="9"/>
  <c r="D176" i="9"/>
  <c r="C176" i="9"/>
  <c r="H175" i="9"/>
  <c r="G175" i="9"/>
  <c r="D175" i="9"/>
  <c r="C175" i="9"/>
  <c r="H174" i="9"/>
  <c r="G174" i="9"/>
  <c r="D174" i="9"/>
  <c r="C174" i="9"/>
  <c r="H173" i="9"/>
  <c r="G173" i="9"/>
  <c r="D173" i="9"/>
  <c r="C173" i="9"/>
  <c r="H172" i="9"/>
  <c r="G172" i="9"/>
  <c r="D172" i="9"/>
  <c r="C172" i="9"/>
  <c r="H171" i="9"/>
  <c r="G171" i="9"/>
  <c r="D171" i="9"/>
  <c r="C171" i="9"/>
  <c r="H170" i="9"/>
  <c r="G170" i="9"/>
  <c r="D170" i="9"/>
  <c r="C170" i="9"/>
  <c r="H169" i="9"/>
  <c r="G169" i="9"/>
  <c r="D169" i="9"/>
  <c r="C169" i="9"/>
  <c r="H168" i="9"/>
  <c r="G168" i="9"/>
  <c r="D168" i="9"/>
  <c r="C168" i="9"/>
  <c r="H167" i="9"/>
  <c r="G167" i="9"/>
  <c r="D167" i="9"/>
  <c r="C167" i="9"/>
  <c r="H166" i="9"/>
  <c r="G166" i="9"/>
  <c r="D166" i="9"/>
  <c r="C166" i="9"/>
  <c r="H165" i="9"/>
  <c r="G165" i="9"/>
  <c r="D165" i="9"/>
  <c r="C165" i="9"/>
  <c r="H164" i="9"/>
  <c r="G164" i="9"/>
  <c r="D164" i="9"/>
  <c r="C164" i="9"/>
  <c r="H163" i="9"/>
  <c r="G163" i="9"/>
  <c r="D163" i="9"/>
  <c r="C163" i="9"/>
  <c r="H162" i="9"/>
  <c r="G162" i="9"/>
  <c r="D162" i="9"/>
  <c r="C162" i="9"/>
  <c r="H161" i="9"/>
  <c r="G161" i="9"/>
  <c r="D161" i="9"/>
  <c r="C161" i="9"/>
  <c r="H160" i="9"/>
  <c r="G160" i="9"/>
  <c r="D160" i="9"/>
  <c r="C160" i="9"/>
  <c r="H159" i="9"/>
  <c r="G159" i="9"/>
  <c r="D159" i="9"/>
  <c r="C159" i="9"/>
  <c r="H158" i="9"/>
  <c r="G158" i="9"/>
  <c r="D158" i="9"/>
  <c r="C158" i="9"/>
  <c r="H157" i="9"/>
  <c r="G157" i="9"/>
  <c r="D157" i="9"/>
  <c r="C157" i="9"/>
  <c r="H156" i="9"/>
  <c r="G156" i="9"/>
  <c r="D156" i="9"/>
  <c r="C156" i="9"/>
  <c r="H155" i="9"/>
  <c r="G155" i="9"/>
  <c r="D155" i="9"/>
  <c r="C155" i="9"/>
  <c r="H154" i="9"/>
  <c r="G154" i="9"/>
  <c r="D154" i="9"/>
  <c r="C154" i="9"/>
  <c r="H153" i="9"/>
  <c r="G153" i="9"/>
  <c r="D153" i="9"/>
  <c r="C153" i="9"/>
  <c r="H152" i="9"/>
  <c r="G152" i="9"/>
  <c r="D152" i="9"/>
  <c r="C152" i="9"/>
  <c r="H151" i="9"/>
  <c r="G151" i="9"/>
  <c r="D151" i="9"/>
  <c r="C151" i="9"/>
  <c r="H150" i="9"/>
  <c r="G150" i="9"/>
  <c r="D150" i="9"/>
  <c r="C150" i="9"/>
  <c r="H149" i="9"/>
  <c r="G149" i="9"/>
  <c r="D149" i="9"/>
  <c r="C149" i="9"/>
  <c r="H148" i="9"/>
  <c r="G148" i="9"/>
  <c r="D148" i="9"/>
  <c r="C148" i="9"/>
  <c r="H147" i="9"/>
  <c r="G147" i="9"/>
  <c r="D147" i="9"/>
  <c r="C147" i="9"/>
  <c r="H146" i="9"/>
  <c r="G146" i="9"/>
  <c r="D146" i="9"/>
  <c r="C146" i="9"/>
  <c r="H145" i="9"/>
  <c r="G145" i="9"/>
  <c r="D145" i="9"/>
  <c r="C145" i="9"/>
  <c r="H144" i="9"/>
  <c r="G144" i="9"/>
  <c r="D144" i="9"/>
  <c r="C144" i="9"/>
  <c r="H143" i="9"/>
  <c r="G143" i="9"/>
  <c r="D143" i="9"/>
  <c r="C143" i="9"/>
  <c r="H142" i="9"/>
  <c r="G142" i="9"/>
  <c r="D142" i="9"/>
  <c r="C142" i="9"/>
  <c r="H141" i="9"/>
  <c r="G141" i="9"/>
  <c r="D141" i="9"/>
  <c r="C141" i="9"/>
  <c r="H140" i="9"/>
  <c r="G140" i="9"/>
  <c r="D140" i="9"/>
  <c r="C140" i="9"/>
  <c r="H139" i="9"/>
  <c r="G139" i="9"/>
  <c r="D139" i="9"/>
  <c r="C139" i="9"/>
  <c r="H138" i="9"/>
  <c r="G138" i="9"/>
  <c r="D138" i="9"/>
  <c r="C138" i="9"/>
  <c r="H137" i="9"/>
  <c r="G137" i="9"/>
  <c r="D137" i="9"/>
  <c r="C137" i="9"/>
  <c r="H136" i="9"/>
  <c r="G136" i="9"/>
  <c r="D136" i="9"/>
  <c r="C136" i="9"/>
  <c r="H135" i="9"/>
  <c r="G135" i="9"/>
  <c r="D135" i="9"/>
  <c r="C135" i="9"/>
  <c r="H134" i="9"/>
  <c r="G134" i="9"/>
  <c r="D134" i="9"/>
  <c r="C134" i="9"/>
  <c r="H133" i="9"/>
  <c r="G133" i="9"/>
  <c r="D133" i="9"/>
  <c r="C133" i="9"/>
  <c r="H132" i="9"/>
  <c r="G132" i="9"/>
  <c r="D132" i="9"/>
  <c r="C132" i="9"/>
  <c r="H131" i="9"/>
  <c r="G131" i="9"/>
  <c r="D131" i="9"/>
  <c r="C131" i="9"/>
  <c r="H130" i="9"/>
  <c r="G130" i="9"/>
  <c r="D130" i="9"/>
  <c r="C130" i="9"/>
  <c r="H129" i="9"/>
  <c r="G129" i="9"/>
  <c r="D129" i="9"/>
  <c r="C129" i="9"/>
  <c r="H128" i="9"/>
  <c r="G128" i="9"/>
  <c r="D128" i="9"/>
  <c r="C128" i="9"/>
  <c r="H127" i="9"/>
  <c r="G127" i="9"/>
  <c r="D127" i="9"/>
  <c r="C127" i="9"/>
  <c r="H126" i="9"/>
  <c r="G126" i="9"/>
  <c r="D126" i="9"/>
  <c r="C126" i="9"/>
  <c r="H125" i="9"/>
  <c r="G125" i="9"/>
  <c r="D125" i="9"/>
  <c r="C125" i="9"/>
  <c r="H124" i="9"/>
  <c r="G124" i="9"/>
  <c r="D124" i="9"/>
  <c r="C124" i="9"/>
  <c r="H123" i="9"/>
  <c r="G123" i="9"/>
  <c r="D123" i="9"/>
  <c r="C123" i="9"/>
  <c r="H122" i="9"/>
  <c r="G122" i="9"/>
  <c r="D122" i="9"/>
  <c r="C122" i="9"/>
  <c r="H121" i="9"/>
  <c r="G121" i="9"/>
  <c r="D121" i="9"/>
  <c r="C121" i="9"/>
  <c r="H120" i="9"/>
  <c r="G120" i="9"/>
  <c r="D120" i="9"/>
  <c r="C120" i="9"/>
  <c r="H119" i="9"/>
  <c r="G119" i="9"/>
  <c r="D119" i="9"/>
  <c r="C119" i="9"/>
  <c r="H118" i="9"/>
  <c r="G118" i="9"/>
  <c r="D118" i="9"/>
  <c r="C118" i="9"/>
  <c r="H117" i="9"/>
  <c r="G117" i="9"/>
  <c r="D117" i="9"/>
  <c r="C117" i="9"/>
  <c r="H116" i="9"/>
  <c r="G116" i="9"/>
  <c r="D116" i="9"/>
  <c r="C116" i="9"/>
  <c r="H115" i="9"/>
  <c r="G115" i="9"/>
  <c r="D115" i="9"/>
  <c r="C115" i="9"/>
  <c r="H114" i="9"/>
  <c r="G114" i="9"/>
  <c r="D114" i="9"/>
  <c r="C114" i="9"/>
  <c r="H113" i="9"/>
  <c r="G113" i="9"/>
  <c r="D113" i="9"/>
  <c r="C113" i="9"/>
  <c r="H112" i="9"/>
  <c r="G112" i="9"/>
  <c r="D112" i="9"/>
  <c r="C112" i="9"/>
  <c r="H111" i="9"/>
  <c r="G111" i="9"/>
  <c r="D111" i="9"/>
  <c r="C111" i="9"/>
  <c r="H110" i="9"/>
  <c r="G110" i="9"/>
  <c r="D110" i="9"/>
  <c r="C110" i="9"/>
  <c r="H109" i="9"/>
  <c r="G109" i="9"/>
  <c r="D109" i="9"/>
  <c r="C109" i="9"/>
  <c r="H108" i="9"/>
  <c r="G108" i="9"/>
  <c r="D108" i="9"/>
  <c r="C108" i="9"/>
  <c r="H107" i="9"/>
  <c r="G107" i="9"/>
  <c r="D107" i="9"/>
  <c r="C107" i="9"/>
  <c r="H106" i="9"/>
  <c r="G106" i="9"/>
  <c r="D106" i="9"/>
  <c r="C106" i="9"/>
  <c r="H105" i="9"/>
  <c r="G105" i="9"/>
  <c r="D105" i="9"/>
  <c r="C105" i="9"/>
  <c r="H104" i="9"/>
  <c r="G104" i="9"/>
  <c r="D104" i="9"/>
  <c r="C104" i="9"/>
  <c r="H103" i="9"/>
  <c r="G103" i="9"/>
  <c r="D103" i="9"/>
  <c r="C103" i="9"/>
  <c r="H102" i="9"/>
  <c r="G102" i="9"/>
  <c r="D102" i="9"/>
  <c r="C102" i="9"/>
  <c r="H101" i="9"/>
  <c r="G101" i="9"/>
  <c r="D101" i="9"/>
  <c r="C101" i="9"/>
  <c r="H100" i="9"/>
  <c r="G100" i="9"/>
  <c r="D100" i="9"/>
  <c r="C100" i="9"/>
  <c r="H99" i="9"/>
  <c r="G99" i="9"/>
  <c r="D99" i="9"/>
  <c r="C99" i="9"/>
  <c r="H98" i="9"/>
  <c r="G98" i="9"/>
  <c r="D98" i="9"/>
  <c r="C98" i="9"/>
  <c r="H97" i="9"/>
  <c r="G97" i="9"/>
  <c r="D97" i="9"/>
  <c r="C97" i="9"/>
  <c r="H96" i="9"/>
  <c r="G96" i="9"/>
  <c r="D96" i="9"/>
  <c r="C96" i="9"/>
  <c r="H95" i="9"/>
  <c r="G95" i="9"/>
  <c r="D95" i="9"/>
  <c r="C95" i="9"/>
  <c r="H94" i="9"/>
  <c r="G94" i="9"/>
  <c r="D94" i="9"/>
  <c r="C94" i="9"/>
  <c r="H93" i="9"/>
  <c r="G93" i="9"/>
  <c r="D93" i="9"/>
  <c r="C93" i="9"/>
  <c r="H92" i="9"/>
  <c r="G92" i="9"/>
  <c r="D92" i="9"/>
  <c r="C92" i="9"/>
  <c r="H91" i="9"/>
  <c r="G91" i="9"/>
  <c r="D91" i="9"/>
  <c r="C91" i="9"/>
  <c r="H90" i="9"/>
  <c r="G90" i="9"/>
  <c r="D90" i="9"/>
  <c r="C90" i="9"/>
  <c r="H89" i="9"/>
  <c r="G89" i="9"/>
  <c r="D89" i="9"/>
  <c r="C89" i="9"/>
  <c r="H88" i="9"/>
  <c r="G88" i="9"/>
  <c r="D88" i="9"/>
  <c r="C88" i="9"/>
  <c r="H87" i="9"/>
  <c r="G87" i="9"/>
  <c r="D87" i="9"/>
  <c r="C87" i="9"/>
  <c r="H86" i="9"/>
  <c r="G86" i="9"/>
  <c r="D86" i="9"/>
  <c r="C86" i="9"/>
  <c r="H85" i="9"/>
  <c r="G85" i="9"/>
  <c r="D85" i="9"/>
  <c r="C85" i="9"/>
  <c r="H84" i="9"/>
  <c r="G84" i="9"/>
  <c r="D84" i="9"/>
  <c r="C84" i="9"/>
  <c r="H83" i="9"/>
  <c r="G83" i="9"/>
  <c r="D83" i="9"/>
  <c r="C83" i="9"/>
  <c r="H82" i="9"/>
  <c r="G82" i="9"/>
  <c r="D82" i="9"/>
  <c r="C82" i="9"/>
  <c r="H81" i="9"/>
  <c r="G81" i="9"/>
  <c r="D81" i="9"/>
  <c r="C81" i="9"/>
  <c r="H80" i="9"/>
  <c r="G80" i="9"/>
  <c r="D80" i="9"/>
  <c r="C80" i="9"/>
  <c r="H79" i="9"/>
  <c r="G79" i="9"/>
  <c r="D79" i="9"/>
  <c r="C79" i="9"/>
  <c r="H78" i="9"/>
  <c r="G78" i="9"/>
  <c r="D78" i="9"/>
  <c r="C78" i="9"/>
  <c r="H77" i="9"/>
  <c r="G77" i="9"/>
  <c r="D77" i="9"/>
  <c r="C77" i="9"/>
  <c r="H76" i="9"/>
  <c r="G76" i="9"/>
  <c r="D76" i="9"/>
  <c r="C76" i="9"/>
  <c r="H75" i="9"/>
  <c r="G75" i="9"/>
  <c r="D75" i="9"/>
  <c r="C75" i="9"/>
  <c r="H74" i="9"/>
  <c r="G74" i="9"/>
  <c r="D74" i="9"/>
  <c r="C74" i="9"/>
  <c r="H73" i="9"/>
  <c r="G73" i="9"/>
  <c r="D73" i="9"/>
  <c r="C73" i="9"/>
  <c r="H72" i="9"/>
  <c r="G72" i="9"/>
  <c r="D72" i="9"/>
  <c r="C72" i="9"/>
  <c r="H71" i="9"/>
  <c r="G71" i="9"/>
  <c r="D71" i="9"/>
  <c r="C71" i="9"/>
  <c r="H70" i="9"/>
  <c r="G70" i="9"/>
  <c r="D70" i="9"/>
  <c r="C70" i="9"/>
  <c r="H69" i="9"/>
  <c r="G69" i="9"/>
  <c r="D69" i="9"/>
  <c r="C69" i="9"/>
  <c r="H68" i="9"/>
  <c r="G68" i="9"/>
  <c r="D68" i="9"/>
  <c r="C68" i="9"/>
  <c r="H67" i="9"/>
  <c r="G67" i="9"/>
  <c r="D67" i="9"/>
  <c r="C67" i="9"/>
  <c r="H66" i="9"/>
  <c r="G66" i="9"/>
  <c r="D66" i="9"/>
  <c r="C66" i="9"/>
  <c r="H65" i="9"/>
  <c r="G65" i="9"/>
  <c r="D65" i="9"/>
  <c r="C65" i="9"/>
  <c r="H64" i="9"/>
  <c r="G64" i="9"/>
  <c r="D64" i="9"/>
  <c r="C64" i="9"/>
  <c r="H63" i="9"/>
  <c r="G63" i="9"/>
  <c r="D63" i="9"/>
  <c r="C63" i="9"/>
  <c r="H62" i="9"/>
  <c r="G62" i="9"/>
  <c r="D62" i="9"/>
  <c r="C62" i="9"/>
  <c r="H61" i="9"/>
  <c r="G61" i="9"/>
  <c r="D61" i="9"/>
  <c r="C61" i="9"/>
  <c r="H60" i="9"/>
  <c r="G60" i="9"/>
  <c r="D60" i="9"/>
  <c r="C60" i="9"/>
  <c r="H59" i="9"/>
  <c r="G59" i="9"/>
  <c r="D59" i="9"/>
  <c r="C59" i="9"/>
  <c r="H58" i="9"/>
  <c r="G58" i="9"/>
  <c r="D58" i="9"/>
  <c r="C58" i="9"/>
  <c r="H57" i="9"/>
  <c r="G57" i="9"/>
  <c r="D57" i="9"/>
  <c r="C57" i="9"/>
  <c r="H56" i="9"/>
  <c r="G56" i="9"/>
  <c r="D56" i="9"/>
  <c r="C56" i="9"/>
  <c r="H55" i="9"/>
  <c r="G55" i="9"/>
  <c r="D55" i="9"/>
  <c r="C55" i="9"/>
  <c r="H54" i="9"/>
  <c r="G54" i="9"/>
  <c r="D54" i="9"/>
  <c r="C54" i="9"/>
  <c r="H53" i="9"/>
  <c r="G53" i="9"/>
  <c r="D53" i="9"/>
  <c r="C53" i="9"/>
  <c r="H52" i="9"/>
  <c r="G52" i="9"/>
  <c r="D52" i="9"/>
  <c r="C52" i="9"/>
  <c r="H51" i="9"/>
  <c r="G51" i="9"/>
  <c r="D51" i="9"/>
  <c r="C51" i="9"/>
  <c r="H50" i="9"/>
  <c r="G50" i="9"/>
  <c r="D50" i="9"/>
  <c r="C50" i="9"/>
  <c r="H49" i="9"/>
  <c r="G49" i="9"/>
  <c r="D49" i="9"/>
  <c r="C49" i="9"/>
  <c r="H48" i="9"/>
  <c r="G48" i="9"/>
  <c r="D48" i="9"/>
  <c r="C48" i="9"/>
  <c r="H47" i="9"/>
  <c r="G47" i="9"/>
  <c r="D47" i="9"/>
  <c r="C47" i="9"/>
  <c r="H46" i="9"/>
  <c r="G46" i="9"/>
  <c r="D46" i="9"/>
  <c r="C46" i="9"/>
  <c r="H45" i="9"/>
  <c r="G45" i="9"/>
  <c r="D45" i="9"/>
  <c r="C45" i="9"/>
  <c r="H44" i="9"/>
  <c r="G44" i="9"/>
  <c r="D44" i="9"/>
  <c r="C44" i="9"/>
  <c r="H43" i="9"/>
  <c r="G43" i="9"/>
  <c r="D43" i="9"/>
  <c r="C43" i="9"/>
  <c r="H42" i="9"/>
  <c r="G42" i="9"/>
  <c r="D42" i="9"/>
  <c r="C42" i="9"/>
  <c r="H41" i="9"/>
  <c r="G41" i="9"/>
  <c r="D41" i="9"/>
  <c r="C41" i="9"/>
  <c r="H40" i="9"/>
  <c r="G40" i="9"/>
  <c r="D40" i="9"/>
  <c r="C40" i="9"/>
  <c r="H39" i="9"/>
  <c r="G39" i="9"/>
  <c r="D39" i="9"/>
  <c r="C39" i="9"/>
  <c r="H38" i="9"/>
  <c r="G38" i="9"/>
  <c r="D38" i="9"/>
  <c r="C38" i="9"/>
  <c r="H37" i="9"/>
  <c r="G37" i="9"/>
  <c r="D37" i="9"/>
  <c r="C37" i="9"/>
  <c r="H36" i="9"/>
  <c r="G36" i="9"/>
  <c r="D36" i="9"/>
  <c r="C36" i="9"/>
  <c r="H35" i="9"/>
  <c r="G35" i="9"/>
  <c r="D35" i="9"/>
  <c r="C35" i="9"/>
  <c r="H34" i="9"/>
  <c r="G34" i="9"/>
  <c r="D34" i="9"/>
  <c r="C34" i="9"/>
  <c r="H33" i="9"/>
  <c r="G33" i="9"/>
  <c r="D33" i="9"/>
  <c r="C33" i="9"/>
  <c r="H32" i="9"/>
  <c r="G32" i="9"/>
  <c r="D32" i="9"/>
  <c r="C32" i="9"/>
  <c r="H31" i="9"/>
  <c r="G31" i="9"/>
  <c r="D31" i="9"/>
  <c r="C31" i="9"/>
  <c r="H30" i="9"/>
  <c r="G30" i="9"/>
  <c r="D30" i="9"/>
  <c r="C30" i="9"/>
  <c r="H29" i="9"/>
  <c r="G29" i="9"/>
  <c r="D29" i="9"/>
  <c r="C29" i="9"/>
  <c r="H28" i="9"/>
  <c r="G28" i="9"/>
  <c r="D28" i="9"/>
  <c r="C28" i="9"/>
  <c r="H27" i="9"/>
  <c r="G27" i="9"/>
  <c r="D27" i="9"/>
  <c r="C27" i="9"/>
  <c r="H26" i="9"/>
  <c r="G26" i="9"/>
  <c r="D26" i="9"/>
  <c r="C26" i="9"/>
  <c r="H25" i="9"/>
  <c r="G25" i="9"/>
  <c r="D25" i="9"/>
  <c r="C25" i="9"/>
  <c r="H24" i="9"/>
  <c r="G24" i="9"/>
  <c r="D24" i="9"/>
  <c r="C24" i="9"/>
  <c r="H23" i="9"/>
  <c r="G23" i="9"/>
  <c r="D23" i="9"/>
  <c r="C23" i="9"/>
  <c r="H22" i="9"/>
  <c r="G22" i="9"/>
  <c r="D22" i="9"/>
  <c r="C22" i="9"/>
  <c r="H21" i="9"/>
  <c r="G21" i="9"/>
  <c r="D21" i="9"/>
  <c r="C21" i="9"/>
  <c r="H20" i="9"/>
  <c r="G20" i="9"/>
  <c r="D20" i="9"/>
  <c r="C20" i="9"/>
  <c r="H19" i="9"/>
  <c r="G19" i="9"/>
  <c r="D19" i="9"/>
  <c r="C19" i="9"/>
  <c r="H18" i="9"/>
  <c r="G18" i="9"/>
  <c r="D18" i="9"/>
  <c r="C18" i="9"/>
  <c r="H17" i="9"/>
  <c r="G17" i="9"/>
  <c r="D17" i="9"/>
  <c r="C17" i="9"/>
  <c r="H16" i="9"/>
  <c r="G16" i="9"/>
  <c r="D16" i="9"/>
  <c r="C16" i="9"/>
  <c r="H15" i="9"/>
  <c r="G15" i="9"/>
  <c r="D15" i="9"/>
  <c r="C15" i="9"/>
  <c r="H14" i="9"/>
  <c r="G14" i="9"/>
  <c r="D14" i="9"/>
  <c r="C14" i="9"/>
  <c r="H13" i="9"/>
  <c r="G13" i="9"/>
  <c r="D13" i="9"/>
  <c r="C13" i="9"/>
  <c r="H12" i="9"/>
  <c r="G12" i="9"/>
  <c r="D12" i="9"/>
  <c r="C12" i="9"/>
  <c r="H11" i="9"/>
  <c r="G11" i="9"/>
  <c r="D11" i="9"/>
  <c r="C11" i="9"/>
  <c r="H10" i="9"/>
  <c r="G10" i="9"/>
  <c r="D10" i="9"/>
  <c r="C10" i="9"/>
  <c r="H9" i="9"/>
  <c r="G9" i="9"/>
  <c r="D9" i="9"/>
  <c r="C9" i="9"/>
  <c r="H8" i="9"/>
  <c r="G8" i="9"/>
  <c r="D8" i="9"/>
  <c r="C8" i="9"/>
  <c r="H7" i="9"/>
  <c r="G7" i="9"/>
  <c r="D7" i="9"/>
  <c r="C7" i="9"/>
  <c r="H6" i="9"/>
  <c r="G6" i="9"/>
  <c r="D6" i="9"/>
  <c r="C6" i="9"/>
  <c r="H5" i="9"/>
  <c r="G5" i="9"/>
  <c r="D5" i="9"/>
  <c r="C5" i="9"/>
  <c r="H4" i="9"/>
  <c r="G4" i="9"/>
  <c r="D4" i="9"/>
  <c r="C4" i="9"/>
  <c r="H3" i="9"/>
  <c r="G3" i="9"/>
  <c r="D3" i="9"/>
  <c r="C3" i="9"/>
  <c r="AN21" i="21" l="1"/>
  <c r="AN22" i="21" s="1"/>
  <c r="I233" i="18"/>
  <c r="I234" i="18" s="1"/>
  <c r="I251" i="18"/>
  <c r="I252" i="18" s="1"/>
  <c r="I236" i="18"/>
  <c r="I237" i="18" s="1"/>
  <c r="I254" i="18"/>
  <c r="I255" i="18" s="1"/>
  <c r="I239" i="18"/>
  <c r="I240" i="18" s="1"/>
  <c r="I257" i="18"/>
  <c r="I258" i="18" s="1"/>
  <c r="I242" i="18"/>
  <c r="I243" i="18" s="1"/>
  <c r="I260" i="18"/>
  <c r="I261" i="18" s="1"/>
  <c r="I245" i="18"/>
  <c r="I246" i="18" s="1"/>
  <c r="I248" i="18"/>
  <c r="I249" i="18" s="1"/>
  <c r="E190" i="13"/>
  <c r="AO21" i="21" l="1"/>
  <c r="AO22" i="21" s="1"/>
  <c r="S185" i="18"/>
  <c r="AB185" i="18"/>
  <c r="W183" i="18"/>
  <c r="AF183" i="18"/>
  <c r="V183" i="18"/>
  <c r="AE183" i="18"/>
  <c r="U185" i="18"/>
  <c r="AD185" i="18"/>
  <c r="W185" i="18"/>
  <c r="AF185" i="18"/>
  <c r="V185" i="18"/>
  <c r="AE185" i="18"/>
  <c r="U183" i="18"/>
  <c r="AD183" i="18"/>
  <c r="T185" i="18"/>
  <c r="AC185" i="18"/>
  <c r="E220" i="18"/>
  <c r="T183" i="18"/>
  <c r="AC183" i="18"/>
  <c r="S183" i="18"/>
  <c r="AB183" i="18"/>
  <c r="E191" i="13"/>
  <c r="AP21" i="21" l="1"/>
  <c r="AP22" i="21" s="1"/>
  <c r="AQ21" i="21"/>
  <c r="AQ22" i="21" s="1"/>
  <c r="E221" i="18"/>
  <c r="F193" i="18" s="1"/>
  <c r="AF271" i="18"/>
  <c r="BB86" i="18"/>
  <c r="BB85" i="18"/>
  <c r="BB88" i="18"/>
  <c r="BB90" i="18"/>
  <c r="BB84" i="18"/>
  <c r="BB87" i="18"/>
  <c r="BB89" i="18"/>
  <c r="BB8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田中宏典</author>
    <author>TAKASHI IIJIMA</author>
    <author>国税庁</author>
  </authors>
  <commentList>
    <comment ref="I34" authorId="0" shapeId="0" xr:uid="{31DEA3E2-EE61-48C3-B0D4-308D53A7B242}">
      <text>
        <r>
          <rPr>
            <sz val="9"/>
            <color indexed="81"/>
            <rFont val="MS P ゴシック"/>
            <family val="3"/>
            <charset val="128"/>
          </rPr>
          <t>もろみ経過簿に入力した追水量（L)の合計が自動記入されます。</t>
        </r>
      </text>
    </comment>
    <comment ref="A37" authorId="0" shapeId="0" xr:uid="{AAE06611-59A2-44D5-A363-E431A40F0A2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38" authorId="0" shapeId="0" xr:uid="{044777FF-2E31-4F62-963E-F190B2F2C862}">
      <text>
        <r>
          <rPr>
            <sz val="9"/>
            <color indexed="81"/>
            <rFont val="MS P ゴシック"/>
            <family val="3"/>
            <charset val="128"/>
          </rPr>
          <t>目標値を超えた場合、セルがピンクに着色されます。A-B直線や液化力・発酵力を見ながら、必要に応じ追水を行ってください。</t>
        </r>
      </text>
    </comment>
    <comment ref="C38" authorId="0" shapeId="0" xr:uid="{225AFCCE-DC55-4150-9423-E8086AC909F0}">
      <text>
        <r>
          <rPr>
            <sz val="9"/>
            <color indexed="81"/>
            <rFont val="MS P ゴシック"/>
            <family val="3"/>
            <charset val="128"/>
          </rPr>
          <t>ボーメと日本酒度両方を入力した場合、ボーメの値が優先されます。</t>
        </r>
      </text>
    </comment>
    <comment ref="A39" authorId="0" shapeId="0" xr:uid="{880B3A2E-1B7A-46D7-B1B7-C21F6D8629B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40" authorId="0" shapeId="0" xr:uid="{3EBAE793-44A3-4DE1-88F9-D445C23B45B8}">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45" authorId="0" shapeId="0" xr:uid="{C226052D-BF3F-42FB-8484-5AECD3E4E2EA}">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76" authorId="0" shapeId="0" xr:uid="{DE35304A-5750-4585-B48B-C5337952CBF7}">
      <text>
        <r>
          <rPr>
            <sz val="9"/>
            <color indexed="81"/>
            <rFont val="MS P ゴシック"/>
            <family val="3"/>
            <charset val="128"/>
          </rPr>
          <t>もろみ経過簿に入力した追水量（L)の合計が自動記入されます。</t>
        </r>
      </text>
    </comment>
    <comment ref="A79" authorId="0" shapeId="0" xr:uid="{5E0D21EB-C440-4BD0-A524-C2D1D4A38751}">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80" authorId="0" shapeId="0" xr:uid="{87389299-1288-4D20-A556-83A3C671F1B6}">
      <text>
        <r>
          <rPr>
            <sz val="9"/>
            <color indexed="81"/>
            <rFont val="MS P ゴシック"/>
            <family val="3"/>
            <charset val="128"/>
          </rPr>
          <t>目標値を超えた場合、セルがピンクに着色されます。A-B直線や・発酵力を見ながら、必要に応じ追水を行ってください。</t>
        </r>
      </text>
    </comment>
    <comment ref="C80" authorId="0" shapeId="0" xr:uid="{D6032D2C-F38B-44B4-B269-B41F43BAE990}">
      <text>
        <r>
          <rPr>
            <sz val="9"/>
            <color indexed="81"/>
            <rFont val="MS P ゴシック"/>
            <family val="3"/>
            <charset val="128"/>
          </rPr>
          <t>ボーメと日本酒度両方を入力した場合、ボーメの値が優先されます。</t>
        </r>
      </text>
    </comment>
    <comment ref="A81" authorId="0" shapeId="0" xr:uid="{1756B50A-9CD8-4952-921D-043394DDEE8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82" authorId="0" shapeId="0" xr:uid="{5C7DC804-B62E-4D4A-B044-CD65BCD38CB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87" authorId="0" shapeId="0" xr:uid="{15E7C215-CDBC-45B9-A755-8141FAF9405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18" authorId="0" shapeId="0" xr:uid="{A08111BC-6035-420D-8721-360302842292}">
      <text>
        <r>
          <rPr>
            <sz val="9"/>
            <color indexed="81"/>
            <rFont val="MS P ゴシック"/>
            <family val="3"/>
            <charset val="128"/>
          </rPr>
          <t>もろみ経過簿に入力した追水量（L)の合計が自動記入されます。</t>
        </r>
      </text>
    </comment>
    <comment ref="A121" authorId="0" shapeId="0" xr:uid="{89C10F64-A07C-4B98-A361-6499B925C246}">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2" authorId="0" shapeId="0" xr:uid="{A718965B-0815-4983-9933-D3971AA3D618}">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22" authorId="0" shapeId="0" xr:uid="{4C1983F8-DBDD-4554-B840-15A7967E9141}">
      <text>
        <r>
          <rPr>
            <sz val="9"/>
            <color indexed="81"/>
            <rFont val="MS P ゴシック"/>
            <family val="3"/>
            <charset val="128"/>
          </rPr>
          <t>ボーメと日本酒度両方を入力した場合、ボーメの値が優先されます。</t>
        </r>
      </text>
    </comment>
    <comment ref="A123" authorId="0" shapeId="0" xr:uid="{7CF49949-1DD3-4253-9AD8-1F761855D01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24" authorId="0" shapeId="0" xr:uid="{CF14D651-2008-498E-A37C-A17FD795AF9E}">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29" authorId="0" shapeId="0" xr:uid="{377DE11A-A432-4B93-90D3-28D1A98C6F2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C192" authorId="1" shapeId="0" xr:uid="{00000000-0006-0000-0100-000001000000}">
      <text>
        <r>
          <rPr>
            <sz val="9"/>
            <color indexed="81"/>
            <rFont val="MS P ゴシック"/>
            <family val="3"/>
            <charset val="128"/>
          </rPr>
          <t>新甘辛度とは、酒類総合研究所が定義した度数で、味の甘辛の判定に使用します。
　算出方法：グルコース－酸度
　　～0.2：辛口　～1.0：やや辛口　～1.8：やや甘口　1.9～：甘口</t>
        </r>
      </text>
    </comment>
    <comment ref="C194" authorId="1" shapeId="0" xr:uid="{00000000-0006-0000-0100-000002000000}">
      <text>
        <r>
          <rPr>
            <sz val="9"/>
            <color indexed="81"/>
            <rFont val="MS P ゴシック"/>
            <family val="3"/>
            <charset val="128"/>
          </rPr>
          <t>濃淡指数とは、宮城県酒造組合が規定した指数で、味の濃さの判定に使用します。
　算出方法：　（酸度 ＋ アミノ酸度 ＋ グルコース） × アルコール分 ÷ 10
　　　　　　　　～5.00：軽快 　　～6.50：やや軽快　　～8.00：やや濃醇　　8.01～：濃醇</t>
        </r>
      </text>
    </comment>
    <comment ref="C196" authorId="1" shapeId="0" xr:uid="{00000000-0006-0000-0100-000003000000}">
      <text>
        <r>
          <rPr>
            <sz val="9"/>
            <color indexed="81"/>
            <rFont val="MS P ゴシック"/>
            <family val="3"/>
            <charset val="128"/>
          </rPr>
          <t>シブ予測係数比とは、宮城県酒造組合が規定した係数で、味の柔らかさの判定に使用します。
　算出方法：　（アミノ酸度 ＋ グルコース － 酸度） ÷ 酸度
　　　　　　　　～0.50：キレがある　　 　　～1.00：ややキレがある
　　　　　　　　～1.50：やややわらかい 　　1.51～：やわらかい</t>
        </r>
      </text>
    </comment>
    <comment ref="C198" authorId="1" shapeId="0" xr:uid="{00000000-0006-0000-0100-000004000000}">
      <text>
        <r>
          <rPr>
            <sz val="9"/>
            <color indexed="81"/>
            <rFont val="MS P ゴシック"/>
            <family val="3"/>
            <charset val="128"/>
          </rPr>
          <t>アミノ酸度比とは、宮城県酒造組合が規定した係数で、味タイプとお薦めの飲み方の判定に使用します。
　算出方法：　アミノ酸度 ÷ 酸度
　　　　　　　1.00を目安として小さい値ほどより冷やに適する傾向、大きい値ほどより燗に適する傾向
　　　　　　　0.8以下：磯の香りの穏やかな料理及び出汁のあっさりとした料理
　　　　　　　0.8以上：磯の香りの強めな料理及び出汁のしっかりした料理</t>
        </r>
      </text>
    </comment>
    <comment ref="C200" authorId="1" shapeId="0" xr:uid="{00000000-0006-0000-0100-000005000000}">
      <text>
        <r>
          <rPr>
            <sz val="9"/>
            <color indexed="81"/>
            <rFont val="MS P ゴシック"/>
            <family val="3"/>
            <charset val="128"/>
          </rPr>
          <t>グルコース比とは、宮城県酒造組合が規定した係数で、味タイプとお薦めの飲み方の判定に使用します。
　算出方法：　グルコース濃度 ÷ 酸度
　　　　　　　1.00を目安として　小さい値ほどより燗に適する傾向、出汁のあっさりした料理に合う。
　　　　　　　　　　　　　　　　大きい値ほどより冷やに適する傾向、出汁のしっかりした料理に合う。</t>
        </r>
      </text>
    </comment>
    <comment ref="A202" authorId="2" shapeId="0" xr:uid="{00000000-0006-0000-0100-000006000000}">
      <text>
        <r>
          <rPr>
            <sz val="9"/>
            <color indexed="81"/>
            <rFont val="MS P ゴシック"/>
            <family val="3"/>
            <charset val="128"/>
          </rPr>
          <t>理想とするもろみ経過直線２つ（溶けたものと溶けなかったもの。上限・下限）の経過を入力してください。
入力ポイントは２点以上とし、日数の順に入力してください（そうでないとグラフの描画がうまくいきません）。</t>
        </r>
      </text>
    </comment>
    <comment ref="D203" authorId="3" shapeId="0" xr:uid="{00000000-0006-0000-0100-000007000000}">
      <text>
        <r>
          <rPr>
            <sz val="9"/>
            <color indexed="81"/>
            <rFont val="ＭＳ Ｐゴシック"/>
            <family val="3"/>
            <charset val="128"/>
          </rPr>
          <t>ボーメ値で入力してください。日本酒度単位では入力できません。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s>
  <commentList>
    <comment ref="D2" authorId="0" shapeId="0" xr:uid="{00000000-0006-0000-0300-000001000000}">
      <text>
        <r>
          <rPr>
            <sz val="11"/>
            <color indexed="81"/>
            <rFont val="ＭＳ Ｐゴシック"/>
            <family val="3"/>
            <charset val="128"/>
          </rPr>
          <t>シート名が転記されます。</t>
        </r>
      </text>
    </comment>
    <comment ref="D4" authorId="0" shapeId="0" xr:uid="{00000000-0006-0000-0300-000002000000}">
      <text>
        <r>
          <rPr>
            <sz val="11"/>
            <color indexed="81"/>
            <rFont val="ＭＳ Ｐゴシック"/>
            <family val="3"/>
            <charset val="128"/>
          </rPr>
          <t>初添の日のみ（2024/1/20などといった形で）入力してください（あとは自動入力されます）</t>
        </r>
      </text>
    </comment>
    <comment ref="A7" authorId="1" shapeId="0" xr:uid="{00000000-0006-0000-0300-000003000000}">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t>
        </r>
        <r>
          <rPr>
            <u/>
            <sz val="9"/>
            <color indexed="81"/>
            <rFont val="MS P ゴシック"/>
            <family val="3"/>
            <charset val="128"/>
          </rPr>
          <t>20回を超えた分については溶解度・発酵度・発酵/溶解比のくみ水100％換算指標の計算に用いられません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00000000-0006-0000-0300-000004000000}">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3" authorId="1" shapeId="0" xr:uid="{5B004E1F-ECED-45BD-9E4E-F0516BC09424}">
      <text>
        <r>
          <rPr>
            <sz val="9"/>
            <color indexed="81"/>
            <rFont val="MS P ゴシック"/>
            <family val="3"/>
            <charset val="128"/>
          </rPr>
          <t>１日に２回目（例えば夕方）の計測記録に使います。上のグラフには表示されませんので注意して下さい。</t>
        </r>
      </text>
    </comment>
    <comment ref="A14" authorId="1" shapeId="0" xr:uid="{00000000-0006-0000-0300-00000500000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00000000-0006-0000-0300-000006000000}">
      <text>
        <r>
          <rPr>
            <sz val="9"/>
            <color indexed="81"/>
            <rFont val="MS P ゴシック"/>
            <family val="3"/>
            <charset val="128"/>
          </rPr>
          <t>ボーメと日本酒度両方を入力した場合、ボーメの値が優先されます。</t>
        </r>
      </text>
    </comment>
    <comment ref="A15" authorId="1" shapeId="0" xr:uid="{00000000-0006-0000-0300-000007000000}">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00000000-0006-0000-0300-00000800000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0000000-0006-0000-0300-000009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0000000-0006-0000-0300-00000A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00000000-0006-0000-0300-00000B000000}">
      <text>
        <r>
          <rPr>
            <sz val="9"/>
            <color indexed="81"/>
            <rFont val="MS P ゴシック"/>
            <family val="3"/>
            <charset val="128"/>
          </rPr>
          <t>目標値を超えた場合、セルがピンクに着色されます。</t>
        </r>
      </text>
    </comment>
    <comment ref="A22" authorId="1" shapeId="0" xr:uid="{00000000-0006-0000-0300-00000C000000}">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4" authorId="1" shapeId="0" xr:uid="{00000000-0006-0000-0300-00000D000000}">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5" authorId="1" shapeId="0" xr:uid="{00000000-0006-0000-0300-00000E000000}">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6" authorId="1" shapeId="0" xr:uid="{00000000-0006-0000-0300-00000F000000}">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7" authorId="1" shapeId="0" xr:uid="{00000000-0006-0000-0300-000010000000}">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27" authorId="1" shapeId="0" xr:uid="{00000000-0006-0000-0300-000011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28" authorId="1" shapeId="0" xr:uid="{00000000-0006-0000-0300-000012000000}">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29" authorId="1" shapeId="0" xr:uid="{00000000-0006-0000-0300-000013000000}">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29" authorId="1" shapeId="0" xr:uid="{00000000-0006-0000-0300-000014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2" authorId="1" shapeId="0" xr:uid="{00000000-0006-0000-0300-000015000000}">
      <text>
        <r>
          <rPr>
            <sz val="9"/>
            <color indexed="81"/>
            <rFont val="MS P ゴシック"/>
            <family val="3"/>
            <charset val="128"/>
          </rPr>
          <t>もろみ歩合や白米歩合を算出するためには、親容器の数量（L)を入力する必要があります。</t>
        </r>
      </text>
    </comment>
    <comment ref="C35" authorId="1" shapeId="0" xr:uid="{00000000-0006-0000-0300-000016000000}">
      <text>
        <r>
          <rPr>
            <sz val="9"/>
            <color indexed="81"/>
            <rFont val="MS P ゴシック"/>
            <family val="3"/>
            <charset val="128"/>
          </rPr>
          <t>もろみ歩合や白米歩合の算出にあたっては、枝容器の数量（L)も合算されます。</t>
        </r>
      </text>
    </comment>
    <comment ref="C38" authorId="1" shapeId="0" xr:uid="{00000000-0006-0000-0300-000017000000}">
      <text>
        <r>
          <rPr>
            <sz val="9"/>
            <color indexed="81"/>
            <rFont val="MS P ゴシック"/>
            <family val="3"/>
            <charset val="128"/>
          </rPr>
          <t>もろみ歩合や白米歩合の算出にあたっては、枝容器の数量（L)も合算されます。</t>
        </r>
      </text>
    </comment>
    <comment ref="A39" authorId="1" shapeId="0" xr:uid="{00000000-0006-0000-0300-000018000000}">
      <text>
        <r>
          <rPr>
            <sz val="9"/>
            <color indexed="81"/>
            <rFont val="MS P ゴシック"/>
            <family val="3"/>
            <charset val="128"/>
          </rPr>
          <t>親容器の数量（L)と仕込配合の総米を入力すると計算されます。
枝容器の数量は親容器の数量に合算されます。</t>
        </r>
      </text>
    </comment>
    <comment ref="S39" authorId="0" shapeId="0" xr:uid="{00000000-0006-0000-0300-000019000000}">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39" authorId="0" shapeId="0" xr:uid="{00000000-0006-0000-0300-00001A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0" authorId="2" shapeId="0" xr:uid="{00000000-0006-0000-0300-00001B000000}">
      <text>
        <r>
          <rPr>
            <sz val="9"/>
            <color indexed="81"/>
            <rFont val="ＭＳ Ｐゴシック"/>
            <family val="3"/>
            <charset val="128"/>
          </rPr>
          <t>初添まで、仲添まで、留添までの白米使用量と仕込水使用量を基に算出された歩合です。</t>
        </r>
      </text>
    </comment>
    <comment ref="S40" authorId="0" shapeId="0" xr:uid="{00000000-0006-0000-0300-00001C000000}">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0" authorId="0" shapeId="0" xr:uid="{00000000-0006-0000-0300-00001D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1" authorId="0" shapeId="0" xr:uid="{00000000-0006-0000-0300-00001E000000}">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1" authorId="0" shapeId="0" xr:uid="{00000000-0006-0000-0300-00001F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1" authorId="1" shapeId="0" xr:uid="{00000000-0006-0000-0300-00002000000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3" authorId="1" shapeId="0" xr:uid="{00000000-0006-0000-0300-000021000000}">
      <text>
        <r>
          <rPr>
            <sz val="9"/>
            <color indexed="81"/>
            <rFont val="MS P ゴシック"/>
            <family val="3"/>
            <charset val="128"/>
          </rPr>
          <t>もろみ経過簿に入力した追水量（L)の合計が自動記入されます。</t>
        </r>
      </text>
    </comment>
    <comment ref="V76" authorId="2" shapeId="0" xr:uid="{00000000-0006-0000-0300-000022000000}">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6" authorId="1" shapeId="0" xr:uid="{00000000-0006-0000-0300-000023000000}">
      <text>
        <r>
          <rPr>
            <sz val="9"/>
            <color indexed="81"/>
            <rFont val="MS P ゴシック"/>
            <family val="3"/>
            <charset val="128"/>
          </rPr>
          <t>便宜上、くみ水総量（追水や四段の水を含んだ量）から算出しています。</t>
        </r>
      </text>
    </comment>
    <comment ref="AN111" authorId="1" shapeId="0" xr:uid="{2BC306CF-7956-48EA-9D15-E9A950EF6164}">
      <text>
        <r>
          <rPr>
            <sz val="9"/>
            <color indexed="81"/>
            <rFont val="MS P ゴシック"/>
            <family val="3"/>
            <charset val="128"/>
          </rPr>
          <t>かすの実重量を直接測定した場合は入力不要です。</t>
        </r>
      </text>
    </comment>
    <comment ref="AN113" authorId="1" shapeId="0" xr:uid="{F1536AEF-FF03-4BB3-9722-4B2D6A90B6A6}">
      <text>
        <r>
          <rPr>
            <sz val="9"/>
            <color indexed="81"/>
            <rFont val="MS P ゴシック"/>
            <family val="3"/>
            <charset val="128"/>
          </rPr>
          <t>通常は1.1を使用します。
1.1とする場合においては、入力不要です。</t>
        </r>
      </text>
    </comment>
    <comment ref="AN114" authorId="1" shapeId="0" xr:uid="{D92B3612-8571-4392-AB9E-771700907817}">
      <text>
        <r>
          <rPr>
            <sz val="9"/>
            <color indexed="81"/>
            <rFont val="MS P ゴシック"/>
            <family val="3"/>
            <charset val="128"/>
          </rPr>
          <t>かす換算率に数字が入力されていない場合は、かす換算率を1.1として算出します。</t>
        </r>
      </text>
    </comment>
    <comment ref="AN116" authorId="0" shapeId="0" xr:uid="{36ECBCB2-DBF9-4AC2-BB49-D94215451C8C}">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6" authorId="0" shapeId="0" xr:uid="{870971AF-3F71-48BB-92C2-977A6360E047}">
      <text>
        <r>
          <rPr>
            <sz val="11"/>
            <color indexed="81"/>
            <rFont val="ＭＳ Ｐゴシック"/>
            <family val="3"/>
            <charset val="128"/>
          </rPr>
          <t>原料の白米重量に対するかす重量の割合
仕込配合以外に、かすの表に数字を入力する必要があります。</t>
        </r>
      </text>
    </comment>
    <comment ref="AN117" authorId="0" shapeId="0" xr:uid="{DCD29ECA-F4DB-499D-9B28-4A805026F2AE}">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7" authorId="0" shapeId="0" xr:uid="{FC9B4D89-136A-4703-8817-16F7D6F592BB}">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8" authorId="0" shapeId="0" xr:uid="{25E7D567-1B08-49F2-B28F-2CB1CB6CE2DC}">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8" authorId="0" shapeId="0" xr:uid="{93BBEADC-D34D-45DD-8BD1-05E0B444C631}">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19" authorId="0" shapeId="0" xr:uid="{3AE8EA5A-1EE9-4EB4-895E-0B689CD19900}">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19" authorId="0" shapeId="0" xr:uid="{73E415ED-EA47-4D83-8D1D-0A4C1A7713FC}">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0" authorId="1" shapeId="0" xr:uid="{196C123F-886C-47A9-86FF-8C54A51BB63F}">
      <text>
        <r>
          <rPr>
            <sz val="9"/>
            <color indexed="81"/>
            <rFont val="MS P ゴシック"/>
            <family val="3"/>
            <charset val="128"/>
          </rPr>
          <t>くみ水100％に補正した原エキスで、この数値を他のもろみの数値と比較することにより、米の溶け具合が比較できます。</t>
        </r>
      </text>
    </comment>
    <comment ref="AN120" authorId="0" shapeId="0" xr:uid="{880C4491-02A9-47D1-9504-BEC23854B9A9}">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0" authorId="0" shapeId="0" xr:uid="{889BD975-C2B9-4920-A26D-6CABD9CFA147}">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8" authorId="0" shapeId="0" xr:uid="{00000000-0006-0000-0300-000032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8" authorId="0" shapeId="0" xr:uid="{00000000-0006-0000-0300-000033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89" authorId="0" shapeId="0" xr:uid="{00000000-0006-0000-0300-000034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89" authorId="0" shapeId="0" xr:uid="{00000000-0006-0000-0300-000035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0000000-0006-0000-0300-000036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3" authorId="0" shapeId="0" xr:uid="{00000000-0006-0000-0300-000037000000}">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AR271" authorId="2" shapeId="0" xr:uid="{A537CF2F-5877-4D8B-9254-A4D70455C343}">
      <text>
        <r>
          <rPr>
            <b/>
            <sz val="9"/>
            <color indexed="81"/>
            <rFont val="MS P ゴシック"/>
            <family val="3"/>
            <charset val="128"/>
          </rPr>
          <t>同一区分で複数の異なる白米水分がある阿合は正しく計算されません。</t>
        </r>
      </text>
    </comment>
    <comment ref="AR272" authorId="2" shapeId="0" xr:uid="{81D7FCDB-A55E-453B-AB6A-E0417EBA8B88}">
      <text>
        <r>
          <rPr>
            <b/>
            <sz val="9"/>
            <color indexed="81"/>
            <rFont val="MS P ゴシック"/>
            <family val="3"/>
            <charset val="128"/>
          </rPr>
          <t>同一区分で複数の異なる白米水分がある阿合は正しく計算されません。</t>
        </r>
      </text>
    </comment>
    <comment ref="AR273" authorId="2" shapeId="0" xr:uid="{2E567575-73FF-4D72-9F22-1C6C036C8029}">
      <text>
        <r>
          <rPr>
            <b/>
            <sz val="9"/>
            <color indexed="81"/>
            <rFont val="MS P ゴシック"/>
            <family val="3"/>
            <charset val="128"/>
          </rPr>
          <t>同一区分で複数の異なる白米水分がある阿合は正しく計算されません。</t>
        </r>
      </text>
    </comment>
    <comment ref="AR274" authorId="2" shapeId="0" xr:uid="{E20DF4C9-1BD6-47C9-B4C7-5E5E317BF1AF}">
      <text>
        <r>
          <rPr>
            <b/>
            <sz val="9"/>
            <color indexed="81"/>
            <rFont val="MS P ゴシック"/>
            <family val="3"/>
            <charset val="128"/>
          </rPr>
          <t>同一区分で複数の異なる白米水分がある阿合は正しく計算されません。</t>
        </r>
      </text>
    </comment>
    <comment ref="AR275" authorId="2" shapeId="0" xr:uid="{8556B908-06B3-417F-B600-33F1B82EFB11}">
      <text>
        <r>
          <rPr>
            <sz val="9"/>
            <color indexed="81"/>
            <rFont val="MS P ゴシック"/>
            <family val="3"/>
            <charset val="128"/>
          </rPr>
          <t>同一区分で複数の異なる白米水分がある阿合は正しく計算されません。</t>
        </r>
      </text>
    </comment>
    <comment ref="AR276" authorId="2" shapeId="0" xr:uid="{785B6A14-E404-4691-AC50-AA951C74D6BF}">
      <text>
        <r>
          <rPr>
            <sz val="9"/>
            <color indexed="81"/>
            <rFont val="MS P ゴシック"/>
            <family val="3"/>
            <charset val="128"/>
          </rPr>
          <t>同一区分で複数の異なる白米水分がある阿合は正しく計算されません。</t>
        </r>
      </text>
    </comment>
    <comment ref="AR277" authorId="2" shapeId="0" xr:uid="{02C01EDA-5504-4AB5-A713-B9DFB8AA6BA5}">
      <text>
        <r>
          <rPr>
            <sz val="9"/>
            <color indexed="81"/>
            <rFont val="MS P ゴシック"/>
            <family val="3"/>
            <charset val="128"/>
          </rPr>
          <t>同一区分で複数の異なる白米水分がある阿合は正しく計算されません。</t>
        </r>
      </text>
    </comment>
    <comment ref="AR278" authorId="2" shapeId="0" xr:uid="{74431013-BAA6-4E93-AA0C-E3ACBDB80A44}">
      <text>
        <r>
          <rPr>
            <sz val="9"/>
            <color indexed="81"/>
            <rFont val="MS P ゴシック"/>
            <family val="3"/>
            <charset val="128"/>
          </rPr>
          <t>同一区分で複数の異なる白米水分がある阿合は正しく計算されません。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国税庁</author>
    <author>作成者</author>
  </authors>
  <commentList>
    <comment ref="H4" authorId="0" shapeId="0" xr:uid="{0F539BA4-3710-49EE-AE49-73470CBA4F99}">
      <text>
        <r>
          <rPr>
            <sz val="9"/>
            <color indexed="81"/>
            <rFont val="MS P ゴシック"/>
            <family val="3"/>
            <charset val="128"/>
          </rPr>
          <t>現時点では、四段の数値は100％への追水補正の対象となっていません。ご了承ください。</t>
        </r>
      </text>
    </comment>
    <comment ref="I8" authorId="1" shapeId="0" xr:uid="{27708675-9454-408E-913F-535C8D07BD79}">
      <text>
        <r>
          <rPr>
            <sz val="9"/>
            <color indexed="81"/>
            <rFont val="MS P ゴシック"/>
            <family val="3"/>
            <charset val="128"/>
          </rPr>
          <t>もろみ経過簿に入力した追水量（L)の合計が自動記入されます。</t>
        </r>
      </text>
    </comment>
    <comment ref="A11" authorId="1" shapeId="0" xr:uid="{6A63D452-1101-4EEE-8E33-6BC508D1A72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55304D3A-7A23-48E9-A905-D85CB3338837}">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2" authorId="1" shapeId="0" xr:uid="{67BBE347-843D-4E28-B13A-B41FDA976437}">
      <text>
        <r>
          <rPr>
            <sz val="9"/>
            <color indexed="81"/>
            <rFont val="MS P ゴシック"/>
            <family val="3"/>
            <charset val="128"/>
          </rPr>
          <t>ボーメと日本酒度両方を入力した場合、ボーメの値が優先されます。</t>
        </r>
      </text>
    </comment>
    <comment ref="A13" authorId="1" shapeId="0" xr:uid="{ABE3C0E4-70C3-472A-8670-9D59F58D967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 authorId="1" shapeId="0" xr:uid="{332493C0-3B4D-4E6B-B76B-9CDFF558DDA3}">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 authorId="1" shapeId="0" xr:uid="{C4910E72-A4E9-4B43-A7C2-6C30C09557FB}">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56" authorId="1" shapeId="0" xr:uid="{A8FCEA29-DD60-4FF4-AAE0-7AB0F3D51751}">
      <text>
        <r>
          <rPr>
            <sz val="9"/>
            <color indexed="81"/>
            <rFont val="MS P ゴシック"/>
            <family val="3"/>
            <charset val="128"/>
          </rPr>
          <t>もろみ経過簿に入力した追水量（L)の合計が自動記入されます。</t>
        </r>
      </text>
    </comment>
    <comment ref="A59" authorId="1" shapeId="0" xr:uid="{F2751B3A-1E55-45C6-A850-5C2CFA2DDB3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60" authorId="1" shapeId="0" xr:uid="{C2D95536-F9F1-4981-9D47-617692D3395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60" authorId="1" shapeId="0" xr:uid="{39EDC443-F8D3-416A-B3B0-8D2844D523F5}">
      <text>
        <r>
          <rPr>
            <sz val="9"/>
            <color indexed="81"/>
            <rFont val="MS P ゴシック"/>
            <family val="3"/>
            <charset val="128"/>
          </rPr>
          <t>ボーメと日本酒度両方を入力した場合、ボーメの値が優先されます。</t>
        </r>
      </text>
    </comment>
    <comment ref="A61" authorId="1" shapeId="0" xr:uid="{B33E25D3-7BDF-4B79-86F1-1D5FDDC77B3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62" authorId="1" shapeId="0" xr:uid="{FB1E94EC-225E-4928-8D6C-7D5A0CADA7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67" authorId="1" shapeId="0" xr:uid="{91CADFEF-BB4F-4F6D-ACC0-7A5AAE48B6C5}">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98" authorId="1" shapeId="0" xr:uid="{12C78058-80C1-44A8-99CE-6FA12477D271}">
      <text>
        <r>
          <rPr>
            <sz val="9"/>
            <color indexed="81"/>
            <rFont val="MS P ゴシック"/>
            <family val="3"/>
            <charset val="128"/>
          </rPr>
          <t>もろみ経過簿に入力した追水量（L)の合計が自動記入されます。</t>
        </r>
      </text>
    </comment>
    <comment ref="A101" authorId="1" shapeId="0" xr:uid="{415BB7D2-4AD3-4694-90D5-288230DDAFC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02" authorId="1" shapeId="0" xr:uid="{38E3B31D-2448-4A0D-8207-8580B8FAC865}">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02" authorId="1" shapeId="0" xr:uid="{DF46845D-F143-4A37-AD81-FC50EF530E12}">
      <text>
        <r>
          <rPr>
            <sz val="9"/>
            <color indexed="81"/>
            <rFont val="MS P ゴシック"/>
            <family val="3"/>
            <charset val="128"/>
          </rPr>
          <t>ボーメと日本酒度両方を入力した場合、ボーメの値が優先されます。</t>
        </r>
      </text>
    </comment>
    <comment ref="A103" authorId="1" shapeId="0" xr:uid="{33E0CBA4-C664-46C1-A9E7-A5A36F591A9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04" authorId="1" shapeId="0" xr:uid="{278ED1B2-23F7-4C8B-B03B-3DA49A99A27D}">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09" authorId="1" shapeId="0" xr:uid="{4A9A0D80-0A48-4E51-9AE7-B0CC4F413F9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40" authorId="1" shapeId="0" xr:uid="{E3AF4C72-EEE5-4A00-AB96-BE6E706EA52E}">
      <text>
        <r>
          <rPr>
            <sz val="9"/>
            <color indexed="81"/>
            <rFont val="MS P ゴシック"/>
            <family val="3"/>
            <charset val="128"/>
          </rPr>
          <t>もろみ経過簿に入力した追水量（L)の合計が自動記入されます。</t>
        </r>
      </text>
    </comment>
    <comment ref="A143" authorId="1" shapeId="0" xr:uid="{643BB09C-BB9D-42DE-874A-8A1C03E5B2C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44" authorId="1" shapeId="0" xr:uid="{D37135C2-EC16-484E-86F8-4B8763023A6A}">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4" authorId="1" shapeId="0" xr:uid="{1021AA8D-1188-4D60-B23B-D7DC9534CC88}">
      <text>
        <r>
          <rPr>
            <sz val="9"/>
            <color indexed="81"/>
            <rFont val="MS P ゴシック"/>
            <family val="3"/>
            <charset val="128"/>
          </rPr>
          <t>ボーメと日本酒度両方を入力した場合、ボーメの値が優先されます。</t>
        </r>
      </text>
    </comment>
    <comment ref="A145" authorId="1" shapeId="0" xr:uid="{9900C9D0-E34A-4654-9E89-3342398EDC0B}">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6" authorId="1" shapeId="0" xr:uid="{74FCB8BE-62C9-4386-8E2A-715459DC915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51" authorId="1" shapeId="0" xr:uid="{2D119BD3-9090-4EB5-85E5-595A9CC1D5D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82" authorId="1" shapeId="0" xr:uid="{11E69311-E290-4E23-B903-EB9F792F72C9}">
      <text>
        <r>
          <rPr>
            <sz val="9"/>
            <color indexed="81"/>
            <rFont val="MS P ゴシック"/>
            <family val="3"/>
            <charset val="128"/>
          </rPr>
          <t>もろみ経過簿に入力した追水量（L)の合計が自動記入されます。</t>
        </r>
      </text>
    </comment>
    <comment ref="A185" authorId="1" shapeId="0" xr:uid="{A7249EDA-E95F-4A12-A831-29DD5F51564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86" authorId="1" shapeId="0" xr:uid="{FBEE9216-F801-4F5E-AC0B-3062364DF081}">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86" authorId="1" shapeId="0" xr:uid="{2CAE7B59-0A35-41A5-9707-759EA4B736C9}">
      <text>
        <r>
          <rPr>
            <sz val="9"/>
            <color indexed="81"/>
            <rFont val="MS P ゴシック"/>
            <family val="3"/>
            <charset val="128"/>
          </rPr>
          <t>ボーメと日本酒度両方を入力した場合、ボーメの値が優先されます。</t>
        </r>
      </text>
    </comment>
    <comment ref="A187" authorId="1" shapeId="0" xr:uid="{3B617590-3FC2-4B08-B8EA-D85586033E8E}">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88" authorId="1" shapeId="0" xr:uid="{0CEEDAE3-588A-42D5-938A-D50FC18C88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3" authorId="1" shapeId="0" xr:uid="{6D4A48C6-366E-424C-A8FC-5E036D10F76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224" authorId="1" shapeId="0" xr:uid="{096625CB-30BC-4B16-A323-B4753F1A0D89}">
      <text>
        <r>
          <rPr>
            <sz val="9"/>
            <color indexed="81"/>
            <rFont val="MS P ゴシック"/>
            <family val="3"/>
            <charset val="128"/>
          </rPr>
          <t>もろみ経過簿に入力した追水量（L)の合計が自動記入されます。</t>
        </r>
      </text>
    </comment>
    <comment ref="A227" authorId="1" shapeId="0" xr:uid="{C078B1C8-2C9B-4665-BC83-BEE3C50A096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8" authorId="1" shapeId="0" xr:uid="{F67EDD2F-A6E9-449A-9D13-81715715D514}">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8" authorId="1" shapeId="0" xr:uid="{45048376-38B7-4099-B5E3-6F25D0F6C229}">
      <text>
        <r>
          <rPr>
            <sz val="9"/>
            <color indexed="81"/>
            <rFont val="MS P ゴシック"/>
            <family val="3"/>
            <charset val="128"/>
          </rPr>
          <t>ボーメと日本酒度両方を入力した場合、ボーメの値が優先されます。</t>
        </r>
      </text>
    </comment>
    <comment ref="A229" authorId="1" shapeId="0" xr:uid="{5753400C-FC41-492A-8FF4-F361B63EAD52}">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30" authorId="1" shapeId="0" xr:uid="{D37D2F5E-3FDE-4449-8302-7077BF84A471}">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35" authorId="1" shapeId="0" xr:uid="{9722CBB6-105D-4822-99FD-2711E586C3D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List>
</comments>
</file>

<file path=xl/sharedStrings.xml><?xml version="1.0" encoding="utf-8"?>
<sst xmlns="http://schemas.openxmlformats.org/spreadsheetml/2006/main" count="1567" uniqueCount="492">
  <si>
    <t>酸度</t>
    <rPh sb="0" eb="2">
      <t>サンド</t>
    </rPh>
    <phoneticPr fontId="1"/>
  </si>
  <si>
    <t>ボーメ</t>
    <phoneticPr fontId="1"/>
  </si>
  <si>
    <t>日本酒度</t>
    <rPh sb="0" eb="3">
      <t>ニホンシュ</t>
    </rPh>
    <rPh sb="3" eb="4">
      <t>ド</t>
    </rPh>
    <phoneticPr fontId="1"/>
  </si>
  <si>
    <t>エキス分</t>
    <rPh sb="3" eb="4">
      <t>ブン</t>
    </rPh>
    <phoneticPr fontId="1"/>
  </si>
  <si>
    <t>新甘辛度</t>
    <rPh sb="0" eb="1">
      <t>シン</t>
    </rPh>
    <rPh sb="1" eb="3">
      <t>アマカラ</t>
    </rPh>
    <rPh sb="3" eb="4">
      <t>ド</t>
    </rPh>
    <phoneticPr fontId="1"/>
  </si>
  <si>
    <t>目標値</t>
    <rPh sb="0" eb="3">
      <t>モクヒョウチ</t>
    </rPh>
    <phoneticPr fontId="1"/>
  </si>
  <si>
    <t>最高BMD</t>
    <rPh sb="0" eb="2">
      <t>サイコウ</t>
    </rPh>
    <phoneticPr fontId="1"/>
  </si>
  <si>
    <t>最高ボーメ</t>
    <rPh sb="0" eb="2">
      <t>サイコウ</t>
    </rPh>
    <phoneticPr fontId="1"/>
  </si>
  <si>
    <t>A（AB直線）</t>
    <rPh sb="4" eb="6">
      <t>チョクセン</t>
    </rPh>
    <phoneticPr fontId="1"/>
  </si>
  <si>
    <t>B（AB直線）</t>
    <rPh sb="4" eb="6">
      <t>チョクセン</t>
    </rPh>
    <phoneticPr fontId="1"/>
  </si>
  <si>
    <t>A（AB直線２）</t>
    <rPh sb="4" eb="6">
      <t>チョクセン</t>
    </rPh>
    <phoneticPr fontId="1"/>
  </si>
  <si>
    <t>B（AB直線2）</t>
    <rPh sb="4" eb="6">
      <t>チョクセン</t>
    </rPh>
    <phoneticPr fontId="1"/>
  </si>
  <si>
    <t>仕込み号数</t>
    <rPh sb="0" eb="2">
      <t>シコ</t>
    </rPh>
    <rPh sb="3" eb="5">
      <t>ゴウスウ</t>
    </rPh>
    <phoneticPr fontId="1"/>
  </si>
  <si>
    <t>初添</t>
    <rPh sb="0" eb="1">
      <t>ハツ</t>
    </rPh>
    <rPh sb="1" eb="2">
      <t>ソ</t>
    </rPh>
    <phoneticPr fontId="1"/>
  </si>
  <si>
    <t>踊</t>
    <rPh sb="0" eb="1">
      <t>オド</t>
    </rPh>
    <phoneticPr fontId="1"/>
  </si>
  <si>
    <t>仲添</t>
    <rPh sb="0" eb="1">
      <t>ナカ</t>
    </rPh>
    <rPh sb="1" eb="2">
      <t>ソ</t>
    </rPh>
    <phoneticPr fontId="1"/>
  </si>
  <si>
    <t>日順</t>
    <rPh sb="0" eb="1">
      <t>ヒ</t>
    </rPh>
    <rPh sb="1" eb="2">
      <t>ジュン</t>
    </rPh>
    <phoneticPr fontId="1"/>
  </si>
  <si>
    <t>操作</t>
    <rPh sb="0" eb="2">
      <t>ソウサ</t>
    </rPh>
    <phoneticPr fontId="1"/>
  </si>
  <si>
    <t>月日</t>
    <rPh sb="0" eb="1">
      <t>ツキ</t>
    </rPh>
    <rPh sb="1" eb="2">
      <t>ヒ</t>
    </rPh>
    <phoneticPr fontId="1"/>
  </si>
  <si>
    <t>時刻</t>
    <rPh sb="0" eb="1">
      <t>トキ</t>
    </rPh>
    <rPh sb="1" eb="2">
      <t>コク</t>
    </rPh>
    <phoneticPr fontId="1"/>
  </si>
  <si>
    <t>留添</t>
    <rPh sb="0" eb="1">
      <t>トメ</t>
    </rPh>
    <rPh sb="1" eb="2">
      <t>テン</t>
    </rPh>
    <phoneticPr fontId="1"/>
  </si>
  <si>
    <t>水</t>
    <rPh sb="0" eb="1">
      <t>ミズ</t>
    </rPh>
    <phoneticPr fontId="1"/>
  </si>
  <si>
    <t>こうじ</t>
    <phoneticPr fontId="1"/>
  </si>
  <si>
    <t>仕込</t>
    <rPh sb="0" eb="2">
      <t>シコミ</t>
    </rPh>
    <phoneticPr fontId="1"/>
  </si>
  <si>
    <t>荒がい</t>
    <rPh sb="0" eb="1">
      <t>アラ</t>
    </rPh>
    <phoneticPr fontId="1"/>
  </si>
  <si>
    <t>分</t>
    <rPh sb="0" eb="1">
      <t>ワ</t>
    </rPh>
    <phoneticPr fontId="1"/>
  </si>
  <si>
    <t>状ぼう</t>
    <rPh sb="0" eb="1">
      <t>ジョウ</t>
    </rPh>
    <phoneticPr fontId="1"/>
  </si>
  <si>
    <t>アルコール分（度）</t>
    <rPh sb="5" eb="6">
      <t>ブン</t>
    </rPh>
    <rPh sb="7" eb="8">
      <t>ド</t>
    </rPh>
    <phoneticPr fontId="1"/>
  </si>
  <si>
    <t>Alc%（新）</t>
    <rPh sb="5" eb="6">
      <t>シン</t>
    </rPh>
    <phoneticPr fontId="3"/>
  </si>
  <si>
    <t>d15</t>
    <phoneticPr fontId="3"/>
  </si>
  <si>
    <t>slope</t>
    <phoneticPr fontId="3"/>
  </si>
  <si>
    <t>intercept</t>
    <phoneticPr fontId="3"/>
  </si>
  <si>
    <t>d(15/15)</t>
    <phoneticPr fontId="3"/>
  </si>
  <si>
    <t>使うのは比重の方のみ</t>
    <rPh sb="0" eb="1">
      <t>ツカ</t>
    </rPh>
    <rPh sb="4" eb="6">
      <t>ヒジュウ</t>
    </rPh>
    <rPh sb="7" eb="8">
      <t>ホウ</t>
    </rPh>
    <phoneticPr fontId="1"/>
  </si>
  <si>
    <t>日本酒度の比重換算</t>
    <rPh sb="0" eb="3">
      <t>ニホンシュ</t>
    </rPh>
    <rPh sb="3" eb="4">
      <t>ド</t>
    </rPh>
    <rPh sb="5" eb="7">
      <t>ヒジュウ</t>
    </rPh>
    <rPh sb="7" eb="9">
      <t>カンサン</t>
    </rPh>
    <phoneticPr fontId="1"/>
  </si>
  <si>
    <t>アルコール分の比重換算</t>
    <rPh sb="5" eb="6">
      <t>ブン</t>
    </rPh>
    <rPh sb="7" eb="9">
      <t>ヒジュウ</t>
    </rPh>
    <rPh sb="9" eb="11">
      <t>カンサン</t>
    </rPh>
    <phoneticPr fontId="1"/>
  </si>
  <si>
    <t>一番最後のグルコース濃度</t>
    <rPh sb="0" eb="2">
      <t>イチバン</t>
    </rPh>
    <rPh sb="2" eb="4">
      <t>サイゴ</t>
    </rPh>
    <rPh sb="10" eb="12">
      <t>ノウド</t>
    </rPh>
    <phoneticPr fontId="1"/>
  </si>
  <si>
    <t>一番最後の酸度</t>
    <rPh sb="0" eb="2">
      <t>イチバン</t>
    </rPh>
    <rPh sb="2" eb="4">
      <t>サイゴ</t>
    </rPh>
    <rPh sb="5" eb="7">
      <t>サンド</t>
    </rPh>
    <phoneticPr fontId="1"/>
  </si>
  <si>
    <t>一番最後のアルコール分</t>
    <rPh sb="0" eb="2">
      <t>イチバン</t>
    </rPh>
    <rPh sb="2" eb="4">
      <t>サイゴ</t>
    </rPh>
    <rPh sb="10" eb="11">
      <t>ブン</t>
    </rPh>
    <phoneticPr fontId="1"/>
  </si>
  <si>
    <t>一番最後のアミノ酸度</t>
    <rPh sb="0" eb="2">
      <t>イチバン</t>
    </rPh>
    <rPh sb="2" eb="4">
      <t>サイゴ</t>
    </rPh>
    <rPh sb="8" eb="9">
      <t>サン</t>
    </rPh>
    <rPh sb="9" eb="10">
      <t>ド</t>
    </rPh>
    <phoneticPr fontId="1"/>
  </si>
  <si>
    <t>原エキス直線１</t>
    <rPh sb="0" eb="1">
      <t>ゲン</t>
    </rPh>
    <rPh sb="4" eb="6">
      <t>チョクセン</t>
    </rPh>
    <phoneticPr fontId="1"/>
  </si>
  <si>
    <t>原エキス直線２</t>
    <rPh sb="0" eb="1">
      <t>ゲン</t>
    </rPh>
    <rPh sb="4" eb="6">
      <t>チョクセン</t>
    </rPh>
    <phoneticPr fontId="1"/>
  </si>
  <si>
    <t>日本酒度（自動計算）</t>
    <rPh sb="0" eb="3">
      <t>ニホンシュ</t>
    </rPh>
    <rPh sb="3" eb="4">
      <t>ド</t>
    </rPh>
    <rPh sb="5" eb="7">
      <t>ジドウ</t>
    </rPh>
    <rPh sb="7" eb="9">
      <t>ケイサン</t>
    </rPh>
    <phoneticPr fontId="1"/>
  </si>
  <si>
    <t>親容器</t>
    <rPh sb="0" eb="1">
      <t>オヤ</t>
    </rPh>
    <rPh sb="1" eb="3">
      <t>ヨウキ</t>
    </rPh>
    <phoneticPr fontId="1"/>
  </si>
  <si>
    <t>号</t>
    <rPh sb="0" eb="1">
      <t>ゴウ</t>
    </rPh>
    <phoneticPr fontId="1"/>
  </si>
  <si>
    <t>深</t>
    <rPh sb="0" eb="1">
      <t>フカ</t>
    </rPh>
    <phoneticPr fontId="1"/>
  </si>
  <si>
    <t>枝容器</t>
    <rPh sb="0" eb="1">
      <t>エダ</t>
    </rPh>
    <rPh sb="1" eb="3">
      <t>ヨウキ</t>
    </rPh>
    <phoneticPr fontId="1"/>
  </si>
  <si>
    <t>酒母</t>
    <rPh sb="0" eb="2">
      <t>シュボ</t>
    </rPh>
    <phoneticPr fontId="1"/>
  </si>
  <si>
    <t>留添</t>
    <rPh sb="0" eb="1">
      <t>トメ</t>
    </rPh>
    <rPh sb="1" eb="2">
      <t>ソ</t>
    </rPh>
    <phoneticPr fontId="1"/>
  </si>
  <si>
    <t>四段</t>
    <rPh sb="0" eb="2">
      <t>ヨダン</t>
    </rPh>
    <phoneticPr fontId="1"/>
  </si>
  <si>
    <t>こうじ米（Kg）</t>
    <rPh sb="3" eb="4">
      <t>コメ</t>
    </rPh>
    <phoneticPr fontId="1"/>
  </si>
  <si>
    <t>計</t>
    <rPh sb="0" eb="1">
      <t>ケイ</t>
    </rPh>
    <phoneticPr fontId="1"/>
  </si>
  <si>
    <t>追水合計</t>
    <rPh sb="0" eb="1">
      <t>オ</t>
    </rPh>
    <rPh sb="1" eb="2">
      <t>ミズ</t>
    </rPh>
    <rPh sb="2" eb="4">
      <t>ゴウケイ</t>
    </rPh>
    <phoneticPr fontId="1"/>
  </si>
  <si>
    <t>アルコール量</t>
    <rPh sb="5" eb="6">
      <t>リョウ</t>
    </rPh>
    <phoneticPr fontId="1"/>
  </si>
  <si>
    <t>酒母米</t>
    <rPh sb="0" eb="2">
      <t>シュボ</t>
    </rPh>
    <rPh sb="2" eb="3">
      <t>マイ</t>
    </rPh>
    <phoneticPr fontId="1"/>
  </si>
  <si>
    <t>こうじ米</t>
    <rPh sb="3" eb="4">
      <t>マイ</t>
    </rPh>
    <phoneticPr fontId="1"/>
  </si>
  <si>
    <t>掛米</t>
    <rPh sb="0" eb="1">
      <t>カケ</t>
    </rPh>
    <rPh sb="1" eb="2">
      <t>マイ</t>
    </rPh>
    <phoneticPr fontId="1"/>
  </si>
  <si>
    <t>精米歩合（％）</t>
    <rPh sb="0" eb="2">
      <t>セイマイ</t>
    </rPh>
    <rPh sb="2" eb="4">
      <t>ブアイ</t>
    </rPh>
    <phoneticPr fontId="1"/>
  </si>
  <si>
    <t>原エキス</t>
    <rPh sb="0" eb="1">
      <t>ゲン</t>
    </rPh>
    <phoneticPr fontId="1"/>
  </si>
  <si>
    <t>使用酵母</t>
    <rPh sb="0" eb="2">
      <t>シヨウ</t>
    </rPh>
    <rPh sb="2" eb="4">
      <t>コウボ</t>
    </rPh>
    <phoneticPr fontId="1"/>
  </si>
  <si>
    <t>経過簿</t>
    <rPh sb="0" eb="2">
      <t>ケイカ</t>
    </rPh>
    <rPh sb="2" eb="3">
      <t>ボ</t>
    </rPh>
    <phoneticPr fontId="1"/>
  </si>
  <si>
    <t>仕込配合</t>
    <rPh sb="0" eb="2">
      <t>シコミ</t>
    </rPh>
    <rPh sb="2" eb="4">
      <t>ハイゴウ</t>
    </rPh>
    <phoneticPr fontId="1"/>
  </si>
  <si>
    <t>名古屋国税局鑑定官室　作成</t>
    <rPh sb="0" eb="3">
      <t>ナゴヤ</t>
    </rPh>
    <rPh sb="3" eb="6">
      <t>コクゼイキョク</t>
    </rPh>
    <rPh sb="6" eb="8">
      <t>カンテイ</t>
    </rPh>
    <rPh sb="8" eb="9">
      <t>カン</t>
    </rPh>
    <rPh sb="9" eb="10">
      <t>シツ</t>
    </rPh>
    <rPh sb="11" eb="13">
      <t>サクセイ</t>
    </rPh>
    <phoneticPr fontId="1"/>
  </si>
  <si>
    <t>どちらか１つを記入</t>
    <rPh sb="7" eb="9">
      <t>キニュウ</t>
    </rPh>
    <phoneticPr fontId="1"/>
  </si>
  <si>
    <t>作業メモ等</t>
    <rPh sb="0" eb="2">
      <t>サギョウ</t>
    </rPh>
    <rPh sb="4" eb="5">
      <t>トウ</t>
    </rPh>
    <phoneticPr fontId="1"/>
  </si>
  <si>
    <t>種類</t>
    <rPh sb="0" eb="2">
      <t>シュルイ</t>
    </rPh>
    <phoneticPr fontId="1"/>
  </si>
  <si>
    <t>記号</t>
    <rPh sb="0" eb="2">
      <t>キゴウ</t>
    </rPh>
    <phoneticPr fontId="1"/>
  </si>
  <si>
    <t>順号</t>
    <rPh sb="0" eb="1">
      <t>ジュン</t>
    </rPh>
    <rPh sb="1" eb="2">
      <t>ゴウ</t>
    </rPh>
    <phoneticPr fontId="1"/>
  </si>
  <si>
    <t>個数</t>
    <rPh sb="0" eb="2">
      <t>コスウ</t>
    </rPh>
    <phoneticPr fontId="1"/>
  </si>
  <si>
    <t>原料水の
加工方法</t>
    <rPh sb="0" eb="2">
      <t>ゲンリョウ</t>
    </rPh>
    <rPh sb="2" eb="3">
      <t>スイ</t>
    </rPh>
    <rPh sb="5" eb="7">
      <t>カコウ</t>
    </rPh>
    <rPh sb="7" eb="9">
      <t>ホウホウ</t>
    </rPh>
    <phoneticPr fontId="1"/>
  </si>
  <si>
    <t>加工剤</t>
    <rPh sb="0" eb="2">
      <t>カコウ</t>
    </rPh>
    <rPh sb="2" eb="3">
      <t>ザイ</t>
    </rPh>
    <phoneticPr fontId="1"/>
  </si>
  <si>
    <t>品名</t>
    <rPh sb="0" eb="2">
      <t>ヒンメイ</t>
    </rPh>
    <phoneticPr fontId="1"/>
  </si>
  <si>
    <t>区分</t>
    <rPh sb="0" eb="2">
      <t>クブン</t>
    </rPh>
    <phoneticPr fontId="1"/>
  </si>
  <si>
    <t>産地</t>
    <rPh sb="0" eb="2">
      <t>サンチ</t>
    </rPh>
    <phoneticPr fontId="1"/>
  </si>
  <si>
    <t>品種</t>
    <rPh sb="0" eb="2">
      <t>ヒンシュ</t>
    </rPh>
    <phoneticPr fontId="1"/>
  </si>
  <si>
    <t>等級</t>
    <rPh sb="0" eb="2">
      <t>トウキュウ</t>
    </rPh>
    <phoneticPr fontId="1"/>
  </si>
  <si>
    <t>浸せき（漬）</t>
    <rPh sb="0" eb="1">
      <t>ヒタ</t>
    </rPh>
    <rPh sb="4" eb="5">
      <t>ヅケ</t>
    </rPh>
    <phoneticPr fontId="1"/>
  </si>
  <si>
    <t>水切</t>
    <rPh sb="0" eb="2">
      <t>ミズキ</t>
    </rPh>
    <phoneticPr fontId="1"/>
  </si>
  <si>
    <t>蒸し</t>
    <rPh sb="0" eb="1">
      <t>ム</t>
    </rPh>
    <phoneticPr fontId="1"/>
  </si>
  <si>
    <t>時間（分）</t>
    <rPh sb="0" eb="2">
      <t>ジカン</t>
    </rPh>
    <rPh sb="3" eb="4">
      <t>フン</t>
    </rPh>
    <phoneticPr fontId="1"/>
  </si>
  <si>
    <t>米以外の原料の重量(kg）</t>
    <rPh sb="0" eb="1">
      <t>コメ</t>
    </rPh>
    <rPh sb="1" eb="3">
      <t>イガイ</t>
    </rPh>
    <rPh sb="4" eb="6">
      <t>ゲンリョウ</t>
    </rPh>
    <rPh sb="7" eb="9">
      <t>ジュウリョウ</t>
    </rPh>
    <phoneticPr fontId="1"/>
  </si>
  <si>
    <t>容器番号</t>
    <rPh sb="0" eb="2">
      <t>ヨウキ</t>
    </rPh>
    <rPh sb="2" eb="4">
      <t>バンゴウ</t>
    </rPh>
    <phoneticPr fontId="1"/>
  </si>
  <si>
    <t>添加月日</t>
    <rPh sb="0" eb="2">
      <t>テンカ</t>
    </rPh>
    <rPh sb="2" eb="4">
      <t>ツキヒ</t>
    </rPh>
    <phoneticPr fontId="1"/>
  </si>
  <si>
    <t>添加前後</t>
    <rPh sb="0" eb="2">
      <t>テンカ</t>
    </rPh>
    <rPh sb="2" eb="4">
      <t>ゼンゴ</t>
    </rPh>
    <phoneticPr fontId="1"/>
  </si>
  <si>
    <t>深</t>
    <rPh sb="0" eb="1">
      <t>フカシ</t>
    </rPh>
    <phoneticPr fontId="1"/>
  </si>
  <si>
    <t>前</t>
    <rPh sb="0" eb="1">
      <t>マエ</t>
    </rPh>
    <phoneticPr fontId="1"/>
  </si>
  <si>
    <t>後</t>
    <rPh sb="0" eb="1">
      <t>アト</t>
    </rPh>
    <phoneticPr fontId="1"/>
  </si>
  <si>
    <t>酸性プロテアーゼ</t>
    <rPh sb="0" eb="2">
      <t>サンセイ</t>
    </rPh>
    <phoneticPr fontId="1"/>
  </si>
  <si>
    <t>グルコアミラーゼ</t>
    <phoneticPr fontId="1"/>
  </si>
  <si>
    <t>酸性カルボキシ
ペプチターゼ</t>
    <rPh sb="0" eb="2">
      <t>サンセイ</t>
    </rPh>
    <phoneticPr fontId="1"/>
  </si>
  <si>
    <t>使用数量(g)</t>
    <rPh sb="0" eb="2">
      <t>シヨウ</t>
    </rPh>
    <rPh sb="2" eb="4">
      <t>スウリョウ</t>
    </rPh>
    <phoneticPr fontId="1"/>
  </si>
  <si>
    <t>こしき置き前
重量（kg）</t>
    <rPh sb="3" eb="4">
      <t>オ</t>
    </rPh>
    <rPh sb="5" eb="6">
      <t>マエ</t>
    </rPh>
    <rPh sb="7" eb="9">
      <t>ジュウリョウ</t>
    </rPh>
    <phoneticPr fontId="1"/>
  </si>
  <si>
    <t>米処理</t>
    <rPh sb="0" eb="1">
      <t>マイ</t>
    </rPh>
    <rPh sb="1" eb="3">
      <t>ショリ</t>
    </rPh>
    <phoneticPr fontId="1"/>
  </si>
  <si>
    <t>掛米（Kg）</t>
    <rPh sb="0" eb="1">
      <t>カケ</t>
    </rPh>
    <rPh sb="1" eb="2">
      <t>マイ</t>
    </rPh>
    <phoneticPr fontId="1"/>
  </si>
  <si>
    <t>白米水分
（％）</t>
    <rPh sb="0" eb="2">
      <t>ハクマイ</t>
    </rPh>
    <rPh sb="2" eb="4">
      <t>スイブン</t>
    </rPh>
    <phoneticPr fontId="1"/>
  </si>
  <si>
    <t>蒸し出し即時
重量（kg）</t>
    <rPh sb="0" eb="1">
      <t>ム</t>
    </rPh>
    <rPh sb="2" eb="3">
      <t>ダ</t>
    </rPh>
    <rPh sb="4" eb="6">
      <t>ソクジ</t>
    </rPh>
    <rPh sb="7" eb="9">
      <t>ジュウリョウ</t>
    </rPh>
    <phoneticPr fontId="1"/>
  </si>
  <si>
    <t>もろみ上槽直前</t>
  </si>
  <si>
    <t>品温（℃）</t>
    <rPh sb="0" eb="2">
      <t>ヒンオン</t>
    </rPh>
    <phoneticPr fontId="1"/>
  </si>
  <si>
    <t>アルコール度</t>
    <rPh sb="5" eb="6">
      <t>ド</t>
    </rPh>
    <phoneticPr fontId="1"/>
  </si>
  <si>
    <t>一番最後の数量</t>
    <rPh sb="0" eb="2">
      <t>イチバン</t>
    </rPh>
    <rPh sb="2" eb="4">
      <t>サイゴ</t>
    </rPh>
    <rPh sb="5" eb="7">
      <t>スウリョウ</t>
    </rPh>
    <phoneticPr fontId="1"/>
  </si>
  <si>
    <t>一番最後の深</t>
    <rPh sb="0" eb="2">
      <t>イチバン</t>
    </rPh>
    <rPh sb="2" eb="4">
      <t>サイゴ</t>
    </rPh>
    <rPh sb="5" eb="6">
      <t>フカ</t>
    </rPh>
    <phoneticPr fontId="1"/>
  </si>
  <si>
    <t>一番最後の温度</t>
    <rPh sb="0" eb="2">
      <t>イチバン</t>
    </rPh>
    <rPh sb="2" eb="4">
      <t>サイゴ</t>
    </rPh>
    <rPh sb="5" eb="7">
      <t>オンド</t>
    </rPh>
    <phoneticPr fontId="1"/>
  </si>
  <si>
    <t>一番最後の日本酒度</t>
    <rPh sb="0" eb="2">
      <t>イチバン</t>
    </rPh>
    <rPh sb="2" eb="4">
      <t>サイゴ</t>
    </rPh>
    <rPh sb="5" eb="8">
      <t>ニホンシュ</t>
    </rPh>
    <rPh sb="8" eb="9">
      <t>ド</t>
    </rPh>
    <phoneticPr fontId="1"/>
  </si>
  <si>
    <t>製成事績</t>
    <rPh sb="0" eb="2">
      <t>セイセイ</t>
    </rPh>
    <rPh sb="2" eb="4">
      <t>ジセキ</t>
    </rPh>
    <phoneticPr fontId="1"/>
  </si>
  <si>
    <t>製成月日</t>
    <rPh sb="0" eb="2">
      <t>セイセイ</t>
    </rPh>
    <rPh sb="2" eb="4">
      <t>ツキヒ</t>
    </rPh>
    <phoneticPr fontId="1"/>
  </si>
  <si>
    <t>月日</t>
    <rPh sb="0" eb="2">
      <t>ツキヒ</t>
    </rPh>
    <phoneticPr fontId="1"/>
  </si>
  <si>
    <t>総重量(kg）</t>
    <rPh sb="0" eb="3">
      <t>ソウジュウリョウ</t>
    </rPh>
    <phoneticPr fontId="1"/>
  </si>
  <si>
    <t>風袋（kg）</t>
    <rPh sb="0" eb="2">
      <t>フウタイ</t>
    </rPh>
    <phoneticPr fontId="1"/>
  </si>
  <si>
    <t>かす換算率</t>
    <rPh sb="2" eb="4">
      <t>カンサン</t>
    </rPh>
    <rPh sb="4" eb="5">
      <t>リツ</t>
    </rPh>
    <phoneticPr fontId="1"/>
  </si>
  <si>
    <t>かす</t>
    <phoneticPr fontId="1"/>
  </si>
  <si>
    <t>使用こうじ</t>
    <rPh sb="0" eb="2">
      <t>シヨウ</t>
    </rPh>
    <phoneticPr fontId="1"/>
  </si>
  <si>
    <t>白米歩合</t>
    <rPh sb="0" eb="2">
      <t>ハクマイ</t>
    </rPh>
    <rPh sb="2" eb="4">
      <t>ブアイ</t>
    </rPh>
    <phoneticPr fontId="1"/>
  </si>
  <si>
    <t>製成歩合
（％）</t>
    <rPh sb="0" eb="2">
      <t>セイセイ</t>
    </rPh>
    <rPh sb="2" eb="4">
      <t>ブアイ</t>
    </rPh>
    <phoneticPr fontId="1"/>
  </si>
  <si>
    <t>合計</t>
    <rPh sb="0" eb="2">
      <t>ゴウケイ</t>
    </rPh>
    <phoneticPr fontId="1"/>
  </si>
  <si>
    <t>シブ予測係数比</t>
    <rPh sb="2" eb="4">
      <t>ヨソク</t>
    </rPh>
    <rPh sb="4" eb="6">
      <t>ケイスウ</t>
    </rPh>
    <rPh sb="6" eb="7">
      <t>ヒ</t>
    </rPh>
    <phoneticPr fontId="1"/>
  </si>
  <si>
    <t>かす歩合</t>
    <rPh sb="2" eb="4">
      <t>ブアイ</t>
    </rPh>
    <phoneticPr fontId="1"/>
  </si>
  <si>
    <t>もろみ歩合</t>
    <rPh sb="3" eb="5">
      <t>ブアイ</t>
    </rPh>
    <phoneticPr fontId="1"/>
  </si>
  <si>
    <t>もろみたれ歩合</t>
    <rPh sb="5" eb="7">
      <t>ブアイ</t>
    </rPh>
    <phoneticPr fontId="1"/>
  </si>
  <si>
    <t>清酒歩合</t>
    <rPh sb="0" eb="2">
      <t>セイシュ</t>
    </rPh>
    <rPh sb="2" eb="4">
      <t>ブアイ</t>
    </rPh>
    <phoneticPr fontId="1"/>
  </si>
  <si>
    <t>総水歩合</t>
    <rPh sb="0" eb="1">
      <t>ソウ</t>
    </rPh>
    <rPh sb="1" eb="2">
      <t>ミズ</t>
    </rPh>
    <rPh sb="2" eb="4">
      <t>ブアイ</t>
    </rPh>
    <phoneticPr fontId="1"/>
  </si>
  <si>
    <t>肉たれ歩合</t>
    <rPh sb="0" eb="1">
      <t>ニク</t>
    </rPh>
    <rPh sb="3" eb="5">
      <t>ブアイ</t>
    </rPh>
    <phoneticPr fontId="1"/>
  </si>
  <si>
    <t>純アルコールたれ歩合</t>
    <rPh sb="0" eb="1">
      <t>ジュン</t>
    </rPh>
    <rPh sb="8" eb="10">
      <t>ブアイ</t>
    </rPh>
    <phoneticPr fontId="1"/>
  </si>
  <si>
    <t>もろみ熟成歩合</t>
    <rPh sb="3" eb="5">
      <t>ジュクセイ</t>
    </rPh>
    <rPh sb="5" eb="7">
      <t>ブアイ</t>
    </rPh>
    <phoneticPr fontId="1"/>
  </si>
  <si>
    <t>日本酒度の比重換算</t>
    <phoneticPr fontId="1"/>
  </si>
  <si>
    <t>アルコールの比重換算</t>
    <rPh sb="6" eb="8">
      <t>ヒジュウ</t>
    </rPh>
    <rPh sb="8" eb="10">
      <t>カンザン</t>
    </rPh>
    <phoneticPr fontId="1"/>
  </si>
  <si>
    <t>【アルコール分と比重の換算表】</t>
    <rPh sb="6" eb="7">
      <t>ブン</t>
    </rPh>
    <rPh sb="8" eb="10">
      <t>ヒジュウ</t>
    </rPh>
    <rPh sb="11" eb="13">
      <t>カンサン</t>
    </rPh>
    <rPh sb="13" eb="14">
      <t>ヒョウ</t>
    </rPh>
    <phoneticPr fontId="1"/>
  </si>
  <si>
    <t>もろみのボーメ（日本酒度もボーメ変換</t>
    <rPh sb="8" eb="11">
      <t>ニホンシュ</t>
    </rPh>
    <rPh sb="11" eb="12">
      <t>ド</t>
    </rPh>
    <rPh sb="16" eb="18">
      <t>ヘンカン</t>
    </rPh>
    <phoneticPr fontId="1"/>
  </si>
  <si>
    <t>ボーメ目標
（使用していない？）</t>
    <rPh sb="3" eb="5">
      <t>モクヒョウ</t>
    </rPh>
    <rPh sb="7" eb="9">
      <t>シヨウ</t>
    </rPh>
    <phoneticPr fontId="1"/>
  </si>
  <si>
    <t>最高ボーメ目標
（使用していない？）</t>
    <rPh sb="0" eb="2">
      <t>サイコウ</t>
    </rPh>
    <rPh sb="5" eb="7">
      <t>モクヒョウ</t>
    </rPh>
    <rPh sb="9" eb="11">
      <t>シヨウ</t>
    </rPh>
    <phoneticPr fontId="1"/>
  </si>
  <si>
    <t>日本酒度目標
（使用していない？）</t>
    <rPh sb="0" eb="3">
      <t>ニホンシュ</t>
    </rPh>
    <rPh sb="3" eb="4">
      <t>ド</t>
    </rPh>
    <rPh sb="4" eb="6">
      <t>モクヒョウ</t>
    </rPh>
    <rPh sb="8" eb="10">
      <t>シヨウ</t>
    </rPh>
    <phoneticPr fontId="1"/>
  </si>
  <si>
    <t>アルコール目標
（使用していない？）</t>
    <rPh sb="5" eb="7">
      <t>モクヒョウ</t>
    </rPh>
    <rPh sb="9" eb="11">
      <t>シヨウ</t>
    </rPh>
    <phoneticPr fontId="1"/>
  </si>
  <si>
    <t>【A-B直線グラフ描画用】</t>
    <rPh sb="4" eb="6">
      <t>チョクセン</t>
    </rPh>
    <rPh sb="9" eb="12">
      <t>ビョウガヨウ</t>
    </rPh>
    <phoneticPr fontId="1"/>
  </si>
  <si>
    <t>【BMD直線、原エキスグラフ描画用）</t>
    <rPh sb="4" eb="6">
      <t>チョクセン</t>
    </rPh>
    <rPh sb="7" eb="8">
      <t>ゲン</t>
    </rPh>
    <rPh sb="14" eb="17">
      <t>ビョウガヨウ</t>
    </rPh>
    <phoneticPr fontId="1"/>
  </si>
  <si>
    <t>これをもとにもろみのエキス分計算</t>
    <rPh sb="13" eb="14">
      <t>ブン</t>
    </rPh>
    <rPh sb="14" eb="16">
      <t>ケイサン</t>
    </rPh>
    <phoneticPr fontId="1"/>
  </si>
  <si>
    <t>目標値１</t>
    <rPh sb="0" eb="3">
      <t>モクヒョウチ</t>
    </rPh>
    <phoneticPr fontId="1"/>
  </si>
  <si>
    <t>目標値２</t>
    <rPh sb="0" eb="3">
      <t>モクヒョウチ</t>
    </rPh>
    <phoneticPr fontId="1"/>
  </si>
  <si>
    <t>↑上の数値をとるための関数が、グルコースとその他で異なります（グルコース以外の関数のほうが簡単）</t>
    <rPh sb="1" eb="2">
      <t>ウエ</t>
    </rPh>
    <rPh sb="3" eb="5">
      <t>スウチ</t>
    </rPh>
    <rPh sb="11" eb="13">
      <t>カンスウ</t>
    </rPh>
    <rPh sb="23" eb="24">
      <t>タ</t>
    </rPh>
    <rPh sb="25" eb="26">
      <t>コト</t>
    </rPh>
    <rPh sb="36" eb="38">
      <t>イガイ</t>
    </rPh>
    <rPh sb="39" eb="41">
      <t>カンスウ</t>
    </rPh>
    <rPh sb="45" eb="47">
      <t>カンタン</t>
    </rPh>
    <phoneticPr fontId="1"/>
  </si>
  <si>
    <t>【製成事績の表の計算式】</t>
    <rPh sb="1" eb="3">
      <t>セイセイ</t>
    </rPh>
    <rPh sb="3" eb="5">
      <t>ジセキ</t>
    </rPh>
    <rPh sb="6" eb="7">
      <t>ヒョウ</t>
    </rPh>
    <rPh sb="8" eb="11">
      <t>ケイサンシキ</t>
    </rPh>
    <phoneticPr fontId="1"/>
  </si>
  <si>
    <t>【原エキス、新甘辛度、シブ値などの自動計算用計算式】　※もろみ経過簿に記載の最後の数値を引っ張ってくるための関数　※一部「もろみ上槽直前」の表にも使用。</t>
    <rPh sb="1" eb="2">
      <t>ゲン</t>
    </rPh>
    <rPh sb="6" eb="7">
      <t>シン</t>
    </rPh>
    <rPh sb="7" eb="9">
      <t>アマカラ</t>
    </rPh>
    <rPh sb="9" eb="10">
      <t>ド</t>
    </rPh>
    <rPh sb="13" eb="14">
      <t>チ</t>
    </rPh>
    <rPh sb="17" eb="19">
      <t>ジドウ</t>
    </rPh>
    <rPh sb="19" eb="22">
      <t>ケイサンヨウ</t>
    </rPh>
    <rPh sb="22" eb="25">
      <t>ケイサンシキ</t>
    </rPh>
    <rPh sb="31" eb="33">
      <t>ケイカ</t>
    </rPh>
    <rPh sb="33" eb="34">
      <t>ボ</t>
    </rPh>
    <rPh sb="35" eb="37">
      <t>キサイ</t>
    </rPh>
    <rPh sb="38" eb="40">
      <t>サイゴ</t>
    </rPh>
    <rPh sb="41" eb="43">
      <t>スウチ</t>
    </rPh>
    <rPh sb="44" eb="45">
      <t>ヒ</t>
    </rPh>
    <rPh sb="46" eb="47">
      <t>パ</t>
    </rPh>
    <rPh sb="54" eb="56">
      <t>カンスウ</t>
    </rPh>
    <rPh sb="58" eb="60">
      <t>イチブ</t>
    </rPh>
    <rPh sb="64" eb="66">
      <t>ジョウソウ</t>
    </rPh>
    <rPh sb="66" eb="68">
      <t>チョクゼン</t>
    </rPh>
    <rPh sb="70" eb="71">
      <t>ヒョウ</t>
    </rPh>
    <rPh sb="73" eb="75">
      <t>シヨウ</t>
    </rPh>
    <phoneticPr fontId="1"/>
  </si>
  <si>
    <t>　40列の「最高BMD」は、ここの計算式を使わず、セル内に直接関数を入れて計算（表示）している。なお、「D40」と「D41」は配列数式のため、ctrl+shiftを押しながらEnterで決定すること（他のところにもこういうセルあり、注意）</t>
    <rPh sb="3" eb="4">
      <t>レツ</t>
    </rPh>
    <rPh sb="6" eb="8">
      <t>サイコウ</t>
    </rPh>
    <rPh sb="17" eb="20">
      <t>ケイサンシキ</t>
    </rPh>
    <rPh sb="21" eb="22">
      <t>ツカ</t>
    </rPh>
    <rPh sb="27" eb="28">
      <t>ナイ</t>
    </rPh>
    <rPh sb="29" eb="31">
      <t>チョクセツ</t>
    </rPh>
    <rPh sb="31" eb="33">
      <t>カンスウ</t>
    </rPh>
    <rPh sb="34" eb="35">
      <t>イ</t>
    </rPh>
    <rPh sb="37" eb="39">
      <t>ケイサン</t>
    </rPh>
    <rPh sb="40" eb="42">
      <t>ヒョウジ</t>
    </rPh>
    <phoneticPr fontId="1"/>
  </si>
  <si>
    <t>No.</t>
    <phoneticPr fontId="1"/>
  </si>
  <si>
    <t>目標名</t>
    <rPh sb="0" eb="2">
      <t>モクヒョウ</t>
    </rPh>
    <rPh sb="2" eb="3">
      <t>メイ</t>
    </rPh>
    <phoneticPr fontId="1"/>
  </si>
  <si>
    <t>最高品温（℃）</t>
    <rPh sb="0" eb="2">
      <t>サイコウ</t>
    </rPh>
    <rPh sb="2" eb="4">
      <t>ヒンオン</t>
    </rPh>
    <phoneticPr fontId="1"/>
  </si>
  <si>
    <t>濃淡指数</t>
    <rPh sb="0" eb="2">
      <t>ノウタン</t>
    </rPh>
    <rPh sb="2" eb="4">
      <t>シスウ</t>
    </rPh>
    <phoneticPr fontId="1"/>
  </si>
  <si>
    <t>もろみ
経過</t>
    <rPh sb="4" eb="6">
      <t>ケイカ</t>
    </rPh>
    <phoneticPr fontId="1"/>
  </si>
  <si>
    <t>アミノ酸度比</t>
    <rPh sb="3" eb="5">
      <t>サンド</t>
    </rPh>
    <rPh sb="5" eb="6">
      <t>ヒ</t>
    </rPh>
    <phoneticPr fontId="1"/>
  </si>
  <si>
    <t>グルコース比</t>
    <rPh sb="5" eb="6">
      <t>ヒ</t>
    </rPh>
    <phoneticPr fontId="1"/>
  </si>
  <si>
    <t>上槽
直前</t>
    <rPh sb="0" eb="2">
      <t>ジョウソウ</t>
    </rPh>
    <rPh sb="3" eb="5">
      <t>チョクゼン</t>
    </rPh>
    <phoneticPr fontId="1"/>
  </si>
  <si>
    <t>製成酒に関する各種目標数値</t>
    <rPh sb="0" eb="2">
      <t>セイセイ</t>
    </rPh>
    <rPh sb="2" eb="3">
      <t>シュ</t>
    </rPh>
    <rPh sb="4" eb="5">
      <t>カン</t>
    </rPh>
    <rPh sb="7" eb="9">
      <t>カクシュ</t>
    </rPh>
    <rPh sb="9" eb="11">
      <t>モクヒョウ</t>
    </rPh>
    <rPh sb="11" eb="13">
      <t>スウチ</t>
    </rPh>
    <phoneticPr fontId="1"/>
  </si>
  <si>
    <t>理想とする（許容する）アルコール及びボーメの範囲（A-B直線の範囲）</t>
    <rPh sb="0" eb="2">
      <t>リソウ</t>
    </rPh>
    <rPh sb="6" eb="8">
      <t>キョヨウ</t>
    </rPh>
    <rPh sb="16" eb="17">
      <t>オヨ</t>
    </rPh>
    <rPh sb="22" eb="24">
      <t>ハンイ</t>
    </rPh>
    <rPh sb="28" eb="30">
      <t>チョクセン</t>
    </rPh>
    <rPh sb="31" eb="33">
      <t>ハンイ</t>
    </rPh>
    <phoneticPr fontId="1"/>
  </si>
  <si>
    <t>理想直線１（溶けた場合）</t>
    <rPh sb="0" eb="2">
      <t>リソウ</t>
    </rPh>
    <rPh sb="2" eb="4">
      <t>チョクセン</t>
    </rPh>
    <rPh sb="6" eb="7">
      <t>ト</t>
    </rPh>
    <rPh sb="9" eb="11">
      <t>バアイ</t>
    </rPh>
    <phoneticPr fontId="1"/>
  </si>
  <si>
    <t>理想直線２（溶けなかった場合）</t>
    <rPh sb="0" eb="2">
      <t>リソウ</t>
    </rPh>
    <rPh sb="2" eb="4">
      <t>チョクセン</t>
    </rPh>
    <rPh sb="6" eb="7">
      <t>ト</t>
    </rPh>
    <rPh sb="12" eb="14">
      <t>バアイ</t>
    </rPh>
    <phoneticPr fontId="1"/>
  </si>
  <si>
    <t>吟醸１</t>
    <rPh sb="0" eb="2">
      <t>ギンジョウ</t>
    </rPh>
    <phoneticPr fontId="1"/>
  </si>
  <si>
    <t>グルコース（g/100ml）</t>
    <phoneticPr fontId="1"/>
  </si>
  <si>
    <t>アミノ酸度（ml）</t>
  </si>
  <si>
    <t>酸度（ml）</t>
    <rPh sb="0" eb="2">
      <t>サンド</t>
    </rPh>
    <phoneticPr fontId="1"/>
  </si>
  <si>
    <t>【目標値について】</t>
    <rPh sb="1" eb="4">
      <t>モクヒョウチ</t>
    </rPh>
    <phoneticPr fontId="1"/>
  </si>
  <si>
    <t>アミノ酸度（ml）</t>
    <rPh sb="3" eb="4">
      <t>サン</t>
    </rPh>
    <rPh sb="4" eb="5">
      <t>ド</t>
    </rPh>
    <phoneticPr fontId="1"/>
  </si>
  <si>
    <t>BMD</t>
    <phoneticPr fontId="1"/>
  </si>
  <si>
    <t>原エキス分</t>
    <rPh sb="0" eb="1">
      <t>ゲン</t>
    </rPh>
    <rPh sb="4" eb="5">
      <t>ブン</t>
    </rPh>
    <phoneticPr fontId="1"/>
  </si>
  <si>
    <t>数量（L）</t>
    <rPh sb="0" eb="2">
      <t>スウリョウ</t>
    </rPh>
    <phoneticPr fontId="1"/>
  </si>
  <si>
    <t>もろみ歩合（％）</t>
    <rPh sb="3" eb="5">
      <t>ブアイ</t>
    </rPh>
    <phoneticPr fontId="1"/>
  </si>
  <si>
    <t>くみ水（L）</t>
    <rPh sb="2" eb="3">
      <t>ミズ</t>
    </rPh>
    <phoneticPr fontId="1"/>
  </si>
  <si>
    <t>総米（ｋｇ）</t>
    <rPh sb="0" eb="1">
      <t>ソウ</t>
    </rPh>
    <rPh sb="1" eb="2">
      <t>マイ</t>
    </rPh>
    <phoneticPr fontId="1"/>
  </si>
  <si>
    <t>最高BMD時の日数</t>
    <rPh sb="0" eb="2">
      <t>サイコウ</t>
    </rPh>
    <rPh sb="5" eb="6">
      <t>ジ</t>
    </rPh>
    <rPh sb="7" eb="9">
      <t>ニッスウ</t>
    </rPh>
    <phoneticPr fontId="1"/>
  </si>
  <si>
    <t>G/α比</t>
    <rPh sb="3" eb="4">
      <t>ヒ</t>
    </rPh>
    <phoneticPr fontId="1"/>
  </si>
  <si>
    <t>四段仕込の種類
及び数量（kg、L）</t>
    <rPh sb="0" eb="2">
      <t>ヨダン</t>
    </rPh>
    <rPh sb="2" eb="4">
      <t>シコミ</t>
    </rPh>
    <rPh sb="5" eb="7">
      <t>シュルイ</t>
    </rPh>
    <rPh sb="8" eb="9">
      <t>オヨ</t>
    </rPh>
    <rPh sb="10" eb="12">
      <t>スウリョウ</t>
    </rPh>
    <phoneticPr fontId="1"/>
  </si>
  <si>
    <t>こしき置き前
吸水率（％）</t>
    <rPh sb="3" eb="4">
      <t>オ</t>
    </rPh>
    <rPh sb="5" eb="6">
      <t>マエ</t>
    </rPh>
    <rPh sb="7" eb="9">
      <t>キュウスイ</t>
    </rPh>
    <rPh sb="9" eb="10">
      <t>リツ</t>
    </rPh>
    <phoneticPr fontId="1"/>
  </si>
  <si>
    <t>蒸し出し即時
吸水率（％）</t>
    <rPh sb="7" eb="9">
      <t>キュウスイ</t>
    </rPh>
    <rPh sb="9" eb="10">
      <t>リツ</t>
    </rPh>
    <phoneticPr fontId="1"/>
  </si>
  <si>
    <t>かす換算数量（L）</t>
    <rPh sb="2" eb="4">
      <t>カンサン</t>
    </rPh>
    <rPh sb="4" eb="6">
      <t>スウリョウ</t>
    </rPh>
    <phoneticPr fontId="1"/>
  </si>
  <si>
    <t>実重量(kg）</t>
    <rPh sb="0" eb="1">
      <t>ジツ</t>
    </rPh>
    <rPh sb="1" eb="3">
      <t>ジュウリョウ</t>
    </rPh>
    <phoneticPr fontId="1"/>
  </si>
  <si>
    <t>原エキス分</t>
    <rPh sb="0" eb="1">
      <t>ハラ</t>
    </rPh>
    <rPh sb="4" eb="5">
      <t>ブン</t>
    </rPh>
    <phoneticPr fontId="1"/>
  </si>
  <si>
    <t>1回目</t>
    <rPh sb="1" eb="3">
      <t>カイメ</t>
    </rPh>
    <phoneticPr fontId="1"/>
  </si>
  <si>
    <t>２回目</t>
    <rPh sb="1" eb="3">
      <t>カイメ</t>
    </rPh>
    <phoneticPr fontId="1"/>
  </si>
  <si>
    <t>３回目</t>
    <rPh sb="1" eb="3">
      <t>カイメ</t>
    </rPh>
    <phoneticPr fontId="1"/>
  </si>
  <si>
    <t>４回目</t>
    <rPh sb="1" eb="3">
      <t>カイメ</t>
    </rPh>
    <phoneticPr fontId="1"/>
  </si>
  <si>
    <t>５回目</t>
    <rPh sb="1" eb="3">
      <t>カイメ</t>
    </rPh>
    <phoneticPr fontId="1"/>
  </si>
  <si>
    <t>６回目</t>
    <rPh sb="1" eb="3">
      <t>カイメ</t>
    </rPh>
    <phoneticPr fontId="1"/>
  </si>
  <si>
    <t>７回目</t>
    <rPh sb="1" eb="3">
      <t>カイメ</t>
    </rPh>
    <phoneticPr fontId="1"/>
  </si>
  <si>
    <t>８回目</t>
    <rPh sb="1" eb="3">
      <t>カイメ</t>
    </rPh>
    <phoneticPr fontId="1"/>
  </si>
  <si>
    <t>９回目</t>
    <rPh sb="1" eb="3">
      <t>カイメ</t>
    </rPh>
    <phoneticPr fontId="1"/>
  </si>
  <si>
    <t>１０回目</t>
    <rPh sb="2" eb="4">
      <t>カイメ</t>
    </rPh>
    <phoneticPr fontId="1"/>
  </si>
  <si>
    <t>〇日目</t>
    <rPh sb="1" eb="2">
      <t>ニチ</t>
    </rPh>
    <rPh sb="2" eb="3">
      <t>メ</t>
    </rPh>
    <phoneticPr fontId="1"/>
  </si>
  <si>
    <t>汲水歩合</t>
    <phoneticPr fontId="1"/>
  </si>
  <si>
    <t>留即時</t>
    <rPh sb="0" eb="1">
      <t>トメ</t>
    </rPh>
    <rPh sb="1" eb="2">
      <t>ソク</t>
    </rPh>
    <rPh sb="2" eb="3">
      <t>ジ</t>
    </rPh>
    <phoneticPr fontId="1"/>
  </si>
  <si>
    <t>追水１</t>
    <rPh sb="0" eb="1">
      <t>オ</t>
    </rPh>
    <rPh sb="1" eb="2">
      <t>ミズ</t>
    </rPh>
    <phoneticPr fontId="1"/>
  </si>
  <si>
    <t>追水２</t>
    <rPh sb="0" eb="1">
      <t>オ</t>
    </rPh>
    <rPh sb="1" eb="2">
      <t>ミズ</t>
    </rPh>
    <phoneticPr fontId="1"/>
  </si>
  <si>
    <t>追水３</t>
    <rPh sb="0" eb="1">
      <t>オ</t>
    </rPh>
    <rPh sb="1" eb="2">
      <t>ミズ</t>
    </rPh>
    <phoneticPr fontId="1"/>
  </si>
  <si>
    <t>追水４</t>
    <rPh sb="0" eb="1">
      <t>オ</t>
    </rPh>
    <rPh sb="1" eb="2">
      <t>ミズ</t>
    </rPh>
    <phoneticPr fontId="1"/>
  </si>
  <si>
    <t>追水５</t>
    <rPh sb="0" eb="1">
      <t>オ</t>
    </rPh>
    <rPh sb="1" eb="2">
      <t>ミズ</t>
    </rPh>
    <phoneticPr fontId="1"/>
  </si>
  <si>
    <t>追水６</t>
    <rPh sb="0" eb="1">
      <t>オ</t>
    </rPh>
    <rPh sb="1" eb="2">
      <t>ミズ</t>
    </rPh>
    <phoneticPr fontId="1"/>
  </si>
  <si>
    <t>追水７</t>
    <rPh sb="0" eb="1">
      <t>オ</t>
    </rPh>
    <rPh sb="1" eb="2">
      <t>ミズ</t>
    </rPh>
    <phoneticPr fontId="1"/>
  </si>
  <si>
    <t>追水８</t>
    <rPh sb="0" eb="1">
      <t>オ</t>
    </rPh>
    <rPh sb="1" eb="2">
      <t>ミズ</t>
    </rPh>
    <phoneticPr fontId="1"/>
  </si>
  <si>
    <t>追水９</t>
    <rPh sb="0" eb="1">
      <t>オ</t>
    </rPh>
    <rPh sb="1" eb="2">
      <t>ミズ</t>
    </rPh>
    <phoneticPr fontId="1"/>
  </si>
  <si>
    <t>追水１０</t>
    <rPh sb="0" eb="1">
      <t>オ</t>
    </rPh>
    <rPh sb="1" eb="2">
      <t>ミズ</t>
    </rPh>
    <phoneticPr fontId="1"/>
  </si>
  <si>
    <t>追水無効アルコール分</t>
    <rPh sb="0" eb="1">
      <t>オ</t>
    </rPh>
    <rPh sb="1" eb="2">
      <t>ミズ</t>
    </rPh>
    <rPh sb="2" eb="4">
      <t>ムコウ</t>
    </rPh>
    <rPh sb="9" eb="10">
      <t>ブン</t>
    </rPh>
    <phoneticPr fontId="1"/>
  </si>
  <si>
    <t>追水無効エキス分</t>
    <rPh sb="0" eb="1">
      <t>オ</t>
    </rPh>
    <rPh sb="1" eb="2">
      <t>ミズ</t>
    </rPh>
    <rPh sb="2" eb="4">
      <t>ムコウ</t>
    </rPh>
    <rPh sb="7" eb="8">
      <t>ブン</t>
    </rPh>
    <phoneticPr fontId="1"/>
  </si>
  <si>
    <t>追水無効グルコース</t>
    <rPh sb="0" eb="1">
      <t>オ</t>
    </rPh>
    <rPh sb="1" eb="2">
      <t>ミズ</t>
    </rPh>
    <rPh sb="2" eb="4">
      <t>ムコウ</t>
    </rPh>
    <phoneticPr fontId="1"/>
  </si>
  <si>
    <t>オリゴ糖</t>
    <rPh sb="3" eb="4">
      <t>トウ</t>
    </rPh>
    <phoneticPr fontId="1"/>
  </si>
  <si>
    <t>（汲水100％換算）</t>
    <rPh sb="1" eb="2">
      <t>ク</t>
    </rPh>
    <rPh sb="2" eb="3">
      <t>ミズ</t>
    </rPh>
    <rPh sb="7" eb="9">
      <t>カンサン</t>
    </rPh>
    <phoneticPr fontId="1"/>
  </si>
  <si>
    <t>発酵力</t>
  </si>
  <si>
    <t>液化力</t>
    <rPh sb="0" eb="2">
      <t>エキカ</t>
    </rPh>
    <rPh sb="2" eb="3">
      <t>リョク</t>
    </rPh>
    <phoneticPr fontId="1"/>
  </si>
  <si>
    <t>糖化力</t>
    <rPh sb="0" eb="2">
      <t>トウカ</t>
    </rPh>
    <rPh sb="2" eb="3">
      <t>リョク</t>
    </rPh>
    <phoneticPr fontId="1"/>
  </si>
  <si>
    <t>発酵力・液化力・糖化力算出のための比較日数</t>
    <rPh sb="4" eb="6">
      <t>エキカ</t>
    </rPh>
    <rPh sb="6" eb="7">
      <t>リョク</t>
    </rPh>
    <rPh sb="8" eb="10">
      <t>トウカ</t>
    </rPh>
    <rPh sb="10" eb="11">
      <t>リョク</t>
    </rPh>
    <rPh sb="11" eb="13">
      <t>サンシュツ</t>
    </rPh>
    <rPh sb="17" eb="19">
      <t>ヒカク</t>
    </rPh>
    <rPh sb="19" eb="21">
      <t>ニッスウ</t>
    </rPh>
    <phoneticPr fontId="1"/>
  </si>
  <si>
    <t>日</t>
    <rPh sb="0" eb="1">
      <t>ニチ</t>
    </rPh>
    <phoneticPr fontId="1"/>
  </si>
  <si>
    <t>最高ボーメ時の日数</t>
    <rPh sb="0" eb="2">
      <t>サイコウ</t>
    </rPh>
    <rPh sb="5" eb="6">
      <t>ジ</t>
    </rPh>
    <rPh sb="7" eb="9">
      <t>ニッスウ</t>
    </rPh>
    <phoneticPr fontId="1"/>
  </si>
  <si>
    <t>追水量（L)</t>
    <rPh sb="0" eb="1">
      <t>オ</t>
    </rPh>
    <rPh sb="1" eb="2">
      <t>ミズ</t>
    </rPh>
    <rPh sb="2" eb="3">
      <t>リョウ</t>
    </rPh>
    <phoneticPr fontId="1"/>
  </si>
  <si>
    <t>【発酵力等関係：追水無効化参照セル】</t>
    <rPh sb="1" eb="3">
      <t>ハッコウ</t>
    </rPh>
    <rPh sb="3" eb="4">
      <t>リョク</t>
    </rPh>
    <rPh sb="4" eb="5">
      <t>トウ</t>
    </rPh>
    <rPh sb="5" eb="7">
      <t>カンケイ</t>
    </rPh>
    <rPh sb="8" eb="9">
      <t>オ</t>
    </rPh>
    <rPh sb="9" eb="10">
      <t>ミズ</t>
    </rPh>
    <rPh sb="10" eb="12">
      <t>ムコウ</t>
    </rPh>
    <rPh sb="12" eb="13">
      <t>カ</t>
    </rPh>
    <rPh sb="13" eb="15">
      <t>サンショウ</t>
    </rPh>
    <phoneticPr fontId="1"/>
  </si>
  <si>
    <t>換算なし</t>
    <rPh sb="0" eb="2">
      <t>カンサン</t>
    </rPh>
    <phoneticPr fontId="1"/>
  </si>
  <si>
    <t>発酵力（g/100ml）</t>
    <rPh sb="0" eb="2">
      <t>ハッコウ</t>
    </rPh>
    <rPh sb="2" eb="3">
      <t>リョク</t>
    </rPh>
    <phoneticPr fontId="1"/>
  </si>
  <si>
    <t>エキス分（g/100ml）</t>
    <rPh sb="3" eb="4">
      <t>ブン</t>
    </rPh>
    <phoneticPr fontId="1"/>
  </si>
  <si>
    <t>原エキス分（g/100ml）</t>
    <rPh sb="0" eb="1">
      <t>ゲン</t>
    </rPh>
    <rPh sb="4" eb="5">
      <t>ブン</t>
    </rPh>
    <phoneticPr fontId="1"/>
  </si>
  <si>
    <t>オリゴ糖（g/100ml）</t>
    <rPh sb="3" eb="4">
      <t>トウ</t>
    </rPh>
    <phoneticPr fontId="1"/>
  </si>
  <si>
    <t>液化力（g/100ml）</t>
    <rPh sb="0" eb="2">
      <t>エキカ</t>
    </rPh>
    <rPh sb="2" eb="3">
      <t>リョク</t>
    </rPh>
    <phoneticPr fontId="1"/>
  </si>
  <si>
    <t>糖化力（g/100ml）</t>
    <rPh sb="0" eb="2">
      <t>トウカ</t>
    </rPh>
    <rPh sb="2" eb="3">
      <t>リョク</t>
    </rPh>
    <phoneticPr fontId="1"/>
  </si>
  <si>
    <t>発酵力・液化力・糖化力のくみ水補正（100％換算）</t>
    <rPh sb="4" eb="6">
      <t>エキカ</t>
    </rPh>
    <rPh sb="6" eb="7">
      <t>リョク</t>
    </rPh>
    <rPh sb="8" eb="10">
      <t>トウカ</t>
    </rPh>
    <rPh sb="10" eb="11">
      <t>リョク</t>
    </rPh>
    <rPh sb="14" eb="15">
      <t>ミズ</t>
    </rPh>
    <rPh sb="15" eb="17">
      <t>ホセイ</t>
    </rPh>
    <rPh sb="22" eb="24">
      <t>カンサン</t>
    </rPh>
    <phoneticPr fontId="1"/>
  </si>
  <si>
    <t>【目標時のもろみ日本酒度予想　】</t>
    <rPh sb="1" eb="3">
      <t>モクヒョウ</t>
    </rPh>
    <rPh sb="3" eb="4">
      <t>ジ</t>
    </rPh>
    <rPh sb="8" eb="11">
      <t>ニホンシュ</t>
    </rPh>
    <rPh sb="11" eb="12">
      <t>ド</t>
    </rPh>
    <rPh sb="12" eb="14">
      <t>ヨソウ</t>
    </rPh>
    <phoneticPr fontId="1"/>
  </si>
  <si>
    <t>メーターになった時の日本酒度</t>
    <rPh sb="8" eb="9">
      <t>トキ</t>
    </rPh>
    <rPh sb="10" eb="13">
      <t>ニホンシュ</t>
    </rPh>
    <rPh sb="13" eb="14">
      <t>ド</t>
    </rPh>
    <phoneticPr fontId="1"/>
  </si>
  <si>
    <t>上記の時のアルコール分</t>
    <rPh sb="0" eb="2">
      <t>ジョウキ</t>
    </rPh>
    <rPh sb="3" eb="4">
      <t>トキ</t>
    </rPh>
    <rPh sb="10" eb="11">
      <t>ブン</t>
    </rPh>
    <phoneticPr fontId="1"/>
  </si>
  <si>
    <t>比重換算</t>
    <rPh sb="0" eb="2">
      <t>ヒジュウ</t>
    </rPh>
    <rPh sb="2" eb="4">
      <t>カンサン</t>
    </rPh>
    <phoneticPr fontId="1"/>
  </si>
  <si>
    <t>実際の最高ボーメ</t>
    <rPh sb="0" eb="2">
      <t>ジッサイ</t>
    </rPh>
    <rPh sb="3" eb="5">
      <t>サイコウ</t>
    </rPh>
    <phoneticPr fontId="1"/>
  </si>
  <si>
    <t>目標の最高ボーメ</t>
    <rPh sb="0" eb="2">
      <t>モクヒョウ</t>
    </rPh>
    <rPh sb="3" eb="5">
      <t>サイコウ</t>
    </rPh>
    <phoneticPr fontId="1"/>
  </si>
  <si>
    <t>目標の最高BMD</t>
    <rPh sb="0" eb="2">
      <t>モクヒョウ</t>
    </rPh>
    <rPh sb="3" eb="5">
      <t>サイコウ</t>
    </rPh>
    <phoneticPr fontId="1"/>
  </si>
  <si>
    <t>実際の最高BMD</t>
    <rPh sb="0" eb="2">
      <t>ジッサイ</t>
    </rPh>
    <rPh sb="3" eb="5">
      <t>サイコウ</t>
    </rPh>
    <phoneticPr fontId="1"/>
  </si>
  <si>
    <t>【最高BMD、最高ボーメ関係】</t>
    <rPh sb="1" eb="3">
      <t>サイコウ</t>
    </rPh>
    <rPh sb="7" eb="9">
      <t>サイコウ</t>
    </rPh>
    <rPh sb="12" eb="14">
      <t>カンケイ</t>
    </rPh>
    <phoneticPr fontId="1"/>
  </si>
  <si>
    <t>【変更履歴・作成者】</t>
    <rPh sb="1" eb="3">
      <t>ヘンコウ</t>
    </rPh>
    <rPh sb="3" eb="5">
      <t>リレキ</t>
    </rPh>
    <rPh sb="6" eb="9">
      <t>サクセイシャ</t>
    </rPh>
    <phoneticPr fontId="1"/>
  </si>
  <si>
    <t>日付</t>
    <rPh sb="0" eb="2">
      <t>ヒヅケ</t>
    </rPh>
    <phoneticPr fontId="1"/>
  </si>
  <si>
    <t>作成者</t>
    <rPh sb="0" eb="3">
      <t>サクセイシャ</t>
    </rPh>
    <phoneticPr fontId="1"/>
  </si>
  <si>
    <t>内容</t>
    <rPh sb="0" eb="2">
      <t>ナイヨウ</t>
    </rPh>
    <phoneticPr fontId="1"/>
  </si>
  <si>
    <t>Ver</t>
    <phoneticPr fontId="1"/>
  </si>
  <si>
    <t>飯島隆、田中宏典</t>
    <rPh sb="0" eb="2">
      <t>イイジマ</t>
    </rPh>
    <rPh sb="2" eb="3">
      <t>タカシ</t>
    </rPh>
    <rPh sb="4" eb="6">
      <t>タナカ</t>
    </rPh>
    <rPh sb="6" eb="8">
      <t>ヒロノリ</t>
    </rPh>
    <phoneticPr fontId="1"/>
  </si>
  <si>
    <t>βバージョンリリース。</t>
    <phoneticPr fontId="1"/>
  </si>
  <si>
    <t>目標値を複数セットできるようにした。発酵力・液化力・糖化力を表示できるようにした。個別計算ツール部分を削除した。その他細かい修正等。</t>
    <rPh sb="0" eb="3">
      <t>モクヒョウチ</t>
    </rPh>
    <rPh sb="4" eb="6">
      <t>フクスウ</t>
    </rPh>
    <rPh sb="18" eb="20">
      <t>ハッコウ</t>
    </rPh>
    <rPh sb="20" eb="29">
      <t>リョク・エキカリョク・トウカリョク</t>
    </rPh>
    <rPh sb="30" eb="32">
      <t>ヒョウジ</t>
    </rPh>
    <rPh sb="41" eb="43">
      <t>コベツ</t>
    </rPh>
    <rPh sb="43" eb="45">
      <t>ケイサン</t>
    </rPh>
    <rPh sb="48" eb="50">
      <t>ブブン</t>
    </rPh>
    <rPh sb="51" eb="53">
      <t>サクジョ</t>
    </rPh>
    <rPh sb="58" eb="59">
      <t>タ</t>
    </rPh>
    <rPh sb="59" eb="60">
      <t>コマ</t>
    </rPh>
    <rPh sb="62" eb="64">
      <t>シュウセイ</t>
    </rPh>
    <rPh sb="64" eb="65">
      <t>トウ</t>
    </rPh>
    <phoneticPr fontId="1"/>
  </si>
  <si>
    <t>酒母歩合（％）</t>
    <rPh sb="0" eb="2">
      <t>シュボ</t>
    </rPh>
    <rPh sb="2" eb="4">
      <t>ブアイ</t>
    </rPh>
    <phoneticPr fontId="1"/>
  </si>
  <si>
    <t>こうじ歩合（％）</t>
    <rPh sb="3" eb="5">
      <t>ブアイ</t>
    </rPh>
    <phoneticPr fontId="1"/>
  </si>
  <si>
    <t>初添総米を１とした時の比率</t>
    <phoneticPr fontId="1"/>
  </si>
  <si>
    <t>酒母総米を１とした時の比率</t>
    <rPh sb="0" eb="2">
      <t>シュボ</t>
    </rPh>
    <rPh sb="2" eb="3">
      <t>ソウ</t>
    </rPh>
    <rPh sb="3" eb="4">
      <t>マイ</t>
    </rPh>
    <rPh sb="9" eb="10">
      <t>トキ</t>
    </rPh>
    <rPh sb="11" eb="13">
      <t>ヒリツ</t>
    </rPh>
    <phoneticPr fontId="1"/>
  </si>
  <si>
    <t>添加アルコール数量（L）</t>
    <rPh sb="0" eb="2">
      <t>テンカ</t>
    </rPh>
    <rPh sb="7" eb="9">
      <t>スウリョウ</t>
    </rPh>
    <phoneticPr fontId="1"/>
  </si>
  <si>
    <t>純アルコール数量（L）</t>
    <rPh sb="0" eb="1">
      <t>ジュン</t>
    </rPh>
    <rPh sb="6" eb="8">
      <t>スウリョウ</t>
    </rPh>
    <phoneticPr fontId="1"/>
  </si>
  <si>
    <t>添加アルコール重量(kg）</t>
    <rPh sb="0" eb="2">
      <t>テンカ</t>
    </rPh>
    <rPh sb="7" eb="9">
      <t>ジュウリョウ</t>
    </rPh>
    <phoneticPr fontId="1"/>
  </si>
  <si>
    <t>増加数量（L）</t>
    <rPh sb="0" eb="2">
      <t>ゾウカ</t>
    </rPh>
    <rPh sb="2" eb="4">
      <t>スウリョウ</t>
    </rPh>
    <phoneticPr fontId="1"/>
  </si>
  <si>
    <t>増加歩合（％）</t>
    <rPh sb="0" eb="2">
      <t>ゾウカ</t>
    </rPh>
    <rPh sb="2" eb="4">
      <t>ブアイ</t>
    </rPh>
    <phoneticPr fontId="1"/>
  </si>
  <si>
    <t>くみ水歩合（％）</t>
    <rPh sb="2" eb="3">
      <t>ミズ</t>
    </rPh>
    <rPh sb="3" eb="5">
      <t>ブアイ</t>
    </rPh>
    <phoneticPr fontId="1"/>
  </si>
  <si>
    <t>くみ水歩合（％）（四段除く）</t>
    <rPh sb="2" eb="3">
      <t>ミズ</t>
    </rPh>
    <rPh sb="3" eb="5">
      <t>ブアイ</t>
    </rPh>
    <rPh sb="9" eb="11">
      <t>ヨダン</t>
    </rPh>
    <rPh sb="11" eb="12">
      <t>ノゾ</t>
    </rPh>
    <phoneticPr fontId="1"/>
  </si>
  <si>
    <t>アルコール（L)（30％換算）</t>
    <rPh sb="12" eb="14">
      <t>カンサン</t>
    </rPh>
    <phoneticPr fontId="1"/>
  </si>
  <si>
    <t>酵素剤</t>
    <rPh sb="0" eb="2">
      <t>コウソ</t>
    </rPh>
    <rPh sb="2" eb="3">
      <t>ザイ</t>
    </rPh>
    <phoneticPr fontId="1"/>
  </si>
  <si>
    <t>使用日</t>
    <rPh sb="0" eb="2">
      <t>シヨウ</t>
    </rPh>
    <rPh sb="2" eb="3">
      <t>ビ</t>
    </rPh>
    <phoneticPr fontId="1"/>
  </si>
  <si>
    <t>使用数量（ｇ）</t>
    <rPh sb="0" eb="2">
      <t>シヨウ</t>
    </rPh>
    <rPh sb="2" eb="3">
      <t>スウ</t>
    </rPh>
    <rPh sb="3" eb="4">
      <t>リョウ</t>
    </rPh>
    <phoneticPr fontId="1"/>
  </si>
  <si>
    <t>添加アルコール分（度）</t>
    <rPh sb="0" eb="2">
      <t>テンカ</t>
    </rPh>
    <rPh sb="7" eb="8">
      <t>ブン</t>
    </rPh>
    <rPh sb="9" eb="10">
      <t>ド</t>
    </rPh>
    <phoneticPr fontId="1"/>
  </si>
  <si>
    <t>（留意事項）</t>
    <rPh sb="1" eb="3">
      <t>リュウイ</t>
    </rPh>
    <rPh sb="3" eb="5">
      <t>ジコウ</t>
    </rPh>
    <phoneticPr fontId="1"/>
  </si>
  <si>
    <t>↑上2つのセルは使用しないことにした</t>
    <rPh sb="1" eb="2">
      <t>ウエ</t>
    </rPh>
    <rPh sb="8" eb="10">
      <t>シヨウ</t>
    </rPh>
    <phoneticPr fontId="1"/>
  </si>
  <si>
    <t>【上槽直前の表の計算式】</t>
    <rPh sb="1" eb="3">
      <t>ジョウソウ</t>
    </rPh>
    <rPh sb="3" eb="5">
      <t>チョクゼン</t>
    </rPh>
    <rPh sb="6" eb="7">
      <t>ヒョウ</t>
    </rPh>
    <rPh sb="8" eb="11">
      <t>ケイサンシキ</t>
    </rPh>
    <phoneticPr fontId="1"/>
  </si>
  <si>
    <t>原エキス分(くみみず補正）</t>
    <rPh sb="0" eb="1">
      <t>ゲン</t>
    </rPh>
    <rPh sb="4" eb="5">
      <t>ブン</t>
    </rPh>
    <rPh sb="10" eb="12">
      <t>ホセイ</t>
    </rPh>
    <phoneticPr fontId="1"/>
  </si>
  <si>
    <t>←四段のくみ水も考慮</t>
    <rPh sb="1" eb="3">
      <t>ヨダン</t>
    </rPh>
    <rPh sb="6" eb="7">
      <t>ミズ</t>
    </rPh>
    <rPh sb="8" eb="10">
      <t>コウリョ</t>
    </rPh>
    <phoneticPr fontId="1"/>
  </si>
  <si>
    <t>原エキス（くみ水100％補正）</t>
    <rPh sb="0" eb="1">
      <t>ゲン</t>
    </rPh>
    <rPh sb="7" eb="8">
      <t>ミズ</t>
    </rPh>
    <rPh sb="12" eb="14">
      <t>ホセイ</t>
    </rPh>
    <phoneticPr fontId="1"/>
  </si>
  <si>
    <t>検温</t>
    <rPh sb="0" eb="2">
      <t>ケンオン</t>
    </rPh>
    <phoneticPr fontId="1"/>
  </si>
  <si>
    <t>酒母こうじ</t>
    <rPh sb="0" eb="2">
      <t>シュボ</t>
    </rPh>
    <phoneticPr fontId="1"/>
  </si>
  <si>
    <t>添こうじ</t>
    <rPh sb="0" eb="1">
      <t>ソ</t>
    </rPh>
    <phoneticPr fontId="1"/>
  </si>
  <si>
    <t>仲こうじ</t>
    <rPh sb="0" eb="1">
      <t>ナカ</t>
    </rPh>
    <phoneticPr fontId="1"/>
  </si>
  <si>
    <t>留こうじ</t>
    <rPh sb="0" eb="1">
      <t>トメ</t>
    </rPh>
    <phoneticPr fontId="1"/>
  </si>
  <si>
    <t>日数</t>
    <rPh sb="0" eb="1">
      <t>ヒ</t>
    </rPh>
    <rPh sb="1" eb="2">
      <t>スウ</t>
    </rPh>
    <phoneticPr fontId="1"/>
  </si>
  <si>
    <t>アルコール分</t>
    <rPh sb="5" eb="6">
      <t>ブン</t>
    </rPh>
    <phoneticPr fontId="1"/>
  </si>
  <si>
    <t>原エキス計算</t>
    <rPh sb="0" eb="1">
      <t>ゲン</t>
    </rPh>
    <rPh sb="4" eb="6">
      <t>ケイサン</t>
    </rPh>
    <phoneticPr fontId="1"/>
  </si>
  <si>
    <t>ボーメを日本酒度に</t>
    <rPh sb="4" eb="7">
      <t>ニホンシュ</t>
    </rPh>
    <rPh sb="7" eb="8">
      <t>ド</t>
    </rPh>
    <phoneticPr fontId="1"/>
  </si>
  <si>
    <t>エキス</t>
    <phoneticPr fontId="1"/>
  </si>
  <si>
    <t>日数</t>
    <rPh sb="0" eb="2">
      <t>ニッスウ</t>
    </rPh>
    <phoneticPr fontId="1"/>
  </si>
  <si>
    <t>【原エキスグラフにおける目標値用】</t>
    <rPh sb="1" eb="2">
      <t>ゲン</t>
    </rPh>
    <rPh sb="12" eb="15">
      <t>モクヒョウチ</t>
    </rPh>
    <rPh sb="15" eb="16">
      <t>ヨウ</t>
    </rPh>
    <phoneticPr fontId="1"/>
  </si>
  <si>
    <t>αアミラーゼ</t>
    <phoneticPr fontId="1"/>
  </si>
  <si>
    <t>1000L当りの
使用数量(g)</t>
    <rPh sb="5" eb="6">
      <t>アタ</t>
    </rPh>
    <rPh sb="9" eb="11">
      <t>シヨウ</t>
    </rPh>
    <rPh sb="11" eb="13">
      <t>スウリョウ</t>
    </rPh>
    <phoneticPr fontId="1"/>
  </si>
  <si>
    <t>酒母掛米</t>
    <rPh sb="0" eb="1">
      <t>サケ</t>
    </rPh>
    <rPh sb="1" eb="2">
      <t>ハハ</t>
    </rPh>
    <rPh sb="2" eb="3">
      <t>カ</t>
    </rPh>
    <rPh sb="3" eb="4">
      <t>コメ</t>
    </rPh>
    <phoneticPr fontId="1"/>
  </si>
  <si>
    <t>浸漬後
吸水率（％）
（自動計算）</t>
    <rPh sb="0" eb="2">
      <t>シンセキ</t>
    </rPh>
    <rPh sb="2" eb="3">
      <t>ゴ</t>
    </rPh>
    <rPh sb="4" eb="6">
      <t>キュウスイ</t>
    </rPh>
    <rPh sb="6" eb="7">
      <t>リツ</t>
    </rPh>
    <rPh sb="12" eb="14">
      <t>ジドウ</t>
    </rPh>
    <rPh sb="14" eb="16">
      <t>ケイサン</t>
    </rPh>
    <phoneticPr fontId="1"/>
  </si>
  <si>
    <t>純アルコール数量(L)</t>
    <rPh sb="0" eb="1">
      <t>ジュン</t>
    </rPh>
    <rPh sb="6" eb="8">
      <t>スウリョウ</t>
    </rPh>
    <phoneticPr fontId="1"/>
  </si>
  <si>
    <t>（参考）もろみ製造に係るその他記録事項</t>
    <rPh sb="1" eb="3">
      <t>サンコウ</t>
    </rPh>
    <rPh sb="7" eb="9">
      <t>セイゾウ</t>
    </rPh>
    <rPh sb="10" eb="11">
      <t>カカ</t>
    </rPh>
    <rPh sb="14" eb="15">
      <t>タ</t>
    </rPh>
    <rPh sb="15" eb="17">
      <t>キロク</t>
    </rPh>
    <rPh sb="17" eb="19">
      <t>ジコウ</t>
    </rPh>
    <phoneticPr fontId="1"/>
  </si>
  <si>
    <t>室温（℃）</t>
    <rPh sb="0" eb="2">
      <t>シツオン</t>
    </rPh>
    <phoneticPr fontId="1"/>
  </si>
  <si>
    <t>温度（℃）</t>
    <rPh sb="0" eb="2">
      <t>オンド</t>
    </rPh>
    <phoneticPr fontId="1"/>
  </si>
  <si>
    <t>浸漬後
白米水分（％）
（自動計算）</t>
    <rPh sb="0" eb="2">
      <t>シンセキ</t>
    </rPh>
    <rPh sb="2" eb="3">
      <t>ゴ</t>
    </rPh>
    <rPh sb="4" eb="6">
      <t>ハクマイ</t>
    </rPh>
    <rPh sb="6" eb="8">
      <t>スイブン</t>
    </rPh>
    <rPh sb="13" eb="15">
      <t>ジドウ</t>
    </rPh>
    <rPh sb="15" eb="17">
      <t>ケイサン</t>
    </rPh>
    <phoneticPr fontId="1"/>
  </si>
  <si>
    <t>こしき置き前
白米水分（％）</t>
    <rPh sb="3" eb="4">
      <t>オ</t>
    </rPh>
    <rPh sb="5" eb="6">
      <t>マエ</t>
    </rPh>
    <rPh sb="7" eb="9">
      <t>ハクマイ</t>
    </rPh>
    <rPh sb="9" eb="11">
      <t>スイブン</t>
    </rPh>
    <phoneticPr fontId="1"/>
  </si>
  <si>
    <t>蒸し出し即時
白米水分（％）</t>
    <rPh sb="7" eb="9">
      <t>ハクマイ</t>
    </rPh>
    <rPh sb="9" eb="11">
      <t>スイブン</t>
    </rPh>
    <phoneticPr fontId="1"/>
  </si>
  <si>
    <t>浸漬後
重量（kg）</t>
    <phoneticPr fontId="1"/>
  </si>
  <si>
    <t>浸せき前
重量（kg）</t>
    <rPh sb="0" eb="1">
      <t>ヒタ</t>
    </rPh>
    <rPh sb="3" eb="4">
      <t>マエ</t>
    </rPh>
    <rPh sb="5" eb="7">
      <t>ジュウリョウ</t>
    </rPh>
    <phoneticPr fontId="1"/>
  </si>
  <si>
    <t>原エキス分のくみ水補正（100％換算）</t>
    <rPh sb="0" eb="1">
      <t>ハラ</t>
    </rPh>
    <rPh sb="4" eb="5">
      <t>ブン</t>
    </rPh>
    <rPh sb="8" eb="9">
      <t>ミズ</t>
    </rPh>
    <rPh sb="9" eb="11">
      <t>ホセイ</t>
    </rPh>
    <rPh sb="16" eb="18">
      <t>カンサン</t>
    </rPh>
    <phoneticPr fontId="1"/>
  </si>
  <si>
    <t>補正する</t>
  </si>
  <si>
    <t>仕込名</t>
    <rPh sb="0" eb="2">
      <t>シコミ</t>
    </rPh>
    <rPh sb="2" eb="3">
      <t>メイ</t>
    </rPh>
    <phoneticPr fontId="1"/>
  </si>
  <si>
    <t>グレースケール</t>
    <phoneticPr fontId="1"/>
  </si>
  <si>
    <t>カラー</t>
  </si>
  <si>
    <t>原エキス直線１(100%)</t>
    <rPh sb="0" eb="1">
      <t>ゲン</t>
    </rPh>
    <rPh sb="4" eb="6">
      <t>チョクセン</t>
    </rPh>
    <phoneticPr fontId="1"/>
  </si>
  <si>
    <t>原エキス直線２(100%)</t>
    <rPh sb="0" eb="1">
      <t>ゲン</t>
    </rPh>
    <rPh sb="4" eb="6">
      <t>チョクセン</t>
    </rPh>
    <phoneticPr fontId="1"/>
  </si>
  <si>
    <t>田中宏典</t>
    <rPh sb="0" eb="2">
      <t>タナカ</t>
    </rPh>
    <rPh sb="2" eb="4">
      <t>ヒロノリ</t>
    </rPh>
    <phoneticPr fontId="1"/>
  </si>
  <si>
    <t>しない</t>
  </si>
  <si>
    <t>今回の仕込み</t>
    <rPh sb="0" eb="2">
      <t>コンカイ</t>
    </rPh>
    <rPh sb="3" eb="5">
      <t>シコミ</t>
    </rPh>
    <phoneticPr fontId="29"/>
  </si>
  <si>
    <t>酵母名</t>
    <rPh sb="0" eb="2">
      <t>コウボ</t>
    </rPh>
    <rPh sb="2" eb="3">
      <t>メイ</t>
    </rPh>
    <phoneticPr fontId="29"/>
  </si>
  <si>
    <t>米の品種</t>
    <rPh sb="0" eb="1">
      <t>コメ</t>
    </rPh>
    <rPh sb="2" eb="4">
      <t>ヒンシュ</t>
    </rPh>
    <phoneticPr fontId="29"/>
  </si>
  <si>
    <t>精米歩合</t>
    <rPh sb="0" eb="2">
      <t>セイマイ</t>
    </rPh>
    <rPh sb="2" eb="4">
      <t>ブアイ</t>
    </rPh>
    <phoneticPr fontId="29"/>
  </si>
  <si>
    <t>メモ欄</t>
    <rPh sb="2" eb="3">
      <t>ラン</t>
    </rPh>
    <phoneticPr fontId="29"/>
  </si>
  <si>
    <t>目標エキス分100％換算値</t>
    <rPh sb="0" eb="2">
      <t>モクヒョウ</t>
    </rPh>
    <rPh sb="5" eb="6">
      <t>ブン</t>
    </rPh>
    <rPh sb="10" eb="12">
      <t>カンサン</t>
    </rPh>
    <rPh sb="12" eb="13">
      <t>アタイ</t>
    </rPh>
    <phoneticPr fontId="1"/>
  </si>
  <si>
    <t>目標発酵度</t>
    <rPh sb="0" eb="2">
      <t>モクヒョウ</t>
    </rPh>
    <rPh sb="2" eb="4">
      <t>ハッコウ</t>
    </rPh>
    <rPh sb="4" eb="5">
      <t>ド</t>
    </rPh>
    <phoneticPr fontId="1"/>
  </si>
  <si>
    <t>エキス分100%換算値</t>
    <rPh sb="3" eb="4">
      <t>ブン</t>
    </rPh>
    <rPh sb="8" eb="10">
      <t>カンサン</t>
    </rPh>
    <rPh sb="10" eb="11">
      <t>アタイ</t>
    </rPh>
    <phoneticPr fontId="1"/>
  </si>
  <si>
    <t>発酵度</t>
    <rPh sb="0" eb="2">
      <t>ハッコウ</t>
    </rPh>
    <rPh sb="2" eb="3">
      <t>ド</t>
    </rPh>
    <phoneticPr fontId="1"/>
  </si>
  <si>
    <t>１１回目</t>
    <rPh sb="2" eb="4">
      <t>カイメ</t>
    </rPh>
    <phoneticPr fontId="1"/>
  </si>
  <si>
    <t>１２回目</t>
    <rPh sb="2" eb="4">
      <t>カイメ</t>
    </rPh>
    <phoneticPr fontId="1"/>
  </si>
  <si>
    <t>１３回目</t>
    <rPh sb="2" eb="4">
      <t>カイメ</t>
    </rPh>
    <phoneticPr fontId="1"/>
  </si>
  <si>
    <t>１４回目</t>
    <rPh sb="2" eb="4">
      <t>カイメ</t>
    </rPh>
    <phoneticPr fontId="1"/>
  </si>
  <si>
    <t>１５回目</t>
    <rPh sb="2" eb="4">
      <t>カイメ</t>
    </rPh>
    <phoneticPr fontId="1"/>
  </si>
  <si>
    <t>１６回目</t>
    <rPh sb="2" eb="4">
      <t>カイメ</t>
    </rPh>
    <phoneticPr fontId="1"/>
  </si>
  <si>
    <t>１７回目</t>
    <rPh sb="2" eb="4">
      <t>カイメ</t>
    </rPh>
    <phoneticPr fontId="1"/>
  </si>
  <si>
    <t>１８回目</t>
    <rPh sb="2" eb="4">
      <t>カイメ</t>
    </rPh>
    <phoneticPr fontId="1"/>
  </si>
  <si>
    <t>１９回目</t>
    <rPh sb="2" eb="4">
      <t>カイメ</t>
    </rPh>
    <phoneticPr fontId="1"/>
  </si>
  <si>
    <t>２０回目</t>
    <rPh sb="2" eb="4">
      <t>カイメ</t>
    </rPh>
    <phoneticPr fontId="1"/>
  </si>
  <si>
    <t>追水１１</t>
    <rPh sb="0" eb="1">
      <t>オ</t>
    </rPh>
    <rPh sb="1" eb="2">
      <t>ミズ</t>
    </rPh>
    <phoneticPr fontId="1"/>
  </si>
  <si>
    <t>追水１２</t>
    <rPh sb="0" eb="1">
      <t>オ</t>
    </rPh>
    <rPh sb="1" eb="2">
      <t>ミズ</t>
    </rPh>
    <phoneticPr fontId="1"/>
  </si>
  <si>
    <t>追水１３</t>
    <rPh sb="0" eb="1">
      <t>オ</t>
    </rPh>
    <rPh sb="1" eb="2">
      <t>ミズ</t>
    </rPh>
    <phoneticPr fontId="1"/>
  </si>
  <si>
    <t>追水１４</t>
    <rPh sb="0" eb="1">
      <t>オ</t>
    </rPh>
    <rPh sb="1" eb="2">
      <t>ミズ</t>
    </rPh>
    <phoneticPr fontId="1"/>
  </si>
  <si>
    <t>追水１５</t>
    <rPh sb="0" eb="1">
      <t>オ</t>
    </rPh>
    <rPh sb="1" eb="2">
      <t>ミズ</t>
    </rPh>
    <phoneticPr fontId="1"/>
  </si>
  <si>
    <t>追水１６</t>
    <rPh sb="0" eb="1">
      <t>オ</t>
    </rPh>
    <rPh sb="1" eb="2">
      <t>ミズ</t>
    </rPh>
    <phoneticPr fontId="1"/>
  </si>
  <si>
    <t>追水１７</t>
    <rPh sb="0" eb="1">
      <t>オ</t>
    </rPh>
    <rPh sb="1" eb="2">
      <t>ミズ</t>
    </rPh>
    <phoneticPr fontId="1"/>
  </si>
  <si>
    <t>追水１８</t>
    <rPh sb="0" eb="1">
      <t>オ</t>
    </rPh>
    <rPh sb="1" eb="2">
      <t>ミズ</t>
    </rPh>
    <phoneticPr fontId="1"/>
  </si>
  <si>
    <t>追水１９</t>
    <rPh sb="0" eb="1">
      <t>オ</t>
    </rPh>
    <rPh sb="1" eb="2">
      <t>ミズ</t>
    </rPh>
    <phoneticPr fontId="1"/>
  </si>
  <si>
    <t>追水２０</t>
    <rPh sb="0" eb="1">
      <t>オ</t>
    </rPh>
    <rPh sb="1" eb="2">
      <t>ミズ</t>
    </rPh>
    <phoneticPr fontId="1"/>
  </si>
  <si>
    <t>発酵エキス分</t>
    <rPh sb="0" eb="2">
      <t>ハッコウ</t>
    </rPh>
    <rPh sb="5" eb="6">
      <t>ブン</t>
    </rPh>
    <phoneticPr fontId="1"/>
  </si>
  <si>
    <t>発酵エキス分100%（g/100ml）</t>
    <rPh sb="0" eb="2">
      <t>ハッコウ</t>
    </rPh>
    <rPh sb="5" eb="6">
      <t>ブン</t>
    </rPh>
    <phoneticPr fontId="1"/>
  </si>
  <si>
    <t>残エキス分100%（g/100ml）</t>
    <rPh sb="0" eb="1">
      <t>ザン</t>
    </rPh>
    <rPh sb="4" eb="5">
      <t>ブン</t>
    </rPh>
    <phoneticPr fontId="1"/>
  </si>
  <si>
    <t>原エキス分100%（g/100ml）</t>
    <rPh sb="0" eb="1">
      <t>ゲン</t>
    </rPh>
    <rPh sb="4" eb="5">
      <t>ブン</t>
    </rPh>
    <phoneticPr fontId="1"/>
  </si>
  <si>
    <t>真正発酵度</t>
    <rPh sb="0" eb="2">
      <t>シンセイ</t>
    </rPh>
    <rPh sb="2" eb="4">
      <t>ハッコウ</t>
    </rPh>
    <rPh sb="4" eb="5">
      <t>ド</t>
    </rPh>
    <phoneticPr fontId="1"/>
  </si>
  <si>
    <t>比較もろみ１</t>
    <rPh sb="0" eb="2">
      <t>ヒカク</t>
    </rPh>
    <phoneticPr fontId="29"/>
  </si>
  <si>
    <t>比較もろみ２</t>
    <rPh sb="0" eb="2">
      <t>ヒカク</t>
    </rPh>
    <phoneticPr fontId="29"/>
  </si>
  <si>
    <t>比較もろみ３</t>
    <rPh sb="0" eb="2">
      <t>ヒカク</t>
    </rPh>
    <phoneticPr fontId="29"/>
  </si>
  <si>
    <t>比較もろみ４</t>
    <rPh sb="0" eb="2">
      <t>ヒカク</t>
    </rPh>
    <phoneticPr fontId="29"/>
  </si>
  <si>
    <t>比較もろみ５</t>
    <rPh sb="0" eb="2">
      <t>ヒカク</t>
    </rPh>
    <phoneticPr fontId="29"/>
  </si>
  <si>
    <t>総水量</t>
    <rPh sb="0" eb="1">
      <t>ソウ</t>
    </rPh>
    <rPh sb="1" eb="2">
      <t>ミズ</t>
    </rPh>
    <rPh sb="2" eb="3">
      <t>リョウ</t>
    </rPh>
    <phoneticPr fontId="29"/>
  </si>
  <si>
    <t>汲水歩合</t>
    <rPh sb="0" eb="1">
      <t>ク</t>
    </rPh>
    <rPh sb="1" eb="2">
      <t>ミズ</t>
    </rPh>
    <rPh sb="2" eb="4">
      <t>ブアイ</t>
    </rPh>
    <phoneticPr fontId="29"/>
  </si>
  <si>
    <t>上槽時（アル添時）の各成分値予測</t>
    <rPh sb="0" eb="1">
      <t>ウエ</t>
    </rPh>
    <rPh sb="2" eb="3">
      <t>ジ</t>
    </rPh>
    <rPh sb="6" eb="7">
      <t>テン</t>
    </rPh>
    <rPh sb="7" eb="8">
      <t>ジ</t>
    </rPh>
    <rPh sb="10" eb="13">
      <t>カクセイブン</t>
    </rPh>
    <rPh sb="13" eb="14">
      <t>チ</t>
    </rPh>
    <rPh sb="14" eb="16">
      <t>ヨソク</t>
    </rPh>
    <phoneticPr fontId="29"/>
  </si>
  <si>
    <t>アルコール分</t>
    <rPh sb="5" eb="6">
      <t>ブン</t>
    </rPh>
    <phoneticPr fontId="29"/>
  </si>
  <si>
    <t>日本酒度</t>
    <rPh sb="0" eb="3">
      <t>ニホンシュ</t>
    </rPh>
    <rPh sb="3" eb="4">
      <t>ド</t>
    </rPh>
    <phoneticPr fontId="29"/>
  </si>
  <si>
    <t>汲水歩合(%)</t>
    <rPh sb="0" eb="1">
      <t>ク</t>
    </rPh>
    <rPh sb="1" eb="2">
      <t>ミズ</t>
    </rPh>
    <rPh sb="2" eb="4">
      <t>ブアイ</t>
    </rPh>
    <phoneticPr fontId="29"/>
  </si>
  <si>
    <t>エキス分</t>
    <rPh sb="3" eb="4">
      <t>ブン</t>
    </rPh>
    <phoneticPr fontId="29"/>
  </si>
  <si>
    <t>原エキス分</t>
    <rPh sb="0" eb="1">
      <t>ハラ</t>
    </rPh>
    <rPh sb="4" eb="5">
      <t>ブン</t>
    </rPh>
    <phoneticPr fontId="29"/>
  </si>
  <si>
    <t>追水量（""を０に変換)</t>
    <rPh sb="0" eb="1">
      <t>オ</t>
    </rPh>
    <rPh sb="1" eb="2">
      <t>ミズ</t>
    </rPh>
    <rPh sb="2" eb="3">
      <t>リョウ</t>
    </rPh>
    <rPh sb="9" eb="11">
      <t>ヘンカン</t>
    </rPh>
    <phoneticPr fontId="1"/>
  </si>
  <si>
    <t/>
  </si>
  <si>
    <t>もろみエールについて</t>
    <phoneticPr fontId="1"/>
  </si>
  <si>
    <t>グレースケールでの表示を可能とした。</t>
    <rPh sb="9" eb="11">
      <t>ヒョウジ</t>
    </rPh>
    <rPh sb="12" eb="14">
      <t>カノウ</t>
    </rPh>
    <phoneticPr fontId="1"/>
  </si>
  <si>
    <t>もろみエールVer1.0と合体したことにより、もろみエールVer2へ名称の変更。
醪経過描画ツールともろみエールが連動。液化力、発酵力、糖化力の欄を削除。日々の汲水歩合を表示。追水補正が20回まで可能。</t>
    <rPh sb="13" eb="15">
      <t>ガッタイ</t>
    </rPh>
    <rPh sb="34" eb="36">
      <t>メイショウ</t>
    </rPh>
    <rPh sb="37" eb="39">
      <t>ヘンコウ</t>
    </rPh>
    <rPh sb="41" eb="46">
      <t>モロミケイカビョウガ</t>
    </rPh>
    <rPh sb="57" eb="59">
      <t>レンドウ</t>
    </rPh>
    <rPh sb="60" eb="62">
      <t>エキカ</t>
    </rPh>
    <rPh sb="62" eb="63">
      <t>リョク</t>
    </rPh>
    <rPh sb="64" eb="66">
      <t>ハッコウ</t>
    </rPh>
    <rPh sb="66" eb="67">
      <t>リョク</t>
    </rPh>
    <rPh sb="68" eb="70">
      <t>トウカ</t>
    </rPh>
    <rPh sb="70" eb="71">
      <t>リョク</t>
    </rPh>
    <rPh sb="72" eb="73">
      <t>ラン</t>
    </rPh>
    <rPh sb="74" eb="76">
      <t>サクジョ</t>
    </rPh>
    <rPh sb="77" eb="79">
      <t>ヒビ</t>
    </rPh>
    <rPh sb="80" eb="81">
      <t>ク</t>
    </rPh>
    <rPh sb="81" eb="82">
      <t>ミズ</t>
    </rPh>
    <rPh sb="82" eb="84">
      <t>ブアイ</t>
    </rPh>
    <rPh sb="85" eb="87">
      <t>ヒョウジ</t>
    </rPh>
    <rPh sb="88" eb="89">
      <t>ツイ</t>
    </rPh>
    <rPh sb="89" eb="90">
      <t>ミズ</t>
    </rPh>
    <rPh sb="90" eb="92">
      <t>ホセイ</t>
    </rPh>
    <rPh sb="95" eb="96">
      <t>カイ</t>
    </rPh>
    <rPh sb="98" eb="100">
      <t>カノウ</t>
    </rPh>
    <phoneticPr fontId="1"/>
  </si>
  <si>
    <t>仕込名</t>
    <rPh sb="0" eb="2">
      <t>シコミ</t>
    </rPh>
    <rPh sb="2" eb="3">
      <t>メイ</t>
    </rPh>
    <phoneticPr fontId="29"/>
  </si>
  <si>
    <t>見本例</t>
    <rPh sb="0" eb="2">
      <t>ミホン</t>
    </rPh>
    <rPh sb="2" eb="3">
      <t>レイ</t>
    </rPh>
    <phoneticPr fontId="1"/>
  </si>
  <si>
    <t>操作方法</t>
    <rPh sb="0" eb="2">
      <t>ソウサ</t>
    </rPh>
    <rPh sb="2" eb="4">
      <t>ホウホウ</t>
    </rPh>
    <phoneticPr fontId="1"/>
  </si>
  <si>
    <t>調味液製造</t>
    <rPh sb="0" eb="2">
      <t>チョウミ</t>
    </rPh>
    <rPh sb="2" eb="3">
      <t>エキ</t>
    </rPh>
    <rPh sb="3" eb="5">
      <t>セイゾウ</t>
    </rPh>
    <phoneticPr fontId="1"/>
  </si>
  <si>
    <t>アルコール</t>
    <phoneticPr fontId="1"/>
  </si>
  <si>
    <t>ぶどう糖</t>
    <rPh sb="3" eb="4">
      <t>トウ</t>
    </rPh>
    <phoneticPr fontId="1"/>
  </si>
  <si>
    <t>水あめ</t>
    <rPh sb="0" eb="1">
      <t>ミズ</t>
    </rPh>
    <phoneticPr fontId="1"/>
  </si>
  <si>
    <t>グルタミン酸ソーダ</t>
    <rPh sb="5" eb="6">
      <t>サン</t>
    </rPh>
    <phoneticPr fontId="1"/>
  </si>
  <si>
    <t>乳酸</t>
    <rPh sb="0" eb="2">
      <t>ニュウサン</t>
    </rPh>
    <phoneticPr fontId="1"/>
  </si>
  <si>
    <t>こはく酸</t>
    <rPh sb="3" eb="4">
      <t>サン</t>
    </rPh>
    <phoneticPr fontId="1"/>
  </si>
  <si>
    <t>水</t>
    <rPh sb="0" eb="1">
      <t>ミズ</t>
    </rPh>
    <phoneticPr fontId="1"/>
  </si>
  <si>
    <t>原料</t>
    <rPh sb="0" eb="2">
      <t>ゲンリョウ</t>
    </rPh>
    <phoneticPr fontId="1"/>
  </si>
  <si>
    <t>計</t>
    <rPh sb="0" eb="1">
      <t>ケイ</t>
    </rPh>
    <phoneticPr fontId="1"/>
  </si>
  <si>
    <t>記号</t>
    <rPh sb="0" eb="2">
      <t>キゴウ</t>
    </rPh>
    <phoneticPr fontId="1"/>
  </si>
  <si>
    <t>順号</t>
    <rPh sb="0" eb="1">
      <t>ジュン</t>
    </rPh>
    <rPh sb="1" eb="2">
      <t>ゴウ</t>
    </rPh>
    <phoneticPr fontId="1"/>
  </si>
  <si>
    <t>製造月日</t>
    <rPh sb="0" eb="4">
      <t>セイゾウガッピ</t>
    </rPh>
    <phoneticPr fontId="1"/>
  </si>
  <si>
    <t>容器番号</t>
    <rPh sb="0" eb="4">
      <t>ヨウキバンゴウ</t>
    </rPh>
    <phoneticPr fontId="1"/>
  </si>
  <si>
    <t>深</t>
    <rPh sb="0" eb="1">
      <t>フカ</t>
    </rPh>
    <phoneticPr fontId="1"/>
  </si>
  <si>
    <t>数量(L)</t>
    <rPh sb="0" eb="2">
      <t>スウリョウ</t>
    </rPh>
    <phoneticPr fontId="1"/>
  </si>
  <si>
    <t>アルコール分</t>
    <rPh sb="5" eb="6">
      <t>ブン</t>
    </rPh>
    <phoneticPr fontId="1"/>
  </si>
  <si>
    <t>日本酒度</t>
    <rPh sb="0" eb="4">
      <t>ニホンシュド</t>
    </rPh>
    <phoneticPr fontId="1"/>
  </si>
  <si>
    <t>ボーメ</t>
    <phoneticPr fontId="1"/>
  </si>
  <si>
    <t>酸度</t>
    <rPh sb="0" eb="2">
      <t>サンド</t>
    </rPh>
    <phoneticPr fontId="1"/>
  </si>
  <si>
    <t>使用月日</t>
    <rPh sb="0" eb="4">
      <t>シヨウガッピ</t>
    </rPh>
    <phoneticPr fontId="1"/>
  </si>
  <si>
    <t>もろみ順号</t>
    <rPh sb="3" eb="5">
      <t>ジュンゴウ</t>
    </rPh>
    <phoneticPr fontId="1"/>
  </si>
  <si>
    <t>使用後深</t>
    <rPh sb="0" eb="3">
      <t>シヨウゴ</t>
    </rPh>
    <rPh sb="3" eb="4">
      <t>フカ</t>
    </rPh>
    <phoneticPr fontId="1"/>
  </si>
  <si>
    <t>重量(g)</t>
    <rPh sb="0" eb="2">
      <t>ジュウリョウ</t>
    </rPh>
    <phoneticPr fontId="1"/>
  </si>
  <si>
    <t>使用数量(L)</t>
    <rPh sb="0" eb="4">
      <t>シヨウスウリョウ</t>
    </rPh>
    <phoneticPr fontId="1"/>
  </si>
  <si>
    <t>使用後数量(L)</t>
    <rPh sb="0" eb="3">
      <t>シヨウゴ</t>
    </rPh>
    <rPh sb="3" eb="5">
      <t>スウリョウ</t>
    </rPh>
    <phoneticPr fontId="1"/>
  </si>
  <si>
    <t>添加</t>
    <rPh sb="0" eb="2">
      <t>テンカ</t>
    </rPh>
    <phoneticPr fontId="1"/>
  </si>
  <si>
    <t>白米1000kg当り使用数(L)</t>
    <rPh sb="0" eb="2">
      <t>ハクマイ</t>
    </rPh>
    <rPh sb="8" eb="9">
      <t>アタ</t>
    </rPh>
    <rPh sb="10" eb="13">
      <t>シヨウスウ</t>
    </rPh>
    <phoneticPr fontId="1"/>
  </si>
  <si>
    <t>もろみ１ｋL当り欠減(L)</t>
    <rPh sb="6" eb="7">
      <t>アタ</t>
    </rPh>
    <rPh sb="8" eb="10">
      <t>ケツゲン</t>
    </rPh>
    <phoneticPr fontId="1"/>
  </si>
  <si>
    <t>白米1000kg当り純ｱﾙｺｰﾙ収得量(L)</t>
    <rPh sb="0" eb="2">
      <t>ハクマイ</t>
    </rPh>
    <rPh sb="8" eb="9">
      <t>アタ</t>
    </rPh>
    <rPh sb="10" eb="11">
      <t>ジュン</t>
    </rPh>
    <rPh sb="16" eb="19">
      <t>シュウトクリョウ</t>
    </rPh>
    <phoneticPr fontId="1"/>
  </si>
  <si>
    <t>添加数量合計</t>
    <rPh sb="0" eb="6">
      <t>テンカスウリョウゴウケイ</t>
    </rPh>
    <phoneticPr fontId="1"/>
  </si>
  <si>
    <t>合併生成
もろみ</t>
    <rPh sb="0" eb="2">
      <t>ガッペイ</t>
    </rPh>
    <rPh sb="2" eb="4">
      <t>セイセイ</t>
    </rPh>
    <phoneticPr fontId="1"/>
  </si>
  <si>
    <t>仕込
順号</t>
    <rPh sb="0" eb="2">
      <t>シコ</t>
    </rPh>
    <rPh sb="3" eb="4">
      <t>ジュン</t>
    </rPh>
    <rPh sb="4" eb="5">
      <t>ゴウ</t>
    </rPh>
    <phoneticPr fontId="1"/>
  </si>
  <si>
    <t>号</t>
    <rPh sb="0" eb="1">
      <t>ゴウ</t>
    </rPh>
    <phoneticPr fontId="1"/>
  </si>
  <si>
    <t>自第</t>
    <rPh sb="0" eb="1">
      <t>ジ</t>
    </rPh>
    <rPh sb="1" eb="2">
      <t>ダイ</t>
    </rPh>
    <phoneticPr fontId="1"/>
  </si>
  <si>
    <t>至第</t>
    <rPh sb="0" eb="1">
      <t>イタ</t>
    </rPh>
    <rPh sb="1" eb="2">
      <t>ダイ</t>
    </rPh>
    <phoneticPr fontId="1"/>
  </si>
  <si>
    <t>もろみ
数量(L)</t>
    <rPh sb="4" eb="6">
      <t>スウリョウ</t>
    </rPh>
    <phoneticPr fontId="1"/>
  </si>
  <si>
    <t>純アルコール
数量（L）</t>
    <rPh sb="0" eb="1">
      <t>ジュン</t>
    </rPh>
    <rPh sb="7" eb="9">
      <t>スウリョウ</t>
    </rPh>
    <phoneticPr fontId="1"/>
  </si>
  <si>
    <t>総米(kg)</t>
    <rPh sb="0" eb="2">
      <t>ソウマイ</t>
    </rPh>
    <phoneticPr fontId="1"/>
  </si>
  <si>
    <t>※白色のセルに入力してください。オレンジ色のセルは自動計算されますので入力不要です。</t>
    <rPh sb="1" eb="3">
      <t>シロイロ</t>
    </rPh>
    <rPh sb="7" eb="9">
      <t>ニュウリョク</t>
    </rPh>
    <rPh sb="20" eb="21">
      <t>イロ</t>
    </rPh>
    <rPh sb="25" eb="27">
      <t>ジドウ</t>
    </rPh>
    <rPh sb="27" eb="29">
      <t>ケイサン</t>
    </rPh>
    <rPh sb="35" eb="37">
      <t>ニュウリョク</t>
    </rPh>
    <rPh sb="37" eb="39">
      <t>フヨウ</t>
    </rPh>
    <phoneticPr fontId="1"/>
  </si>
  <si>
    <t>対玄米利用率</t>
    <rPh sb="0" eb="1">
      <t>タイ</t>
    </rPh>
    <rPh sb="1" eb="3">
      <t>ゲンマイ</t>
    </rPh>
    <rPh sb="3" eb="6">
      <t>リヨウリツ</t>
    </rPh>
    <phoneticPr fontId="1"/>
  </si>
  <si>
    <t>白米利用率</t>
    <rPh sb="0" eb="2">
      <t>ハクマイ</t>
    </rPh>
    <rPh sb="2" eb="5">
      <t>リヨウリツ</t>
    </rPh>
    <phoneticPr fontId="1"/>
  </si>
  <si>
    <t>↓左詰めで入力してください</t>
    <rPh sb="1" eb="2">
      <t>ヒダリ</t>
    </rPh>
    <rPh sb="2" eb="3">
      <t>ツ</t>
    </rPh>
    <rPh sb="5" eb="7">
      <t>ニュウリョク</t>
    </rPh>
    <phoneticPr fontId="1"/>
  </si>
  <si>
    <t>←(総米欄について)もろみの合併又は分割を行った場合は総米量を手入力してください</t>
    <rPh sb="2" eb="3">
      <t>ソウ</t>
    </rPh>
    <rPh sb="3" eb="4">
      <t>マイ</t>
    </rPh>
    <rPh sb="4" eb="5">
      <t>ラン</t>
    </rPh>
    <phoneticPr fontId="1"/>
  </si>
  <si>
    <t>白米利用率</t>
    <rPh sb="0" eb="2">
      <t>ハクマイ</t>
    </rPh>
    <rPh sb="2" eb="5">
      <t>リヨウリツ</t>
    </rPh>
    <phoneticPr fontId="1"/>
  </si>
  <si>
    <t>対玄米利用率</t>
    <rPh sb="0" eb="1">
      <t>タイ</t>
    </rPh>
    <rPh sb="1" eb="3">
      <t>ゲンマイ</t>
    </rPh>
    <rPh sb="3" eb="6">
      <t>リヨウリツ</t>
    </rPh>
    <phoneticPr fontId="1"/>
  </si>
  <si>
    <r>
      <t xml:space="preserve">普通酒
</t>
    </r>
    <r>
      <rPr>
        <sz val="6"/>
        <color theme="1"/>
        <rFont val="ＭＳ Ｐゴシック"/>
        <family val="3"/>
        <charset val="128"/>
        <scheme val="minor"/>
      </rPr>
      <t>（糖類不使用に限る）</t>
    </r>
    <rPh sb="0" eb="2">
      <t>フツウ</t>
    </rPh>
    <rPh sb="2" eb="3">
      <t>シュ</t>
    </rPh>
    <rPh sb="5" eb="7">
      <t>トウルイ</t>
    </rPh>
    <rPh sb="7" eb="10">
      <t>フシヨウ</t>
    </rPh>
    <rPh sb="11" eb="12">
      <t>カギ</t>
    </rPh>
    <phoneticPr fontId="1"/>
  </si>
  <si>
    <t>↑</t>
    <phoneticPr fontId="1"/>
  </si>
  <si>
    <t>純米吟醸酒</t>
    <rPh sb="0" eb="2">
      <t>ジュンマイ</t>
    </rPh>
    <rPh sb="2" eb="4">
      <t>ギンジョウ</t>
    </rPh>
    <rPh sb="4" eb="5">
      <t>サケ</t>
    </rPh>
    <phoneticPr fontId="1"/>
  </si>
  <si>
    <t>吟醸酒</t>
    <rPh sb="0" eb="2">
      <t>ギンジョウ</t>
    </rPh>
    <rPh sb="2" eb="3">
      <t>サケ</t>
    </rPh>
    <phoneticPr fontId="1"/>
  </si>
  <si>
    <t>純米酒</t>
    <rPh sb="0" eb="2">
      <t>ジュンマイ</t>
    </rPh>
    <rPh sb="2" eb="3">
      <t>サケ</t>
    </rPh>
    <phoneticPr fontId="1"/>
  </si>
  <si>
    <t>本醸造酒</t>
    <rPh sb="0" eb="3">
      <t>ホンジョウゾウ</t>
    </rPh>
    <rPh sb="3" eb="4">
      <t>サケ</t>
    </rPh>
    <phoneticPr fontId="1"/>
  </si>
  <si>
    <t>過去のデータから利用率が上位10%以内となる場合を「かなり高い」、上位30%以内を「高い」、下位10%以内を「かなり低い」、下位30%以内を「低い」と表示しています</t>
    <rPh sb="0" eb="2">
      <t>カコ</t>
    </rPh>
    <rPh sb="8" eb="11">
      <t>リヨウリツ</t>
    </rPh>
    <rPh sb="12" eb="14">
      <t>ジョウイ</t>
    </rPh>
    <rPh sb="17" eb="19">
      <t>イナイ</t>
    </rPh>
    <rPh sb="22" eb="24">
      <t>バアイ</t>
    </rPh>
    <rPh sb="29" eb="30">
      <t>タカ</t>
    </rPh>
    <rPh sb="33" eb="35">
      <t>ジョウイ</t>
    </rPh>
    <rPh sb="38" eb="40">
      <t>イナイ</t>
    </rPh>
    <rPh sb="42" eb="43">
      <t>タカ</t>
    </rPh>
    <rPh sb="46" eb="48">
      <t>カイ</t>
    </rPh>
    <rPh sb="51" eb="53">
      <t>イナイ</t>
    </rPh>
    <rPh sb="58" eb="59">
      <t>ヒク</t>
    </rPh>
    <rPh sb="62" eb="64">
      <t>カイ</t>
    </rPh>
    <rPh sb="67" eb="69">
      <t>イナイ</t>
    </rPh>
    <rPh sb="71" eb="72">
      <t>ヒク</t>
    </rPh>
    <rPh sb="75" eb="77">
      <t>ヒョウジ</t>
    </rPh>
    <phoneticPr fontId="1"/>
  </si>
  <si>
    <t>ｱﾙｺｰﾙ以外の副原料を使用した場合は正しく表示されません。また、液化仕込みなどの特殊な製造法も正しく表示されない恐れがあります</t>
    <rPh sb="16" eb="18">
      <t>バアイ</t>
    </rPh>
    <rPh sb="33" eb="35">
      <t>エキカ</t>
    </rPh>
    <rPh sb="35" eb="37">
      <t>シコ</t>
    </rPh>
    <rPh sb="41" eb="43">
      <t>トクシュ</t>
    </rPh>
    <rPh sb="44" eb="47">
      <t>セイゾウホウ</t>
    </rPh>
    <rPh sb="48" eb="49">
      <t>タダ</t>
    </rPh>
    <rPh sb="51" eb="53">
      <t>ヒョウジ</t>
    </rPh>
    <rPh sb="57" eb="58">
      <t>オソ</t>
    </rPh>
    <phoneticPr fontId="1"/>
  </si>
  <si>
    <t>原料利用率欄等を追加。</t>
    <rPh sb="0" eb="2">
      <t>ゲンリョウ</t>
    </rPh>
    <rPh sb="2" eb="5">
      <t>リヨウリツ</t>
    </rPh>
    <rPh sb="5" eb="6">
      <t>ラン</t>
    </rPh>
    <rPh sb="6" eb="7">
      <t>トウ</t>
    </rPh>
    <rPh sb="8" eb="10">
      <t>ツイカ</t>
    </rPh>
    <phoneticPr fontId="1"/>
  </si>
  <si>
    <t>田島健一郎、相澤常滋</t>
    <rPh sb="0" eb="5">
      <t>タジマケンイチロウ</t>
    </rPh>
    <rPh sb="6" eb="8">
      <t>アイザワ</t>
    </rPh>
    <rPh sb="8" eb="9">
      <t>ツネ</t>
    </rPh>
    <rPh sb="9" eb="10">
      <t>シゲル</t>
    </rPh>
    <phoneticPr fontId="1"/>
  </si>
  <si>
    <t>名古屋局HP掲載用に体裁を整えた。</t>
    <rPh sb="0" eb="3">
      <t>ナゴヤ</t>
    </rPh>
    <rPh sb="3" eb="4">
      <t>キョク</t>
    </rPh>
    <rPh sb="6" eb="8">
      <t>ケイサイ</t>
    </rPh>
    <rPh sb="8" eb="9">
      <t>ヨウ</t>
    </rPh>
    <rPh sb="10" eb="12">
      <t>テイサイ</t>
    </rPh>
    <rPh sb="13" eb="14">
      <t>トトノ</t>
    </rPh>
    <phoneticPr fontId="1"/>
  </si>
  <si>
    <t>田中淳</t>
    <rPh sb="0" eb="2">
      <t>タナカ</t>
    </rPh>
    <rPh sb="2" eb="3">
      <t>ジュン</t>
    </rPh>
    <phoneticPr fontId="1"/>
  </si>
  <si>
    <t>（もろみ熟成歩合、肉たれ歩合、総水歩合、白米1000kg当り純アルコール収得量、白米利用</t>
    <phoneticPr fontId="1"/>
  </si>
  <si>
    <t>率、対玄米利用率欄について）もろみ及び製成において合併又は分割を行ったときは手計算</t>
    <phoneticPr fontId="1"/>
  </si>
  <si>
    <t>で入力してください。</t>
    <phoneticPr fontId="1"/>
  </si>
  <si>
    <t xml:space="preserve">【出典等】
　　濃淡指数、シブ予測係数比等：宮城県酒造組合、宮城県産業技術総合センター食品バイオ技術部
　　白米水分と吸水率の変換式：福島県ハイテクプラザ
</t>
    <rPh sb="1" eb="3">
      <t>シュッテン</t>
    </rPh>
    <rPh sb="3" eb="4">
      <t>トウ</t>
    </rPh>
    <rPh sb="8" eb="10">
      <t>ノウタン</t>
    </rPh>
    <rPh sb="10" eb="12">
      <t>シスウ</t>
    </rPh>
    <rPh sb="15" eb="17">
      <t>ヨソク</t>
    </rPh>
    <rPh sb="17" eb="19">
      <t>ケイスウ</t>
    </rPh>
    <rPh sb="19" eb="20">
      <t>ヒ</t>
    </rPh>
    <rPh sb="20" eb="21">
      <t>トウ</t>
    </rPh>
    <rPh sb="22" eb="25">
      <t>ミヤギケン</t>
    </rPh>
    <rPh sb="25" eb="27">
      <t>シュゾウ</t>
    </rPh>
    <rPh sb="27" eb="29">
      <t>クミアイ</t>
    </rPh>
    <rPh sb="30" eb="33">
      <t>ミヤギケン</t>
    </rPh>
    <rPh sb="33" eb="35">
      <t>サンギョウ</t>
    </rPh>
    <rPh sb="35" eb="37">
      <t>ギジュツ</t>
    </rPh>
    <rPh sb="37" eb="39">
      <t>ソウゴウ</t>
    </rPh>
    <rPh sb="43" eb="45">
      <t>ショクヒン</t>
    </rPh>
    <rPh sb="48" eb="50">
      <t>ギジュツ</t>
    </rPh>
    <rPh sb="50" eb="51">
      <t>ブ</t>
    </rPh>
    <rPh sb="54" eb="56">
      <t>ハクマイ</t>
    </rPh>
    <rPh sb="56" eb="58">
      <t>スイブン</t>
    </rPh>
    <rPh sb="59" eb="61">
      <t>キュウスイ</t>
    </rPh>
    <rPh sb="61" eb="62">
      <t>リツ</t>
    </rPh>
    <rPh sb="63" eb="65">
      <t>ヘンカン</t>
    </rPh>
    <rPh sb="65" eb="66">
      <t>シキ</t>
    </rPh>
    <rPh sb="67" eb="70">
      <t>フクシマケン</t>
    </rPh>
    <phoneticPr fontId="1"/>
  </si>
  <si>
    <t>溶解度</t>
    <rPh sb="0" eb="3">
      <t>ヨウカイド</t>
    </rPh>
    <phoneticPr fontId="1"/>
  </si>
  <si>
    <r>
      <t xml:space="preserve">目標値入力フォーム
</t>
    </r>
    <r>
      <rPr>
        <sz val="11"/>
        <color theme="1"/>
        <rFont val="ＭＳ Ｐゴシック"/>
        <family val="3"/>
        <charset val="128"/>
        <scheme val="minor"/>
      </rPr>
      <t>※各目標値を入力してください。オレンジ色のセルは自動計算されますので、入力不要です。未入力は「０」として取り扱われます。
クリーム色のセルは自動計算されますが、直接値を入力することもできます。</t>
    </r>
    <rPh sb="0" eb="3">
      <t>モクヒョウチ</t>
    </rPh>
    <rPh sb="3" eb="5">
      <t>ニュウリョク</t>
    </rPh>
    <phoneticPr fontId="3"/>
  </si>
  <si>
    <t>溶解度の上限値（溶けた場合）</t>
    <rPh sb="0" eb="3">
      <t>ヨウカイド</t>
    </rPh>
    <rPh sb="4" eb="6">
      <t>ジョウゲン</t>
    </rPh>
    <rPh sb="6" eb="7">
      <t>アタイ</t>
    </rPh>
    <rPh sb="8" eb="9">
      <t>ト</t>
    </rPh>
    <rPh sb="11" eb="13">
      <t>バアイ</t>
    </rPh>
    <phoneticPr fontId="29"/>
  </si>
  <si>
    <t>溶解度の下限値（溶けなかった場合）</t>
    <rPh sb="0" eb="3">
      <t>ヨウカイド</t>
    </rPh>
    <rPh sb="4" eb="6">
      <t>カゲン</t>
    </rPh>
    <rPh sb="6" eb="7">
      <t>アタイ</t>
    </rPh>
    <rPh sb="8" eb="9">
      <t>ト</t>
    </rPh>
    <rPh sb="14" eb="16">
      <t>バアイ</t>
    </rPh>
    <phoneticPr fontId="29"/>
  </si>
  <si>
    <t>溶解度の中間値（溶けが標準的）</t>
    <rPh sb="0" eb="3">
      <t>ヨウカイド</t>
    </rPh>
    <rPh sb="4" eb="6">
      <t>チュウカン</t>
    </rPh>
    <rPh sb="6" eb="7">
      <t>アタイ</t>
    </rPh>
    <rPh sb="8" eb="9">
      <t>ト</t>
    </rPh>
    <rPh sb="11" eb="14">
      <t>ヒョウジュンテキ</t>
    </rPh>
    <phoneticPr fontId="29"/>
  </si>
  <si>
    <t>溶解度の上限値</t>
    <rPh sb="0" eb="3">
      <t>ヨウカイド</t>
    </rPh>
    <rPh sb="4" eb="7">
      <t>ジョウゲンチ</t>
    </rPh>
    <phoneticPr fontId="1"/>
  </si>
  <si>
    <t>発酵度</t>
    <rPh sb="0" eb="2">
      <t>ハッコウ</t>
    </rPh>
    <rPh sb="2" eb="3">
      <t>ド</t>
    </rPh>
    <phoneticPr fontId="1"/>
  </si>
  <si>
    <t>溶解度の中間値</t>
    <rPh sb="0" eb="3">
      <t>ヨウカイド</t>
    </rPh>
    <rPh sb="4" eb="7">
      <t>チュウカンチ</t>
    </rPh>
    <phoneticPr fontId="1"/>
  </si>
  <si>
    <t>溶解度の下限値</t>
    <rPh sb="0" eb="3">
      <t>ヨウカイド</t>
    </rPh>
    <rPh sb="4" eb="7">
      <t>カゲンチ</t>
    </rPh>
    <phoneticPr fontId="1"/>
  </si>
  <si>
    <t>溶解度</t>
    <rPh sb="0" eb="3">
      <t>ヨウカイド</t>
    </rPh>
    <phoneticPr fontId="1"/>
  </si>
  <si>
    <t>（日数）</t>
    <rPh sb="1" eb="3">
      <t>ニッスウ</t>
    </rPh>
    <phoneticPr fontId="1"/>
  </si>
  <si>
    <t>下のデータの罫線で囲まれた部分（数値部分）を上の各項目にコピペしてお使いください。日数ずれにご注意ください。</t>
    <rPh sb="0" eb="1">
      <t>シタ</t>
    </rPh>
    <rPh sb="6" eb="8">
      <t>ケイセン</t>
    </rPh>
    <rPh sb="9" eb="10">
      <t>カコ</t>
    </rPh>
    <rPh sb="13" eb="15">
      <t>ブブン</t>
    </rPh>
    <rPh sb="16" eb="18">
      <t>スウチ</t>
    </rPh>
    <rPh sb="18" eb="20">
      <t>ブブン</t>
    </rPh>
    <rPh sb="22" eb="23">
      <t>ウエ</t>
    </rPh>
    <rPh sb="24" eb="27">
      <t>カクコウモク</t>
    </rPh>
    <rPh sb="34" eb="35">
      <t>ツカ</t>
    </rPh>
    <rPh sb="41" eb="43">
      <t>ニッスウ</t>
    </rPh>
    <rPh sb="47" eb="49">
      <t>チュウイ</t>
    </rPh>
    <phoneticPr fontId="1"/>
  </si>
  <si>
    <t>酒母こうじ米</t>
    <rPh sb="0" eb="2">
      <t>シュボ</t>
    </rPh>
    <rPh sb="5" eb="6">
      <t>コメ</t>
    </rPh>
    <phoneticPr fontId="1"/>
  </si>
  <si>
    <t>留掛米</t>
    <rPh sb="0" eb="1">
      <t>トメ</t>
    </rPh>
    <rPh sb="1" eb="2">
      <t>カ</t>
    </rPh>
    <rPh sb="2" eb="3">
      <t>コメ</t>
    </rPh>
    <phoneticPr fontId="1"/>
  </si>
  <si>
    <t>添掛米</t>
    <rPh sb="0" eb="1">
      <t>ソ</t>
    </rPh>
    <rPh sb="1" eb="2">
      <t>カ</t>
    </rPh>
    <rPh sb="2" eb="3">
      <t>コメ</t>
    </rPh>
    <phoneticPr fontId="1"/>
  </si>
  <si>
    <t>仲掛米</t>
    <rPh sb="0" eb="1">
      <t>ナカ</t>
    </rPh>
    <rPh sb="1" eb="2">
      <t>カ</t>
    </rPh>
    <rPh sb="2" eb="3">
      <t>コメ</t>
    </rPh>
    <phoneticPr fontId="1"/>
  </si>
  <si>
    <t>添こうじ米</t>
    <rPh sb="0" eb="1">
      <t>ソ</t>
    </rPh>
    <rPh sb="4" eb="5">
      <t>コメ</t>
    </rPh>
    <phoneticPr fontId="1"/>
  </si>
  <si>
    <t>仲こうじ米</t>
    <rPh sb="0" eb="1">
      <t>ナカ</t>
    </rPh>
    <rPh sb="4" eb="5">
      <t>コメ</t>
    </rPh>
    <phoneticPr fontId="1"/>
  </si>
  <si>
    <t>留こうじ米</t>
    <rPh sb="0" eb="1">
      <t>トメ</t>
    </rPh>
    <rPh sb="4" eb="5">
      <t>コメ</t>
    </rPh>
    <phoneticPr fontId="1"/>
  </si>
  <si>
    <t>酒母掛米</t>
    <rPh sb="0" eb="1">
      <t>サケ</t>
    </rPh>
    <rPh sb="1" eb="2">
      <t>ハハ</t>
    </rPh>
    <rPh sb="2" eb="3">
      <t>カ</t>
    </rPh>
    <rPh sb="3" eb="4">
      <t>マイ</t>
    </rPh>
    <phoneticPr fontId="1"/>
  </si>
  <si>
    <t>添こうじ米</t>
    <rPh sb="0" eb="1">
      <t>ソエ</t>
    </rPh>
    <rPh sb="4" eb="5">
      <t>マイ</t>
    </rPh>
    <phoneticPr fontId="1"/>
  </si>
  <si>
    <t>仲こうじ米</t>
    <rPh sb="0" eb="1">
      <t>ナカ</t>
    </rPh>
    <rPh sb="4" eb="5">
      <t>マイ</t>
    </rPh>
    <phoneticPr fontId="1"/>
  </si>
  <si>
    <t>留こうじ米</t>
    <rPh sb="0" eb="1">
      <t>ト</t>
    </rPh>
    <rPh sb="4" eb="5">
      <t>コメ</t>
    </rPh>
    <phoneticPr fontId="1"/>
  </si>
  <si>
    <t>添掛米</t>
    <rPh sb="0" eb="1">
      <t>ソエ</t>
    </rPh>
    <rPh sb="1" eb="2">
      <t>カ</t>
    </rPh>
    <rPh sb="2" eb="3">
      <t>マイ</t>
    </rPh>
    <phoneticPr fontId="1"/>
  </si>
  <si>
    <t>仲掛米</t>
    <rPh sb="0" eb="1">
      <t>ナカ</t>
    </rPh>
    <rPh sb="1" eb="2">
      <t>カ</t>
    </rPh>
    <rPh sb="2" eb="3">
      <t>マイ</t>
    </rPh>
    <phoneticPr fontId="1"/>
  </si>
  <si>
    <t>留掛米</t>
    <rPh sb="0" eb="1">
      <t>ト</t>
    </rPh>
    <rPh sb="1" eb="2">
      <t>カ</t>
    </rPh>
    <rPh sb="2" eb="3">
      <t>マイ</t>
    </rPh>
    <phoneticPr fontId="1"/>
  </si>
  <si>
    <t>酒母こうじ米</t>
    <rPh sb="0" eb="1">
      <t>サケ</t>
    </rPh>
    <rPh sb="1" eb="2">
      <t>ハハ</t>
    </rPh>
    <rPh sb="5" eb="6">
      <t>コメ</t>
    </rPh>
    <phoneticPr fontId="1"/>
  </si>
  <si>
    <t>溶解度</t>
    <rPh sb="0" eb="3">
      <t>ヨウカイド</t>
    </rPh>
    <phoneticPr fontId="29"/>
  </si>
  <si>
    <t>区分</t>
    <rPh sb="0" eb="2">
      <t>クブン</t>
    </rPh>
    <phoneticPr fontId="1"/>
  </si>
  <si>
    <r>
      <t>品温２（℃）</t>
    </r>
    <r>
      <rPr>
        <b/>
        <sz val="12"/>
        <color rgb="FFFF0000"/>
        <rFont val="ＭＳ Ｐゴシック"/>
        <family val="3"/>
        <charset val="128"/>
        <scheme val="minor"/>
      </rPr>
      <t>グラフ非表示</t>
    </r>
    <rPh sb="0" eb="2">
      <t>ヒンオン</t>
    </rPh>
    <rPh sb="9" eb="12">
      <t>ヒヒョウジ</t>
    </rPh>
    <phoneticPr fontId="1"/>
  </si>
  <si>
    <t>田島健一郎</t>
    <rPh sb="0" eb="5">
      <t>タジマケンイチロウ</t>
    </rPh>
    <phoneticPr fontId="1"/>
  </si>
  <si>
    <t>目標エキス分100%換算値</t>
    <rPh sb="0" eb="2">
      <t>モクヒョウ</t>
    </rPh>
    <rPh sb="5" eb="6">
      <t>ブン</t>
    </rPh>
    <rPh sb="10" eb="12">
      <t>カンザン</t>
    </rPh>
    <rPh sb="12" eb="13">
      <t>アタイ</t>
    </rPh>
    <phoneticPr fontId="1"/>
  </si>
  <si>
    <t>目標溶解度</t>
    <rPh sb="0" eb="2">
      <t>モクヒョウ</t>
    </rPh>
    <rPh sb="2" eb="5">
      <t>ヨウカイド</t>
    </rPh>
    <phoneticPr fontId="1"/>
  </si>
  <si>
    <r>
      <t>【比較する醪経過の絞り込み】</t>
    </r>
    <r>
      <rPr>
        <b/>
        <sz val="11"/>
        <color theme="1"/>
        <rFont val="ＭＳ Ｐゴシック"/>
        <family val="3"/>
        <charset val="128"/>
        <scheme val="minor"/>
      </rPr>
      <t>「グラフ」ワークシート</t>
    </r>
    <r>
      <rPr>
        <sz val="11"/>
        <color theme="1"/>
        <rFont val="ＭＳ Ｐゴシック"/>
        <family val="2"/>
        <charset val="128"/>
        <scheme val="minor"/>
      </rPr>
      <t xml:space="preserve">
　各グラフをクリックすると、フィルターボタン（漏斗の形のボタン）が表示されますので、そのボタンをクリックしたうえで、グラフに表示させたい醪経過を選択し、「適用」をクリックすると、グラフ上に表示したい醪経過の推移だけが表示されます。</t>
    </r>
    <rPh sb="1" eb="3">
      <t>ヒカク</t>
    </rPh>
    <rPh sb="5" eb="6">
      <t>モロミ</t>
    </rPh>
    <rPh sb="6" eb="8">
      <t>ケイカ</t>
    </rPh>
    <rPh sb="9" eb="10">
      <t>シボ</t>
    </rPh>
    <rPh sb="11" eb="12">
      <t>コ</t>
    </rPh>
    <rPh sb="27" eb="28">
      <t>カク</t>
    </rPh>
    <rPh sb="49" eb="51">
      <t>ロウト</t>
    </rPh>
    <rPh sb="52" eb="53">
      <t>カタチ</t>
    </rPh>
    <rPh sb="59" eb="61">
      <t>ヒョウジ</t>
    </rPh>
    <rPh sb="88" eb="90">
      <t>ヒョウジ</t>
    </rPh>
    <rPh sb="94" eb="95">
      <t>モロミ</t>
    </rPh>
    <rPh sb="95" eb="97">
      <t>ケイカ</t>
    </rPh>
    <rPh sb="98" eb="100">
      <t>センタク</t>
    </rPh>
    <rPh sb="103" eb="105">
      <t>テキヨウ</t>
    </rPh>
    <rPh sb="118" eb="119">
      <t>ジョウ</t>
    </rPh>
    <rPh sb="120" eb="122">
      <t>ヒョウジ</t>
    </rPh>
    <rPh sb="125" eb="128">
      <t>モロミケイカ</t>
    </rPh>
    <rPh sb="129" eb="131">
      <t>スイイ</t>
    </rPh>
    <rPh sb="134" eb="136">
      <t>ヒョウジ</t>
    </rPh>
    <phoneticPr fontId="1"/>
  </si>
  <si>
    <t>品温１（℃）</t>
    <rPh sb="0" eb="2">
      <t>ヒンオン</t>
    </rPh>
    <phoneticPr fontId="1"/>
  </si>
  <si>
    <r>
      <t>【最初の入力事項】</t>
    </r>
    <r>
      <rPr>
        <b/>
        <sz val="11"/>
        <color theme="1"/>
        <rFont val="ＭＳ Ｐゴシック"/>
        <family val="3"/>
        <charset val="128"/>
        <scheme val="minor"/>
      </rPr>
      <t>「〇号」ワークシート</t>
    </r>
    <r>
      <rPr>
        <sz val="11"/>
        <color theme="1"/>
        <rFont val="ＭＳ Ｐゴシック"/>
        <family val="2"/>
        <charset val="128"/>
        <scheme val="minor"/>
      </rPr>
      <t xml:space="preserve">
　「〇号」ワークシートの画面を下にスクロールして仕込配合欄を入力します。
（注意点１）
数値以外は入力できないよう設定されています。数値以外は一番下にある作業メモ欄にご記入ください。
（注意点２）
　左の画面には例えば、米の品種などを記入する欄がありますが、記載の有無に関係なく、ツールは動きます。備忘目的として御記入ください。
（注意点３）
原料米処理欄はザルごとに入力ができるように欄を増やしました。「〇号」ワークシートの一番下にスクロールすると入力フォームがあり、上の欄に自動で転記されます。</t>
    </r>
    <rPh sb="1" eb="3">
      <t>サイショ</t>
    </rPh>
    <rPh sb="4" eb="6">
      <t>ニュウリョク</t>
    </rPh>
    <rPh sb="6" eb="8">
      <t>ジコウ</t>
    </rPh>
    <rPh sb="11" eb="12">
      <t>ゴウ</t>
    </rPh>
    <rPh sb="23" eb="24">
      <t>ゴウ</t>
    </rPh>
    <rPh sb="32" eb="34">
      <t>ガメン</t>
    </rPh>
    <rPh sb="35" eb="36">
      <t>シタ</t>
    </rPh>
    <rPh sb="44" eb="46">
      <t>シコミ</t>
    </rPh>
    <rPh sb="46" eb="48">
      <t>ハイゴウ</t>
    </rPh>
    <rPh sb="48" eb="49">
      <t>ラン</t>
    </rPh>
    <rPh sb="50" eb="52">
      <t>ニュウリョク</t>
    </rPh>
    <rPh sb="58" eb="61">
      <t>チュウイテン</t>
    </rPh>
    <rPh sb="64" eb="66">
      <t>スウチ</t>
    </rPh>
    <rPh sb="66" eb="68">
      <t>イガイ</t>
    </rPh>
    <rPh sb="69" eb="71">
      <t>ニュウリョク</t>
    </rPh>
    <rPh sb="77" eb="79">
      <t>セッテイ</t>
    </rPh>
    <rPh sb="86" eb="88">
      <t>スウチ</t>
    </rPh>
    <rPh sb="88" eb="90">
      <t>イガイ</t>
    </rPh>
    <rPh sb="91" eb="94">
      <t>イチバンシタ</t>
    </rPh>
    <rPh sb="97" eb="99">
      <t>サギョウ</t>
    </rPh>
    <rPh sb="101" eb="102">
      <t>ラン</t>
    </rPh>
    <rPh sb="104" eb="106">
      <t>キニュウ</t>
    </rPh>
    <rPh sb="113" eb="116">
      <t>チュウイテン</t>
    </rPh>
    <rPh sb="120" eb="121">
      <t>ヒダリ</t>
    </rPh>
    <rPh sb="122" eb="124">
      <t>ガメン</t>
    </rPh>
    <rPh sb="126" eb="127">
      <t>タト</t>
    </rPh>
    <rPh sb="130" eb="131">
      <t>コメ</t>
    </rPh>
    <rPh sb="132" eb="134">
      <t>ヒンシュ</t>
    </rPh>
    <rPh sb="137" eb="139">
      <t>キニュウ</t>
    </rPh>
    <rPh sb="141" eb="142">
      <t>ラン</t>
    </rPh>
    <rPh sb="149" eb="151">
      <t>キサイ</t>
    </rPh>
    <rPh sb="152" eb="154">
      <t>ウム</t>
    </rPh>
    <rPh sb="155" eb="157">
      <t>カンケイ</t>
    </rPh>
    <rPh sb="164" eb="165">
      <t>ウゴ</t>
    </rPh>
    <rPh sb="169" eb="171">
      <t>ビボウ</t>
    </rPh>
    <rPh sb="171" eb="173">
      <t>モクテキ</t>
    </rPh>
    <rPh sb="176" eb="179">
      <t>ゴキニュウ</t>
    </rPh>
    <rPh sb="186" eb="189">
      <t>チュウイテン</t>
    </rPh>
    <rPh sb="192" eb="194">
      <t>ゲンリョウ</t>
    </rPh>
    <rPh sb="194" eb="195">
      <t>マイ</t>
    </rPh>
    <rPh sb="195" eb="197">
      <t>ショリ</t>
    </rPh>
    <rPh sb="197" eb="198">
      <t>ラン</t>
    </rPh>
    <rPh sb="204" eb="206">
      <t>ニュウリョク</t>
    </rPh>
    <rPh sb="213" eb="214">
      <t>ラン</t>
    </rPh>
    <rPh sb="215" eb="216">
      <t>フ</t>
    </rPh>
    <rPh sb="224" eb="225">
      <t>ゴウ</t>
    </rPh>
    <rPh sb="233" eb="236">
      <t>イチバンシタ</t>
    </rPh>
    <rPh sb="245" eb="247">
      <t>ニュウリョク</t>
    </rPh>
    <phoneticPr fontId="1"/>
  </si>
  <si>
    <r>
      <t>【まず最初に】</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　「〇号」のワークシート</t>
    </r>
    <r>
      <rPr>
        <sz val="11"/>
        <color theme="1"/>
        <rFont val="ＭＳ Ｐゴシック"/>
        <family val="2"/>
        <charset val="128"/>
        <scheme val="minor"/>
      </rPr>
      <t>の名称を仕込名に変えます。
（注意点1）
　もろみエールVer4.1は１つのエクセルファイルで１つの仕込みと対応しています。従って、仕込みの数に応じてファイル数が増えることになります。経過簿の追加にはエクセルファイル（ブック）のコピーをお願いします。
（注意点２）
　オレンジで網掛けしている箇所は自動で計算されて表示される箇所であるため、入力することができません。オレンジ色の配色が目に刺激的である場合は、「</t>
    </r>
    <r>
      <rPr>
        <sz val="11"/>
        <color rgb="FF0070C0"/>
        <rFont val="ＭＳ Ｐゴシック"/>
        <family val="3"/>
        <charset val="128"/>
        <scheme val="minor"/>
      </rPr>
      <t>グレースケール」を選択してください。</t>
    </r>
    <rPh sb="3" eb="5">
      <t>サイショ</t>
    </rPh>
    <rPh sb="9" eb="10">
      <t>ゴウ</t>
    </rPh>
    <rPh sb="21" eb="22">
      <t>ゴウ</t>
    </rPh>
    <rPh sb="31" eb="33">
      <t>メイショウ</t>
    </rPh>
    <rPh sb="34" eb="36">
      <t>シコミ</t>
    </rPh>
    <rPh sb="36" eb="37">
      <t>メイ</t>
    </rPh>
    <rPh sb="38" eb="39">
      <t>カ</t>
    </rPh>
    <rPh sb="45" eb="48">
      <t>チュウイテン</t>
    </rPh>
    <rPh sb="122" eb="124">
      <t>ケイカ</t>
    </rPh>
    <rPh sb="124" eb="125">
      <t>ボ</t>
    </rPh>
    <rPh sb="126" eb="128">
      <t>ツイカ</t>
    </rPh>
    <rPh sb="157" eb="160">
      <t>チュウイテン</t>
    </rPh>
    <rPh sb="169" eb="171">
      <t>アミカ</t>
    </rPh>
    <rPh sb="176" eb="178">
      <t>カショ</t>
    </rPh>
    <rPh sb="179" eb="181">
      <t>ジドウ</t>
    </rPh>
    <rPh sb="182" eb="184">
      <t>ケイサン</t>
    </rPh>
    <rPh sb="187" eb="189">
      <t>ヒョウジ</t>
    </rPh>
    <rPh sb="192" eb="194">
      <t>カショ</t>
    </rPh>
    <rPh sb="200" eb="202">
      <t>ニュウリョク</t>
    </rPh>
    <rPh sb="217" eb="218">
      <t>イロ</t>
    </rPh>
    <rPh sb="219" eb="221">
      <t>ハイショク</t>
    </rPh>
    <rPh sb="222" eb="223">
      <t>メ</t>
    </rPh>
    <rPh sb="224" eb="227">
      <t>シゲキテキ</t>
    </rPh>
    <rPh sb="230" eb="232">
      <t>バアイ</t>
    </rPh>
    <rPh sb="244" eb="246">
      <t>センタク</t>
    </rPh>
    <phoneticPr fontId="1"/>
  </si>
  <si>
    <t>【ワークシートの保護の解除の仕方】
すべてのワークシートにはワークシートごとに保護設定しています。
これは、設定された位置の数式などが間違って削除、変更しないように設定したものです。
ワークシートに変更を加えたいときは、上に表示されているタブの「校閲」を選択し、「ワークシートの解除」をクリックすると、パスワードをきかれますので、「nagoyakantei」（すべてのワークシートで同じです。）と入力するとワークシートの保護設定が解除されます。
解除状態で数式などの設定が変更されたとしても責任を負いかねますので、十分注意してください。</t>
    <rPh sb="8" eb="10">
      <t>ホゴ</t>
    </rPh>
    <rPh sb="11" eb="13">
      <t>カイジョ</t>
    </rPh>
    <rPh sb="14" eb="16">
      <t>シカタ</t>
    </rPh>
    <rPh sb="39" eb="41">
      <t>ホゴ</t>
    </rPh>
    <rPh sb="41" eb="43">
      <t>セッテイ</t>
    </rPh>
    <rPh sb="54" eb="56">
      <t>セッテイ</t>
    </rPh>
    <rPh sb="59" eb="61">
      <t>イチ</t>
    </rPh>
    <rPh sb="62" eb="64">
      <t>スウシキ</t>
    </rPh>
    <rPh sb="67" eb="69">
      <t>マチガ</t>
    </rPh>
    <rPh sb="71" eb="73">
      <t>サクジョ</t>
    </rPh>
    <rPh sb="74" eb="76">
      <t>ヘンコウ</t>
    </rPh>
    <rPh sb="82" eb="84">
      <t>セッテイ</t>
    </rPh>
    <rPh sb="99" eb="101">
      <t>ヘンコウ</t>
    </rPh>
    <rPh sb="102" eb="103">
      <t>クワ</t>
    </rPh>
    <rPh sb="139" eb="141">
      <t>カイジョ</t>
    </rPh>
    <rPh sb="191" eb="192">
      <t>オナ</t>
    </rPh>
    <rPh sb="198" eb="200">
      <t>ニュウリョク</t>
    </rPh>
    <rPh sb="210" eb="212">
      <t>ホゴ</t>
    </rPh>
    <rPh sb="212" eb="214">
      <t>セッテイ</t>
    </rPh>
    <rPh sb="215" eb="217">
      <t>カイジョ</t>
    </rPh>
    <rPh sb="223" eb="225">
      <t>カイジョ</t>
    </rPh>
    <rPh sb="225" eb="227">
      <t>ジョウタイ</t>
    </rPh>
    <rPh sb="228" eb="230">
      <t>スウシキ</t>
    </rPh>
    <rPh sb="233" eb="235">
      <t>セッテイ</t>
    </rPh>
    <rPh sb="236" eb="238">
      <t>ヘンコウ</t>
    </rPh>
    <rPh sb="245" eb="247">
      <t>セキニン</t>
    </rPh>
    <rPh sb="248" eb="249">
      <t>オ</t>
    </rPh>
    <rPh sb="257" eb="259">
      <t>ジュウブン</t>
    </rPh>
    <rPh sb="259" eb="261">
      <t>チュウイ</t>
    </rPh>
    <phoneticPr fontId="1"/>
  </si>
  <si>
    <t xml:space="preserve">【技術相談について】　
　本ツールに基づく技術相談をご希望される方は、各種数値を記入した本ファイルを鑑定官室メールアドレスまで送信の上、鑑定官室あて電話でご連絡いただきますようお願い申し上げます（名古屋国税局メールアドレス：kantei@nag.nta.go.jp、電話番号０５２－９５１－３５１１(代表)）。
　また、本ツール以外の技術相談についても随時応じております。お酒の製造でお困りの点等がございましたら上記メールアドレスや電話番号にお気軽にご連絡ください。
</t>
    <rPh sb="1" eb="3">
      <t>ギジュツ</t>
    </rPh>
    <rPh sb="3" eb="5">
      <t>ソウダン</t>
    </rPh>
    <rPh sb="13" eb="14">
      <t>ホン</t>
    </rPh>
    <rPh sb="18" eb="19">
      <t>モト</t>
    </rPh>
    <rPh sb="21" eb="23">
      <t>ギジュツ</t>
    </rPh>
    <rPh sb="23" eb="25">
      <t>ソウダン</t>
    </rPh>
    <rPh sb="35" eb="37">
      <t>カクシュ</t>
    </rPh>
    <rPh sb="37" eb="39">
      <t>スウチ</t>
    </rPh>
    <rPh sb="40" eb="42">
      <t>キニュウ</t>
    </rPh>
    <rPh sb="44" eb="45">
      <t>ホン</t>
    </rPh>
    <rPh sb="50" eb="52">
      <t>カンテイ</t>
    </rPh>
    <rPh sb="52" eb="53">
      <t>カン</t>
    </rPh>
    <rPh sb="53" eb="54">
      <t>シツ</t>
    </rPh>
    <rPh sb="63" eb="65">
      <t>ソウシン</t>
    </rPh>
    <rPh sb="66" eb="67">
      <t>ウエ</t>
    </rPh>
    <rPh sb="74" eb="76">
      <t>デンワ</t>
    </rPh>
    <rPh sb="98" eb="101">
      <t>ナゴヤ</t>
    </rPh>
    <rPh sb="101" eb="104">
      <t>コクゼイキョク</t>
    </rPh>
    <rPh sb="150" eb="152">
      <t>ダイヒョウ</t>
    </rPh>
    <rPh sb="160" eb="161">
      <t>ホン</t>
    </rPh>
    <rPh sb="164" eb="166">
      <t>イガイ</t>
    </rPh>
    <rPh sb="167" eb="169">
      <t>ギジュツ</t>
    </rPh>
    <rPh sb="169" eb="171">
      <t>ソウダン</t>
    </rPh>
    <rPh sb="206" eb="208">
      <t>ジョウキ</t>
    </rPh>
    <rPh sb="216" eb="218">
      <t>デンワ</t>
    </rPh>
    <rPh sb="218" eb="220">
      <t>バンゴウ</t>
    </rPh>
    <rPh sb="222" eb="224">
      <t>キガル</t>
    </rPh>
    <rPh sb="226" eb="228">
      <t>レンラク</t>
    </rPh>
    <phoneticPr fontId="1"/>
  </si>
  <si>
    <t>汲水歩合（留即時）</t>
    <rPh sb="0" eb="1">
      <t>ク</t>
    </rPh>
    <rPh sb="1" eb="2">
      <t>ミズ</t>
    </rPh>
    <rPh sb="2" eb="4">
      <t>ブアイ</t>
    </rPh>
    <rPh sb="5" eb="6">
      <t>ト</t>
    </rPh>
    <rPh sb="6" eb="8">
      <t>ソクジ</t>
    </rPh>
    <phoneticPr fontId="1"/>
  </si>
  <si>
    <t>発酵／溶解比</t>
    <rPh sb="0" eb="2">
      <t>ハッコウ</t>
    </rPh>
    <rPh sb="3" eb="5">
      <t>ヨウカイ</t>
    </rPh>
    <rPh sb="5" eb="6">
      <t>ヒ</t>
    </rPh>
    <phoneticPr fontId="1"/>
  </si>
  <si>
    <t>(参考)令和４及び令和５酒造年度名古屋局管内全国新酒鑑評会金賞受賞酒データ</t>
    <rPh sb="1" eb="3">
      <t>サンコウ</t>
    </rPh>
    <rPh sb="4" eb="6">
      <t>レイワ</t>
    </rPh>
    <rPh sb="7" eb="8">
      <t>オヨ</t>
    </rPh>
    <rPh sb="9" eb="11">
      <t>レイワ</t>
    </rPh>
    <rPh sb="12" eb="14">
      <t>シュゾウ</t>
    </rPh>
    <rPh sb="14" eb="16">
      <t>ネンド</t>
    </rPh>
    <rPh sb="16" eb="19">
      <t>ナゴヤ</t>
    </rPh>
    <rPh sb="19" eb="20">
      <t>キョク</t>
    </rPh>
    <rPh sb="20" eb="22">
      <t>カンナイ</t>
    </rPh>
    <rPh sb="22" eb="24">
      <t>ゼンコク</t>
    </rPh>
    <rPh sb="24" eb="26">
      <t>シンシュ</t>
    </rPh>
    <rPh sb="26" eb="29">
      <t>カンピョウカイ</t>
    </rPh>
    <rPh sb="29" eb="31">
      <t>キンショウ</t>
    </rPh>
    <rPh sb="31" eb="33">
      <t>ジュショウ</t>
    </rPh>
    <rPh sb="33" eb="34">
      <t>シュ</t>
    </rPh>
    <phoneticPr fontId="1"/>
  </si>
  <si>
    <t>目標発酵／溶解比</t>
    <rPh sb="0" eb="2">
      <t>モクヒョウ</t>
    </rPh>
    <rPh sb="2" eb="4">
      <t>ハッコウ</t>
    </rPh>
    <rPh sb="5" eb="7">
      <t>ヨウカイ</t>
    </rPh>
    <rPh sb="7" eb="8">
      <t>ヒ</t>
    </rPh>
    <phoneticPr fontId="29"/>
  </si>
  <si>
    <t>目標発酵／溶解比</t>
    <rPh sb="0" eb="2">
      <t>モクヒョウ</t>
    </rPh>
    <rPh sb="2" eb="4">
      <t>ハッコウ</t>
    </rPh>
    <rPh sb="5" eb="7">
      <t>ヨウカイ</t>
    </rPh>
    <rPh sb="7" eb="8">
      <t>ヒ</t>
    </rPh>
    <phoneticPr fontId="1"/>
  </si>
  <si>
    <t>備考</t>
    <rPh sb="0" eb="2">
      <t>ビコウ</t>
    </rPh>
    <phoneticPr fontId="1"/>
  </si>
  <si>
    <t>発酵／溶解比</t>
    <rPh sb="0" eb="2">
      <t>ハッコウ</t>
    </rPh>
    <rPh sb="3" eb="5">
      <t>ヨウカイ</t>
    </rPh>
    <rPh sb="5" eb="6">
      <t>ヒ</t>
    </rPh>
    <phoneticPr fontId="29"/>
  </si>
  <si>
    <t>〇A-B直線・製成酒</t>
    <rPh sb="4" eb="6">
      <t>チョクセン</t>
    </rPh>
    <rPh sb="7" eb="8">
      <t>セイ</t>
    </rPh>
    <rPh sb="8" eb="9">
      <t>ナ</t>
    </rPh>
    <rPh sb="9" eb="10">
      <t>シュ</t>
    </rPh>
    <phoneticPr fontId="1"/>
  </si>
  <si>
    <t>目標最高BMD</t>
    <rPh sb="0" eb="2">
      <t>モクヒョウ</t>
    </rPh>
    <rPh sb="2" eb="4">
      <t>サイコウ</t>
    </rPh>
    <phoneticPr fontId="1"/>
  </si>
  <si>
    <t>原料米処理</t>
    <rPh sb="0" eb="2">
      <t>ゲンリョウ</t>
    </rPh>
    <rPh sb="2" eb="3">
      <t>マイ</t>
    </rPh>
    <rPh sb="3" eb="5">
      <t>ショリ</t>
    </rPh>
    <phoneticPr fontId="1"/>
  </si>
  <si>
    <t>名古屋局HP掲載用に修正及び体裁を整えた。</t>
    <rPh sb="0" eb="3">
      <t>ナゴヤ</t>
    </rPh>
    <rPh sb="3" eb="4">
      <t>キョク</t>
    </rPh>
    <rPh sb="6" eb="8">
      <t>ケイサイ</t>
    </rPh>
    <rPh sb="8" eb="9">
      <t>ヨウ</t>
    </rPh>
    <rPh sb="10" eb="12">
      <t>シュウセイ</t>
    </rPh>
    <rPh sb="12" eb="13">
      <t>オヨ</t>
    </rPh>
    <rPh sb="14" eb="16">
      <t>テイサイ</t>
    </rPh>
    <rPh sb="17" eb="18">
      <t>トトノ</t>
    </rPh>
    <phoneticPr fontId="1"/>
  </si>
  <si>
    <r>
      <t>【もろみ経過の記録】</t>
    </r>
    <r>
      <rPr>
        <b/>
        <sz val="11"/>
        <color theme="1"/>
        <rFont val="ＭＳ Ｐゴシック"/>
        <family val="3"/>
        <charset val="128"/>
        <scheme val="minor"/>
      </rPr>
      <t>「〇号」ワークシート</t>
    </r>
    <r>
      <rPr>
        <sz val="11"/>
        <color theme="1"/>
        <rFont val="ＭＳ Ｐゴシック"/>
        <family val="2"/>
        <charset val="128"/>
        <scheme val="minor"/>
      </rPr>
      <t xml:space="preserve">
　・日々の追水添加量　　　・日々のボーメ（日本酒度）
　・アルコール度数　を入力します。
　その結果、BMD、エキス分、原エキス分が計算されて表示されます。
（注意点）
　数値以外は入力できないよう設定されています。また、数値の入力は直接入力又はコピーペースト、オートフィルにより入力してください。</t>
    </r>
    <r>
      <rPr>
        <b/>
        <sz val="11"/>
        <color rgb="FFFF0000"/>
        <rFont val="ＭＳ Ｐゴシック"/>
        <family val="3"/>
        <charset val="128"/>
        <scheme val="minor"/>
      </rPr>
      <t>セルの数値をドラッグアンドドロップにて移動させると数式の設定がずれて正しい値が表示されません。</t>
    </r>
    <r>
      <rPr>
        <sz val="11"/>
        <color theme="1"/>
        <rFont val="ＭＳ Ｐゴシック"/>
        <family val="2"/>
        <charset val="128"/>
        <scheme val="minor"/>
      </rPr>
      <t xml:space="preserve">
（注意点２）
　醪経過描画ツールVer2に掲載していました液化力、発酵力、糖化力の指標は非表示にしています。また、このワークシートは演算式を変更できないように保護の設定をしています。これらの指標を表示されたい方はワークシート保護を解除（一番下の説明を参照）して再表示させてください。</t>
    </r>
    <rPh sb="4" eb="6">
      <t>ケイカ</t>
    </rPh>
    <rPh sb="7" eb="9">
      <t>キロク</t>
    </rPh>
    <rPh sb="12" eb="13">
      <t>ゴウ</t>
    </rPh>
    <rPh sb="23" eb="25">
      <t>ヒビ</t>
    </rPh>
    <rPh sb="26" eb="27">
      <t>オ</t>
    </rPh>
    <rPh sb="27" eb="28">
      <t>ミズ</t>
    </rPh>
    <rPh sb="28" eb="30">
      <t>テンカ</t>
    </rPh>
    <rPh sb="30" eb="31">
      <t>リョウ</t>
    </rPh>
    <rPh sb="35" eb="37">
      <t>ヒビ</t>
    </rPh>
    <rPh sb="42" eb="45">
      <t>ニホンシュ</t>
    </rPh>
    <rPh sb="45" eb="46">
      <t>ド</t>
    </rPh>
    <rPh sb="55" eb="57">
      <t>ドスウ</t>
    </rPh>
    <rPh sb="59" eb="61">
      <t>ニュウリョク</t>
    </rPh>
    <rPh sb="69" eb="71">
      <t>ケッカ</t>
    </rPh>
    <rPh sb="79" eb="80">
      <t>ブン</t>
    </rPh>
    <rPh sb="81" eb="82">
      <t>ハラ</t>
    </rPh>
    <rPh sb="85" eb="86">
      <t>ブン</t>
    </rPh>
    <rPh sb="87" eb="89">
      <t>ケイサン</t>
    </rPh>
    <rPh sb="92" eb="94">
      <t>ヒョウジ</t>
    </rPh>
    <rPh sb="101" eb="104">
      <t>チュウイテン</t>
    </rPh>
    <rPh sb="132" eb="134">
      <t>スウチ</t>
    </rPh>
    <rPh sb="135" eb="137">
      <t>ニュウリョク</t>
    </rPh>
    <rPh sb="138" eb="140">
      <t>チョクセツ</t>
    </rPh>
    <rPh sb="140" eb="142">
      <t>ニュウリョク</t>
    </rPh>
    <rPh sb="142" eb="143">
      <t>マタ</t>
    </rPh>
    <rPh sb="161" eb="163">
      <t>ニュウリョク</t>
    </rPh>
    <rPh sb="173" eb="175">
      <t>スウチ</t>
    </rPh>
    <rPh sb="195" eb="197">
      <t>スウシキ</t>
    </rPh>
    <rPh sb="198" eb="200">
      <t>セッテイ</t>
    </rPh>
    <rPh sb="204" eb="205">
      <t>タダ</t>
    </rPh>
    <rPh sb="207" eb="210">
      <t>チュウイテン</t>
    </rPh>
    <rPh sb="217" eb="219">
      <t>トウカ</t>
    </rPh>
    <rPh sb="219" eb="220">
      <t>リョク</t>
    </rPh>
    <rPh sb="221" eb="223">
      <t>シヒョウ</t>
    </rPh>
    <rPh sb="224" eb="227">
      <t>ヒヒョウジ</t>
    </rPh>
    <rPh sb="246" eb="249">
      <t>エンザンシキ</t>
    </rPh>
    <rPh sb="250" eb="252">
      <t>ヘンコウ</t>
    </rPh>
    <rPh sb="259" eb="261">
      <t>ホゴ</t>
    </rPh>
    <rPh sb="262" eb="264">
      <t>セッテイ</t>
    </rPh>
    <rPh sb="275" eb="277">
      <t>シヒョウ</t>
    </rPh>
    <rPh sb="278" eb="280">
      <t>ヒョウジ</t>
    </rPh>
    <rPh sb="284" eb="285">
      <t>カタ</t>
    </rPh>
    <rPh sb="292" eb="294">
      <t>ホゴ</t>
    </rPh>
    <rPh sb="295" eb="297">
      <t>カイジョ</t>
    </rPh>
    <rPh sb="299" eb="300">
      <t>サイ</t>
    </rPh>
    <rPh sb="300" eb="302">
      <t>ヒョウジ</t>
    </rPh>
    <rPh sb="336" eb="339">
      <t>イチバンシタ</t>
    </rPh>
    <rPh sb="340" eb="342">
      <t>セツメイ</t>
    </rPh>
    <rPh sb="343" eb="345">
      <t>サンショウ</t>
    </rPh>
    <phoneticPr fontId="1"/>
  </si>
  <si>
    <t>原料米処理（印刷されない設定となっています。印刷したい場合はワークシート保護を解除して印刷範囲を変更してください。）</t>
    <rPh sb="0" eb="2">
      <t>ゲンリョウ</t>
    </rPh>
    <rPh sb="2" eb="3">
      <t>コメ</t>
    </rPh>
    <rPh sb="3" eb="5">
      <t>ショリ</t>
    </rPh>
    <rPh sb="6" eb="8">
      <t>インサツ</t>
    </rPh>
    <rPh sb="12" eb="14">
      <t>セッテイ</t>
    </rPh>
    <rPh sb="22" eb="24">
      <t>インサツ</t>
    </rPh>
    <rPh sb="27" eb="29">
      <t>バアイ</t>
    </rPh>
    <rPh sb="36" eb="38">
      <t>ホゴ</t>
    </rPh>
    <rPh sb="39" eb="41">
      <t>カイジョ</t>
    </rPh>
    <rPh sb="43" eb="45">
      <t>インサツ</t>
    </rPh>
    <rPh sb="45" eb="47">
      <t>ハンイ</t>
    </rPh>
    <rPh sb="48" eb="50">
      <t>ヘンコウ</t>
    </rPh>
    <phoneticPr fontId="1"/>
  </si>
  <si>
    <t xml:space="preserve">【はじめに】
　もろみエールは、一般的な醪経過簿をベースとし、各種分析値を入力することにより醸造理論に基づいた管理指標を自動計算するツールです。もろみ管理に広く利用されているA-B直線やBMDのほか、後述する「溶解度」や「発酵/溶解比」といった独自指標を設けています。
　Ver3.1からは、名古屋国税局管内清酒製造者より令和４、５酒造年度全国新酒鑑評会出品酒のデータをご提供いただき、「溶解度」、「発酵度」、「発酵/溶解比」の最大値と最小値を、比較グラフとして表示可能にしました。また、新指標として後述する「原料米利用率」を導入しました。
　なお、本ツールの正確性・妥当性等については細心の注意を払っておりますが、その保証をするものではありません。
</t>
    <rPh sb="75" eb="77">
      <t>カンリ</t>
    </rPh>
    <rPh sb="78" eb="79">
      <t>ヒロ</t>
    </rPh>
    <rPh sb="80" eb="82">
      <t>リヨウ</t>
    </rPh>
    <rPh sb="100" eb="102">
      <t>コウジュツ</t>
    </rPh>
    <rPh sb="105" eb="108">
      <t>ヨウカイド</t>
    </rPh>
    <rPh sb="111" eb="112">
      <t>ド</t>
    </rPh>
    <rPh sb="114" eb="116">
      <t>ヨウカイ</t>
    </rPh>
    <rPh sb="116" eb="117">
      <t>ヒ</t>
    </rPh>
    <rPh sb="122" eb="124">
      <t>ドクジ</t>
    </rPh>
    <rPh sb="124" eb="126">
      <t>シヒョウ</t>
    </rPh>
    <rPh sb="127" eb="128">
      <t>モウ</t>
    </rPh>
    <rPh sb="179" eb="180">
      <t>シュ</t>
    </rPh>
    <rPh sb="186" eb="188">
      <t>テイキョウ</t>
    </rPh>
    <rPh sb="194" eb="197">
      <t>ヨウカイド</t>
    </rPh>
    <rPh sb="206" eb="208">
      <t>ハッコウ</t>
    </rPh>
    <rPh sb="209" eb="211">
      <t>ヨウカイ</t>
    </rPh>
    <rPh sb="211" eb="212">
      <t>ヒ</t>
    </rPh>
    <rPh sb="216" eb="217">
      <t>チ</t>
    </rPh>
    <rPh sb="220" eb="221">
      <t>チ</t>
    </rPh>
    <rPh sb="223" eb="225">
      <t>ヒカク</t>
    </rPh>
    <rPh sb="231" eb="233">
      <t>ヒョウジ</t>
    </rPh>
    <rPh sb="233" eb="235">
      <t>カノウ</t>
    </rPh>
    <rPh sb="250" eb="252">
      <t>コウジュツ</t>
    </rPh>
    <rPh sb="275" eb="276">
      <t>ホン</t>
    </rPh>
    <rPh sb="280" eb="283">
      <t>セイカクセイ</t>
    </rPh>
    <rPh sb="284" eb="287">
      <t>ダトウセイ</t>
    </rPh>
    <rPh sb="287" eb="288">
      <t>トウ</t>
    </rPh>
    <rPh sb="293" eb="295">
      <t>サイシン</t>
    </rPh>
    <rPh sb="296" eb="298">
      <t>チュウイ</t>
    </rPh>
    <rPh sb="299" eb="300">
      <t>ハラ</t>
    </rPh>
    <rPh sb="310" eb="312">
      <t>ホショウ</t>
    </rPh>
    <phoneticPr fontId="1"/>
  </si>
  <si>
    <t xml:space="preserve">【溶解度とは】
　原エキス分を汲水歩合100％に換算したものです。
　溶解度＝原エキス分×汲水歩合÷100
　仕込配合（特に汲水歩合）が異なっている醸造年度間や、異なる製造場間でも同じスケールで比較可能です。
  米の収穫年度ごとの溶けやすさや、原料処理法が米の溶け具合に与える影響を、数値化してとらえることが期待されます。
【発酵度とは】
アルコールに変換されたエキス分を汲水歩合100％に換算したものです。
発酵度＝アルコールに変換されたエキス分×汲水歩合÷100
【発酵/溶解比とは】
　各醪日数時点での溶解度に対する、アルコールに変換されたエキス分（発酵度）の比率です。
　発酵/溶解比＝発酵度÷溶解度
　令和４、５酒造年度全国新酒鑑評会の出品酒では多くが最終的な発酵/溶解比が80に収束していることから、これを終点として考え、終点に向けて発酵がどのように進んでいるのか、終点まであと何日かという考えで使用することを想定しています。
【比較グラフ】　
　鑑評会の出品酒のもろみ管理に使用していただくほか、今後は出品酒だけでなく様々な酒質のもろみ事績についてデータ解析を進めていくことで幅広く利用できるものと考えています。これまでの自社の発酵管理（糖化と発酵のバランス）がどの程度なのかを本グラフで知ることができ、数値に基づいた持続的な酒造りを行う上での参考となるほか、これまで経験のない酒造りに挑戦する際にも目標とする酒質にたどり着くためのツールとして使っていただけるものと考えております。
【原料米利用率とは】
　原料米のデンプンが清酒中のアルコール及びエキスとして利用された割合をエキス換算にて表した数値で、「白米利用率」と玄米からの利用率を表す「対玄米利用率」にて表されます。
　原価計算等の経済的な面だけでなく、味わいの多寡など酒質管理の面における指標となることが期待されます。
　過去の清酒製造状況等調査データから、利用率の値が統計的に上位10%に該当するものを「かなり高い」、上位30％に該当するものを「高い」、上位30％から下位30％の間に該当するものを「標準的」、下位30%に該当するものを「低い」、下位10％に該当するものを「かなり低い」と表示します。
</t>
    <rPh sb="1" eb="4">
      <t>ヨウカイド</t>
    </rPh>
    <rPh sb="35" eb="38">
      <t>ヨウカイド</t>
    </rPh>
    <rPh sb="74" eb="76">
      <t>ジョウゾウ</t>
    </rPh>
    <rPh sb="76" eb="78">
      <t>ネンド</t>
    </rPh>
    <rPh sb="78" eb="79">
      <t>カン</t>
    </rPh>
    <rPh sb="81" eb="82">
      <t>コト</t>
    </rPh>
    <rPh sb="84" eb="86">
      <t>セイゾウ</t>
    </rPh>
    <rPh sb="86" eb="87">
      <t>ジョウ</t>
    </rPh>
    <rPh sb="109" eb="111">
      <t>シュウカク</t>
    </rPh>
    <rPh sb="111" eb="113">
      <t>ネンド</t>
    </rPh>
    <rPh sb="155" eb="157">
      <t>キタイ</t>
    </rPh>
    <rPh sb="164" eb="166">
      <t>ハッコウ</t>
    </rPh>
    <rPh sb="166" eb="167">
      <t>ド</t>
    </rPh>
    <rPh sb="177" eb="179">
      <t>ヘンカン</t>
    </rPh>
    <rPh sb="185" eb="186">
      <t>ブン</t>
    </rPh>
    <rPh sb="187" eb="188">
      <t>ク</t>
    </rPh>
    <rPh sb="188" eb="189">
      <t>ミズ</t>
    </rPh>
    <rPh sb="189" eb="191">
      <t>ブアイ</t>
    </rPh>
    <rPh sb="196" eb="198">
      <t>カンザン</t>
    </rPh>
    <rPh sb="206" eb="208">
      <t>ハッコウ</t>
    </rPh>
    <rPh sb="208" eb="209">
      <t>ド</t>
    </rPh>
    <rPh sb="216" eb="218">
      <t>ヘンカン</t>
    </rPh>
    <rPh sb="224" eb="225">
      <t>ブン</t>
    </rPh>
    <rPh sb="226" eb="227">
      <t>ク</t>
    </rPh>
    <rPh sb="227" eb="228">
      <t>ミズ</t>
    </rPh>
    <rPh sb="228" eb="230">
      <t>ブアイ</t>
    </rPh>
    <rPh sb="255" eb="258">
      <t>ヨウカイド</t>
    </rPh>
    <rPh sb="279" eb="281">
      <t>ハッコウ</t>
    </rPh>
    <rPh sb="281" eb="282">
      <t>ド</t>
    </rPh>
    <rPh sb="294" eb="296">
      <t>ヨウカイ</t>
    </rPh>
    <rPh sb="296" eb="297">
      <t>ヒ</t>
    </rPh>
    <rPh sb="298" eb="300">
      <t>ハッコウ</t>
    </rPh>
    <rPh sb="300" eb="301">
      <t>ド</t>
    </rPh>
    <rPh sb="302" eb="305">
      <t>ヨウカイド</t>
    </rPh>
    <rPh sb="339" eb="341">
      <t>ヨウカイ</t>
    </rPh>
    <rPh sb="341" eb="342">
      <t>ヒ</t>
    </rPh>
    <rPh sb="422" eb="424">
      <t>ヒカク</t>
    </rPh>
    <rPh sb="435" eb="437">
      <t>シュッピン</t>
    </rPh>
    <rPh sb="437" eb="438">
      <t>シュ</t>
    </rPh>
    <rPh sb="442" eb="444">
      <t>カンリ</t>
    </rPh>
    <rPh sb="445" eb="447">
      <t>シヨウ</t>
    </rPh>
    <rPh sb="456" eb="458">
      <t>コンゴ</t>
    </rPh>
    <rPh sb="459" eb="461">
      <t>シュッピン</t>
    </rPh>
    <rPh sb="461" eb="462">
      <t>シュ</t>
    </rPh>
    <rPh sb="467" eb="469">
      <t>サマザマ</t>
    </rPh>
    <rPh sb="470" eb="471">
      <t>サケ</t>
    </rPh>
    <rPh sb="471" eb="472">
      <t>シツ</t>
    </rPh>
    <rPh sb="476" eb="478">
      <t>ジセキ</t>
    </rPh>
    <rPh sb="485" eb="487">
      <t>カイセキ</t>
    </rPh>
    <rPh sb="488" eb="489">
      <t>スス</t>
    </rPh>
    <rPh sb="496" eb="498">
      <t>ハバヒロ</t>
    </rPh>
    <rPh sb="499" eb="501">
      <t>リヨウ</t>
    </rPh>
    <rPh sb="507" eb="508">
      <t>カンガ</t>
    </rPh>
    <rPh sb="560" eb="562">
      <t>スウチ</t>
    </rPh>
    <rPh sb="563" eb="564">
      <t>モト</t>
    </rPh>
    <rPh sb="567" eb="570">
      <t>ジゾクテキ</t>
    </rPh>
    <rPh sb="571" eb="572">
      <t>サケ</t>
    </rPh>
    <rPh sb="572" eb="573">
      <t>ツク</t>
    </rPh>
    <rPh sb="575" eb="576">
      <t>オコナ</t>
    </rPh>
    <rPh sb="577" eb="578">
      <t>ウエ</t>
    </rPh>
    <rPh sb="580" eb="582">
      <t>サンコウ</t>
    </rPh>
    <rPh sb="592" eb="594">
      <t>ケイケン</t>
    </rPh>
    <rPh sb="597" eb="598">
      <t>サケ</t>
    </rPh>
    <rPh sb="598" eb="599">
      <t>ツク</t>
    </rPh>
    <rPh sb="601" eb="603">
      <t>チョウセン</t>
    </rPh>
    <rPh sb="605" eb="606">
      <t>サイ</t>
    </rPh>
    <rPh sb="608" eb="610">
      <t>モクヒョウ</t>
    </rPh>
    <rPh sb="613" eb="614">
      <t>サケ</t>
    </rPh>
    <rPh sb="614" eb="615">
      <t>シツ</t>
    </rPh>
    <rPh sb="619" eb="620">
      <t>ツ</t>
    </rPh>
    <rPh sb="630" eb="631">
      <t>ツカ</t>
    </rPh>
    <rPh sb="641" eb="642">
      <t>カンガ</t>
    </rPh>
    <rPh sb="651" eb="653">
      <t>ゲンリョウ</t>
    </rPh>
    <rPh sb="653" eb="654">
      <t>マイ</t>
    </rPh>
    <rPh sb="654" eb="657">
      <t>リヨウリツ</t>
    </rPh>
    <rPh sb="662" eb="664">
      <t>ゲンリョウ</t>
    </rPh>
    <rPh sb="664" eb="665">
      <t>マイ</t>
    </rPh>
    <rPh sb="671" eb="673">
      <t>セイシュ</t>
    </rPh>
    <rPh sb="673" eb="674">
      <t>チュウ</t>
    </rPh>
    <rPh sb="680" eb="681">
      <t>オヨ</t>
    </rPh>
    <rPh sb="688" eb="690">
      <t>リヨウ</t>
    </rPh>
    <rPh sb="693" eb="695">
      <t>ワリアイ</t>
    </rPh>
    <rPh sb="699" eb="701">
      <t>カンザン</t>
    </rPh>
    <rPh sb="703" eb="704">
      <t>アラワ</t>
    </rPh>
    <rPh sb="706" eb="708">
      <t>スウチ</t>
    </rPh>
    <rPh sb="711" eb="713">
      <t>ハクマイ</t>
    </rPh>
    <rPh sb="713" eb="716">
      <t>リヨウリツ</t>
    </rPh>
    <rPh sb="718" eb="720">
      <t>ゲンマイ</t>
    </rPh>
    <rPh sb="723" eb="726">
      <t>リヨウリツ</t>
    </rPh>
    <rPh sb="727" eb="728">
      <t>アラワ</t>
    </rPh>
    <rPh sb="730" eb="731">
      <t>タイ</t>
    </rPh>
    <rPh sb="731" eb="736">
      <t>ゲンマイリヨウリツ</t>
    </rPh>
    <rPh sb="739" eb="740">
      <t>アラワ</t>
    </rPh>
    <rPh sb="747" eb="749">
      <t>ゲンカ</t>
    </rPh>
    <rPh sb="749" eb="751">
      <t>ケイサン</t>
    </rPh>
    <rPh sb="751" eb="752">
      <t>トウ</t>
    </rPh>
    <rPh sb="753" eb="756">
      <t>ケイザイテキ</t>
    </rPh>
    <rPh sb="757" eb="758">
      <t>メン</t>
    </rPh>
    <rPh sb="764" eb="765">
      <t>アジ</t>
    </rPh>
    <rPh sb="768" eb="770">
      <t>タカ</t>
    </rPh>
    <rPh sb="772" eb="773">
      <t>シュ</t>
    </rPh>
    <rPh sb="773" eb="774">
      <t>シツ</t>
    </rPh>
    <rPh sb="774" eb="776">
      <t>カンリ</t>
    </rPh>
    <rPh sb="777" eb="778">
      <t>メン</t>
    </rPh>
    <rPh sb="782" eb="784">
      <t>シヒョウ</t>
    </rPh>
    <rPh sb="790" eb="792">
      <t>キタイ</t>
    </rPh>
    <rPh sb="799" eb="801">
      <t>カコ</t>
    </rPh>
    <rPh sb="802" eb="804">
      <t>セイシュ</t>
    </rPh>
    <rPh sb="804" eb="806">
      <t>セイゾウ</t>
    </rPh>
    <rPh sb="806" eb="808">
      <t>ジョウキョウ</t>
    </rPh>
    <rPh sb="808" eb="809">
      <t>トウ</t>
    </rPh>
    <rPh sb="809" eb="811">
      <t>チョウサ</t>
    </rPh>
    <rPh sb="817" eb="820">
      <t>リヨウリツ</t>
    </rPh>
    <rPh sb="821" eb="822">
      <t>アタイ</t>
    </rPh>
    <phoneticPr fontId="1"/>
  </si>
  <si>
    <t>溶解度、発酵度、発酵/溶解比による目標設定を可能にした。
ただし、ver3.3での変更事項のうち、１つのブックに５仕込みを記録する構成とはせずに、また目標設定と他の醪との比較機能は削除していない。</t>
    <rPh sb="0" eb="3">
      <t>ヨウカイド</t>
    </rPh>
    <rPh sb="4" eb="6">
      <t>ハッコウ</t>
    </rPh>
    <rPh sb="6" eb="7">
      <t>ド</t>
    </rPh>
    <rPh sb="8" eb="10">
      <t>ハッコウ</t>
    </rPh>
    <rPh sb="11" eb="13">
      <t>ヨウカイ</t>
    </rPh>
    <rPh sb="13" eb="14">
      <t>ヒ</t>
    </rPh>
    <rPh sb="17" eb="19">
      <t>モクヒョウ</t>
    </rPh>
    <rPh sb="19" eb="21">
      <t>セッテイ</t>
    </rPh>
    <rPh sb="22" eb="24">
      <t>カノウ</t>
    </rPh>
    <rPh sb="41" eb="43">
      <t>ヘンコウ</t>
    </rPh>
    <rPh sb="43" eb="45">
      <t>ジコウ</t>
    </rPh>
    <rPh sb="57" eb="59">
      <t>シコ</t>
    </rPh>
    <rPh sb="61" eb="63">
      <t>キロク</t>
    </rPh>
    <rPh sb="65" eb="67">
      <t>コウセイ</t>
    </rPh>
    <rPh sb="75" eb="77">
      <t>モクヒョウ</t>
    </rPh>
    <rPh sb="77" eb="79">
      <t>セッテイ</t>
    </rPh>
    <rPh sb="80" eb="81">
      <t>タ</t>
    </rPh>
    <rPh sb="82" eb="83">
      <t>モロミ</t>
    </rPh>
    <rPh sb="85" eb="87">
      <t>ヒカク</t>
    </rPh>
    <rPh sb="87" eb="89">
      <t>キノウ</t>
    </rPh>
    <rPh sb="90" eb="92">
      <t>サクジョ</t>
    </rPh>
    <phoneticPr fontId="1"/>
  </si>
  <si>
    <t>もろみエールの指標名称を溶解度、発酵度、発酵/溶解比に改名した。
１つのブックに５仕込みを記録し、記録した仕込み間での比較を可能にした。
原料処理事績をロットごとに入力可能とした。
併せて目標設定と他のもろみとの比較機能を削除した。</t>
    <rPh sb="7" eb="9">
      <t>シヒョウ</t>
    </rPh>
    <rPh sb="9" eb="11">
      <t>メイショウ</t>
    </rPh>
    <rPh sb="12" eb="15">
      <t>ヨウカイド</t>
    </rPh>
    <rPh sb="16" eb="18">
      <t>ハッコウ</t>
    </rPh>
    <rPh sb="18" eb="19">
      <t>ド</t>
    </rPh>
    <rPh sb="20" eb="22">
      <t>ハッコウ</t>
    </rPh>
    <rPh sb="23" eb="25">
      <t>ヨウカイ</t>
    </rPh>
    <rPh sb="25" eb="26">
      <t>ヒ</t>
    </rPh>
    <rPh sb="27" eb="29">
      <t>カイメイ</t>
    </rPh>
    <rPh sb="41" eb="43">
      <t>シコ</t>
    </rPh>
    <rPh sb="45" eb="47">
      <t>キロク</t>
    </rPh>
    <rPh sb="49" eb="51">
      <t>キロク</t>
    </rPh>
    <rPh sb="53" eb="55">
      <t>シコ</t>
    </rPh>
    <rPh sb="56" eb="57">
      <t>カン</t>
    </rPh>
    <rPh sb="59" eb="61">
      <t>ヒカク</t>
    </rPh>
    <rPh sb="62" eb="64">
      <t>カノウ</t>
    </rPh>
    <rPh sb="69" eb="71">
      <t>ゲンリョウ</t>
    </rPh>
    <rPh sb="71" eb="73">
      <t>ショリ</t>
    </rPh>
    <rPh sb="73" eb="75">
      <t>ジセキ</t>
    </rPh>
    <rPh sb="82" eb="84">
      <t>ニュウリョク</t>
    </rPh>
    <rPh sb="84" eb="86">
      <t>カノウ</t>
    </rPh>
    <rPh sb="91" eb="92">
      <t>アワ</t>
    </rPh>
    <rPh sb="94" eb="96">
      <t>モクヒョウ</t>
    </rPh>
    <rPh sb="96" eb="98">
      <t>セッテイ</t>
    </rPh>
    <rPh sb="99" eb="100">
      <t>タ</t>
    </rPh>
    <rPh sb="106" eb="108">
      <t>ヒカク</t>
    </rPh>
    <rPh sb="108" eb="110">
      <t>キノウ</t>
    </rPh>
    <rPh sb="111" eb="113">
      <t>サクジョ</t>
    </rPh>
    <phoneticPr fontId="1"/>
  </si>
  <si>
    <r>
      <t>【醪経過の比較】</t>
    </r>
    <r>
      <rPr>
        <b/>
        <sz val="11"/>
        <color theme="1"/>
        <rFont val="ＭＳ Ｐゴシック"/>
        <family val="3"/>
        <charset val="128"/>
        <scheme val="minor"/>
      </rPr>
      <t>「グラフ」ワークシート</t>
    </r>
    <r>
      <rPr>
        <sz val="11"/>
        <color theme="1"/>
        <rFont val="ＭＳ Ｐゴシック"/>
        <family val="2"/>
        <charset val="128"/>
        <scheme val="minor"/>
      </rPr>
      <t xml:space="preserve">
　「グラフ」ワークシートでは、溶解度、発酵度、発酵/溶解比の推移が自動で転記され、「目標値」ワークシートで設定した目標の範囲にあるか、また、「比較」ワークシートに入力した他のもろみの値と比較することができます。
</t>
    </r>
    <rPh sb="1" eb="2">
      <t>モロミ</t>
    </rPh>
    <rPh sb="2" eb="4">
      <t>ケイカ</t>
    </rPh>
    <rPh sb="5" eb="7">
      <t>ヒカク</t>
    </rPh>
    <rPh sb="35" eb="38">
      <t>ヨウカイド</t>
    </rPh>
    <rPh sb="39" eb="41">
      <t>ハッコウ</t>
    </rPh>
    <rPh sb="41" eb="42">
      <t>ド</t>
    </rPh>
    <rPh sb="43" eb="45">
      <t>ハッコウ</t>
    </rPh>
    <rPh sb="46" eb="48">
      <t>ヨウカイ</t>
    </rPh>
    <rPh sb="48" eb="49">
      <t>ヒ</t>
    </rPh>
    <rPh sb="50" eb="52">
      <t>スイイ</t>
    </rPh>
    <rPh sb="53" eb="55">
      <t>ジドウ</t>
    </rPh>
    <rPh sb="56" eb="58">
      <t>テンキ</t>
    </rPh>
    <rPh sb="62" eb="65">
      <t>モクヒョウチ</t>
    </rPh>
    <rPh sb="73" eb="75">
      <t>セッテイ</t>
    </rPh>
    <rPh sb="77" eb="79">
      <t>モクヒョウ</t>
    </rPh>
    <rPh sb="80" eb="82">
      <t>ハンイ</t>
    </rPh>
    <rPh sb="91" eb="93">
      <t>ヒカク</t>
    </rPh>
    <rPh sb="101" eb="103">
      <t>ニュウリョク</t>
    </rPh>
    <rPh sb="105" eb="106">
      <t>タ</t>
    </rPh>
    <rPh sb="111" eb="112">
      <t>アタイ</t>
    </rPh>
    <rPh sb="113" eb="115">
      <t>ヒカク</t>
    </rPh>
    <phoneticPr fontId="1"/>
  </si>
  <si>
    <r>
      <t>【比較用の醪経過簿の入力】</t>
    </r>
    <r>
      <rPr>
        <b/>
        <sz val="11"/>
        <color theme="1"/>
        <rFont val="ＭＳ Ｐゴシック"/>
        <family val="3"/>
        <charset val="128"/>
        <scheme val="minor"/>
      </rPr>
      <t>「比較」ワークシート</t>
    </r>
    <r>
      <rPr>
        <sz val="11"/>
        <color theme="1"/>
        <rFont val="ＭＳ Ｐゴシック"/>
        <family val="2"/>
        <charset val="128"/>
        <scheme val="minor"/>
      </rPr>
      <t xml:space="preserve">
　「比較」ワークシートにて今回の仕込と比較するための</t>
    </r>
    <r>
      <rPr>
        <sz val="11"/>
        <color rgb="FFFF0000"/>
        <rFont val="ＭＳ Ｐゴシック"/>
        <family val="3"/>
        <charset val="128"/>
        <scheme val="minor"/>
      </rPr>
      <t>過去の醪経過</t>
    </r>
    <r>
      <rPr>
        <sz val="11"/>
        <color theme="1"/>
        <rFont val="ＭＳ Ｐゴシック"/>
        <family val="2"/>
        <charset val="128"/>
        <scheme val="minor"/>
      </rPr>
      <t>があればその数値を入力をします。具体的には、酒造年度の違う仕込みや、原料処理方法を変更した仕込みなどになります。
　入力項目は、</t>
    </r>
    <r>
      <rPr>
        <sz val="11"/>
        <color rgb="FF00B050"/>
        <rFont val="ＭＳ Ｐゴシック"/>
        <family val="3"/>
        <charset val="128"/>
        <scheme val="minor"/>
      </rPr>
      <t>仕込名称、仕込配合、追水量、ボーメ（日本酒度）、アルコール度数</t>
    </r>
    <r>
      <rPr>
        <sz val="11"/>
        <color theme="1"/>
        <rFont val="ＭＳ Ｐゴシック"/>
        <family val="2"/>
        <charset val="128"/>
        <scheme val="minor"/>
      </rPr>
      <t>が必須となります。
　計算に必要な数値を全て入力すると、</t>
    </r>
    <r>
      <rPr>
        <sz val="11"/>
        <color rgb="FF0070C0"/>
        <rFont val="ＭＳ Ｐゴシック"/>
        <family val="3"/>
        <charset val="128"/>
        <scheme val="minor"/>
      </rPr>
      <t>溶解度や発酵/溶解比</t>
    </r>
    <r>
      <rPr>
        <sz val="11"/>
        <color theme="1"/>
        <rFont val="ＭＳ Ｐゴシック"/>
        <family val="2"/>
        <charset val="128"/>
        <scheme val="minor"/>
      </rPr>
      <t>等が自動計算されて表示されます
　比較用の醪経過の入力は全部で５個までセットすることができます。入力した結果は「比較」ワークシート内のグラフに表示されます。</t>
    </r>
    <rPh sb="1" eb="4">
      <t>ヒカクヨウ</t>
    </rPh>
    <rPh sb="5" eb="6">
      <t>モロミ</t>
    </rPh>
    <rPh sb="6" eb="8">
      <t>ケイカ</t>
    </rPh>
    <rPh sb="8" eb="9">
      <t>ボ</t>
    </rPh>
    <rPh sb="10" eb="12">
      <t>ニュウリョク</t>
    </rPh>
    <rPh sb="14" eb="16">
      <t>ヒカク</t>
    </rPh>
    <rPh sb="26" eb="28">
      <t>ヒカク</t>
    </rPh>
    <rPh sb="37" eb="39">
      <t>コンカイ</t>
    </rPh>
    <rPh sb="40" eb="42">
      <t>シコミ</t>
    </rPh>
    <rPh sb="43" eb="45">
      <t>ヒカク</t>
    </rPh>
    <rPh sb="50" eb="52">
      <t>カコ</t>
    </rPh>
    <rPh sb="53" eb="54">
      <t>モロミ</t>
    </rPh>
    <rPh sb="54" eb="56">
      <t>ケイカ</t>
    </rPh>
    <rPh sb="62" eb="64">
      <t>スウチ</t>
    </rPh>
    <rPh sb="65" eb="67">
      <t>ニュウリョク</t>
    </rPh>
    <rPh sb="72" eb="75">
      <t>グタイテキ</t>
    </rPh>
    <rPh sb="78" eb="80">
      <t>シュゾウ</t>
    </rPh>
    <rPh sb="80" eb="82">
      <t>ネンド</t>
    </rPh>
    <rPh sb="83" eb="84">
      <t>チガ</t>
    </rPh>
    <rPh sb="85" eb="87">
      <t>シコミ</t>
    </rPh>
    <rPh sb="90" eb="92">
      <t>ゲンリョウ</t>
    </rPh>
    <rPh sb="92" eb="94">
      <t>ショリ</t>
    </rPh>
    <rPh sb="94" eb="96">
      <t>ホウホウ</t>
    </rPh>
    <rPh sb="97" eb="99">
      <t>ヘンコウ</t>
    </rPh>
    <rPh sb="101" eb="103">
      <t>シコミ</t>
    </rPh>
    <rPh sb="114" eb="116">
      <t>ニュウリョク</t>
    </rPh>
    <rPh sb="116" eb="118">
      <t>コウモク</t>
    </rPh>
    <rPh sb="120" eb="122">
      <t>シコミ</t>
    </rPh>
    <rPh sb="122" eb="124">
      <t>メイショウ</t>
    </rPh>
    <rPh sb="125" eb="127">
      <t>シコミ</t>
    </rPh>
    <rPh sb="127" eb="129">
      <t>ハイゴウ</t>
    </rPh>
    <rPh sb="130" eb="131">
      <t>オ</t>
    </rPh>
    <rPh sb="131" eb="132">
      <t>ミズ</t>
    </rPh>
    <rPh sb="132" eb="133">
      <t>リョウ</t>
    </rPh>
    <rPh sb="138" eb="141">
      <t>ニホンシュ</t>
    </rPh>
    <rPh sb="141" eb="142">
      <t>ド</t>
    </rPh>
    <rPh sb="149" eb="151">
      <t>ドスウ</t>
    </rPh>
    <rPh sb="152" eb="154">
      <t>ヒッス</t>
    </rPh>
    <rPh sb="162" eb="164">
      <t>ケイサン</t>
    </rPh>
    <rPh sb="165" eb="167">
      <t>ヒツヨウ</t>
    </rPh>
    <rPh sb="168" eb="170">
      <t>スウチ</t>
    </rPh>
    <rPh sb="171" eb="172">
      <t>スベ</t>
    </rPh>
    <rPh sb="173" eb="175">
      <t>ニュウリョク</t>
    </rPh>
    <rPh sb="179" eb="182">
      <t>ヨウカイド</t>
    </rPh>
    <rPh sb="183" eb="185">
      <t>ハッコウ</t>
    </rPh>
    <rPh sb="186" eb="188">
      <t>ヨウカイ</t>
    </rPh>
    <rPh sb="188" eb="189">
      <t>ヒ</t>
    </rPh>
    <rPh sb="189" eb="190">
      <t>ナド</t>
    </rPh>
    <rPh sb="191" eb="193">
      <t>ジドウ</t>
    </rPh>
    <rPh sb="193" eb="195">
      <t>ケイサン</t>
    </rPh>
    <rPh sb="198" eb="200">
      <t>ヒョウジ</t>
    </rPh>
    <rPh sb="208" eb="211">
      <t>ヒカクヨウ</t>
    </rPh>
    <rPh sb="212" eb="213">
      <t>モロミ</t>
    </rPh>
    <rPh sb="213" eb="215">
      <t>ケイカ</t>
    </rPh>
    <rPh sb="216" eb="218">
      <t>ニュウリョク</t>
    </rPh>
    <rPh sb="219" eb="221">
      <t>ゼンブ</t>
    </rPh>
    <rPh sb="223" eb="224">
      <t>コ</t>
    </rPh>
    <rPh sb="239" eb="241">
      <t>ニュウリョク</t>
    </rPh>
    <rPh sb="243" eb="245">
      <t>ケッカ</t>
    </rPh>
    <rPh sb="247" eb="249">
      <t>ヒカク</t>
    </rPh>
    <rPh sb="256" eb="257">
      <t>ナイ</t>
    </rPh>
    <rPh sb="262" eb="264">
      <t>ヒョウジ</t>
    </rPh>
    <phoneticPr fontId="1"/>
  </si>
  <si>
    <r>
      <t>【今回の仕込経過の確認】</t>
    </r>
    <r>
      <rPr>
        <b/>
        <sz val="11"/>
        <color theme="1"/>
        <rFont val="ＭＳ Ｐゴシック"/>
        <family val="3"/>
        <charset val="128"/>
        <scheme val="minor"/>
      </rPr>
      <t>「グラフ」ワークシート</t>
    </r>
    <r>
      <rPr>
        <sz val="11"/>
        <color theme="1"/>
        <rFont val="ＭＳ Ｐゴシック"/>
        <family val="2"/>
        <charset val="128"/>
        <scheme val="minor"/>
      </rPr>
      <t xml:space="preserve">
　溶解度、発酵度、エキス分100％及び発酵/溶解比を１つのグラフとして確認することができます。
【上槽時（アル添時）の各成分値予測】
　</t>
    </r>
    <r>
      <rPr>
        <sz val="11"/>
        <color rgb="FF0070C0"/>
        <rFont val="ＭＳ Ｐゴシック"/>
        <family val="3"/>
        <charset val="128"/>
        <scheme val="minor"/>
      </rPr>
      <t>上槽時の目標値（溶解度、発酵/溶解比及び汲水歩合</t>
    </r>
    <r>
      <rPr>
        <sz val="11"/>
        <color theme="1"/>
        <rFont val="ＭＳ Ｐゴシック"/>
        <family val="2"/>
        <charset val="128"/>
        <scheme val="minor"/>
      </rPr>
      <t>）を入力すると、</t>
    </r>
    <r>
      <rPr>
        <sz val="11"/>
        <rFont val="ＭＳ Ｐゴシック"/>
        <family val="3"/>
        <charset val="128"/>
        <scheme val="minor"/>
      </rPr>
      <t>その条件でのボーメ（日本酒度）及びアルコール度数が算出されます。
　醪末期の上槽タイミングを決める際は、グラフの推移から翌日の溶解度と発酵/溶解比</t>
    </r>
    <r>
      <rPr>
        <sz val="11"/>
        <color theme="1"/>
        <rFont val="ＭＳ Ｐゴシック"/>
        <family val="2"/>
        <charset val="128"/>
        <scheme val="minor"/>
      </rPr>
      <t>を予測し、入力してください。
　翌日の予想（ボーメ（日本酒度）及びアルコール度数）が算出されるので、上槽のタイミングを決める際の参考になります。</t>
    </r>
    <rPh sb="1" eb="3">
      <t>コンカイ</t>
    </rPh>
    <rPh sb="4" eb="6">
      <t>シコミ</t>
    </rPh>
    <rPh sb="6" eb="8">
      <t>ケイカ</t>
    </rPh>
    <rPh sb="9" eb="11">
      <t>カクニン</t>
    </rPh>
    <rPh sb="25" eb="28">
      <t>ヨウカイド</t>
    </rPh>
    <rPh sb="29" eb="31">
      <t>ハッコウ</t>
    </rPh>
    <rPh sb="31" eb="32">
      <t>ド</t>
    </rPh>
    <rPh sb="36" eb="37">
      <t>ブン</t>
    </rPh>
    <rPh sb="41" eb="42">
      <t>オヨ</t>
    </rPh>
    <rPh sb="43" eb="45">
      <t>ハッコウ</t>
    </rPh>
    <rPh sb="46" eb="48">
      <t>ヨウカイ</t>
    </rPh>
    <rPh sb="48" eb="49">
      <t>ヒ</t>
    </rPh>
    <rPh sb="59" eb="61">
      <t>カクニン</t>
    </rPh>
    <rPh sb="75" eb="77">
      <t>ジョウソウ</t>
    </rPh>
    <rPh sb="77" eb="78">
      <t>ジ</t>
    </rPh>
    <rPh sb="81" eb="82">
      <t>テン</t>
    </rPh>
    <rPh sb="82" eb="83">
      <t>ジ</t>
    </rPh>
    <rPh sb="85" eb="88">
      <t>カクセイブン</t>
    </rPh>
    <rPh sb="88" eb="89">
      <t>チ</t>
    </rPh>
    <rPh sb="89" eb="91">
      <t>ヨソク</t>
    </rPh>
    <rPh sb="94" eb="96">
      <t>ジョウソウ</t>
    </rPh>
    <rPh sb="96" eb="97">
      <t>ジ</t>
    </rPh>
    <rPh sb="98" eb="100">
      <t>モクヒョウ</t>
    </rPh>
    <rPh sb="100" eb="101">
      <t>チ</t>
    </rPh>
    <rPh sb="102" eb="105">
      <t>ヨウカイド</t>
    </rPh>
    <rPh sb="106" eb="108">
      <t>ハッコウ</t>
    </rPh>
    <rPh sb="109" eb="111">
      <t>ヨウカイ</t>
    </rPh>
    <rPh sb="111" eb="112">
      <t>ヒ</t>
    </rPh>
    <rPh sb="112" eb="113">
      <t>オヨ</t>
    </rPh>
    <rPh sb="114" eb="116">
      <t>クミミズ</t>
    </rPh>
    <rPh sb="116" eb="118">
      <t>ブアイ</t>
    </rPh>
    <rPh sb="120" eb="122">
      <t>ニュウリョク</t>
    </rPh>
    <rPh sb="128" eb="130">
      <t>ジョウケン</t>
    </rPh>
    <rPh sb="141" eb="142">
      <t>オヨ</t>
    </rPh>
    <rPh sb="151" eb="153">
      <t>サンシュツ</t>
    </rPh>
    <rPh sb="160" eb="163">
      <t>モロミマッキ</t>
    </rPh>
    <rPh sb="164" eb="166">
      <t>ジョウソウ</t>
    </rPh>
    <rPh sb="172" eb="173">
      <t>キ</t>
    </rPh>
    <rPh sb="175" eb="176">
      <t>サイ</t>
    </rPh>
    <rPh sb="182" eb="184">
      <t>スイイ</t>
    </rPh>
    <rPh sb="186" eb="188">
      <t>ヨクジツ</t>
    </rPh>
    <rPh sb="189" eb="192">
      <t>ヨウカイド</t>
    </rPh>
    <rPh sb="193" eb="195">
      <t>ハッコウ</t>
    </rPh>
    <rPh sb="196" eb="198">
      <t>ヨウカイ</t>
    </rPh>
    <rPh sb="198" eb="199">
      <t>ヒ</t>
    </rPh>
    <rPh sb="200" eb="202">
      <t>ヨソク</t>
    </rPh>
    <rPh sb="204" eb="206">
      <t>ニュウリョク</t>
    </rPh>
    <rPh sb="215" eb="217">
      <t>ヨクジツ</t>
    </rPh>
    <rPh sb="218" eb="220">
      <t>ヨソウ</t>
    </rPh>
    <rPh sb="230" eb="231">
      <t>オヨ</t>
    </rPh>
    <rPh sb="241" eb="243">
      <t>サンシュツ</t>
    </rPh>
    <rPh sb="249" eb="250">
      <t>ウエ</t>
    </rPh>
    <rPh sb="258" eb="259">
      <t>キ</t>
    </rPh>
    <rPh sb="261" eb="262">
      <t>サイ</t>
    </rPh>
    <rPh sb="263" eb="265">
      <t>サンコウ</t>
    </rPh>
    <phoneticPr fontId="1"/>
  </si>
  <si>
    <r>
      <t>【入力情報が自動転記】</t>
    </r>
    <r>
      <rPr>
        <b/>
        <sz val="11"/>
        <color theme="1"/>
        <rFont val="ＭＳ Ｐゴシック"/>
        <family val="3"/>
        <charset val="128"/>
        <scheme val="minor"/>
      </rPr>
      <t>「比較」ワークシート</t>
    </r>
    <r>
      <rPr>
        <sz val="11"/>
        <color theme="1"/>
        <rFont val="ＭＳ Ｐゴシック"/>
        <family val="2"/>
        <charset val="128"/>
        <scheme val="minor"/>
      </rPr>
      <t xml:space="preserve">
</t>
    </r>
    <r>
      <rPr>
        <sz val="11"/>
        <color rgb="FFFF0000"/>
        <rFont val="ＭＳ Ｐゴシック"/>
        <family val="3"/>
        <charset val="128"/>
        <scheme val="minor"/>
      </rPr>
      <t>　「比較」のワークシート</t>
    </r>
    <r>
      <rPr>
        <sz val="11"/>
        <color theme="1"/>
        <rFont val="ＭＳ Ｐゴシック"/>
        <family val="2"/>
        <charset val="128"/>
        <scheme val="minor"/>
      </rPr>
      <t>では　</t>
    </r>
    <r>
      <rPr>
        <sz val="11"/>
        <color theme="8"/>
        <rFont val="ＭＳ Ｐゴシック"/>
        <family val="3"/>
        <charset val="128"/>
        <scheme val="minor"/>
      </rPr>
      <t>仕込名称、仕込配合、追水量、ボーメ（日本酒度）、アルコール度数</t>
    </r>
    <r>
      <rPr>
        <sz val="11"/>
        <color theme="1"/>
        <rFont val="ＭＳ Ｐゴシック"/>
        <family val="2"/>
        <charset val="128"/>
        <scheme val="minor"/>
      </rPr>
      <t>が転記されていることが確認できます。
【溶解度、発酵度、発酵/溶解比などの数値】
　仕込配合、ボーメ（日本酒度）及びアルコール度数から</t>
    </r>
    <r>
      <rPr>
        <sz val="11"/>
        <color rgb="FF00B050"/>
        <rFont val="ＭＳ Ｐゴシック"/>
        <family val="3"/>
        <charset val="128"/>
        <scheme val="minor"/>
      </rPr>
      <t>溶解度や発酵度、発酵/溶解比のほか、日々の汲水歩合</t>
    </r>
    <r>
      <rPr>
        <sz val="11"/>
        <color theme="1"/>
        <rFont val="ＭＳ Ｐゴシック"/>
        <family val="2"/>
        <charset val="128"/>
        <scheme val="minor"/>
      </rPr>
      <t>が自動計算で表示されていることを確認できます。
【目標値の設定(2)】
　</t>
    </r>
    <r>
      <rPr>
        <sz val="11"/>
        <color rgb="FF7030A0"/>
        <rFont val="ＭＳ Ｐゴシック"/>
        <family val="3"/>
        <charset val="128"/>
        <scheme val="minor"/>
      </rPr>
      <t>溶解度の目標値</t>
    </r>
    <r>
      <rPr>
        <sz val="11"/>
        <color theme="1"/>
        <rFont val="ＭＳ Ｐゴシック"/>
        <family val="2"/>
        <charset val="128"/>
        <scheme val="minor"/>
      </rPr>
      <t xml:space="preserve">は自社の米の溶け具合を指標にしてください。発酵度は出品酒で80程度がひとつの目安です。発酵度とエキス分100％の数値は溶解度と発酵/溶解比の値から求めることができます。ここで設定した値は「グラフ」ワークシートに表示されます。
</t>
    </r>
    <rPh sb="1" eb="3">
      <t>ニュウリョク</t>
    </rPh>
    <rPh sb="3" eb="5">
      <t>ジョウホウ</t>
    </rPh>
    <rPh sb="6" eb="8">
      <t>ジドウ</t>
    </rPh>
    <rPh sb="8" eb="10">
      <t>テンキ</t>
    </rPh>
    <rPh sb="12" eb="14">
      <t>ヒカク</t>
    </rPh>
    <rPh sb="24" eb="26">
      <t>ヒカク</t>
    </rPh>
    <rPh sb="37" eb="39">
      <t>シコミ</t>
    </rPh>
    <rPh sb="39" eb="41">
      <t>メイショウ</t>
    </rPh>
    <rPh sb="42" eb="44">
      <t>シコミ</t>
    </rPh>
    <rPh sb="44" eb="46">
      <t>ハイゴウ</t>
    </rPh>
    <rPh sb="47" eb="48">
      <t>オ</t>
    </rPh>
    <rPh sb="48" eb="49">
      <t>ミズ</t>
    </rPh>
    <rPh sb="49" eb="50">
      <t>リョウ</t>
    </rPh>
    <rPh sb="55" eb="58">
      <t>ニホンシュ</t>
    </rPh>
    <rPh sb="58" eb="59">
      <t>ド</t>
    </rPh>
    <rPh sb="66" eb="68">
      <t>ドスウ</t>
    </rPh>
    <rPh sb="69" eb="71">
      <t>テンキ</t>
    </rPh>
    <rPh sb="79" eb="81">
      <t>カクニン</t>
    </rPh>
    <rPh sb="88" eb="91">
      <t>ヨウカイド</t>
    </rPh>
    <rPh sb="92" eb="94">
      <t>ハッコウ</t>
    </rPh>
    <rPh sb="94" eb="95">
      <t>ド</t>
    </rPh>
    <rPh sb="96" eb="98">
      <t>ハッコウ</t>
    </rPh>
    <rPh sb="99" eb="101">
      <t>ヨウカイ</t>
    </rPh>
    <rPh sb="101" eb="102">
      <t>ヒ</t>
    </rPh>
    <rPh sb="105" eb="107">
      <t>スウチ</t>
    </rPh>
    <rPh sb="110" eb="112">
      <t>シコミ</t>
    </rPh>
    <rPh sb="112" eb="114">
      <t>ハイゴウ</t>
    </rPh>
    <rPh sb="119" eb="123">
      <t>ニホンシュド</t>
    </rPh>
    <rPh sb="124" eb="125">
      <t>オヨ</t>
    </rPh>
    <rPh sb="131" eb="133">
      <t>ドスウ</t>
    </rPh>
    <rPh sb="135" eb="138">
      <t>ヨウカイド</t>
    </rPh>
    <rPh sb="139" eb="142">
      <t>ハッコウド</t>
    </rPh>
    <rPh sb="143" eb="145">
      <t>ハッコウ</t>
    </rPh>
    <rPh sb="146" eb="148">
      <t>ヨウカイ</t>
    </rPh>
    <rPh sb="148" eb="149">
      <t>ヒ</t>
    </rPh>
    <rPh sb="153" eb="155">
      <t>ヒビ</t>
    </rPh>
    <rPh sb="156" eb="157">
      <t>ク</t>
    </rPh>
    <rPh sb="157" eb="158">
      <t>ミズ</t>
    </rPh>
    <rPh sb="158" eb="160">
      <t>ブアイ</t>
    </rPh>
    <rPh sb="161" eb="163">
      <t>ジドウ</t>
    </rPh>
    <rPh sb="163" eb="165">
      <t>ケイサン</t>
    </rPh>
    <rPh sb="166" eb="168">
      <t>ヒョウジ</t>
    </rPh>
    <rPh sb="176" eb="178">
      <t>カクニン</t>
    </rPh>
    <rPh sb="185" eb="188">
      <t>モクヒョウチ</t>
    </rPh>
    <rPh sb="189" eb="191">
      <t>セッテイ</t>
    </rPh>
    <rPh sb="197" eb="200">
      <t>ヨウカイド</t>
    </rPh>
    <rPh sb="201" eb="204">
      <t>モクヒョウチ</t>
    </rPh>
    <rPh sb="205" eb="207">
      <t>ジシャ</t>
    </rPh>
    <rPh sb="208" eb="209">
      <t>コメ</t>
    </rPh>
    <rPh sb="210" eb="211">
      <t>ト</t>
    </rPh>
    <rPh sb="212" eb="214">
      <t>グアイ</t>
    </rPh>
    <rPh sb="215" eb="217">
      <t>シヒョウ</t>
    </rPh>
    <rPh sb="225" eb="227">
      <t>ハッコウ</t>
    </rPh>
    <rPh sb="227" eb="228">
      <t>ド</t>
    </rPh>
    <rPh sb="229" eb="231">
      <t>シュッピン</t>
    </rPh>
    <rPh sb="231" eb="232">
      <t>シュ</t>
    </rPh>
    <rPh sb="235" eb="237">
      <t>テイド</t>
    </rPh>
    <rPh sb="242" eb="244">
      <t>メヤス</t>
    </rPh>
    <rPh sb="247" eb="249">
      <t>ハッコウ</t>
    </rPh>
    <rPh sb="249" eb="250">
      <t>ド</t>
    </rPh>
    <rPh sb="254" eb="255">
      <t>ブン</t>
    </rPh>
    <rPh sb="260" eb="262">
      <t>スウチ</t>
    </rPh>
    <rPh sb="263" eb="266">
      <t>ヨウカイド</t>
    </rPh>
    <rPh sb="267" eb="269">
      <t>ハッコウ</t>
    </rPh>
    <rPh sb="270" eb="272">
      <t>ヨウカイ</t>
    </rPh>
    <rPh sb="272" eb="273">
      <t>ヒ</t>
    </rPh>
    <rPh sb="274" eb="275">
      <t>アタイ</t>
    </rPh>
    <rPh sb="277" eb="278">
      <t>モト</t>
    </rPh>
    <rPh sb="291" eb="293">
      <t>セッテイ</t>
    </rPh>
    <rPh sb="295" eb="296">
      <t>アタイ</t>
    </rPh>
    <rPh sb="309" eb="311">
      <t>ヒョウジ</t>
    </rPh>
    <phoneticPr fontId="1"/>
  </si>
  <si>
    <t>アルコール数量(L)</t>
    <rPh sb="5" eb="7">
      <t>スウリョウ</t>
    </rPh>
    <phoneticPr fontId="1"/>
  </si>
  <si>
    <t>アルコール濃度(%)</t>
    <rPh sb="5" eb="7">
      <t>ノウド</t>
    </rPh>
    <phoneticPr fontId="1"/>
  </si>
  <si>
    <t>エキス分100％換算値</t>
    <rPh sb="3" eb="4">
      <t>ブン</t>
    </rPh>
    <rPh sb="8" eb="10">
      <t>カンサン</t>
    </rPh>
    <rPh sb="10" eb="11">
      <t>アタイ</t>
    </rPh>
    <phoneticPr fontId="1"/>
  </si>
  <si>
    <t>〇もろみ経過の溶解度</t>
    <rPh sb="4" eb="6">
      <t>ケイカ</t>
    </rPh>
    <rPh sb="7" eb="10">
      <t>ヨウカイド</t>
    </rPh>
    <phoneticPr fontId="1"/>
  </si>
  <si>
    <t>アルコール分の比重換算</t>
    <phoneticPr fontId="1"/>
  </si>
  <si>
    <t>アルコールエキス分</t>
    <rPh sb="8" eb="9">
      <t>ブン</t>
    </rPh>
    <phoneticPr fontId="1"/>
  </si>
  <si>
    <t>エキス分100%換算値</t>
    <rPh sb="3" eb="4">
      <t>ブン</t>
    </rPh>
    <rPh sb="8" eb="10">
      <t>カンザン</t>
    </rPh>
    <rPh sb="10" eb="11">
      <t>チ</t>
    </rPh>
    <phoneticPr fontId="1"/>
  </si>
  <si>
    <t>発酵/溶解比</t>
    <rPh sb="0" eb="2">
      <t>ハッコウ</t>
    </rPh>
    <rPh sb="3" eb="5">
      <t>ヨウカイ</t>
    </rPh>
    <rPh sb="5" eb="6">
      <t>ヒ</t>
    </rPh>
    <phoneticPr fontId="1"/>
  </si>
  <si>
    <t>〇もろみエール指標の目標値</t>
    <rPh sb="7" eb="9">
      <t>シヒョウ</t>
    </rPh>
    <rPh sb="10" eb="12">
      <t>モクヒョウ</t>
    </rPh>
    <rPh sb="12" eb="13">
      <t>アタイ</t>
    </rPh>
    <phoneticPr fontId="1"/>
  </si>
  <si>
    <t>清酒歩合(%)</t>
    <rPh sb="0" eb="4">
      <t>セイシュブアイ</t>
    </rPh>
    <phoneticPr fontId="1"/>
  </si>
  <si>
    <t>製成</t>
    <rPh sb="0" eb="1">
      <t>セイ</t>
    </rPh>
    <rPh sb="1" eb="2">
      <t>ナ</t>
    </rPh>
    <phoneticPr fontId="1"/>
  </si>
  <si>
    <t>(添加前もろみ)</t>
    <rPh sb="1" eb="3">
      <t>テンカ</t>
    </rPh>
    <rPh sb="3" eb="4">
      <t>マエ</t>
    </rPh>
    <phoneticPr fontId="1"/>
  </si>
  <si>
    <t>（製成）</t>
    <rPh sb="1" eb="2">
      <t>セイ</t>
    </rPh>
    <rPh sb="2" eb="3">
      <t>ナ</t>
    </rPh>
    <phoneticPr fontId="1"/>
  </si>
  <si>
    <t>白米利用率(%)</t>
    <rPh sb="0" eb="2">
      <t>ハクマイ</t>
    </rPh>
    <rPh sb="2" eb="5">
      <t>リヨウリツ</t>
    </rPh>
    <phoneticPr fontId="1"/>
  </si>
  <si>
    <t>製成酒の原エキス量</t>
    <rPh sb="0" eb="1">
      <t>セイ</t>
    </rPh>
    <rPh sb="1" eb="2">
      <t>ナ</t>
    </rPh>
    <rPh sb="2" eb="3">
      <t>シュ</t>
    </rPh>
    <rPh sb="4" eb="5">
      <t>ゲン</t>
    </rPh>
    <rPh sb="8" eb="9">
      <t>リョウ</t>
    </rPh>
    <phoneticPr fontId="1"/>
  </si>
  <si>
    <t>原料米の原エキス量</t>
    <rPh sb="0" eb="2">
      <t>ゲンリョウ</t>
    </rPh>
    <rPh sb="2" eb="3">
      <t>マイ</t>
    </rPh>
    <rPh sb="4" eb="5">
      <t>ゲン</t>
    </rPh>
    <rPh sb="8" eb="9">
      <t>リョウ</t>
    </rPh>
    <phoneticPr fontId="1"/>
  </si>
  <si>
    <t>添加アルコールの原エキス量</t>
    <rPh sb="0" eb="2">
      <t>テンカ</t>
    </rPh>
    <rPh sb="8" eb="9">
      <t>ゲン</t>
    </rPh>
    <rPh sb="12" eb="13">
      <t>リョウ</t>
    </rPh>
    <phoneticPr fontId="1"/>
  </si>
  <si>
    <t>添加直前</t>
    <rPh sb="0" eb="2">
      <t>テンカ</t>
    </rPh>
    <rPh sb="2" eb="4">
      <t>チョクゼン</t>
    </rPh>
    <phoneticPr fontId="1"/>
  </si>
  <si>
    <t>溶解度（g/100ml）</t>
    <rPh sb="0" eb="3">
      <t>ヨウカイド</t>
    </rPh>
    <phoneticPr fontId="1"/>
  </si>
  <si>
    <t>発酵度（g/100ml）</t>
    <rPh sb="0" eb="3">
      <t>ハッコウド</t>
    </rPh>
    <phoneticPr fontId="1"/>
  </si>
  <si>
    <t>エキス分100%（g/100ml）</t>
    <rPh sb="3" eb="4">
      <t>ブン</t>
    </rPh>
    <phoneticPr fontId="1"/>
  </si>
  <si>
    <t>計算用</t>
    <rPh sb="0" eb="3">
      <t>ケイサンヨウ</t>
    </rPh>
    <phoneticPr fontId="1"/>
  </si>
  <si>
    <r>
      <t>【目標値の設定】</t>
    </r>
    <r>
      <rPr>
        <b/>
        <sz val="11"/>
        <color theme="1"/>
        <rFont val="ＭＳ Ｐゴシック"/>
        <family val="3"/>
        <charset val="128"/>
        <scheme val="minor"/>
      </rPr>
      <t>「目標値」ワークシート</t>
    </r>
    <r>
      <rPr>
        <sz val="11"/>
        <color theme="1"/>
        <rFont val="ＭＳ Ｐゴシック"/>
        <family val="2"/>
        <charset val="128"/>
        <scheme val="minor"/>
      </rPr>
      <t xml:space="preserve">
　</t>
    </r>
    <r>
      <rPr>
        <sz val="11"/>
        <color rgb="FFFF0000"/>
        <rFont val="ＭＳ Ｐゴシック"/>
        <family val="3"/>
        <charset val="128"/>
        <scheme val="minor"/>
      </rPr>
      <t>「目標値」ワークシート</t>
    </r>
    <r>
      <rPr>
        <sz val="11"/>
        <color theme="1"/>
        <rFont val="ＭＳ Ｐゴシック"/>
        <family val="2"/>
        <charset val="128"/>
        <scheme val="minor"/>
      </rPr>
      <t>では、もろみエール指標の添加直前の目標値を設定することができます。設定の仕方</t>
    </r>
    <r>
      <rPr>
        <sz val="11"/>
        <rFont val="ＭＳ Ｐゴシック"/>
        <family val="3"/>
        <charset val="128"/>
        <scheme val="minor"/>
      </rPr>
      <t>は仕込み配合への入力の上</t>
    </r>
    <r>
      <rPr>
        <sz val="11"/>
        <color rgb="FF0070C0"/>
        <rFont val="ＭＳ Ｐゴシック"/>
        <family val="3"/>
        <charset val="128"/>
        <scheme val="minor"/>
      </rPr>
      <t>、</t>
    </r>
    <r>
      <rPr>
        <sz val="11"/>
        <color theme="5"/>
        <rFont val="ＭＳ Ｐゴシック"/>
        <family val="3"/>
        <charset val="128"/>
        <scheme val="minor"/>
      </rPr>
      <t>添加直前のアルコール分、日本酒度を入力</t>
    </r>
    <r>
      <rPr>
        <sz val="11"/>
        <color theme="1"/>
        <rFont val="ＭＳ Ｐゴシック"/>
        <family val="2"/>
        <charset val="128"/>
        <scheme val="minor"/>
      </rPr>
      <t>すると自動で計算、表示されます。また、</t>
    </r>
    <r>
      <rPr>
        <sz val="11"/>
        <color theme="5"/>
        <rFont val="ＭＳ Ｐゴシック"/>
        <family val="3"/>
        <charset val="128"/>
        <scheme val="minor"/>
      </rPr>
      <t>製成時のアルコール分、日本酒度、清酒歩合を入力</t>
    </r>
    <r>
      <rPr>
        <sz val="11"/>
        <color theme="1"/>
        <rFont val="ＭＳ Ｐゴシック"/>
        <family val="2"/>
        <charset val="128"/>
        <scheme val="minor"/>
      </rPr>
      <t>すると自動で白米利用率が計算され、「グラフ」ワークシートに目標値として表示されます。
醪経過の溶解度の推移は</t>
    </r>
    <r>
      <rPr>
        <sz val="11"/>
        <color rgb="FF0000FF"/>
        <rFont val="ＭＳ Ｐゴシック"/>
        <family val="3"/>
        <charset val="128"/>
        <scheme val="minor"/>
      </rPr>
      <t>仕込み配合とボーメ、アルコール分、追水量を入力する方法</t>
    </r>
    <r>
      <rPr>
        <sz val="11"/>
        <color theme="1"/>
        <rFont val="ＭＳ Ｐゴシック"/>
        <family val="2"/>
        <charset val="128"/>
        <scheme val="minor"/>
      </rPr>
      <t>と、ワークシートの保護を解除し（本シートの一番下にシート保護の解除方法の説明があります。）</t>
    </r>
    <r>
      <rPr>
        <sz val="11"/>
        <color rgb="FF00B050"/>
        <rFont val="ＭＳ Ｐゴシック"/>
        <family val="3"/>
        <charset val="128"/>
        <scheme val="minor"/>
      </rPr>
      <t>溶解度、発酵度、発酵／溶解比を直接入力する方法</t>
    </r>
    <r>
      <rPr>
        <sz val="11"/>
        <color theme="1"/>
        <rFont val="ＭＳ Ｐゴシック"/>
        <family val="2"/>
        <charset val="128"/>
        <scheme val="minor"/>
      </rPr>
      <t>があります。どちらの方法でも「グラフ」ワークシートに目標グラフが表示されます。目標入力欄の末尾に令和４、５酒造年度全国新酒鑑評会の名古屋国税局管内製造者の金賞受賞酒の最大値、最小値、平均値を記していますのでこれらの値をコピペしてください。（コピペする位置を間違えないように注意してください。）
また、下にスクロールすると、</t>
    </r>
    <r>
      <rPr>
        <sz val="11"/>
        <color rgb="FF7030A0"/>
        <rFont val="ＭＳ Ｐゴシック"/>
        <family val="3"/>
        <charset val="128"/>
        <scheme val="minor"/>
      </rPr>
      <t>AB直線の上限と下限の幅</t>
    </r>
    <r>
      <rPr>
        <sz val="11"/>
        <color theme="1"/>
        <rFont val="ＭＳ Ｐゴシック"/>
        <family val="2"/>
        <charset val="128"/>
        <scheme val="minor"/>
      </rPr>
      <t>なども設定できます。ここで設定したものは、「〇号」ワークシート内の「目標名」にてプルダウンで番号を選択すると、その番号にて設定された列の目標値を「グラフ」ワークシート内のBMD曲線やAB直線等のグラフで目標値としてライン表示されます。</t>
    </r>
    <rPh sb="1" eb="3">
      <t>モクヒョウ</t>
    </rPh>
    <rPh sb="3" eb="4">
      <t>アタイ</t>
    </rPh>
    <rPh sb="5" eb="7">
      <t>セッテイ</t>
    </rPh>
    <rPh sb="9" eb="12">
      <t>モクヒョウチ</t>
    </rPh>
    <rPh sb="22" eb="25">
      <t>モクヒョウチ</t>
    </rPh>
    <rPh sb="41" eb="43">
      <t>シヒョウ</t>
    </rPh>
    <rPh sb="44" eb="48">
      <t>テンカチョクゼン</t>
    </rPh>
    <rPh sb="49" eb="52">
      <t>モクヒョウチ</t>
    </rPh>
    <rPh sb="53" eb="55">
      <t>セッテイ</t>
    </rPh>
    <rPh sb="65" eb="67">
      <t>セッテイ</t>
    </rPh>
    <rPh sb="68" eb="70">
      <t>シカタ</t>
    </rPh>
    <rPh sb="71" eb="73">
      <t>シコ</t>
    </rPh>
    <rPh sb="74" eb="76">
      <t>ハイゴウ</t>
    </rPh>
    <rPh sb="78" eb="80">
      <t>ニュウリョク</t>
    </rPh>
    <rPh sb="81" eb="82">
      <t>ウエ</t>
    </rPh>
    <rPh sb="83" eb="85">
      <t>テンカ</t>
    </rPh>
    <rPh sb="85" eb="87">
      <t>チョクゼン</t>
    </rPh>
    <rPh sb="93" eb="94">
      <t>ブン</t>
    </rPh>
    <rPh sb="95" eb="98">
      <t>ニホンシュ</t>
    </rPh>
    <rPh sb="98" eb="99">
      <t>ド</t>
    </rPh>
    <rPh sb="100" eb="102">
      <t>ニュウリョク</t>
    </rPh>
    <rPh sb="105" eb="107">
      <t>ジドウ</t>
    </rPh>
    <rPh sb="108" eb="110">
      <t>ケイサン</t>
    </rPh>
    <rPh sb="111" eb="113">
      <t>ヒョウジ</t>
    </rPh>
    <rPh sb="173" eb="176">
      <t>モクヒョウチ</t>
    </rPh>
    <rPh sb="179" eb="181">
      <t>ヒョウジ</t>
    </rPh>
    <rPh sb="187" eb="188">
      <t>モロミ</t>
    </rPh>
    <rPh sb="188" eb="190">
      <t>ケイカ</t>
    </rPh>
    <rPh sb="191" eb="194">
      <t>ヨウカイド</t>
    </rPh>
    <rPh sb="195" eb="197">
      <t>スイイ</t>
    </rPh>
    <rPh sb="198" eb="200">
      <t>シコ</t>
    </rPh>
    <rPh sb="201" eb="203">
      <t>ハイゴウ</t>
    </rPh>
    <rPh sb="213" eb="214">
      <t>ブン</t>
    </rPh>
    <rPh sb="215" eb="216">
      <t>オ</t>
    </rPh>
    <rPh sb="216" eb="217">
      <t>ミズ</t>
    </rPh>
    <rPh sb="217" eb="218">
      <t>リョウ</t>
    </rPh>
    <rPh sb="219" eb="221">
      <t>ニュウリョク</t>
    </rPh>
    <rPh sb="223" eb="225">
      <t>ホウホウ</t>
    </rPh>
    <rPh sb="234" eb="236">
      <t>ホゴ</t>
    </rPh>
    <rPh sb="237" eb="239">
      <t>カイジョ</t>
    </rPh>
    <rPh sb="270" eb="273">
      <t>ヨウカイド</t>
    </rPh>
    <rPh sb="274" eb="276">
      <t>ハッコウ</t>
    </rPh>
    <rPh sb="276" eb="277">
      <t>ド</t>
    </rPh>
    <rPh sb="278" eb="280">
      <t>ハッコウ</t>
    </rPh>
    <rPh sb="281" eb="283">
      <t>ヨウカイ</t>
    </rPh>
    <rPh sb="283" eb="284">
      <t>ヒ</t>
    </rPh>
    <rPh sb="285" eb="287">
      <t>チョクセツ</t>
    </rPh>
    <rPh sb="287" eb="289">
      <t>ニュウリョク</t>
    </rPh>
    <rPh sb="291" eb="293">
      <t>ホウホウ</t>
    </rPh>
    <rPh sb="303" eb="305">
      <t>ホウホウ</t>
    </rPh>
    <rPh sb="319" eb="321">
      <t>モクヒョウ</t>
    </rPh>
    <rPh sb="325" eb="327">
      <t>ヒョウジ</t>
    </rPh>
    <rPh sb="332" eb="334">
      <t>モクヒョウ</t>
    </rPh>
    <rPh sb="334" eb="336">
      <t>ニュウリョク</t>
    </rPh>
    <rPh sb="336" eb="337">
      <t>ラン</t>
    </rPh>
    <rPh sb="338" eb="340">
      <t>マツビ</t>
    </rPh>
    <rPh sb="400" eb="401">
      <t>アタイ</t>
    </rPh>
    <rPh sb="418" eb="420">
      <t>イチ</t>
    </rPh>
    <rPh sb="421" eb="423">
      <t>マチガ</t>
    </rPh>
    <rPh sb="429" eb="431">
      <t>チュウイ</t>
    </rPh>
    <rPh sb="443" eb="444">
      <t>シタ</t>
    </rPh>
    <rPh sb="459" eb="461">
      <t>ジョウゲン</t>
    </rPh>
    <rPh sb="462" eb="464">
      <t>カゲン</t>
    </rPh>
    <rPh sb="500" eb="502">
      <t>モクヒョウ</t>
    </rPh>
    <rPh sb="502" eb="503">
      <t>メイ</t>
    </rPh>
    <rPh sb="512" eb="514">
      <t>バンゴウ</t>
    </rPh>
    <rPh sb="515" eb="517">
      <t>センタク</t>
    </rPh>
    <rPh sb="523" eb="525">
      <t>バンゴウ</t>
    </rPh>
    <rPh sb="527" eb="529">
      <t>セッテイ</t>
    </rPh>
    <rPh sb="532" eb="533">
      <t>レツ</t>
    </rPh>
    <rPh sb="534" eb="537">
      <t>モクヒョウチ</t>
    </rPh>
    <rPh sb="549" eb="550">
      <t>ナイ</t>
    </rPh>
    <phoneticPr fontId="1"/>
  </si>
  <si>
    <t>対玄米利用率式の誤設定の修正とその他軽微な修正</t>
    <rPh sb="0" eb="1">
      <t>タイ</t>
    </rPh>
    <rPh sb="1" eb="3">
      <t>ゲンマイ</t>
    </rPh>
    <rPh sb="3" eb="6">
      <t>リヨウリツ</t>
    </rPh>
    <rPh sb="6" eb="7">
      <t>シキ</t>
    </rPh>
    <rPh sb="8" eb="9">
      <t>ゴ</t>
    </rPh>
    <rPh sb="9" eb="11">
      <t>セッテイ</t>
    </rPh>
    <rPh sb="12" eb="14">
      <t>シュウセイ</t>
    </rPh>
    <rPh sb="17" eb="18">
      <t>タ</t>
    </rPh>
    <rPh sb="18" eb="20">
      <t>ケイビ</t>
    </rPh>
    <rPh sb="21" eb="23">
      <t>シュウセイ</t>
    </rPh>
    <phoneticPr fontId="1"/>
  </si>
  <si>
    <t>もろみエール指標の目標設定機能の追加、対玄米利用率式の誤設定の修正とその他軽微な修正</t>
    <rPh sb="6" eb="8">
      <t>シヒョウ</t>
    </rPh>
    <rPh sb="9" eb="11">
      <t>モクヒョウ</t>
    </rPh>
    <rPh sb="11" eb="13">
      <t>セッテイ</t>
    </rPh>
    <rPh sb="13" eb="15">
      <t>キノウ</t>
    </rPh>
    <rPh sb="16" eb="18">
      <t>ツイカ</t>
    </rPh>
    <rPh sb="19" eb="20">
      <t>タイ</t>
    </rPh>
    <rPh sb="20" eb="22">
      <t>ゲンマイ</t>
    </rPh>
    <rPh sb="22" eb="25">
      <t>リヨウリツ</t>
    </rPh>
    <rPh sb="25" eb="26">
      <t>シキ</t>
    </rPh>
    <rPh sb="27" eb="28">
      <t>ゴ</t>
    </rPh>
    <rPh sb="28" eb="30">
      <t>セッテイ</t>
    </rPh>
    <rPh sb="31" eb="33">
      <t>シュウセイ</t>
    </rPh>
    <rPh sb="36" eb="37">
      <t>タ</t>
    </rPh>
    <rPh sb="37" eb="39">
      <t>ケイビ</t>
    </rPh>
    <rPh sb="40" eb="42">
      <t>シュウセイ</t>
    </rPh>
    <phoneticPr fontId="1"/>
  </si>
  <si>
    <t>Ver4.3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</si>
</sst>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_ "/>
    <numFmt numFmtId="177" formatCode="0.00_ "/>
    <numFmt numFmtId="178" formatCode="0.0_ "/>
    <numFmt numFmtId="179" formatCode="m/d;@"/>
    <numFmt numFmtId="180" formatCode="h:mm;@"/>
    <numFmt numFmtId="181" formatCode="0.00000_);[Red]\(0.00000\)"/>
    <numFmt numFmtId="182" formatCode="0.00000_ "/>
    <numFmt numFmtId="183" formatCode="0.0_);[Red]\(0.0\)"/>
    <numFmt numFmtId="184" formatCode="0_ "/>
    <numFmt numFmtId="185" formatCode="0.0%"/>
    <numFmt numFmtId="186" formatCode="yyyy/m/d;@"/>
    <numFmt numFmtId="187" formatCode="0.0"/>
    <numFmt numFmtId="188" formatCode="#,##0.0_ "/>
  </numFmts>
  <fonts count="48">
    <font>
      <sz val="11"/>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indexed="81"/>
      <name val="ＭＳ Ｐゴシック"/>
      <family val="3"/>
      <charset val="128"/>
    </font>
    <font>
      <sz val="8"/>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2"/>
      <color rgb="FFFF0000"/>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color indexed="81"/>
      <name val="MS P ゴシック"/>
      <family val="3"/>
      <charset val="128"/>
    </font>
    <font>
      <sz val="8"/>
      <color theme="1"/>
      <name val="ＭＳ Ｐゴシック"/>
      <family val="2"/>
      <charset val="128"/>
      <scheme val="minor"/>
    </font>
    <font>
      <sz val="11"/>
      <name val="ＭＳ Ｐゴシック"/>
      <family val="3"/>
      <charset val="128"/>
      <scheme val="minor"/>
    </font>
    <font>
      <u/>
      <sz val="9"/>
      <color indexed="81"/>
      <name val="MS P ゴシック"/>
      <family val="3"/>
      <charset val="128"/>
    </font>
    <font>
      <sz val="11"/>
      <name val="ＭＳ Ｐゴシック"/>
      <family val="2"/>
      <charset val="128"/>
      <scheme val="minor"/>
    </font>
    <font>
      <sz val="9"/>
      <color indexed="81"/>
      <name val="ＭＳ Ｐゴシック"/>
      <family val="3"/>
      <charset val="128"/>
    </font>
    <font>
      <sz val="16"/>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scheme val="minor"/>
    </font>
    <font>
      <sz val="16"/>
      <color theme="1"/>
      <name val="ＭＳ Ｐゴシック"/>
      <family val="2"/>
      <scheme val="minor"/>
    </font>
    <font>
      <sz val="6"/>
      <name val="ＭＳ Ｐゴシック"/>
      <family val="3"/>
      <charset val="128"/>
      <scheme val="minor"/>
    </font>
    <font>
      <sz val="12"/>
      <color theme="1"/>
      <name val="ＭＳ Ｐゴシック"/>
      <family val="2"/>
      <scheme val="minor"/>
    </font>
    <font>
      <sz val="12"/>
      <name val="ＭＳ Ｐゴシック"/>
      <family val="2"/>
      <charset val="128"/>
      <scheme val="minor"/>
    </font>
    <font>
      <sz val="10"/>
      <color theme="1"/>
      <name val="ＭＳ Ｐゴシック"/>
      <family val="2"/>
      <charset val="128"/>
      <scheme val="minor"/>
    </font>
    <font>
      <sz val="18"/>
      <color rgb="FFFF0000"/>
      <name val="ＭＳ Ｐゴシック"/>
      <family val="2"/>
      <charset val="128"/>
      <scheme val="minor"/>
    </font>
    <font>
      <sz val="6"/>
      <color theme="1"/>
      <name val="ＭＳ Ｐゴシック"/>
      <family val="3"/>
      <charset val="128"/>
      <scheme val="minor"/>
    </font>
    <font>
      <b/>
      <sz val="9"/>
      <color indexed="81"/>
      <name val="MS P ゴシック"/>
      <family val="3"/>
      <charset val="128"/>
    </font>
    <font>
      <b/>
      <sz val="12"/>
      <color rgb="FFFF0000"/>
      <name val="ＭＳ Ｐゴシック"/>
      <family val="3"/>
      <charset val="128"/>
      <scheme val="minor"/>
    </font>
    <font>
      <b/>
      <sz val="11"/>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11"/>
      <color theme="8"/>
      <name val="ＭＳ Ｐゴシック"/>
      <family val="3"/>
      <charset val="128"/>
      <scheme val="minor"/>
    </font>
    <font>
      <sz val="11"/>
      <color rgb="FF00B050"/>
      <name val="ＭＳ Ｐゴシック"/>
      <family val="3"/>
      <charset val="128"/>
      <scheme val="minor"/>
    </font>
    <font>
      <sz val="11"/>
      <color rgb="FF0070C0"/>
      <name val="ＭＳ Ｐゴシック"/>
      <family val="3"/>
      <charset val="128"/>
      <scheme val="minor"/>
    </font>
    <font>
      <sz val="11"/>
      <color rgb="FF7030A0"/>
      <name val="ＭＳ Ｐゴシック"/>
      <family val="3"/>
      <charset val="128"/>
      <scheme val="minor"/>
    </font>
    <font>
      <b/>
      <sz val="11"/>
      <color rgb="FFFF0000"/>
      <name val="ＭＳ Ｐゴシック"/>
      <family val="3"/>
      <charset val="128"/>
      <scheme val="minor"/>
    </font>
    <font>
      <sz val="11"/>
      <color theme="0"/>
      <name val="ＭＳ Ｐゴシック"/>
      <family val="2"/>
      <scheme val="minor"/>
    </font>
    <font>
      <sz val="11"/>
      <color theme="5"/>
      <name val="ＭＳ Ｐゴシック"/>
      <family val="3"/>
      <charset val="128"/>
      <scheme val="minor"/>
    </font>
    <font>
      <sz val="11"/>
      <color rgb="FF0000FF"/>
      <name val="ＭＳ Ｐゴシック"/>
      <family val="3"/>
      <charset val="128"/>
      <scheme val="minor"/>
    </font>
  </fonts>
  <fills count="16">
    <fill>
      <patternFill patternType="none"/>
    </fill>
    <fill>
      <patternFill patternType="gray125"/>
    </fill>
    <fill>
      <patternFill patternType="solid">
        <fgColor theme="6"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59999389629810485"/>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top style="mediumDashDot">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s>
  <cellStyleXfs count="3">
    <xf numFmtId="0" fontId="0" fillId="0" borderId="0">
      <alignment vertical="center"/>
    </xf>
    <xf numFmtId="0" fontId="4" fillId="0" borderId="0"/>
    <xf numFmtId="0" fontId="27" fillId="0" borderId="0"/>
  </cellStyleXfs>
  <cellXfs count="1249">
    <xf numFmtId="0" fontId="0" fillId="0" borderId="0" xfId="0">
      <alignment vertical="center"/>
    </xf>
    <xf numFmtId="0" fontId="0" fillId="4" borderId="0" xfId="0" applyFill="1">
      <alignment vertical="center"/>
    </xf>
    <xf numFmtId="0" fontId="0" fillId="0" borderId="0" xfId="0" applyAlignment="1">
      <alignment horizontal="center" vertical="center"/>
    </xf>
    <xf numFmtId="0" fontId="0" fillId="5" borderId="0" xfId="0" applyFill="1">
      <alignment vertical="center"/>
    </xf>
    <xf numFmtId="0" fontId="0" fillId="0" borderId="0" xfId="0" applyFill="1">
      <alignment vertical="center"/>
    </xf>
    <xf numFmtId="0" fontId="0" fillId="6" borderId="0" xfId="0" applyFill="1">
      <alignment vertical="center"/>
    </xf>
    <xf numFmtId="0" fontId="0" fillId="4" borderId="0" xfId="0" applyFill="1" applyBorder="1" applyAlignment="1">
      <alignment horizontal="center" vertical="center"/>
    </xf>
    <xf numFmtId="0" fontId="5" fillId="0" borderId="0" xfId="1" applyFont="1" applyAlignment="1">
      <alignment horizontal="right" vertical="center"/>
    </xf>
    <xf numFmtId="177" fontId="5" fillId="0" borderId="0" xfId="1" applyNumberFormat="1" applyFont="1" applyAlignment="1">
      <alignment horizontal="right" vertical="center"/>
    </xf>
    <xf numFmtId="178" fontId="4" fillId="0" borderId="13" xfId="1" applyNumberFormat="1" applyBorder="1" applyAlignment="1">
      <alignment vertical="center"/>
    </xf>
    <xf numFmtId="181" fontId="4" fillId="0" borderId="13" xfId="1" applyNumberFormat="1" applyBorder="1" applyAlignment="1">
      <alignment horizontal="right" vertical="center"/>
    </xf>
    <xf numFmtId="182" fontId="4" fillId="0" borderId="14" xfId="1" applyNumberFormat="1" applyBorder="1" applyAlignment="1">
      <alignment vertical="center"/>
    </xf>
    <xf numFmtId="182" fontId="4" fillId="0" borderId="15" xfId="1" applyNumberFormat="1" applyBorder="1" applyAlignment="1">
      <alignment vertical="center"/>
    </xf>
    <xf numFmtId="0" fontId="4" fillId="0" borderId="0" xfId="1" applyAlignment="1">
      <alignment vertical="center"/>
    </xf>
    <xf numFmtId="178" fontId="4" fillId="0" borderId="16" xfId="1" applyNumberFormat="1" applyBorder="1" applyAlignment="1">
      <alignment vertical="center"/>
    </xf>
    <xf numFmtId="181" fontId="4" fillId="0" borderId="16" xfId="1" applyNumberFormat="1" applyBorder="1" applyAlignment="1">
      <alignment vertical="center"/>
    </xf>
    <xf numFmtId="178" fontId="4" fillId="0" borderId="17" xfId="1" applyNumberFormat="1" applyBorder="1" applyAlignment="1">
      <alignment vertical="center"/>
    </xf>
    <xf numFmtId="181" fontId="4" fillId="0" borderId="17" xfId="1" applyNumberFormat="1" applyBorder="1" applyAlignment="1">
      <alignment vertical="center"/>
    </xf>
    <xf numFmtId="178" fontId="4" fillId="0" borderId="16" xfId="1" applyNumberFormat="1" applyFill="1" applyBorder="1" applyAlignment="1">
      <alignment vertical="center"/>
    </xf>
    <xf numFmtId="181" fontId="4" fillId="0" borderId="13" xfId="1" applyNumberFormat="1" applyBorder="1" applyAlignment="1">
      <alignment vertical="center"/>
    </xf>
    <xf numFmtId="178" fontId="4" fillId="0" borderId="16" xfId="1" applyNumberFormat="1" applyFill="1" applyBorder="1" applyAlignment="1">
      <alignment vertical="center" wrapText="1"/>
    </xf>
    <xf numFmtId="181" fontId="4" fillId="0" borderId="16" xfId="1" applyNumberFormat="1" applyBorder="1" applyAlignment="1">
      <alignment vertical="center" wrapText="1"/>
    </xf>
    <xf numFmtId="183" fontId="4" fillId="0" borderId="16" xfId="1" applyNumberFormat="1" applyFill="1" applyBorder="1" applyAlignment="1">
      <alignment vertical="center"/>
    </xf>
    <xf numFmtId="183" fontId="4" fillId="0" borderId="17" xfId="1" applyNumberFormat="1" applyFill="1" applyBorder="1" applyAlignment="1">
      <alignment vertical="center"/>
    </xf>
    <xf numFmtId="183" fontId="4" fillId="0" borderId="17" xfId="1" applyNumberFormat="1" applyBorder="1" applyAlignment="1">
      <alignment vertical="center"/>
    </xf>
    <xf numFmtId="183" fontId="4" fillId="0" borderId="16" xfId="1" applyNumberFormat="1" applyBorder="1" applyAlignment="1">
      <alignment vertical="center"/>
    </xf>
    <xf numFmtId="183" fontId="4" fillId="0" borderId="13" xfId="1" applyNumberFormat="1" applyBorder="1" applyAlignment="1">
      <alignment vertical="center"/>
    </xf>
    <xf numFmtId="181" fontId="4" fillId="0" borderId="16" xfId="1" applyNumberFormat="1" applyFill="1" applyBorder="1" applyAlignment="1">
      <alignment vertical="center"/>
    </xf>
    <xf numFmtId="178" fontId="4" fillId="0" borderId="17" xfId="1" applyNumberFormat="1" applyFill="1" applyBorder="1" applyAlignment="1">
      <alignment vertical="center"/>
    </xf>
    <xf numFmtId="181" fontId="4" fillId="0" borderId="17" xfId="1" applyNumberFormat="1" applyFill="1" applyBorder="1" applyAlignment="1">
      <alignment vertical="center"/>
    </xf>
    <xf numFmtId="182" fontId="4" fillId="0" borderId="14" xfId="1" applyNumberFormat="1" applyBorder="1" applyAlignment="1">
      <alignment horizontal="right" vertical="center"/>
    </xf>
    <xf numFmtId="181" fontId="4" fillId="0" borderId="0" xfId="1" applyNumberFormat="1" applyAlignment="1">
      <alignment vertical="center"/>
    </xf>
    <xf numFmtId="177" fontId="4" fillId="0" borderId="0" xfId="1" applyNumberFormat="1" applyAlignment="1">
      <alignment vertical="center"/>
    </xf>
    <xf numFmtId="0" fontId="5" fillId="3" borderId="0" xfId="1" applyFont="1" applyFill="1" applyAlignment="1">
      <alignment horizontal="right" vertical="center"/>
    </xf>
    <xf numFmtId="177" fontId="5" fillId="3" borderId="0" xfId="1" applyNumberFormat="1" applyFont="1" applyFill="1" applyAlignment="1">
      <alignment horizontal="right" vertical="center"/>
    </xf>
    <xf numFmtId="0" fontId="5" fillId="0" borderId="0" xfId="1" applyFont="1" applyAlignment="1">
      <alignment horizontal="left" vertical="center"/>
    </xf>
    <xf numFmtId="0" fontId="0" fillId="0" borderId="1" xfId="0" applyFill="1" applyBorder="1">
      <alignment vertical="center"/>
    </xf>
    <xf numFmtId="0" fontId="0" fillId="4" borderId="0" xfId="0" applyFill="1" applyAlignment="1">
      <alignment horizontal="left" vertical="center"/>
    </xf>
    <xf numFmtId="0" fontId="0" fillId="4" borderId="0" xfId="0" applyFill="1" applyAlignment="1">
      <alignment horizontal="center" vertical="center"/>
    </xf>
    <xf numFmtId="184" fontId="0" fillId="4" borderId="0" xfId="0" applyNumberFormat="1" applyFill="1" applyBorder="1" applyAlignment="1">
      <alignment horizontal="center" vertical="center"/>
    </xf>
    <xf numFmtId="0" fontId="0" fillId="4" borderId="0" xfId="0" applyFill="1" applyBorder="1" applyAlignment="1">
      <alignment vertical="top"/>
    </xf>
    <xf numFmtId="178" fontId="0" fillId="4" borderId="0" xfId="0" applyNumberFormat="1" applyFill="1" applyAlignment="1">
      <alignment horizontal="center" vertical="center"/>
    </xf>
    <xf numFmtId="0" fontId="0" fillId="0" borderId="0" xfId="0" applyFill="1" applyBorder="1" applyAlignment="1">
      <alignment horizontal="center" vertical="center"/>
    </xf>
    <xf numFmtId="0" fontId="0" fillId="4" borderId="0" xfId="0" applyFill="1" applyBorder="1" applyAlignment="1">
      <alignment horizontal="left" vertical="center"/>
    </xf>
    <xf numFmtId="0" fontId="9" fillId="5"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178" fontId="9" fillId="5" borderId="1" xfId="0" applyNumberFormat="1" applyFont="1" applyFill="1" applyBorder="1" applyAlignment="1">
      <alignment horizontal="center" vertical="center" shrinkToFit="1"/>
    </xf>
    <xf numFmtId="178" fontId="9" fillId="7" borderId="1" xfId="0" applyNumberFormat="1" applyFont="1" applyFill="1" applyBorder="1" applyAlignment="1">
      <alignment horizontal="center" vertical="center" shrinkToFit="1"/>
    </xf>
    <xf numFmtId="176" fontId="9" fillId="7" borderId="1" xfId="0" applyNumberFormat="1" applyFont="1" applyFill="1" applyBorder="1" applyAlignment="1">
      <alignment horizontal="center" vertical="center" shrinkToFi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Fill="1" applyAlignment="1">
      <alignment vertical="center" shrinkToFit="1"/>
    </xf>
    <xf numFmtId="0" fontId="9" fillId="0" borderId="0" xfId="0" applyFont="1" applyFill="1" applyBorder="1" applyAlignment="1">
      <alignment horizontal="center" vertical="center" shrinkToFit="1"/>
    </xf>
    <xf numFmtId="0" fontId="9" fillId="0" borderId="0" xfId="0" applyFont="1" applyFill="1" applyBorder="1" applyAlignment="1">
      <alignment vertical="center" shrinkToFit="1"/>
    </xf>
    <xf numFmtId="0" fontId="2" fillId="0" borderId="0" xfId="0" applyFont="1">
      <alignment vertical="center"/>
    </xf>
    <xf numFmtId="185" fontId="9" fillId="0" borderId="0" xfId="0" applyNumberFormat="1" applyFont="1" applyFill="1" applyBorder="1" applyAlignment="1">
      <alignment horizontal="center" vertical="center" shrinkToFit="1"/>
    </xf>
    <xf numFmtId="0" fontId="0" fillId="9" borderId="0" xfId="0" applyFill="1">
      <alignment vertical="center"/>
    </xf>
    <xf numFmtId="0" fontId="0" fillId="7" borderId="0" xfId="0" applyFill="1">
      <alignment vertical="center"/>
    </xf>
    <xf numFmtId="0" fontId="8" fillId="0" borderId="0" xfId="0" applyFont="1">
      <alignment vertical="center"/>
    </xf>
    <xf numFmtId="0" fontId="13" fillId="0" borderId="0" xfId="0" applyFont="1">
      <alignment vertical="center"/>
    </xf>
    <xf numFmtId="0" fontId="0" fillId="0" borderId="0" xfId="0" applyBorder="1" applyAlignment="1">
      <alignment vertical="center"/>
    </xf>
    <xf numFmtId="0" fontId="9" fillId="0" borderId="0" xfId="0" applyFont="1" applyBorder="1" applyAlignment="1">
      <alignment horizontal="left" vertical="center"/>
    </xf>
    <xf numFmtId="0" fontId="8" fillId="0" borderId="0" xfId="0" applyFont="1" applyAlignment="1">
      <alignment horizontal="left" vertical="center"/>
    </xf>
    <xf numFmtId="0" fontId="9" fillId="0" borderId="28" xfId="0" applyFont="1" applyBorder="1" applyAlignment="1">
      <alignment horizontal="center" vertical="center" shrinkToFit="1"/>
    </xf>
    <xf numFmtId="0" fontId="9" fillId="0" borderId="29" xfId="0" applyFont="1" applyBorder="1" applyAlignment="1">
      <alignment horizontal="center" vertical="center" shrinkToFit="1"/>
    </xf>
    <xf numFmtId="0" fontId="9" fillId="9" borderId="28" xfId="0" applyFont="1" applyFill="1" applyBorder="1" applyAlignment="1">
      <alignment horizontal="center" vertical="center" shrinkToFit="1"/>
    </xf>
    <xf numFmtId="0" fontId="9" fillId="5" borderId="28" xfId="0" applyFont="1" applyFill="1" applyBorder="1" applyAlignment="1">
      <alignment horizontal="center" vertical="center" shrinkToFit="1"/>
    </xf>
    <xf numFmtId="0" fontId="9" fillId="5" borderId="29" xfId="0" applyFont="1" applyFill="1" applyBorder="1" applyAlignment="1">
      <alignment horizontal="center" vertical="center" shrinkToFit="1"/>
    </xf>
    <xf numFmtId="0" fontId="9" fillId="7" borderId="28" xfId="0" applyFont="1" applyFill="1" applyBorder="1" applyAlignment="1">
      <alignment horizontal="center" vertical="center" shrinkToFit="1"/>
    </xf>
    <xf numFmtId="0" fontId="9" fillId="7" borderId="29" xfId="0" applyFont="1" applyFill="1" applyBorder="1" applyAlignment="1">
      <alignment horizontal="center" vertical="center" shrinkToFit="1"/>
    </xf>
    <xf numFmtId="0" fontId="9" fillId="6" borderId="28" xfId="0" applyFont="1" applyFill="1" applyBorder="1" applyAlignment="1">
      <alignment horizontal="center" vertical="center" shrinkToFit="1"/>
    </xf>
    <xf numFmtId="0" fontId="9" fillId="6" borderId="29" xfId="0" applyFont="1" applyFill="1" applyBorder="1" applyAlignment="1">
      <alignment horizontal="center" vertical="center" shrinkToFit="1"/>
    </xf>
    <xf numFmtId="178" fontId="9" fillId="5" borderId="28" xfId="0" applyNumberFormat="1" applyFont="1" applyFill="1" applyBorder="1" applyAlignment="1">
      <alignment horizontal="center" vertical="center" shrinkToFit="1"/>
    </xf>
    <xf numFmtId="178" fontId="9" fillId="5" borderId="29" xfId="0" applyNumberFormat="1" applyFont="1" applyFill="1" applyBorder="1" applyAlignment="1">
      <alignment horizontal="center" vertical="center" shrinkToFit="1"/>
    </xf>
    <xf numFmtId="178" fontId="9" fillId="3" borderId="28" xfId="0" applyNumberFormat="1" applyFont="1" applyFill="1" applyBorder="1" applyAlignment="1">
      <alignment horizontal="center" vertical="center" shrinkToFit="1"/>
    </xf>
    <xf numFmtId="178" fontId="9" fillId="7" borderId="28" xfId="0" applyNumberFormat="1" applyFont="1" applyFill="1" applyBorder="1" applyAlignment="1">
      <alignment horizontal="center" vertical="center" shrinkToFit="1"/>
    </xf>
    <xf numFmtId="178" fontId="9" fillId="7" borderId="29" xfId="0" applyNumberFormat="1" applyFont="1" applyFill="1" applyBorder="1" applyAlignment="1">
      <alignment horizontal="center" vertical="center" shrinkToFit="1"/>
    </xf>
    <xf numFmtId="0" fontId="9" fillId="7" borderId="42" xfId="0" applyFont="1" applyFill="1" applyBorder="1" applyAlignment="1">
      <alignment horizontal="center" vertical="center" shrinkToFit="1"/>
    </xf>
    <xf numFmtId="0" fontId="9" fillId="6" borderId="42" xfId="0" applyFont="1" applyFill="1" applyBorder="1" applyAlignment="1">
      <alignment horizontal="center" vertical="center" shrinkToFit="1"/>
    </xf>
    <xf numFmtId="178" fontId="9" fillId="5" borderId="42" xfId="0" applyNumberFormat="1" applyFont="1" applyFill="1" applyBorder="1" applyAlignment="1">
      <alignment horizontal="center" vertical="center" shrinkToFit="1"/>
    </xf>
    <xf numFmtId="178" fontId="9" fillId="7" borderId="42" xfId="0" applyNumberFormat="1" applyFont="1" applyFill="1" applyBorder="1" applyAlignment="1">
      <alignment horizontal="center" vertical="center" shrinkToFit="1"/>
    </xf>
    <xf numFmtId="176" fontId="9" fillId="7" borderId="28" xfId="0" applyNumberFormat="1" applyFont="1" applyFill="1" applyBorder="1" applyAlignment="1">
      <alignment horizontal="center" vertical="center" shrinkToFit="1"/>
    </xf>
    <xf numFmtId="176" fontId="9" fillId="7" borderId="29" xfId="0" applyNumberFormat="1" applyFont="1" applyFill="1" applyBorder="1" applyAlignment="1">
      <alignment horizontal="center" vertical="center" shrinkToFit="1"/>
    </xf>
    <xf numFmtId="177" fontId="9" fillId="3" borderId="54" xfId="0" applyNumberFormat="1" applyFont="1" applyFill="1" applyBorder="1" applyAlignment="1">
      <alignment vertical="center" shrinkToFit="1"/>
    </xf>
    <xf numFmtId="0" fontId="0" fillId="0" borderId="0" xfId="0" applyBorder="1" applyAlignment="1">
      <alignment vertical="top"/>
    </xf>
    <xf numFmtId="0" fontId="0" fillId="0" borderId="0" xfId="0" applyBorder="1">
      <alignment vertical="center"/>
    </xf>
    <xf numFmtId="0" fontId="15" fillId="9" borderId="28" xfId="0" applyFont="1" applyFill="1" applyBorder="1" applyAlignment="1">
      <alignment horizontal="center" vertical="center" shrinkToFit="1"/>
    </xf>
    <xf numFmtId="0" fontId="15" fillId="5" borderId="1" xfId="0" applyFont="1" applyFill="1" applyBorder="1" applyAlignment="1">
      <alignment horizontal="center" vertical="center" shrinkToFit="1"/>
    </xf>
    <xf numFmtId="0" fontId="15" fillId="5" borderId="29" xfId="0" applyFont="1" applyFill="1" applyBorder="1" applyAlignment="1">
      <alignment horizontal="center" vertical="center" shrinkToFit="1"/>
    </xf>
    <xf numFmtId="0" fontId="15" fillId="5" borderId="42" xfId="0" applyFont="1" applyFill="1" applyBorder="1" applyAlignment="1">
      <alignment horizontal="center" vertical="center" shrinkToFit="1"/>
    </xf>
    <xf numFmtId="0" fontId="15" fillId="5" borderId="28" xfId="0" applyFont="1" applyFill="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28" xfId="0"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178" fontId="9" fillId="0" borderId="28" xfId="0" applyNumberFormat="1" applyFont="1" applyBorder="1" applyAlignment="1" applyProtection="1">
      <alignment horizontal="center" vertical="center" shrinkToFit="1"/>
      <protection locked="0"/>
    </xf>
    <xf numFmtId="178" fontId="9" fillId="0" borderId="1" xfId="0" applyNumberFormat="1" applyFont="1" applyBorder="1" applyAlignment="1" applyProtection="1">
      <alignment horizontal="center" vertical="center" shrinkToFit="1"/>
      <protection locked="0"/>
    </xf>
    <xf numFmtId="178" fontId="9" fillId="0" borderId="29" xfId="0" applyNumberFormat="1" applyFont="1" applyBorder="1" applyAlignment="1" applyProtection="1">
      <alignment horizontal="center" vertical="center" shrinkToFit="1"/>
      <protection locked="0"/>
    </xf>
    <xf numFmtId="178" fontId="9" fillId="0" borderId="42" xfId="0" applyNumberFormat="1" applyFont="1" applyBorder="1" applyAlignment="1" applyProtection="1">
      <alignment horizontal="center" vertical="center" shrinkToFit="1"/>
      <protection locked="0"/>
    </xf>
    <xf numFmtId="0" fontId="9" fillId="0" borderId="25" xfId="0" applyFont="1" applyFill="1" applyBorder="1" applyAlignment="1" applyProtection="1">
      <alignment horizontal="center" vertical="center" shrinkToFit="1"/>
      <protection locked="0"/>
    </xf>
    <xf numFmtId="0" fontId="9" fillId="0" borderId="26" xfId="0" applyFont="1" applyFill="1" applyBorder="1" applyAlignment="1" applyProtection="1">
      <alignment horizontal="center" vertical="center" shrinkToFit="1"/>
      <protection locked="0"/>
    </xf>
    <xf numFmtId="0" fontId="9" fillId="0" borderId="27" xfId="0" applyFont="1" applyFill="1" applyBorder="1" applyAlignment="1" applyProtection="1">
      <alignment horizontal="center" vertical="center" shrinkToFit="1"/>
      <protection locked="0"/>
    </xf>
    <xf numFmtId="0" fontId="9" fillId="0" borderId="25" xfId="0" applyFont="1" applyFill="1" applyBorder="1" applyAlignment="1" applyProtection="1">
      <alignment vertical="center" shrinkToFit="1"/>
      <protection locked="0"/>
    </xf>
    <xf numFmtId="0" fontId="9" fillId="0" borderId="26" xfId="0" applyFont="1" applyFill="1" applyBorder="1" applyAlignment="1" applyProtection="1">
      <alignment vertical="center" shrinkToFit="1"/>
      <protection locked="0"/>
    </xf>
    <xf numFmtId="0" fontId="9" fillId="0" borderId="27" xfId="0" applyFont="1" applyFill="1" applyBorder="1" applyAlignment="1" applyProtection="1">
      <alignment vertical="center" shrinkToFit="1"/>
      <protection locked="0"/>
    </xf>
    <xf numFmtId="0" fontId="9" fillId="0" borderId="28" xfId="0" applyFont="1" applyFill="1" applyBorder="1" applyAlignment="1" applyProtection="1">
      <alignment vertical="center" shrinkToFit="1"/>
      <protection locked="0"/>
    </xf>
    <xf numFmtId="0" fontId="9" fillId="0" borderId="1" xfId="0" applyFont="1" applyFill="1" applyBorder="1" applyAlignment="1" applyProtection="1">
      <alignment vertical="center" shrinkToFit="1"/>
      <protection locked="0"/>
    </xf>
    <xf numFmtId="0" fontId="9" fillId="0" borderId="29"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0" fontId="9" fillId="0" borderId="36" xfId="0" applyFont="1" applyFill="1" applyBorder="1" applyAlignment="1" applyProtection="1">
      <alignment vertical="center" shrinkToFit="1"/>
      <protection locked="0"/>
    </xf>
    <xf numFmtId="178" fontId="16" fillId="0" borderId="28" xfId="0" applyNumberFormat="1" applyFont="1" applyBorder="1" applyAlignment="1" applyProtection="1">
      <alignment horizontal="center" vertical="center" shrinkToFit="1"/>
      <protection locked="0"/>
    </xf>
    <xf numFmtId="178" fontId="16" fillId="0" borderId="1" xfId="0" applyNumberFormat="1" applyFont="1" applyBorder="1" applyAlignment="1" applyProtection="1">
      <alignment horizontal="center" vertical="center" shrinkToFit="1"/>
      <protection locked="0"/>
    </xf>
    <xf numFmtId="178" fontId="16" fillId="0" borderId="29" xfId="0" applyNumberFormat="1" applyFont="1" applyBorder="1" applyAlignment="1" applyProtection="1">
      <alignment horizontal="center" vertical="center" shrinkToFit="1"/>
      <protection locked="0"/>
    </xf>
    <xf numFmtId="178" fontId="16" fillId="0" borderId="42" xfId="0" applyNumberFormat="1" applyFont="1" applyBorder="1" applyAlignment="1" applyProtection="1">
      <alignment horizontal="center" vertical="center" shrinkToFit="1"/>
      <protection locked="0"/>
    </xf>
    <xf numFmtId="0" fontId="0" fillId="5" borderId="1" xfId="0" applyFill="1" applyBorder="1" applyAlignment="1">
      <alignment horizontal="center" vertical="center"/>
    </xf>
    <xf numFmtId="0" fontId="0" fillId="5" borderId="0" xfId="0" applyFill="1" applyBorder="1" applyAlignment="1">
      <alignment horizontal="center" vertical="center"/>
    </xf>
    <xf numFmtId="0" fontId="0" fillId="4" borderId="1" xfId="0" applyFill="1" applyBorder="1">
      <alignment vertical="center"/>
    </xf>
    <xf numFmtId="0" fontId="0" fillId="0" borderId="0" xfId="0" applyFill="1" applyBorder="1">
      <alignment vertical="center"/>
    </xf>
    <xf numFmtId="0" fontId="9" fillId="4" borderId="0" xfId="0" applyFont="1" applyFill="1" applyBorder="1" applyAlignment="1">
      <alignment horizontal="center" vertical="center" shrinkToFit="1"/>
    </xf>
    <xf numFmtId="178" fontId="9" fillId="7" borderId="0" xfId="0" applyNumberFormat="1" applyFont="1" applyFill="1" applyBorder="1" applyAlignment="1">
      <alignment horizontal="center" vertical="center" shrinkToFit="1"/>
    </xf>
    <xf numFmtId="176" fontId="9" fillId="7" borderId="0" xfId="0" applyNumberFormat="1" applyFont="1" applyFill="1" applyBorder="1" applyAlignment="1">
      <alignment horizontal="center" vertical="center" shrinkToFit="1"/>
    </xf>
    <xf numFmtId="0" fontId="0" fillId="10" borderId="41" xfId="0" applyFill="1" applyBorder="1" applyAlignment="1">
      <alignment horizontal="center" vertical="center"/>
    </xf>
    <xf numFmtId="178" fontId="0" fillId="3" borderId="42" xfId="0" applyNumberFormat="1" applyFill="1" applyBorder="1" applyAlignment="1">
      <alignment vertical="center" shrinkToFit="1"/>
    </xf>
    <xf numFmtId="178" fontId="0" fillId="3" borderId="18" xfId="0" applyNumberFormat="1" applyFill="1" applyBorder="1" applyAlignment="1">
      <alignment vertical="center" shrinkToFit="1"/>
    </xf>
    <xf numFmtId="178" fontId="0" fillId="3" borderId="47" xfId="0" applyNumberFormat="1" applyFill="1" applyBorder="1" applyAlignment="1">
      <alignment vertical="center" shrinkToFit="1"/>
    </xf>
    <xf numFmtId="178" fontId="9" fillId="3" borderId="2"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8" borderId="1" xfId="0" applyFont="1" applyFill="1" applyBorder="1" applyAlignment="1">
      <alignment horizontal="center" vertical="center" shrinkToFit="1"/>
    </xf>
    <xf numFmtId="178" fontId="9" fillId="4" borderId="28" xfId="0" applyNumberFormat="1" applyFont="1" applyFill="1" applyBorder="1" applyAlignment="1">
      <alignment horizontal="center" vertical="center" shrinkToFit="1"/>
    </xf>
    <xf numFmtId="178" fontId="9" fillId="4" borderId="1" xfId="0" applyNumberFormat="1" applyFont="1" applyFill="1" applyBorder="1" applyAlignment="1">
      <alignment horizontal="center" vertical="center" shrinkToFit="1"/>
    </xf>
    <xf numFmtId="178" fontId="9" fillId="4" borderId="29" xfId="0" applyNumberFormat="1" applyFont="1" applyFill="1" applyBorder="1" applyAlignment="1">
      <alignment horizontal="center" vertical="center" shrinkToFit="1"/>
    </xf>
    <xf numFmtId="178" fontId="9" fillId="4" borderId="42" xfId="0" applyNumberFormat="1" applyFont="1" applyFill="1" applyBorder="1" applyAlignment="1">
      <alignment horizontal="center" vertical="center" shrinkToFit="1"/>
    </xf>
    <xf numFmtId="0" fontId="9" fillId="0" borderId="4" xfId="0" applyFont="1" applyBorder="1" applyAlignment="1" applyProtection="1">
      <alignment horizontal="center" vertical="center" shrinkToFit="1"/>
      <protection locked="0"/>
    </xf>
    <xf numFmtId="0" fontId="9" fillId="4" borderId="31" xfId="0" applyFont="1" applyFill="1" applyBorder="1" applyAlignment="1">
      <alignment horizontal="center" vertical="center" shrinkToFit="1"/>
    </xf>
    <xf numFmtId="178" fontId="0" fillId="3" borderId="1" xfId="0" applyNumberFormat="1" applyFill="1" applyBorder="1" applyAlignment="1">
      <alignment horizontal="center" vertical="center" shrinkToFit="1"/>
    </xf>
    <xf numFmtId="178" fontId="0" fillId="3" borderId="63" xfId="0" applyNumberFormat="1" applyFill="1" applyBorder="1" applyAlignment="1">
      <alignment horizontal="center" vertical="center" shrinkToFit="1"/>
    </xf>
    <xf numFmtId="180" fontId="9" fillId="0" borderId="1" xfId="0" applyNumberFormat="1" applyFont="1" applyBorder="1" applyAlignment="1" applyProtection="1">
      <alignment horizontal="center" vertical="center" shrinkToFit="1"/>
      <protection locked="0"/>
    </xf>
    <xf numFmtId="180" fontId="9" fillId="0" borderId="29" xfId="0" applyNumberFormat="1" applyFont="1" applyBorder="1" applyAlignment="1" applyProtection="1">
      <alignment horizontal="center" vertical="center" shrinkToFit="1"/>
      <protection locked="0"/>
    </xf>
    <xf numFmtId="180" fontId="9" fillId="0" borderId="4" xfId="0" applyNumberFormat="1" applyFont="1" applyBorder="1" applyAlignment="1" applyProtection="1">
      <alignment horizontal="center" vertical="center" shrinkToFit="1"/>
      <protection locked="0"/>
    </xf>
    <xf numFmtId="0" fontId="9" fillId="0" borderId="4" xfId="0" applyFont="1" applyBorder="1" applyAlignment="1">
      <alignment horizontal="center" vertical="center" shrinkToFit="1"/>
    </xf>
    <xf numFmtId="178" fontId="16" fillId="0" borderId="4" xfId="0" applyNumberFormat="1" applyFont="1" applyBorder="1" applyAlignment="1" applyProtection="1">
      <alignment horizontal="center" vertical="center" shrinkToFit="1"/>
      <protection locked="0"/>
    </xf>
    <xf numFmtId="178" fontId="9" fillId="0" borderId="4" xfId="0" applyNumberFormat="1" applyFont="1" applyBorder="1" applyAlignment="1" applyProtection="1">
      <alignment horizontal="center" vertical="center" shrinkToFit="1"/>
      <protection locked="0"/>
    </xf>
    <xf numFmtId="180" fontId="9" fillId="0" borderId="28" xfId="0" applyNumberFormat="1" applyFont="1" applyBorder="1" applyAlignment="1" applyProtection="1">
      <alignment horizontal="center" vertical="center" shrinkToFit="1"/>
      <protection locked="0"/>
    </xf>
    <xf numFmtId="180" fontId="9" fillId="0" borderId="42" xfId="0" applyNumberFormat="1" applyFont="1" applyBorder="1" applyAlignment="1" applyProtection="1">
      <alignment horizontal="center" vertical="center" shrinkToFit="1"/>
      <protection locked="0"/>
    </xf>
    <xf numFmtId="0" fontId="9" fillId="0" borderId="42" xfId="0" applyFont="1" applyBorder="1" applyAlignment="1">
      <alignment horizontal="center" vertical="center" shrinkToFit="1"/>
    </xf>
    <xf numFmtId="0" fontId="9" fillId="4" borderId="64" xfId="0" applyFont="1" applyFill="1" applyBorder="1" applyAlignment="1">
      <alignment horizontal="center" vertical="center" shrinkToFit="1"/>
    </xf>
    <xf numFmtId="178" fontId="0" fillId="0" borderId="1" xfId="0" applyNumberFormat="1" applyBorder="1" applyAlignment="1">
      <alignment horizontal="center" vertical="center" shrinkToFit="1"/>
    </xf>
    <xf numFmtId="0" fontId="9" fillId="0" borderId="46" xfId="0" applyFont="1" applyFill="1" applyBorder="1" applyAlignment="1" applyProtection="1">
      <alignment horizontal="center" vertical="center" shrinkToFit="1"/>
      <protection locked="0"/>
    </xf>
    <xf numFmtId="0" fontId="9" fillId="0" borderId="47" xfId="0" applyFont="1" applyFill="1" applyBorder="1" applyAlignment="1" applyProtection="1">
      <alignment horizontal="center" vertical="center" shrinkToFit="1"/>
      <protection locked="0"/>
    </xf>
    <xf numFmtId="178" fontId="9" fillId="0" borderId="0" xfId="0" applyNumberFormat="1" applyFont="1" applyFill="1" applyBorder="1" applyAlignment="1">
      <alignment horizontal="center" vertical="center" shrinkToFit="1"/>
    </xf>
    <xf numFmtId="178" fontId="0" fillId="3" borderId="0" xfId="0" applyNumberForma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70" xfId="0" applyFont="1" applyFill="1" applyBorder="1" applyAlignment="1">
      <alignment horizontal="center" vertical="center" shrinkToFit="1"/>
    </xf>
    <xf numFmtId="0" fontId="9" fillId="4" borderId="0" xfId="0" applyFont="1" applyFill="1" applyBorder="1" applyAlignment="1">
      <alignment horizontal="center" vertical="center" wrapText="1" shrinkToFit="1"/>
    </xf>
    <xf numFmtId="0" fontId="9" fillId="4" borderId="0" xfId="0" applyFont="1" applyFill="1" applyBorder="1" applyAlignment="1">
      <alignment horizontal="left" vertical="center"/>
    </xf>
    <xf numFmtId="178" fontId="9" fillId="4" borderId="0" xfId="0" applyNumberFormat="1" applyFont="1" applyFill="1" applyBorder="1" applyAlignment="1">
      <alignment horizontal="center" vertical="center" shrinkToFit="1"/>
    </xf>
    <xf numFmtId="0" fontId="0" fillId="0" borderId="0" xfId="0" applyAlignment="1">
      <alignment horizontal="left" vertical="center"/>
    </xf>
    <xf numFmtId="0" fontId="0" fillId="0" borderId="0" xfId="0" applyAlignment="1">
      <alignment horizontal="center" vertical="center" shrinkToFit="1"/>
    </xf>
    <xf numFmtId="0" fontId="8" fillId="4" borderId="0" xfId="0" applyFont="1" applyFill="1" applyBorder="1" applyAlignment="1">
      <alignment horizontal="center" vertical="center" shrinkToFit="1"/>
    </xf>
    <xf numFmtId="184" fontId="9" fillId="3" borderId="0" xfId="0" applyNumberFormat="1" applyFont="1" applyFill="1" applyBorder="1" applyAlignment="1">
      <alignment horizontal="center" vertical="center" shrinkToFit="1"/>
    </xf>
    <xf numFmtId="184" fontId="9" fillId="3" borderId="1" xfId="0" applyNumberFormat="1" applyFont="1" applyFill="1" applyBorder="1" applyAlignment="1">
      <alignment vertical="center" shrinkToFit="1"/>
    </xf>
    <xf numFmtId="184" fontId="9" fillId="3" borderId="18" xfId="0" applyNumberFormat="1" applyFont="1" applyFill="1" applyBorder="1" applyAlignment="1">
      <alignment vertical="center" shrinkToFit="1"/>
    </xf>
    <xf numFmtId="184" fontId="9" fillId="3" borderId="4" xfId="0" applyNumberFormat="1" applyFont="1" applyFill="1" applyBorder="1" applyAlignment="1">
      <alignment vertical="center" shrinkToFit="1"/>
    </xf>
    <xf numFmtId="178" fontId="9" fillId="0" borderId="1" xfId="0" applyNumberFormat="1" applyFont="1" applyFill="1" applyBorder="1" applyAlignment="1" applyProtection="1">
      <alignment horizontal="center" vertical="center" shrinkToFit="1"/>
      <protection locked="0"/>
    </xf>
    <xf numFmtId="178" fontId="9" fillId="0" borderId="29" xfId="0" applyNumberFormat="1" applyFont="1" applyFill="1" applyBorder="1" applyAlignment="1" applyProtection="1">
      <alignment horizontal="center" vertical="center" shrinkToFit="1"/>
      <protection locked="0"/>
    </xf>
    <xf numFmtId="14" fontId="0" fillId="0" borderId="1" xfId="0" applyNumberFormat="1" applyBorder="1" applyAlignment="1">
      <alignment horizontal="left" vertical="center"/>
    </xf>
    <xf numFmtId="178" fontId="0" fillId="0" borderId="1" xfId="0" applyNumberFormat="1" applyBorder="1" applyAlignment="1">
      <alignment horizontal="left" vertical="center" shrinkToFit="1"/>
    </xf>
    <xf numFmtId="0" fontId="0" fillId="4" borderId="0" xfId="0" applyFill="1" applyAlignment="1">
      <alignment horizontal="center" vertical="center" shrinkToFit="1"/>
    </xf>
    <xf numFmtId="0" fontId="0" fillId="4" borderId="0" xfId="0" applyFill="1" applyBorder="1" applyAlignment="1">
      <alignment vertical="top" shrinkToFit="1"/>
    </xf>
    <xf numFmtId="0" fontId="0" fillId="4" borderId="0" xfId="0" applyFill="1" applyAlignment="1">
      <alignment horizontal="left" vertical="center" shrinkToFit="1"/>
    </xf>
    <xf numFmtId="0" fontId="0" fillId="4" borderId="0" xfId="0" applyFill="1" applyAlignment="1">
      <alignment vertical="center" shrinkToFit="1"/>
    </xf>
    <xf numFmtId="178" fontId="0" fillId="4" borderId="0" xfId="0" applyNumberFormat="1" applyFill="1" applyAlignment="1">
      <alignment horizontal="center" vertical="center" shrinkToFit="1"/>
    </xf>
    <xf numFmtId="0" fontId="9" fillId="0" borderId="0" xfId="0" applyFont="1" applyFill="1" applyAlignment="1">
      <alignment vertical="center"/>
    </xf>
    <xf numFmtId="180" fontId="9" fillId="0" borderId="3" xfId="0" applyNumberFormat="1" applyFont="1" applyBorder="1" applyAlignment="1" applyProtection="1">
      <alignment horizontal="center" vertical="center" shrinkToFit="1"/>
      <protection locked="0"/>
    </xf>
    <xf numFmtId="0" fontId="9" fillId="0" borderId="3"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178" fontId="9" fillId="0" borderId="3" xfId="0" applyNumberFormat="1" applyFont="1" applyBorder="1" applyAlignment="1" applyProtection="1">
      <alignment horizontal="center" vertical="center" shrinkToFit="1"/>
      <protection locked="0"/>
    </xf>
    <xf numFmtId="178" fontId="16" fillId="0" borderId="3" xfId="0" applyNumberFormat="1" applyFont="1" applyBorder="1" applyAlignment="1" applyProtection="1">
      <alignment horizontal="center" vertical="center" shrinkToFit="1"/>
      <protection locked="0"/>
    </xf>
    <xf numFmtId="178" fontId="9" fillId="4" borderId="3" xfId="0" applyNumberFormat="1" applyFont="1" applyFill="1" applyBorder="1" applyAlignment="1">
      <alignment horizontal="center" vertical="center" shrinkToFit="1"/>
    </xf>
    <xf numFmtId="0" fontId="0" fillId="0" borderId="8" xfId="0" applyBorder="1" applyAlignment="1">
      <alignment horizontal="center" vertical="center"/>
    </xf>
    <xf numFmtId="0" fontId="0" fillId="0" borderId="0" xfId="0" applyBorder="1" applyAlignment="1">
      <alignment horizontal="center" vertical="center"/>
    </xf>
    <xf numFmtId="178" fontId="0" fillId="3" borderId="42" xfId="0" applyNumberFormat="1" applyFill="1" applyBorder="1" applyAlignment="1">
      <alignment horizontal="center" vertical="center" shrinkToFit="1"/>
    </xf>
    <xf numFmtId="178" fontId="0" fillId="3" borderId="18" xfId="0" applyNumberFormat="1" applyFill="1" applyBorder="1" applyAlignment="1">
      <alignment horizontal="center" vertical="center" shrinkToFit="1"/>
    </xf>
    <xf numFmtId="178" fontId="0" fillId="3" borderId="47" xfId="0" applyNumberFormat="1" applyFill="1" applyBorder="1" applyAlignment="1">
      <alignment horizontal="center" vertical="center" shrinkToFit="1"/>
    </xf>
    <xf numFmtId="0" fontId="9" fillId="0" borderId="33" xfId="0" applyFont="1" applyFill="1" applyBorder="1" applyAlignment="1" applyProtection="1">
      <alignment horizontal="right" vertical="center" shrinkToFit="1"/>
      <protection locked="0"/>
    </xf>
    <xf numFmtId="0" fontId="9" fillId="0" borderId="57" xfId="0" applyFont="1" applyFill="1" applyBorder="1" applyAlignment="1" applyProtection="1">
      <alignment horizontal="center" vertical="center" shrinkToFit="1"/>
      <protection locked="0"/>
    </xf>
    <xf numFmtId="0" fontId="9" fillId="0" borderId="67" xfId="0" applyFont="1" applyFill="1" applyBorder="1" applyAlignment="1" applyProtection="1">
      <alignment horizontal="center" vertical="center" shrinkToFit="1"/>
      <protection locked="0"/>
    </xf>
    <xf numFmtId="0" fontId="9" fillId="0" borderId="68"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9" fillId="0" borderId="57" xfId="0" applyFont="1" applyFill="1" applyBorder="1" applyAlignment="1" applyProtection="1">
      <alignment vertical="center" shrinkToFit="1"/>
      <protection locked="0"/>
    </xf>
    <xf numFmtId="0" fontId="9" fillId="0" borderId="67" xfId="0" applyFont="1" applyFill="1" applyBorder="1" applyAlignment="1" applyProtection="1">
      <alignment vertical="center" shrinkToFit="1"/>
      <protection locked="0"/>
    </xf>
    <xf numFmtId="0" fontId="9" fillId="0" borderId="68" xfId="0" applyFont="1" applyFill="1" applyBorder="1" applyAlignment="1" applyProtection="1">
      <alignment vertical="center" shrinkToFit="1"/>
      <protection locked="0"/>
    </xf>
    <xf numFmtId="185" fontId="9" fillId="4" borderId="46" xfId="0" applyNumberFormat="1" applyFont="1" applyFill="1" applyBorder="1" applyAlignment="1">
      <alignment horizontal="center" vertical="center" shrinkToFit="1"/>
    </xf>
    <xf numFmtId="183" fontId="19" fillId="0" borderId="1" xfId="0" applyNumberFormat="1" applyFont="1" applyBorder="1" applyAlignment="1">
      <alignment horizontal="center" vertical="center" shrinkToFit="1"/>
    </xf>
    <xf numFmtId="178" fontId="9" fillId="4" borderId="28" xfId="0" applyNumberFormat="1" applyFont="1" applyFill="1" applyBorder="1" applyAlignment="1" applyProtection="1">
      <alignment horizontal="center" vertical="center" shrinkToFit="1"/>
      <protection locked="0"/>
    </xf>
    <xf numFmtId="178" fontId="9" fillId="4" borderId="1" xfId="0" applyNumberFormat="1" applyFont="1" applyFill="1" applyBorder="1" applyAlignment="1" applyProtection="1">
      <alignment horizontal="center" vertical="center" shrinkToFit="1"/>
      <protection locked="0"/>
    </xf>
    <xf numFmtId="178" fontId="9" fillId="4" borderId="29" xfId="0" applyNumberFormat="1" applyFont="1" applyFill="1" applyBorder="1" applyAlignment="1" applyProtection="1">
      <alignment horizontal="center" vertical="center" shrinkToFit="1"/>
      <protection locked="0"/>
    </xf>
    <xf numFmtId="178" fontId="9" fillId="4" borderId="42" xfId="0" applyNumberFormat="1" applyFont="1" applyFill="1" applyBorder="1" applyAlignment="1" applyProtection="1">
      <alignment horizontal="center" vertical="center" shrinkToFit="1"/>
      <protection locked="0"/>
    </xf>
    <xf numFmtId="178" fontId="9" fillId="4" borderId="3" xfId="0" applyNumberFormat="1" applyFont="1" applyFill="1" applyBorder="1" applyAlignment="1" applyProtection="1">
      <alignment horizontal="center" vertical="center" shrinkToFit="1"/>
      <protection locked="0"/>
    </xf>
    <xf numFmtId="177" fontId="9" fillId="0" borderId="28" xfId="0" applyNumberFormat="1" applyFont="1" applyBorder="1" applyAlignment="1" applyProtection="1">
      <alignment horizontal="center" vertical="center" shrinkToFit="1"/>
      <protection locked="0"/>
    </xf>
    <xf numFmtId="177" fontId="9" fillId="0" borderId="1" xfId="0" applyNumberFormat="1" applyFont="1" applyBorder="1" applyAlignment="1" applyProtection="1">
      <alignment horizontal="center" vertical="center" shrinkToFit="1"/>
      <protection locked="0"/>
    </xf>
    <xf numFmtId="177" fontId="9" fillId="0" borderId="29" xfId="0" applyNumberFormat="1" applyFont="1" applyBorder="1" applyAlignment="1" applyProtection="1">
      <alignment horizontal="center" vertical="center" shrinkToFit="1"/>
      <protection locked="0"/>
    </xf>
    <xf numFmtId="177" fontId="9" fillId="0" borderId="42" xfId="0" applyNumberFormat="1" applyFont="1" applyBorder="1" applyAlignment="1" applyProtection="1">
      <alignment horizontal="center" vertical="center" shrinkToFit="1"/>
      <protection locked="0"/>
    </xf>
    <xf numFmtId="177" fontId="9" fillId="0" borderId="3" xfId="0" applyNumberFormat="1" applyFont="1" applyBorder="1" applyAlignment="1" applyProtection="1">
      <alignment horizontal="center" vertical="center" shrinkToFit="1"/>
      <protection locked="0"/>
    </xf>
    <xf numFmtId="177" fontId="9" fillId="0" borderId="4" xfId="0" applyNumberFormat="1" applyFont="1" applyBorder="1" applyAlignment="1" applyProtection="1">
      <alignment horizontal="center" vertical="center" shrinkToFit="1"/>
      <protection locked="0"/>
    </xf>
    <xf numFmtId="0" fontId="16" fillId="4" borderId="4" xfId="0" applyFont="1" applyFill="1" applyBorder="1" applyAlignment="1">
      <alignment vertical="center"/>
    </xf>
    <xf numFmtId="0" fontId="9" fillId="4" borderId="4" xfId="0" applyFont="1" applyFill="1" applyBorder="1" applyAlignment="1">
      <alignment vertical="center"/>
    </xf>
    <xf numFmtId="0" fontId="0" fillId="0" borderId="49" xfId="0" applyBorder="1" applyAlignment="1">
      <alignment horizontal="center" vertical="center"/>
    </xf>
    <xf numFmtId="0" fontId="0" fillId="0" borderId="46" xfId="0" applyBorder="1" applyAlignment="1">
      <alignment horizontal="center" vertical="center"/>
    </xf>
    <xf numFmtId="0" fontId="0" fillId="4" borderId="29" xfId="0" applyFill="1" applyBorder="1" applyAlignment="1">
      <alignment horizontal="left" vertical="center" shrinkToFit="1"/>
    </xf>
    <xf numFmtId="0" fontId="0" fillId="4" borderId="36" xfId="0" applyFill="1" applyBorder="1" applyAlignment="1">
      <alignment horizontal="left" vertical="center" shrinkToFit="1"/>
    </xf>
    <xf numFmtId="178" fontId="0" fillId="0" borderId="0" xfId="0" applyNumberFormat="1" applyAlignment="1">
      <alignment horizontal="left" vertical="top" shrinkToFit="1"/>
    </xf>
    <xf numFmtId="178" fontId="0" fillId="4" borderId="1" xfId="0" applyNumberFormat="1" applyFill="1" applyBorder="1">
      <alignment vertical="center"/>
    </xf>
    <xf numFmtId="178" fontId="0" fillId="4" borderId="1" xfId="0" applyNumberFormat="1" applyFill="1" applyBorder="1" applyAlignment="1">
      <alignment horizontal="center" vertical="center"/>
    </xf>
    <xf numFmtId="0" fontId="0" fillId="0" borderId="0" xfId="0" applyAlignment="1">
      <alignment horizontal="left" vertical="top"/>
    </xf>
    <xf numFmtId="0" fontId="9" fillId="0" borderId="1" xfId="0" applyFont="1" applyFill="1" applyBorder="1" applyAlignment="1" applyProtection="1">
      <alignment horizontal="center" vertical="center" shrinkToFit="1"/>
      <protection locked="0"/>
    </xf>
    <xf numFmtId="0" fontId="22" fillId="0" borderId="0" xfId="0" applyFont="1" applyAlignment="1">
      <alignment horizontal="right" vertical="center"/>
    </xf>
    <xf numFmtId="0" fontId="12" fillId="0" borderId="0" xfId="0" applyFont="1" applyFill="1" applyBorder="1" applyAlignment="1">
      <alignment vertical="center" shrinkToFit="1"/>
    </xf>
    <xf numFmtId="0" fontId="9" fillId="0" borderId="9" xfId="0" applyFont="1" applyFill="1" applyBorder="1" applyAlignment="1">
      <alignment vertical="center" shrinkToFit="1"/>
    </xf>
    <xf numFmtId="0" fontId="12" fillId="0" borderId="9" xfId="0" applyFont="1" applyFill="1" applyBorder="1" applyAlignment="1">
      <alignment vertical="center" shrinkToFit="1"/>
    </xf>
    <xf numFmtId="0" fontId="12" fillId="0" borderId="70" xfId="0" applyFont="1" applyFill="1" applyBorder="1" applyAlignment="1">
      <alignment vertical="center" shrinkToFit="1"/>
    </xf>
    <xf numFmtId="0" fontId="0" fillId="0" borderId="8" xfId="0" applyFill="1" applyBorder="1">
      <alignment vertical="center"/>
    </xf>
    <xf numFmtId="0" fontId="0" fillId="0" borderId="8" xfId="0" applyBorder="1">
      <alignment vertical="center"/>
    </xf>
    <xf numFmtId="178" fontId="0" fillId="3" borderId="43" xfId="0" applyNumberFormat="1" applyFill="1" applyBorder="1" applyAlignment="1">
      <alignment horizontal="center" vertical="center" shrinkToFit="1"/>
    </xf>
    <xf numFmtId="178" fontId="0" fillId="3" borderId="34" xfId="0" applyNumberFormat="1" applyFill="1" applyBorder="1" applyAlignment="1">
      <alignment horizontal="center" vertical="center" shrinkToFit="1"/>
    </xf>
    <xf numFmtId="178" fontId="0" fillId="3" borderId="38" xfId="0" applyNumberFormat="1" applyFill="1" applyBorder="1" applyAlignment="1">
      <alignment horizontal="center" vertical="center" shrinkToFit="1"/>
    </xf>
    <xf numFmtId="0" fontId="0" fillId="4" borderId="27" xfId="0" applyFill="1" applyBorder="1" applyAlignment="1">
      <alignment horizontal="left" vertical="center" shrinkToFit="1"/>
    </xf>
    <xf numFmtId="0" fontId="0" fillId="0" borderId="11" xfId="0" applyFill="1" applyBorder="1" applyAlignment="1">
      <alignment horizontal="center" vertical="center"/>
    </xf>
    <xf numFmtId="0" fontId="9" fillId="4" borderId="42"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0" fillId="4" borderId="1" xfId="0" applyFill="1" applyBorder="1" applyAlignment="1">
      <alignment horizontal="center" vertical="center"/>
    </xf>
    <xf numFmtId="0" fontId="9" fillId="0" borderId="40" xfId="0" applyFont="1" applyFill="1" applyBorder="1" applyAlignment="1" applyProtection="1">
      <alignment horizontal="center" vertical="center" shrinkToFit="1"/>
      <protection locked="0"/>
    </xf>
    <xf numFmtId="0" fontId="9" fillId="4"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4" borderId="36" xfId="0" applyFont="1" applyFill="1" applyBorder="1" applyAlignment="1">
      <alignment horizontal="center" vertical="center" shrinkToFit="1"/>
    </xf>
    <xf numFmtId="0" fontId="9" fillId="4" borderId="27"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4" borderId="29" xfId="0" applyFont="1" applyFill="1" applyBorder="1" applyAlignment="1">
      <alignment horizontal="center" vertical="center" shrinkToFit="1"/>
    </xf>
    <xf numFmtId="0" fontId="9" fillId="4" borderId="2"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9" borderId="1"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4" borderId="38" xfId="0" applyFont="1" applyFill="1" applyBorder="1" applyAlignment="1">
      <alignment horizontal="center" vertical="center" shrinkToFit="1"/>
    </xf>
    <xf numFmtId="178" fontId="0" fillId="0" borderId="4" xfId="0" applyNumberFormat="1" applyBorder="1" applyAlignment="1">
      <alignment horizontal="center" vertical="center" shrinkToFit="1"/>
    </xf>
    <xf numFmtId="178" fontId="0" fillId="3" borderId="4" xfId="0" applyNumberFormat="1" applyFill="1" applyBorder="1" applyAlignment="1">
      <alignment horizontal="center" vertical="center" shrinkToFit="1"/>
    </xf>
    <xf numFmtId="178" fontId="0" fillId="3" borderId="22" xfId="0" applyNumberFormat="1" applyFill="1" applyBorder="1" applyAlignment="1">
      <alignment horizontal="center" vertical="center" shrinkToFit="1"/>
    </xf>
    <xf numFmtId="0" fontId="19" fillId="0" borderId="65" xfId="0" applyFont="1" applyBorder="1" applyAlignment="1">
      <alignment horizontal="center" vertical="center"/>
    </xf>
    <xf numFmtId="0" fontId="7" fillId="0" borderId="65" xfId="0" applyFont="1" applyBorder="1" applyAlignment="1">
      <alignment horizontal="center" vertical="center"/>
    </xf>
    <xf numFmtId="0" fontId="7" fillId="0" borderId="1" xfId="0" applyFont="1" applyBorder="1" applyAlignment="1">
      <alignment horizontal="center" vertical="center"/>
    </xf>
    <xf numFmtId="183" fontId="19" fillId="0" borderId="1" xfId="0" applyNumberFormat="1" applyFont="1" applyBorder="1" applyAlignment="1">
      <alignment vertical="center" shrinkToFit="1"/>
    </xf>
    <xf numFmtId="178" fontId="9" fillId="3" borderId="4" xfId="0" applyNumberFormat="1" applyFont="1" applyFill="1" applyBorder="1" applyAlignment="1">
      <alignment horizontal="center" vertical="center" shrinkToFit="1"/>
    </xf>
    <xf numFmtId="178" fontId="9" fillId="3" borderId="19" xfId="0" applyNumberFormat="1" applyFont="1" applyFill="1" applyBorder="1" applyAlignment="1">
      <alignment horizontal="center" vertical="center" shrinkToFit="1"/>
    </xf>
    <xf numFmtId="0" fontId="0" fillId="0" borderId="1" xfId="0" applyBorder="1">
      <alignment vertical="center"/>
    </xf>
    <xf numFmtId="178" fontId="0" fillId="3" borderId="21" xfId="0" applyNumberFormat="1" applyFill="1" applyBorder="1" applyAlignment="1">
      <alignment horizontal="center" vertical="center" shrinkToFit="1"/>
    </xf>
    <xf numFmtId="0" fontId="9" fillId="4" borderId="15" xfId="0" applyFont="1" applyFill="1" applyBorder="1" applyAlignment="1">
      <alignment vertical="center" shrinkToFit="1"/>
    </xf>
    <xf numFmtId="178" fontId="20" fillId="0" borderId="1" xfId="0" applyNumberFormat="1" applyFont="1" applyBorder="1" applyAlignment="1" applyProtection="1">
      <alignment horizontal="center" vertical="center"/>
      <protection locked="0"/>
    </xf>
    <xf numFmtId="0" fontId="0" fillId="0" borderId="29" xfId="0" applyFill="1" applyBorder="1" applyProtection="1">
      <alignment vertical="center"/>
      <protection locked="0"/>
    </xf>
    <xf numFmtId="0" fontId="0" fillId="10" borderId="62" xfId="0" applyFill="1" applyBorder="1" applyAlignment="1" applyProtection="1">
      <alignment horizontal="center" vertical="center" shrinkToFit="1"/>
      <protection locked="0"/>
    </xf>
    <xf numFmtId="0" fontId="0" fillId="0" borderId="23" xfId="0" applyBorder="1" applyAlignment="1" applyProtection="1">
      <alignment horizontal="center" vertical="center"/>
      <protection locked="0"/>
    </xf>
    <xf numFmtId="0" fontId="0" fillId="10" borderId="62" xfId="0" applyFill="1" applyBorder="1" applyAlignment="1" applyProtection="1">
      <alignment horizontal="center" vertical="center"/>
      <protection locked="0"/>
    </xf>
    <xf numFmtId="0" fontId="0" fillId="0" borderId="51" xfId="0" applyBorder="1" applyAlignment="1" applyProtection="1">
      <alignment horizontal="center" vertical="center"/>
      <protection locked="0"/>
    </xf>
    <xf numFmtId="178" fontId="0" fillId="10" borderId="41" xfId="0" applyNumberFormat="1" applyFill="1" applyBorder="1" applyAlignment="1" applyProtection="1">
      <alignment vertical="center" shrinkToFit="1"/>
      <protection locked="0"/>
    </xf>
    <xf numFmtId="178" fontId="0" fillId="0" borderId="49" xfId="0" applyNumberFormat="1" applyBorder="1" applyAlignment="1" applyProtection="1">
      <alignment vertical="center" shrinkToFit="1"/>
      <protection locked="0"/>
    </xf>
    <xf numFmtId="178" fontId="0" fillId="0" borderId="46" xfId="0" applyNumberFormat="1" applyBorder="1" applyAlignment="1" applyProtection="1">
      <alignment vertical="center" shrinkToFit="1"/>
      <protection locked="0"/>
    </xf>
    <xf numFmtId="178" fontId="0" fillId="10" borderId="42" xfId="0" applyNumberFormat="1" applyFill="1" applyBorder="1" applyAlignment="1" applyProtection="1">
      <alignment vertical="center" shrinkToFit="1"/>
      <protection locked="0"/>
    </xf>
    <xf numFmtId="178" fontId="0" fillId="0" borderId="18" xfId="0" applyNumberFormat="1" applyBorder="1" applyAlignment="1" applyProtection="1">
      <alignment vertical="center" shrinkToFit="1"/>
      <protection locked="0"/>
    </xf>
    <xf numFmtId="178" fontId="0" fillId="0" borderId="47" xfId="0" applyNumberFormat="1" applyBorder="1" applyAlignment="1" applyProtection="1">
      <alignment vertical="center" shrinkToFit="1"/>
      <protection locked="0"/>
    </xf>
    <xf numFmtId="178" fontId="0" fillId="10" borderId="43" xfId="0" applyNumberFormat="1" applyFill="1" applyBorder="1" applyAlignment="1" applyProtection="1">
      <alignment vertical="center" shrinkToFit="1"/>
      <protection locked="0"/>
    </xf>
    <xf numFmtId="178" fontId="0" fillId="0" borderId="34" xfId="0" applyNumberFormat="1" applyBorder="1" applyAlignment="1" applyProtection="1">
      <alignment vertical="center" shrinkToFit="1"/>
      <protection locked="0"/>
    </xf>
    <xf numFmtId="178" fontId="0" fillId="0" borderId="38" xfId="0" applyNumberFormat="1" applyBorder="1" applyAlignment="1" applyProtection="1">
      <alignment vertical="center" shrinkToFit="1"/>
      <protection locked="0"/>
    </xf>
    <xf numFmtId="184" fontId="0" fillId="10" borderId="41" xfId="0" applyNumberFormat="1" applyFill="1" applyBorder="1" applyProtection="1">
      <alignment vertical="center"/>
      <protection locked="0"/>
    </xf>
    <xf numFmtId="184" fontId="0" fillId="0" borderId="49" xfId="0" applyNumberFormat="1" applyBorder="1" applyProtection="1">
      <alignment vertical="center"/>
      <protection locked="0"/>
    </xf>
    <xf numFmtId="184" fontId="0" fillId="0" borderId="46" xfId="0" applyNumberFormat="1" applyBorder="1" applyProtection="1">
      <alignment vertical="center"/>
      <protection locked="0"/>
    </xf>
    <xf numFmtId="178" fontId="0" fillId="10" borderId="42" xfId="0" applyNumberFormat="1" applyFill="1" applyBorder="1" applyProtection="1">
      <alignment vertical="center"/>
      <protection locked="0"/>
    </xf>
    <xf numFmtId="178" fontId="0" fillId="0" borderId="18" xfId="0" applyNumberFormat="1" applyBorder="1" applyProtection="1">
      <alignment vertical="center"/>
      <protection locked="0"/>
    </xf>
    <xf numFmtId="178" fontId="0" fillId="0" borderId="47" xfId="0" applyNumberFormat="1" applyBorder="1" applyProtection="1">
      <alignment vertical="center"/>
      <protection locked="0"/>
    </xf>
    <xf numFmtId="184" fontId="0" fillId="10" borderId="42" xfId="0" applyNumberFormat="1" applyFill="1" applyBorder="1" applyProtection="1">
      <alignment vertical="center"/>
      <protection locked="0"/>
    </xf>
    <xf numFmtId="184" fontId="0" fillId="0" borderId="18" xfId="0" applyNumberFormat="1" applyBorder="1" applyProtection="1">
      <alignment vertical="center"/>
      <protection locked="0"/>
    </xf>
    <xf numFmtId="184" fontId="0" fillId="0" borderId="47" xfId="0" applyNumberFormat="1" applyBorder="1" applyProtection="1">
      <alignment vertical="center"/>
      <protection locked="0"/>
    </xf>
    <xf numFmtId="178" fontId="0" fillId="10" borderId="43" xfId="0" applyNumberFormat="1" applyFill="1" applyBorder="1" applyProtection="1">
      <alignment vertical="center"/>
      <protection locked="0"/>
    </xf>
    <xf numFmtId="178" fontId="0" fillId="0" borderId="34" xfId="0" applyNumberFormat="1" applyBorder="1" applyProtection="1">
      <alignment vertical="center"/>
      <protection locked="0"/>
    </xf>
    <xf numFmtId="178" fontId="0" fillId="0" borderId="38" xfId="0" applyNumberFormat="1" applyBorder="1" applyProtection="1">
      <alignment vertical="center"/>
      <protection locked="0"/>
    </xf>
    <xf numFmtId="0" fontId="9" fillId="4" borderId="26"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3" borderId="1" xfId="0" applyFont="1" applyFill="1" applyBorder="1" applyAlignment="1">
      <alignment horizontal="center" vertical="center" shrinkToFit="1"/>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73" xfId="0" applyFont="1" applyFill="1" applyBorder="1" applyAlignment="1">
      <alignment horizontal="center" vertical="center" shrinkToFit="1"/>
    </xf>
    <xf numFmtId="179" fontId="9" fillId="0" borderId="69" xfId="0" applyNumberFormat="1" applyFont="1" applyFill="1" applyBorder="1" applyAlignment="1" applyProtection="1">
      <alignment horizontal="center" vertical="center" shrinkToFit="1"/>
    </xf>
    <xf numFmtId="178" fontId="8" fillId="0" borderId="4" xfId="0" applyNumberFormat="1" applyFont="1" applyFill="1" applyBorder="1" applyAlignment="1">
      <alignment vertical="center" shrinkToFit="1"/>
    </xf>
    <xf numFmtId="178" fontId="8" fillId="0" borderId="1" xfId="0" applyNumberFormat="1" applyFont="1" applyFill="1" applyBorder="1" applyAlignment="1">
      <alignment vertical="center" shrinkToFit="1"/>
    </xf>
    <xf numFmtId="178" fontId="8" fillId="0" borderId="29" xfId="0" applyNumberFormat="1" applyFont="1" applyFill="1" applyBorder="1" applyAlignment="1">
      <alignment vertical="center" shrinkToFit="1"/>
    </xf>
    <xf numFmtId="178" fontId="8" fillId="0" borderId="19" xfId="0" applyNumberFormat="1" applyFont="1" applyFill="1" applyBorder="1" applyAlignment="1">
      <alignment vertical="center" shrinkToFit="1"/>
    </xf>
    <xf numFmtId="178" fontId="8" fillId="0" borderId="2" xfId="0" applyNumberFormat="1" applyFont="1" applyFill="1" applyBorder="1" applyAlignment="1">
      <alignment vertical="center" shrinkToFit="1"/>
    </xf>
    <xf numFmtId="178" fontId="8" fillId="0" borderId="36" xfId="0" applyNumberFormat="1" applyFont="1" applyFill="1" applyBorder="1" applyAlignment="1">
      <alignment vertical="center" shrinkToFit="1"/>
    </xf>
    <xf numFmtId="183" fontId="0" fillId="10" borderId="42" xfId="0" applyNumberFormat="1" applyFill="1" applyBorder="1" applyProtection="1">
      <alignment vertical="center"/>
      <protection locked="0"/>
    </xf>
    <xf numFmtId="0" fontId="0" fillId="4" borderId="1" xfId="0" applyFill="1" applyBorder="1" applyAlignment="1">
      <alignment horizontal="center" vertical="center"/>
    </xf>
    <xf numFmtId="0" fontId="0" fillId="5" borderId="1" xfId="0" applyFill="1" applyBorder="1" applyAlignment="1">
      <alignment horizontal="right" vertical="center"/>
    </xf>
    <xf numFmtId="0" fontId="8" fillId="0" borderId="0" xfId="0" applyFont="1" applyBorder="1">
      <alignment vertical="center"/>
    </xf>
    <xf numFmtId="0" fontId="8" fillId="0" borderId="11" xfId="0" applyFont="1" applyBorder="1">
      <alignment vertical="center"/>
    </xf>
    <xf numFmtId="0" fontId="9" fillId="0" borderId="11" xfId="0" applyFont="1" applyBorder="1" applyAlignment="1">
      <alignment horizontal="center" vertical="center"/>
    </xf>
    <xf numFmtId="0" fontId="28" fillId="0" borderId="0" xfId="2" applyFont="1"/>
    <xf numFmtId="0" fontId="30" fillId="0" borderId="0" xfId="2" applyFont="1"/>
    <xf numFmtId="0" fontId="30" fillId="4" borderId="14" xfId="2" applyFont="1" applyFill="1" applyBorder="1" applyAlignment="1">
      <alignment horizontal="center" vertical="center"/>
    </xf>
    <xf numFmtId="0" fontId="30" fillId="4" borderId="52" xfId="2" applyFont="1" applyFill="1" applyBorder="1" applyAlignment="1">
      <alignment horizontal="center" vertical="center"/>
    </xf>
    <xf numFmtId="0" fontId="30" fillId="0" borderId="64" xfId="2" applyFont="1" applyBorder="1" applyAlignment="1" applyProtection="1">
      <alignment horizontal="center" vertical="center"/>
      <protection locked="0"/>
    </xf>
    <xf numFmtId="0" fontId="9" fillId="4" borderId="26" xfId="2" applyFont="1" applyFill="1" applyBorder="1" applyAlignment="1">
      <alignment vertical="center" shrinkToFit="1"/>
    </xf>
    <xf numFmtId="0" fontId="9" fillId="4" borderId="27" xfId="2" applyFont="1" applyFill="1" applyBorder="1" applyAlignment="1">
      <alignment horizontal="center" vertical="center" shrinkToFit="1"/>
    </xf>
    <xf numFmtId="0" fontId="9" fillId="0" borderId="0" xfId="2" applyFont="1" applyAlignment="1">
      <alignment vertical="center" shrinkToFit="1"/>
    </xf>
    <xf numFmtId="0" fontId="9" fillId="0" borderId="0" xfId="2" applyFont="1" applyAlignment="1">
      <alignment horizontal="center" vertical="center" shrinkToFit="1"/>
    </xf>
    <xf numFmtId="0" fontId="9" fillId="4" borderId="1" xfId="2" applyFont="1" applyFill="1" applyBorder="1" applyAlignment="1">
      <alignment vertical="center" shrinkToFit="1"/>
    </xf>
    <xf numFmtId="0" fontId="9" fillId="0" borderId="1" xfId="2" applyFont="1" applyBorder="1" applyAlignment="1" applyProtection="1">
      <alignment horizontal="center" vertical="center" shrinkToFit="1"/>
      <protection locked="0"/>
    </xf>
    <xf numFmtId="0" fontId="9" fillId="0" borderId="0" xfId="2" applyFont="1" applyAlignment="1" applyProtection="1">
      <alignment vertical="center" shrinkToFit="1"/>
      <protection locked="0"/>
    </xf>
    <xf numFmtId="0" fontId="9" fillId="0" borderId="29" xfId="2" applyFont="1" applyBorder="1" applyAlignment="1" applyProtection="1">
      <alignment horizontal="center" vertical="center" shrinkToFit="1"/>
      <protection locked="0"/>
    </xf>
    <xf numFmtId="178" fontId="9" fillId="4" borderId="1" xfId="2" applyNumberFormat="1" applyFont="1" applyFill="1" applyBorder="1" applyAlignment="1">
      <alignment horizontal="center" vertical="center" shrinkToFit="1"/>
    </xf>
    <xf numFmtId="178" fontId="9" fillId="0" borderId="1" xfId="2" applyNumberFormat="1" applyFont="1" applyBorder="1" applyAlignment="1" applyProtection="1">
      <alignment horizontal="center" vertical="center" shrinkToFit="1"/>
      <protection locked="0"/>
    </xf>
    <xf numFmtId="178" fontId="16" fillId="0" borderId="1" xfId="2" applyNumberFormat="1" applyFont="1" applyBorder="1" applyAlignment="1" applyProtection="1">
      <alignment horizontal="center" vertical="center"/>
      <protection locked="0"/>
    </xf>
    <xf numFmtId="178" fontId="9" fillId="0" borderId="29" xfId="2" applyNumberFormat="1" applyFont="1" applyBorder="1" applyAlignment="1" applyProtection="1">
      <alignment horizontal="center" vertical="center" shrinkToFit="1"/>
      <protection locked="0"/>
    </xf>
    <xf numFmtId="187" fontId="9" fillId="0" borderId="1" xfId="2" applyNumberFormat="1" applyFont="1" applyBorder="1" applyAlignment="1" applyProtection="1">
      <alignment horizontal="center" vertical="center"/>
      <protection locked="0"/>
    </xf>
    <xf numFmtId="187" fontId="9" fillId="0" borderId="29" xfId="2" applyNumberFormat="1" applyFont="1" applyBorder="1" applyAlignment="1" applyProtection="1">
      <alignment horizontal="center" vertical="center"/>
      <protection locked="0"/>
    </xf>
    <xf numFmtId="178" fontId="16" fillId="4" borderId="1" xfId="2" applyNumberFormat="1" applyFont="1" applyFill="1" applyBorder="1" applyAlignment="1">
      <alignment horizontal="center" vertical="center" shrinkToFit="1"/>
    </xf>
    <xf numFmtId="178" fontId="16" fillId="0" borderId="1" xfId="2" applyNumberFormat="1" applyFont="1" applyBorder="1" applyAlignment="1" applyProtection="1">
      <alignment horizontal="center" vertical="center" shrinkToFit="1"/>
      <protection locked="0"/>
    </xf>
    <xf numFmtId="178" fontId="16" fillId="0" borderId="29" xfId="2" applyNumberFormat="1" applyFont="1" applyBorder="1" applyAlignment="1" applyProtection="1">
      <alignment horizontal="center" vertical="center" shrinkToFit="1"/>
      <protection locked="0"/>
    </xf>
    <xf numFmtId="0" fontId="9" fillId="0" borderId="1" xfId="2" applyFont="1" applyBorder="1" applyAlignment="1">
      <alignment horizontal="center" vertical="center" wrapText="1"/>
    </xf>
    <xf numFmtId="0" fontId="9" fillId="0" borderId="1" xfId="2" applyFont="1" applyBorder="1" applyAlignment="1">
      <alignment horizontal="center" vertical="center"/>
    </xf>
    <xf numFmtId="0" fontId="9" fillId="0" borderId="1" xfId="2" applyFont="1" applyBorder="1" applyAlignment="1">
      <alignment horizontal="center" vertical="center" shrinkToFit="1"/>
    </xf>
    <xf numFmtId="0" fontId="9" fillId="0" borderId="65" xfId="2" applyFont="1" applyBorder="1" applyAlignment="1">
      <alignment horizontal="center" vertical="center"/>
    </xf>
    <xf numFmtId="183" fontId="9" fillId="0" borderId="1" xfId="2" applyNumberFormat="1" applyFont="1" applyBorder="1" applyAlignment="1">
      <alignment horizontal="center" vertical="center" shrinkToFit="1"/>
    </xf>
    <xf numFmtId="183" fontId="9" fillId="0" borderId="1" xfId="2" applyNumberFormat="1" applyFont="1" applyBorder="1" applyAlignment="1">
      <alignment vertical="center" shrinkToFit="1"/>
    </xf>
    <xf numFmtId="187" fontId="30" fillId="0" borderId="1" xfId="2" applyNumberFormat="1" applyFont="1" applyBorder="1" applyAlignment="1">
      <alignment horizontal="center" vertical="center"/>
    </xf>
    <xf numFmtId="187" fontId="30" fillId="0" borderId="1" xfId="2" applyNumberFormat="1" applyFont="1" applyBorder="1" applyAlignment="1">
      <alignment horizontal="center"/>
    </xf>
    <xf numFmtId="0" fontId="9" fillId="9" borderId="28" xfId="2" applyFont="1" applyFill="1" applyBorder="1" applyAlignment="1">
      <alignment horizontal="center" vertical="center" shrinkToFit="1"/>
    </xf>
    <xf numFmtId="178" fontId="9" fillId="7" borderId="28" xfId="2" applyNumberFormat="1" applyFont="1" applyFill="1" applyBorder="1" applyAlignment="1">
      <alignment horizontal="center" vertical="center" shrinkToFit="1"/>
    </xf>
    <xf numFmtId="0" fontId="9" fillId="0" borderId="1" xfId="2" applyFont="1" applyBorder="1" applyAlignment="1">
      <alignment vertical="center"/>
    </xf>
    <xf numFmtId="176" fontId="9" fillId="7" borderId="28" xfId="2" applyNumberFormat="1" applyFont="1" applyFill="1" applyBorder="1" applyAlignment="1">
      <alignment horizontal="center" vertical="center" shrinkToFit="1"/>
    </xf>
    <xf numFmtId="178" fontId="9" fillId="3" borderId="4" xfId="2" applyNumberFormat="1" applyFont="1" applyFill="1" applyBorder="1" applyAlignment="1">
      <alignment horizontal="center" vertical="center" shrinkToFit="1"/>
    </xf>
    <xf numFmtId="178" fontId="9" fillId="3" borderId="19" xfId="2" applyNumberFormat="1" applyFont="1" applyFill="1" applyBorder="1" applyAlignment="1">
      <alignment horizontal="center" vertical="center" shrinkToFit="1"/>
    </xf>
    <xf numFmtId="178" fontId="9" fillId="3" borderId="1" xfId="2" applyNumberFormat="1" applyFont="1" applyFill="1" applyBorder="1" applyAlignment="1">
      <alignment horizontal="center" vertical="center" shrinkToFit="1"/>
    </xf>
    <xf numFmtId="187" fontId="9" fillId="0" borderId="0" xfId="2" applyNumberFormat="1" applyFont="1" applyAlignment="1">
      <alignment horizontal="center" vertical="center"/>
    </xf>
    <xf numFmtId="178" fontId="9" fillId="3" borderId="0" xfId="2" applyNumberFormat="1" applyFont="1" applyFill="1" applyAlignment="1">
      <alignment horizontal="center" vertical="center" shrinkToFit="1"/>
    </xf>
    <xf numFmtId="0" fontId="30" fillId="4" borderId="25" xfId="2" applyFont="1" applyFill="1" applyBorder="1" applyAlignment="1">
      <alignment horizontal="center" vertical="center"/>
    </xf>
    <xf numFmtId="0" fontId="30" fillId="0" borderId="9" xfId="2" applyFont="1" applyBorder="1"/>
    <xf numFmtId="0" fontId="30" fillId="0" borderId="11" xfId="2" applyFont="1" applyBorder="1"/>
    <xf numFmtId="0" fontId="30" fillId="4" borderId="10" xfId="2" applyFont="1" applyFill="1" applyBorder="1" applyAlignment="1">
      <alignment horizontal="center" vertical="center"/>
    </xf>
    <xf numFmtId="177" fontId="9" fillId="7" borderId="28" xfId="2" applyNumberFormat="1" applyFont="1" applyFill="1" applyBorder="1" applyAlignment="1">
      <alignment horizontal="center" vertical="center" shrinkToFit="1"/>
    </xf>
    <xf numFmtId="0" fontId="27" fillId="0" borderId="0" xfId="2"/>
    <xf numFmtId="0" fontId="27" fillId="0" borderId="1" xfId="2" applyBorder="1" applyProtection="1">
      <protection locked="0"/>
    </xf>
    <xf numFmtId="187" fontId="27" fillId="3" borderId="1" xfId="2" applyNumberFormat="1" applyFill="1" applyBorder="1"/>
    <xf numFmtId="0" fontId="27" fillId="4" borderId="1" xfId="2" applyFill="1" applyBorder="1" applyAlignment="1">
      <alignment horizontal="center"/>
    </xf>
    <xf numFmtId="0" fontId="30" fillId="0" borderId="0" xfId="2" applyFont="1" applyBorder="1"/>
    <xf numFmtId="184" fontId="8" fillId="0" borderId="4" xfId="0" applyNumberFormat="1" applyFont="1" applyFill="1" applyBorder="1" applyAlignment="1">
      <alignment vertical="center" shrinkToFit="1"/>
    </xf>
    <xf numFmtId="0" fontId="9" fillId="0" borderId="65" xfId="2" applyFont="1" applyBorder="1" applyAlignment="1">
      <alignment horizontal="center" vertical="center" wrapText="1"/>
    </xf>
    <xf numFmtId="0" fontId="9" fillId="4" borderId="1"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0" borderId="0" xfId="2" applyFont="1" applyBorder="1" applyProtection="1">
      <protection locked="0"/>
    </xf>
    <xf numFmtId="184" fontId="8" fillId="0" borderId="47" xfId="0" applyNumberFormat="1" applyFont="1" applyFill="1" applyBorder="1" applyAlignment="1">
      <alignment vertical="center" shrinkToFit="1"/>
    </xf>
    <xf numFmtId="184" fontId="8" fillId="0" borderId="35" xfId="0" applyNumberFormat="1" applyFont="1" applyFill="1" applyBorder="1" applyAlignment="1">
      <alignment vertical="center" shrinkToFit="1"/>
    </xf>
    <xf numFmtId="184" fontId="8" fillId="0" borderId="38" xfId="0" applyNumberFormat="1" applyFont="1" applyFill="1" applyBorder="1" applyAlignment="1">
      <alignment vertical="center" shrinkToFit="1"/>
    </xf>
    <xf numFmtId="184" fontId="8" fillId="0" borderId="4" xfId="0" applyNumberFormat="1" applyFont="1" applyFill="1" applyBorder="1" applyAlignment="1" applyProtection="1">
      <alignment vertical="center" shrinkToFit="1"/>
      <protection locked="0"/>
    </xf>
    <xf numFmtId="184" fontId="8" fillId="0" borderId="35" xfId="0" applyNumberFormat="1" applyFont="1" applyFill="1" applyBorder="1" applyAlignment="1" applyProtection="1">
      <alignment vertical="center" shrinkToFit="1"/>
      <protection locked="0"/>
    </xf>
    <xf numFmtId="0" fontId="9" fillId="4" borderId="1" xfId="2" applyFont="1" applyFill="1" applyBorder="1" applyProtection="1"/>
    <xf numFmtId="178" fontId="8" fillId="0" borderId="4" xfId="0" applyNumberFormat="1" applyFont="1" applyFill="1" applyBorder="1" applyAlignment="1" applyProtection="1">
      <alignment horizontal="center" vertical="center" shrinkToFit="1"/>
    </xf>
    <xf numFmtId="178" fontId="8" fillId="0" borderId="47" xfId="0" applyNumberFormat="1" applyFont="1" applyFill="1" applyBorder="1" applyAlignment="1" applyProtection="1">
      <alignment horizontal="center" vertical="center" shrinkToFit="1"/>
    </xf>
    <xf numFmtId="178" fontId="8" fillId="0" borderId="29" xfId="0" applyNumberFormat="1" applyFont="1" applyFill="1" applyBorder="1" applyAlignment="1" applyProtection="1">
      <alignment horizontal="center" vertical="center" shrinkToFit="1"/>
    </xf>
    <xf numFmtId="0" fontId="9" fillId="4" borderId="74" xfId="2" applyFont="1" applyFill="1" applyBorder="1" applyProtection="1"/>
    <xf numFmtId="0" fontId="9" fillId="4" borderId="1" xfId="2" applyFont="1" applyFill="1" applyBorder="1" applyAlignment="1" applyProtection="1">
      <alignment horizontal="center" vertical="center" shrinkToFit="1"/>
    </xf>
    <xf numFmtId="184" fontId="31" fillId="0" borderId="4" xfId="0" applyNumberFormat="1" applyFont="1" applyFill="1" applyBorder="1" applyAlignment="1" applyProtection="1">
      <alignment horizontal="center" vertical="center" shrinkToFit="1"/>
    </xf>
    <xf numFmtId="184" fontId="31" fillId="0" borderId="47" xfId="0" applyNumberFormat="1" applyFont="1" applyFill="1" applyBorder="1" applyAlignment="1" applyProtection="1">
      <alignment horizontal="center" vertical="center" shrinkToFit="1"/>
    </xf>
    <xf numFmtId="184" fontId="9" fillId="4" borderId="1" xfId="0" applyNumberFormat="1" applyFont="1" applyFill="1" applyBorder="1" applyAlignment="1" applyProtection="1">
      <alignment horizontal="center" vertical="center" shrinkToFit="1"/>
    </xf>
    <xf numFmtId="184" fontId="9" fillId="0" borderId="1" xfId="0" applyNumberFormat="1" applyFont="1" applyBorder="1" applyAlignment="1" applyProtection="1">
      <alignment horizontal="center" vertical="center" shrinkToFit="1"/>
    </xf>
    <xf numFmtId="184" fontId="9" fillId="0" borderId="29" xfId="0" applyNumberFormat="1" applyFont="1" applyBorder="1" applyAlignment="1" applyProtection="1">
      <alignment horizontal="center" vertical="center" shrinkToFit="1"/>
    </xf>
    <xf numFmtId="187" fontId="9" fillId="0" borderId="1" xfId="0" applyNumberFormat="1" applyFont="1" applyBorder="1" applyAlignment="1" applyProtection="1">
      <alignment horizontal="center" vertical="center" shrinkToFit="1"/>
    </xf>
    <xf numFmtId="187" fontId="9" fillId="0" borderId="29" xfId="0" applyNumberFormat="1" applyFont="1" applyBorder="1" applyAlignment="1" applyProtection="1">
      <alignment horizontal="center" vertical="center" shrinkToFit="1"/>
    </xf>
    <xf numFmtId="178" fontId="8" fillId="0" borderId="40" xfId="0" applyNumberFormat="1" applyFont="1" applyFill="1" applyBorder="1" applyAlignment="1" applyProtection="1">
      <alignment horizontal="center" vertical="center" shrinkToFit="1"/>
    </xf>
    <xf numFmtId="178" fontId="8" fillId="0" borderId="35" xfId="0" applyNumberFormat="1" applyFont="1" applyFill="1" applyBorder="1" applyAlignment="1" applyProtection="1">
      <alignment horizontal="center" vertical="center" shrinkToFit="1"/>
    </xf>
    <xf numFmtId="178" fontId="8" fillId="0" borderId="38" xfId="0" applyNumberFormat="1" applyFont="1" applyFill="1" applyBorder="1" applyAlignment="1" applyProtection="1">
      <alignment horizontal="center" vertical="center" shrinkToFit="1"/>
    </xf>
    <xf numFmtId="178" fontId="8" fillId="0" borderId="72" xfId="0" applyNumberFormat="1"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xf numFmtId="0" fontId="9" fillId="4" borderId="27" xfId="2"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184" fontId="8" fillId="0" borderId="47" xfId="0" applyNumberFormat="1" applyFont="1" applyFill="1" applyBorder="1" applyAlignment="1" applyProtection="1">
      <alignment horizontal="center" vertical="center" shrinkToFit="1"/>
    </xf>
    <xf numFmtId="178" fontId="9" fillId="4" borderId="1" xfId="2" applyNumberFormat="1" applyFont="1" applyFill="1" applyBorder="1" applyAlignment="1" applyProtection="1">
      <alignment horizontal="center" vertical="center" shrinkToFit="1"/>
    </xf>
    <xf numFmtId="178" fontId="16" fillId="4" borderId="1" xfId="2" applyNumberFormat="1" applyFont="1" applyFill="1" applyBorder="1" applyAlignment="1" applyProtection="1">
      <alignment horizontal="center" vertical="center" shrinkToFit="1"/>
    </xf>
    <xf numFmtId="0" fontId="0" fillId="0" borderId="1" xfId="0" applyBorder="1" applyAlignment="1">
      <alignment vertical="top" wrapText="1"/>
    </xf>
    <xf numFmtId="0" fontId="0" fillId="0" borderId="0" xfId="0" applyAlignment="1">
      <alignment horizontal="center" vertical="center"/>
    </xf>
    <xf numFmtId="0" fontId="9" fillId="12" borderId="26" xfId="0" applyFont="1" applyFill="1" applyBorder="1" applyAlignment="1">
      <alignment horizontal="center" vertical="center"/>
    </xf>
    <xf numFmtId="0" fontId="16" fillId="4" borderId="4" xfId="0" applyFont="1" applyFill="1" applyBorder="1" applyAlignment="1">
      <alignment horizontal="left" vertical="center"/>
    </xf>
    <xf numFmtId="0" fontId="16" fillId="4" borderId="47" xfId="0" applyFont="1" applyFill="1" applyBorder="1" applyAlignment="1">
      <alignment horizontal="left" vertical="center"/>
    </xf>
    <xf numFmtId="0" fontId="9" fillId="4" borderId="1" xfId="0" applyFont="1" applyFill="1" applyBorder="1" applyAlignment="1">
      <alignment vertical="center"/>
    </xf>
    <xf numFmtId="0" fontId="9" fillId="4" borderId="29" xfId="0" applyFont="1" applyFill="1" applyBorder="1" applyAlignment="1">
      <alignment vertical="center"/>
    </xf>
    <xf numFmtId="0" fontId="8" fillId="0" borderId="6" xfId="0" applyFont="1" applyBorder="1" applyAlignment="1">
      <alignment horizontal="center" vertical="center"/>
    </xf>
    <xf numFmtId="0" fontId="9" fillId="0" borderId="6" xfId="0" applyFont="1" applyBorder="1" applyAlignment="1">
      <alignment horizontal="center"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protection locked="0"/>
    </xf>
    <xf numFmtId="0" fontId="25" fillId="0" borderId="0" xfId="0" applyFont="1" applyAlignment="1">
      <alignment horizontal="left" vertical="center"/>
    </xf>
    <xf numFmtId="0" fontId="26" fillId="0" borderId="0" xfId="0" applyFont="1" applyFill="1" applyBorder="1" applyAlignment="1">
      <alignment horizontal="left" vertical="center"/>
    </xf>
    <xf numFmtId="0" fontId="26" fillId="0" borderId="0" xfId="0" applyFont="1" applyAlignment="1">
      <alignment horizontal="left" vertical="center"/>
    </xf>
    <xf numFmtId="0" fontId="33" fillId="0" borderId="0" xfId="0" applyFont="1" applyAlignment="1">
      <alignment horizontal="center" vertical="center"/>
    </xf>
    <xf numFmtId="0" fontId="0" fillId="0" borderId="0" xfId="0" applyAlignment="1">
      <alignment horizontal="center" vertical="center"/>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9" fillId="0" borderId="0" xfId="0" applyFont="1" applyFill="1" applyBorder="1" applyAlignment="1">
      <alignment horizontal="center" vertical="center" textRotation="255" wrapText="1"/>
    </xf>
    <xf numFmtId="0" fontId="9" fillId="0" borderId="0" xfId="0" applyFont="1" applyFill="1" applyBorder="1" applyAlignment="1">
      <alignment horizontal="center" vertical="center"/>
    </xf>
    <xf numFmtId="184" fontId="8" fillId="0" borderId="40" xfId="0" applyNumberFormat="1" applyFont="1" applyFill="1" applyBorder="1" applyAlignment="1">
      <alignment vertical="center" shrinkToFit="1"/>
    </xf>
    <xf numFmtId="184" fontId="8" fillId="3" borderId="4" xfId="0" applyNumberFormat="1" applyFont="1" applyFill="1" applyBorder="1" applyAlignment="1">
      <alignment vertical="center" shrinkToFit="1"/>
    </xf>
    <xf numFmtId="178" fontId="8" fillId="3" borderId="4" xfId="0" applyNumberFormat="1" applyFont="1" applyFill="1" applyBorder="1" applyAlignment="1" applyProtection="1">
      <alignment horizontal="center" vertical="center" shrinkToFit="1"/>
    </xf>
    <xf numFmtId="178" fontId="8" fillId="3" borderId="29" xfId="0" applyNumberFormat="1" applyFont="1" applyFill="1" applyBorder="1" applyAlignment="1" applyProtection="1">
      <alignment horizontal="center" vertical="center" shrinkToFit="1"/>
    </xf>
    <xf numFmtId="184" fontId="31" fillId="3" borderId="4" xfId="0" applyNumberFormat="1" applyFont="1" applyFill="1" applyBorder="1" applyAlignment="1" applyProtection="1">
      <alignment horizontal="center" vertical="center" shrinkToFit="1"/>
    </xf>
    <xf numFmtId="184" fontId="31" fillId="3" borderId="29" xfId="0" applyNumberFormat="1" applyFont="1" applyFill="1" applyBorder="1" applyAlignment="1" applyProtection="1">
      <alignment horizontal="center" vertical="center" shrinkToFit="1"/>
    </xf>
    <xf numFmtId="184" fontId="9" fillId="3" borderId="1" xfId="0" applyNumberFormat="1" applyFont="1" applyFill="1" applyBorder="1" applyAlignment="1" applyProtection="1">
      <alignment horizontal="center" vertical="center" shrinkToFit="1"/>
    </xf>
    <xf numFmtId="184" fontId="9" fillId="3" borderId="29" xfId="0" applyNumberFormat="1" applyFont="1" applyFill="1" applyBorder="1" applyAlignment="1" applyProtection="1">
      <alignment horizontal="center" vertical="center" shrinkToFit="1"/>
    </xf>
    <xf numFmtId="187" fontId="9" fillId="3" borderId="1" xfId="0" applyNumberFormat="1" applyFont="1" applyFill="1" applyBorder="1" applyAlignment="1" applyProtection="1">
      <alignment horizontal="center" vertical="center" shrinkToFit="1"/>
    </xf>
    <xf numFmtId="187" fontId="9" fillId="3" borderId="29" xfId="0" applyNumberFormat="1" applyFont="1" applyFill="1" applyBorder="1" applyAlignment="1" applyProtection="1">
      <alignment horizontal="center" vertical="center" shrinkToFit="1"/>
    </xf>
    <xf numFmtId="178" fontId="8" fillId="3" borderId="40" xfId="0" applyNumberFormat="1" applyFont="1" applyFill="1" applyBorder="1" applyAlignment="1" applyProtection="1">
      <alignment horizontal="center" vertical="center" shrinkToFit="1"/>
    </xf>
    <xf numFmtId="178" fontId="8" fillId="3" borderId="36" xfId="0" applyNumberFormat="1" applyFont="1" applyFill="1" applyBorder="1" applyAlignment="1" applyProtection="1">
      <alignment horizontal="center" vertical="center" shrinkToFit="1"/>
    </xf>
    <xf numFmtId="178" fontId="8" fillId="14" borderId="4" xfId="0" applyNumberFormat="1" applyFont="1" applyFill="1" applyBorder="1" applyAlignment="1" applyProtection="1">
      <alignment horizontal="center" vertical="center" shrinkToFit="1"/>
    </xf>
    <xf numFmtId="178" fontId="8" fillId="14" borderId="29" xfId="0" applyNumberFormat="1" applyFont="1" applyFill="1" applyBorder="1" applyAlignment="1" applyProtection="1">
      <alignment horizontal="center" vertical="center" shrinkToFit="1"/>
    </xf>
    <xf numFmtId="178" fontId="8" fillId="3" borderId="35" xfId="0" applyNumberFormat="1" applyFont="1" applyFill="1" applyBorder="1" applyAlignment="1" applyProtection="1">
      <alignment horizontal="center" vertical="center" shrinkToFit="1"/>
    </xf>
    <xf numFmtId="178" fontId="8" fillId="3" borderId="38" xfId="0" applyNumberFormat="1" applyFont="1" applyFill="1" applyBorder="1" applyAlignment="1" applyProtection="1">
      <alignment horizontal="center" vertical="center" shrinkToFit="1"/>
    </xf>
    <xf numFmtId="178" fontId="8" fillId="3" borderId="47" xfId="0" applyNumberFormat="1" applyFont="1" applyFill="1" applyBorder="1" applyAlignment="1" applyProtection="1">
      <alignment horizontal="center" vertical="center" shrinkToFit="1"/>
    </xf>
    <xf numFmtId="178" fontId="9" fillId="0" borderId="1" xfId="2" applyNumberFormat="1" applyFont="1" applyFill="1" applyBorder="1" applyAlignment="1" applyProtection="1">
      <alignment horizontal="center" vertical="center" shrinkToFit="1"/>
      <protection locked="0"/>
    </xf>
    <xf numFmtId="184" fontId="8" fillId="3" borderId="47" xfId="0" applyNumberFormat="1" applyFont="1" applyFill="1" applyBorder="1" applyAlignment="1">
      <alignment vertical="center" shrinkToFit="1"/>
    </xf>
    <xf numFmtId="184" fontId="8" fillId="3" borderId="38" xfId="0" applyNumberFormat="1" applyFont="1" applyFill="1" applyBorder="1" applyAlignment="1">
      <alignment vertical="center" shrinkToFit="1"/>
    </xf>
    <xf numFmtId="184" fontId="8" fillId="3" borderId="35" xfId="0" applyNumberFormat="1" applyFont="1" applyFill="1" applyBorder="1" applyAlignment="1">
      <alignment vertical="center" shrinkToFit="1"/>
    </xf>
    <xf numFmtId="178" fontId="8" fillId="3" borderId="72" xfId="0" applyNumberFormat="1" applyFont="1" applyFill="1" applyBorder="1" applyAlignment="1" applyProtection="1">
      <alignment horizontal="center" vertical="center" shrinkToFit="1"/>
    </xf>
    <xf numFmtId="178" fontId="8" fillId="15" borderId="4" xfId="0" applyNumberFormat="1" applyFont="1" applyFill="1" applyBorder="1" applyAlignment="1" applyProtection="1">
      <alignment horizontal="center" vertical="center" shrinkToFit="1"/>
    </xf>
    <xf numFmtId="178" fontId="8" fillId="15" borderId="47" xfId="0" applyNumberFormat="1" applyFont="1" applyFill="1" applyBorder="1" applyAlignment="1" applyProtection="1">
      <alignment horizontal="center" vertical="center" shrinkToFit="1"/>
    </xf>
    <xf numFmtId="0" fontId="30" fillId="4" borderId="52" xfId="2" applyFont="1" applyFill="1" applyBorder="1" applyAlignment="1">
      <alignment horizontal="center"/>
    </xf>
    <xf numFmtId="0" fontId="30" fillId="4" borderId="56" xfId="2" applyFont="1" applyFill="1" applyBorder="1" applyAlignment="1">
      <alignment horizontal="center"/>
    </xf>
    <xf numFmtId="0" fontId="30" fillId="4" borderId="5" xfId="2" applyFont="1" applyFill="1" applyBorder="1" applyAlignment="1">
      <alignment horizontal="center"/>
    </xf>
    <xf numFmtId="0" fontId="30" fillId="4" borderId="7" xfId="2" applyFont="1" applyFill="1" applyBorder="1" applyAlignment="1">
      <alignment horizontal="center"/>
    </xf>
    <xf numFmtId="0" fontId="0" fillId="0" borderId="0" xfId="0" applyAlignment="1">
      <alignment horizontal="center" vertical="center"/>
    </xf>
    <xf numFmtId="0" fontId="17"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0" fillId="0" borderId="0" xfId="0" applyFill="1" applyBorder="1" applyAlignment="1">
      <alignment horizontal="left" vertical="center" shrinkToFit="1"/>
    </xf>
    <xf numFmtId="178" fontId="0" fillId="0" borderId="0" xfId="0" applyNumberFormat="1" applyFill="1" applyBorder="1" applyProtection="1">
      <alignment vertical="center"/>
      <protection locked="0"/>
    </xf>
    <xf numFmtId="0" fontId="10" fillId="0" borderId="0" xfId="0" applyFont="1">
      <alignment vertical="center"/>
    </xf>
    <xf numFmtId="0" fontId="30" fillId="0" borderId="11" xfId="2" applyFont="1" applyBorder="1" applyAlignment="1"/>
    <xf numFmtId="0" fontId="30" fillId="0" borderId="0" xfId="2" applyFont="1" applyAlignment="1"/>
    <xf numFmtId="0" fontId="27" fillId="0" borderId="0" xfId="2" applyFill="1" applyBorder="1" applyAlignment="1">
      <alignment horizontal="center"/>
    </xf>
    <xf numFmtId="0" fontId="27" fillId="0" borderId="0" xfId="2" applyFill="1" applyBorder="1" applyAlignment="1">
      <alignment horizontal="center" vertical="center"/>
    </xf>
    <xf numFmtId="0" fontId="0" fillId="0" borderId="0" xfId="0" applyAlignment="1">
      <alignment horizontal="center" vertical="center"/>
    </xf>
    <xf numFmtId="0" fontId="30" fillId="0" borderId="76" xfId="2" applyFont="1" applyBorder="1"/>
    <xf numFmtId="0" fontId="9" fillId="4" borderId="50" xfId="0" applyFont="1" applyFill="1" applyBorder="1" applyAlignment="1" applyProtection="1">
      <alignment horizontal="center" vertical="center" textRotation="255"/>
    </xf>
    <xf numFmtId="0" fontId="9" fillId="4" borderId="8" xfId="0" applyFont="1" applyFill="1" applyBorder="1" applyAlignment="1" applyProtection="1">
      <alignment horizontal="center" vertical="center" textRotation="255"/>
    </xf>
    <xf numFmtId="0" fontId="9" fillId="4" borderId="10" xfId="0" applyFont="1" applyFill="1" applyBorder="1" applyAlignment="1" applyProtection="1">
      <alignment horizontal="center" vertical="center" textRotation="255"/>
    </xf>
    <xf numFmtId="0" fontId="0" fillId="0" borderId="1" xfId="0" applyBorder="1" applyAlignment="1">
      <alignment horizontal="left" vertical="center"/>
    </xf>
    <xf numFmtId="14" fontId="0" fillId="0" borderId="3" xfId="0" applyNumberFormat="1" applyBorder="1" applyAlignment="1">
      <alignment horizontal="left" vertical="center"/>
    </xf>
    <xf numFmtId="0" fontId="38" fillId="0" borderId="0" xfId="0" applyFont="1">
      <alignment vertical="center"/>
    </xf>
    <xf numFmtId="0" fontId="0" fillId="0" borderId="1" xfId="0" applyFill="1" applyBorder="1" applyAlignment="1">
      <alignment vertical="top" wrapText="1"/>
    </xf>
    <xf numFmtId="0" fontId="2" fillId="0" borderId="0" xfId="0" applyFont="1" applyFill="1" applyBorder="1" applyAlignment="1">
      <alignment horizontal="left" vertical="center"/>
    </xf>
    <xf numFmtId="0" fontId="9" fillId="0" borderId="1" xfId="0" applyFont="1" applyBorder="1" applyAlignment="1" applyProtection="1">
      <alignment horizontal="center" vertical="center" shrinkToFit="1"/>
      <protection locked="0"/>
    </xf>
    <xf numFmtId="0" fontId="0" fillId="0" borderId="1" xfId="0" applyBorder="1" applyAlignment="1">
      <alignment horizontal="left" vertical="center"/>
    </xf>
    <xf numFmtId="0" fontId="9" fillId="0" borderId="0" xfId="2" applyFont="1" applyBorder="1" applyAlignment="1" applyProtection="1">
      <alignment vertical="center" shrinkToFit="1"/>
      <protection locked="0"/>
    </xf>
    <xf numFmtId="0" fontId="9" fillId="0" borderId="0" xfId="2" applyFont="1" applyFill="1" applyBorder="1" applyAlignment="1">
      <alignment horizontal="center" vertical="center" shrinkToFit="1"/>
    </xf>
    <xf numFmtId="0" fontId="0" fillId="0" borderId="1" xfId="0" applyBorder="1" applyAlignment="1">
      <alignment horizontal="left" vertical="center"/>
    </xf>
    <xf numFmtId="187" fontId="45" fillId="0" borderId="0" xfId="2" applyNumberFormat="1" applyFont="1"/>
    <xf numFmtId="14" fontId="22" fillId="0" borderId="0" xfId="0" applyNumberFormat="1" applyFont="1" applyFill="1">
      <alignment vertical="center"/>
    </xf>
    <xf numFmtId="14" fontId="0" fillId="0" borderId="3" xfId="0" applyNumberFormat="1" applyFill="1" applyBorder="1" applyAlignment="1">
      <alignment horizontal="left" vertical="center"/>
    </xf>
    <xf numFmtId="0" fontId="9" fillId="4" borderId="26" xfId="2" applyFont="1" applyFill="1" applyBorder="1" applyAlignment="1">
      <alignment horizontal="center" vertical="center" shrinkToFit="1"/>
    </xf>
    <xf numFmtId="0" fontId="0" fillId="0" borderId="1" xfId="0" applyBorder="1" applyAlignment="1">
      <alignment horizontal="left" vertical="center"/>
    </xf>
    <xf numFmtId="178" fontId="9" fillId="3" borderId="1" xfId="0" applyNumberFormat="1" applyFont="1" applyFill="1" applyBorder="1" applyAlignment="1">
      <alignment horizontal="center" vertical="center" shrinkToFit="1"/>
    </xf>
    <xf numFmtId="0" fontId="0" fillId="0" borderId="40" xfId="0" applyBorder="1">
      <alignment vertical="center"/>
    </xf>
    <xf numFmtId="0" fontId="0" fillId="0" borderId="36" xfId="0" applyBorder="1">
      <alignment vertical="center"/>
    </xf>
    <xf numFmtId="184" fontId="8" fillId="0" borderId="19" xfId="0" applyNumberFormat="1" applyFont="1" applyFill="1" applyBorder="1" applyAlignment="1" applyProtection="1">
      <alignment vertical="center" shrinkToFit="1"/>
      <protection locked="0"/>
    </xf>
    <xf numFmtId="184" fontId="8" fillId="3" borderId="51" xfId="0" applyNumberFormat="1" applyFont="1" applyFill="1" applyBorder="1" applyAlignment="1">
      <alignment vertical="center" shrinkToFit="1"/>
    </xf>
    <xf numFmtId="0" fontId="0" fillId="0" borderId="44" xfId="0" applyBorder="1">
      <alignment vertical="center"/>
    </xf>
    <xf numFmtId="0" fontId="0" fillId="0" borderId="29" xfId="0" applyFill="1" applyBorder="1">
      <alignment vertical="center"/>
    </xf>
    <xf numFmtId="0" fontId="0" fillId="12" borderId="1" xfId="0" applyFill="1" applyBorder="1">
      <alignment vertical="center"/>
    </xf>
    <xf numFmtId="0" fontId="0" fillId="12" borderId="2" xfId="0" applyFill="1" applyBorder="1">
      <alignment vertical="center"/>
    </xf>
    <xf numFmtId="184" fontId="8" fillId="12" borderId="1" xfId="0" applyNumberFormat="1" applyFont="1" applyFill="1" applyBorder="1" applyAlignment="1" applyProtection="1">
      <alignment vertical="center" shrinkToFit="1"/>
      <protection locked="0"/>
    </xf>
    <xf numFmtId="184" fontId="8" fillId="12" borderId="40" xfId="0" applyNumberFormat="1" applyFont="1" applyFill="1" applyBorder="1" applyAlignment="1" applyProtection="1">
      <alignment vertical="center" shrinkToFit="1"/>
      <protection locked="0"/>
    </xf>
    <xf numFmtId="0" fontId="0" fillId="12" borderId="26" xfId="0" applyFill="1" applyBorder="1" applyAlignment="1">
      <alignment horizontal="center" vertical="center"/>
    </xf>
    <xf numFmtId="184" fontId="8" fillId="12" borderId="36" xfId="0" applyNumberFormat="1" applyFont="1" applyFill="1" applyBorder="1" applyAlignment="1">
      <alignment vertical="center" shrinkToFit="1"/>
    </xf>
    <xf numFmtId="0" fontId="0" fillId="0" borderId="0" xfId="0" applyAlignment="1">
      <alignment vertical="center" shrinkToFit="1"/>
    </xf>
    <xf numFmtId="188" fontId="9" fillId="3" borderId="27" xfId="2" applyNumberFormat="1" applyFont="1" applyFill="1" applyBorder="1" applyAlignment="1" applyProtection="1">
      <alignment vertical="center" shrinkToFit="1"/>
      <protection locked="0"/>
    </xf>
    <xf numFmtId="188" fontId="9" fillId="3" borderId="29" xfId="2" applyNumberFormat="1" applyFont="1" applyFill="1" applyBorder="1" applyAlignment="1" applyProtection="1">
      <alignment vertical="center" shrinkToFit="1"/>
      <protection locked="0"/>
    </xf>
    <xf numFmtId="188" fontId="9" fillId="3" borderId="36" xfId="2" applyNumberFormat="1" applyFont="1" applyFill="1" applyBorder="1" applyAlignment="1" applyProtection="1">
      <alignment vertical="center" shrinkToFit="1"/>
      <protection locked="0"/>
    </xf>
    <xf numFmtId="0" fontId="8" fillId="0" borderId="0" xfId="0" applyFont="1" applyFill="1" applyBorder="1" applyAlignment="1">
      <alignment horizontal="center" vertical="center"/>
    </xf>
    <xf numFmtId="188" fontId="9" fillId="0" borderId="0" xfId="2" applyNumberFormat="1" applyFont="1" applyFill="1" applyBorder="1" applyAlignment="1" applyProtection="1">
      <alignment vertical="center" shrinkToFit="1"/>
      <protection locked="0"/>
    </xf>
    <xf numFmtId="0" fontId="0" fillId="0" borderId="82" xfId="0" applyFill="1" applyBorder="1">
      <alignment vertical="center"/>
    </xf>
    <xf numFmtId="0" fontId="26" fillId="0" borderId="6" xfId="0" applyFont="1" applyFill="1" applyBorder="1" applyAlignment="1">
      <alignment vertical="center"/>
    </xf>
    <xf numFmtId="0" fontId="8" fillId="0" borderId="6" xfId="0" applyFont="1" applyFill="1" applyBorder="1" applyAlignment="1">
      <alignment horizontal="center" vertical="center"/>
    </xf>
    <xf numFmtId="0" fontId="0" fillId="0" borderId="6" xfId="0" applyFill="1" applyBorder="1" applyAlignment="1">
      <alignment horizontal="center" vertical="center"/>
    </xf>
    <xf numFmtId="0" fontId="0" fillId="0" borderId="6" xfId="0" applyFill="1" applyBorder="1">
      <alignment vertical="center"/>
    </xf>
    <xf numFmtId="0" fontId="9" fillId="0" borderId="6" xfId="2" applyFont="1" applyFill="1" applyBorder="1" applyAlignment="1">
      <alignment horizontal="center" vertical="center" shrinkToFit="1"/>
    </xf>
    <xf numFmtId="0" fontId="0" fillId="0" borderId="6" xfId="0" applyFill="1" applyBorder="1" applyAlignment="1">
      <alignment horizontal="center" vertical="center" shrinkToFit="1"/>
    </xf>
    <xf numFmtId="188" fontId="9" fillId="0" borderId="6" xfId="2" applyNumberFormat="1" applyFont="1" applyFill="1" applyBorder="1" applyAlignment="1" applyProtection="1">
      <alignment vertical="center" shrinkToFit="1"/>
      <protection locked="0"/>
    </xf>
    <xf numFmtId="0" fontId="26" fillId="0" borderId="11" xfId="0" applyFont="1" applyFill="1" applyBorder="1" applyAlignment="1">
      <alignment vertical="center"/>
    </xf>
    <xf numFmtId="0" fontId="8" fillId="0" borderId="11" xfId="0" applyFont="1" applyFill="1" applyBorder="1" applyAlignment="1">
      <alignment horizontal="center" vertical="center"/>
    </xf>
    <xf numFmtId="0" fontId="0" fillId="0" borderId="11" xfId="0" applyFill="1" applyBorder="1">
      <alignment vertical="center"/>
    </xf>
    <xf numFmtId="0" fontId="0" fillId="0" borderId="24" xfId="0" applyBorder="1">
      <alignment vertical="center"/>
    </xf>
    <xf numFmtId="0" fontId="26" fillId="0" borderId="0" xfId="0" applyFont="1" applyFill="1" applyBorder="1" applyAlignment="1">
      <alignment vertical="center"/>
    </xf>
    <xf numFmtId="188" fontId="9" fillId="3" borderId="55" xfId="2" applyNumberFormat="1" applyFont="1" applyFill="1" applyBorder="1" applyAlignment="1" applyProtection="1">
      <alignment vertical="center" shrinkToFit="1"/>
      <protection locked="0"/>
    </xf>
    <xf numFmtId="0" fontId="0" fillId="0" borderId="0" xfId="0" applyFill="1" applyBorder="1" applyAlignment="1">
      <alignment horizontal="center" vertical="center" shrinkToFit="1"/>
    </xf>
    <xf numFmtId="0" fontId="0" fillId="0" borderId="0" xfId="0" applyFill="1" applyBorder="1" applyAlignment="1">
      <alignment vertical="center" shrinkToFit="1"/>
    </xf>
    <xf numFmtId="178" fontId="9" fillId="3" borderId="27" xfId="2" applyNumberFormat="1" applyFont="1" applyFill="1" applyBorder="1" applyAlignment="1" applyProtection="1">
      <alignment vertical="center" shrinkToFit="1"/>
      <protection locked="0"/>
    </xf>
    <xf numFmtId="178" fontId="9" fillId="3" borderId="29" xfId="2" applyNumberFormat="1" applyFont="1" applyFill="1" applyBorder="1" applyAlignment="1" applyProtection="1">
      <alignment vertical="center" shrinkToFit="1"/>
      <protection locked="0"/>
    </xf>
    <xf numFmtId="178" fontId="9" fillId="3" borderId="36" xfId="2" applyNumberFormat="1" applyFont="1" applyFill="1" applyBorder="1" applyAlignment="1" applyProtection="1">
      <alignment vertical="center" shrinkToFit="1"/>
      <protection locked="0"/>
    </xf>
    <xf numFmtId="0" fontId="0" fillId="0" borderId="1" xfId="0" applyBorder="1" applyAlignment="1">
      <alignment vertical="center" wrapText="1"/>
    </xf>
    <xf numFmtId="0" fontId="0" fillId="0" borderId="1" xfId="0" applyBorder="1" applyAlignment="1">
      <alignment vertical="center"/>
    </xf>
    <xf numFmtId="0" fontId="0" fillId="0" borderId="1" xfId="0" applyBorder="1" applyAlignment="1">
      <alignment horizontal="center" vertical="center"/>
    </xf>
    <xf numFmtId="0" fontId="0" fillId="0" borderId="3" xfId="0" applyNumberFormat="1" applyBorder="1" applyAlignment="1">
      <alignment vertical="center" wrapText="1"/>
    </xf>
    <xf numFmtId="0" fontId="0" fillId="0" borderId="18" xfId="0" applyNumberFormat="1" applyBorder="1" applyAlignment="1">
      <alignment vertical="center" wrapText="1"/>
    </xf>
    <xf numFmtId="0" fontId="0" fillId="0" borderId="4" xfId="0" applyNumberFormat="1" applyBorder="1" applyAlignment="1">
      <alignment vertical="center" wrapText="1"/>
    </xf>
    <xf numFmtId="0" fontId="0" fillId="0" borderId="1" xfId="0" applyBorder="1" applyAlignment="1">
      <alignment horizontal="left" vertical="center" wrapText="1"/>
    </xf>
    <xf numFmtId="0" fontId="12" fillId="0" borderId="0" xfId="0" applyFont="1" applyFill="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0" fillId="0" borderId="0" xfId="0" applyAlignment="1">
      <alignment horizontal="left" vertical="top" wrapText="1"/>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1" xfId="0" applyBorder="1" applyAlignment="1">
      <alignment horizontal="left" vertical="center"/>
    </xf>
    <xf numFmtId="0" fontId="30" fillId="4" borderId="71" xfId="2" applyFont="1" applyFill="1" applyBorder="1" applyAlignment="1">
      <alignment horizontal="center" vertical="center" shrinkToFit="1"/>
    </xf>
    <xf numFmtId="0" fontId="30" fillId="4" borderId="49" xfId="2" applyFont="1" applyFill="1" applyBorder="1" applyAlignment="1">
      <alignment horizontal="center" vertical="center" shrinkToFit="1"/>
    </xf>
    <xf numFmtId="0" fontId="30" fillId="4" borderId="45" xfId="2" applyFont="1" applyFill="1" applyBorder="1" applyAlignment="1">
      <alignment horizontal="center" vertical="center" shrinkToFit="1"/>
    </xf>
    <xf numFmtId="0" fontId="9" fillId="4" borderId="61" xfId="2" applyFont="1" applyFill="1" applyBorder="1" applyAlignment="1">
      <alignment horizontal="center" vertical="center" shrinkToFit="1"/>
    </xf>
    <xf numFmtId="0" fontId="9" fillId="4" borderId="18" xfId="2" applyFont="1" applyFill="1" applyBorder="1" applyAlignment="1">
      <alignment horizontal="center" vertical="center" shrinkToFit="1"/>
    </xf>
    <xf numFmtId="0" fontId="9" fillId="4" borderId="4" xfId="2" applyFont="1" applyFill="1" applyBorder="1" applyAlignment="1">
      <alignment horizontal="center" vertical="center" shrinkToFit="1"/>
    </xf>
    <xf numFmtId="0" fontId="9" fillId="4" borderId="50" xfId="2" applyFont="1" applyFill="1" applyBorder="1" applyAlignment="1">
      <alignment horizontal="center" vertical="center" shrinkToFit="1"/>
    </xf>
    <xf numFmtId="0" fontId="9" fillId="4" borderId="23" xfId="2" applyFont="1" applyFill="1" applyBorder="1" applyAlignment="1">
      <alignment horizontal="center" vertical="center" shrinkToFit="1"/>
    </xf>
    <xf numFmtId="0" fontId="9" fillId="4" borderId="19" xfId="2" applyFont="1" applyFill="1" applyBorder="1" applyAlignment="1">
      <alignment horizontal="center" vertical="center" shrinkToFit="1"/>
    </xf>
    <xf numFmtId="0" fontId="9" fillId="4" borderId="33" xfId="2" applyFont="1" applyFill="1" applyBorder="1" applyAlignment="1">
      <alignment horizontal="center" vertical="center" shrinkToFit="1"/>
    </xf>
    <xf numFmtId="0" fontId="9" fillId="4" borderId="34" xfId="2" applyFont="1" applyFill="1" applyBorder="1" applyAlignment="1">
      <alignment horizontal="center" vertical="center" shrinkToFit="1"/>
    </xf>
    <xf numFmtId="0" fontId="9" fillId="4" borderId="35" xfId="2" applyFont="1" applyFill="1" applyBorder="1" applyAlignment="1">
      <alignment horizontal="center" vertical="center" shrinkToFit="1"/>
    </xf>
    <xf numFmtId="0" fontId="30" fillId="4" borderId="25" xfId="2" applyFont="1" applyFill="1" applyBorder="1" applyAlignment="1">
      <alignment horizontal="center" vertical="center" shrinkToFit="1"/>
    </xf>
    <xf numFmtId="0" fontId="0" fillId="0" borderId="26" xfId="0" applyBorder="1" applyAlignment="1">
      <alignment horizontal="center" vertical="center" shrinkToFit="1"/>
    </xf>
    <xf numFmtId="0" fontId="9" fillId="4" borderId="28" xfId="2" applyFont="1" applyFill="1" applyBorder="1" applyAlignment="1">
      <alignment horizontal="center" vertical="center" shrinkToFit="1"/>
    </xf>
    <xf numFmtId="0" fontId="0" fillId="0" borderId="1" xfId="0" applyBorder="1" applyAlignment="1">
      <alignment horizontal="center" vertical="center" shrinkToFit="1"/>
    </xf>
    <xf numFmtId="0" fontId="26" fillId="4" borderId="57" xfId="0" applyFont="1" applyFill="1" applyBorder="1" applyAlignment="1">
      <alignment vertical="center"/>
    </xf>
    <xf numFmtId="0" fontId="26" fillId="4" borderId="58" xfId="0" applyFont="1" applyFill="1" applyBorder="1" applyAlignment="1">
      <alignment vertical="center"/>
    </xf>
    <xf numFmtId="0" fontId="8" fillId="12" borderId="44" xfId="0" applyFont="1" applyFill="1" applyBorder="1" applyAlignment="1">
      <alignment horizontal="center" vertical="center"/>
    </xf>
    <xf numFmtId="0" fontId="0" fillId="0" borderId="49" xfId="0" applyBorder="1" applyAlignment="1">
      <alignment horizontal="center" vertical="center"/>
    </xf>
    <xf numFmtId="0" fontId="0" fillId="0" borderId="45" xfId="0" applyBorder="1" applyAlignment="1">
      <alignment horizontal="center" vertical="center"/>
    </xf>
    <xf numFmtId="0" fontId="8" fillId="12" borderId="24" xfId="0" applyFont="1" applyFill="1" applyBorder="1" applyAlignment="1">
      <alignment horizontal="center" vertical="center"/>
    </xf>
    <xf numFmtId="0" fontId="0" fillId="0" borderId="23" xfId="0" applyBorder="1" applyAlignment="1">
      <alignment horizontal="center" vertical="center"/>
    </xf>
    <xf numFmtId="0" fontId="0" fillId="0" borderId="19" xfId="0" applyBorder="1" applyAlignment="1">
      <alignment horizontal="center" vertical="center"/>
    </xf>
    <xf numFmtId="0" fontId="9" fillId="4" borderId="39" xfId="2" applyFont="1" applyFill="1" applyBorder="1" applyAlignment="1">
      <alignment horizontal="center" vertical="center" shrinkToFit="1"/>
    </xf>
    <xf numFmtId="0" fontId="0" fillId="0" borderId="40" xfId="0" applyBorder="1" applyAlignment="1">
      <alignment horizontal="center" vertical="center" shrinkToFit="1"/>
    </xf>
    <xf numFmtId="0" fontId="8" fillId="12" borderId="52" xfId="0" applyFont="1" applyFill="1" applyBorder="1" applyAlignment="1">
      <alignment horizontal="center" vertical="center"/>
    </xf>
    <xf numFmtId="0" fontId="0" fillId="0" borderId="15" xfId="0" applyBorder="1" applyAlignment="1">
      <alignment horizontal="center" vertical="center"/>
    </xf>
    <xf numFmtId="0" fontId="0" fillId="0" borderId="53" xfId="0" applyBorder="1" applyAlignment="1">
      <alignment horizontal="center" vertical="center"/>
    </xf>
    <xf numFmtId="0" fontId="9" fillId="4" borderId="33" xfId="0" applyFont="1" applyFill="1" applyBorder="1" applyAlignment="1">
      <alignment horizontal="center" vertical="center" shrinkToFit="1"/>
    </xf>
    <xf numFmtId="0" fontId="9" fillId="4" borderId="34" xfId="0" applyFont="1" applyFill="1" applyBorder="1" applyAlignment="1">
      <alignment horizontal="center" vertical="center" shrinkToFit="1"/>
    </xf>
    <xf numFmtId="0" fontId="9" fillId="4" borderId="35" xfId="0" applyFont="1" applyFill="1" applyBorder="1" applyAlignment="1">
      <alignment horizontal="center" vertical="center" shrinkToFit="1"/>
    </xf>
    <xf numFmtId="0" fontId="9" fillId="4" borderId="61" xfId="0" applyFont="1" applyFill="1" applyBorder="1" applyAlignment="1">
      <alignment horizontal="center" vertical="center" shrinkToFit="1"/>
    </xf>
    <xf numFmtId="0" fontId="9" fillId="4" borderId="18" xfId="0" applyFont="1" applyFill="1" applyBorder="1" applyAlignment="1">
      <alignment horizontal="center" vertical="center" shrinkToFit="1"/>
    </xf>
    <xf numFmtId="0" fontId="9" fillId="4" borderId="4" xfId="0" applyFont="1" applyFill="1" applyBorder="1" applyAlignment="1">
      <alignment horizontal="center" vertical="center" shrinkToFit="1"/>
    </xf>
    <xf numFmtId="0" fontId="9" fillId="4" borderId="71" xfId="2" applyFont="1" applyFill="1" applyBorder="1" applyAlignment="1">
      <alignment horizontal="center" vertical="center" shrinkToFit="1"/>
    </xf>
    <xf numFmtId="0" fontId="9" fillId="4" borderId="49" xfId="2" applyFont="1" applyFill="1" applyBorder="1" applyAlignment="1">
      <alignment horizontal="center" vertical="center" shrinkToFit="1"/>
    </xf>
    <xf numFmtId="0" fontId="9" fillId="4" borderId="45" xfId="2" applyFont="1" applyFill="1" applyBorder="1" applyAlignment="1">
      <alignment horizontal="center" vertical="center" shrinkToFit="1"/>
    </xf>
    <xf numFmtId="0" fontId="8" fillId="12" borderId="20"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8" fillId="12" borderId="3" xfId="0" applyFont="1" applyFill="1" applyBorder="1" applyAlignment="1">
      <alignment horizontal="center" vertical="center"/>
    </xf>
    <xf numFmtId="0" fontId="0" fillId="0" borderId="18" xfId="0" applyBorder="1" applyAlignment="1">
      <alignment horizontal="center" vertical="center"/>
    </xf>
    <xf numFmtId="0" fontId="0" fillId="0" borderId="4" xfId="0" applyBorder="1" applyAlignment="1">
      <alignment horizontal="center" vertical="center"/>
    </xf>
    <xf numFmtId="0" fontId="8" fillId="12" borderId="48" xfId="0" applyFont="1" applyFill="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26" fillId="4" borderId="58" xfId="0" applyFont="1" applyFill="1" applyBorder="1" applyAlignment="1">
      <alignment horizontal="center" vertical="center"/>
    </xf>
    <xf numFmtId="0" fontId="26" fillId="4" borderId="59" xfId="0" applyFont="1" applyFill="1" applyBorder="1" applyAlignment="1">
      <alignment horizontal="center" vertical="center"/>
    </xf>
    <xf numFmtId="0" fontId="30" fillId="0" borderId="13" xfId="2" applyFont="1" applyBorder="1" applyAlignment="1" applyProtection="1">
      <alignment horizontal="center"/>
      <protection locked="0"/>
    </xf>
    <xf numFmtId="0" fontId="30" fillId="0" borderId="56" xfId="2" applyFont="1" applyBorder="1" applyAlignment="1" applyProtection="1">
      <alignment horizontal="center"/>
      <protection locked="0"/>
    </xf>
    <xf numFmtId="0" fontId="30" fillId="4" borderId="52" xfId="2" applyFont="1" applyFill="1" applyBorder="1" applyAlignment="1">
      <alignment horizontal="center" vertical="center" shrinkToFit="1"/>
    </xf>
    <xf numFmtId="0" fontId="30" fillId="4" borderId="15" xfId="2" applyFont="1" applyFill="1" applyBorder="1" applyAlignment="1">
      <alignment horizontal="center" vertical="center" shrinkToFit="1"/>
    </xf>
    <xf numFmtId="0" fontId="30" fillId="4" borderId="53" xfId="2" applyFont="1" applyFill="1" applyBorder="1" applyAlignment="1">
      <alignment horizontal="center" vertical="center" shrinkToFit="1"/>
    </xf>
    <xf numFmtId="0" fontId="30" fillId="0" borderId="15" xfId="2" applyFont="1" applyBorder="1" applyAlignment="1" applyProtection="1">
      <alignment horizontal="center"/>
      <protection locked="0"/>
    </xf>
    <xf numFmtId="0" fontId="9" fillId="0" borderId="0" xfId="2" applyFont="1" applyBorder="1" applyAlignment="1">
      <alignment horizontal="center" vertical="center" shrinkToFit="1"/>
    </xf>
    <xf numFmtId="0" fontId="9" fillId="0" borderId="0" xfId="2" applyFont="1" applyAlignment="1">
      <alignment horizontal="center" vertical="center" shrinkToFit="1"/>
    </xf>
    <xf numFmtId="0" fontId="9" fillId="4" borderId="61" xfId="2" applyFont="1" applyFill="1" applyBorder="1" applyAlignment="1">
      <alignment horizontal="center" vertical="center"/>
    </xf>
    <xf numFmtId="0" fontId="9" fillId="4" borderId="4" xfId="2" applyFont="1" applyFill="1" applyBorder="1" applyAlignment="1">
      <alignment horizontal="center" vertical="center"/>
    </xf>
    <xf numFmtId="0" fontId="9" fillId="4" borderId="2" xfId="2" applyFont="1" applyFill="1" applyBorder="1" applyAlignment="1">
      <alignment horizontal="center" vertical="center" wrapText="1"/>
    </xf>
    <xf numFmtId="0" fontId="9" fillId="4" borderId="65" xfId="2" applyFont="1" applyFill="1" applyBorder="1" applyAlignment="1">
      <alignment horizontal="center" vertical="center" wrapText="1"/>
    </xf>
    <xf numFmtId="0" fontId="30" fillId="0" borderId="5" xfId="2" applyFont="1" applyBorder="1" applyAlignment="1" applyProtection="1">
      <alignment horizontal="left" vertical="top"/>
      <protection locked="0"/>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0" xfId="0"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9" fillId="4" borderId="3" xfId="2" applyFont="1" applyFill="1" applyBorder="1" applyAlignment="1">
      <alignment horizontal="center" vertical="center" shrinkToFit="1"/>
    </xf>
    <xf numFmtId="0" fontId="9" fillId="0" borderId="24" xfId="2" applyFont="1" applyBorder="1" applyAlignment="1">
      <alignment horizontal="center" vertical="center" wrapText="1"/>
    </xf>
    <xf numFmtId="0" fontId="9" fillId="0" borderId="23" xfId="2" applyFont="1" applyBorder="1" applyAlignment="1">
      <alignment horizontal="center" vertical="center" wrapText="1"/>
    </xf>
    <xf numFmtId="0" fontId="9" fillId="0" borderId="19" xfId="2" applyFont="1" applyBorder="1" applyAlignment="1">
      <alignment horizontal="center" vertical="center" wrapText="1"/>
    </xf>
    <xf numFmtId="0" fontId="9" fillId="0" borderId="20"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22" xfId="2" applyFont="1" applyBorder="1" applyAlignment="1">
      <alignment horizontal="center" vertical="center" wrapText="1"/>
    </xf>
    <xf numFmtId="0" fontId="9" fillId="9" borderId="3" xfId="2" applyFont="1" applyFill="1" applyBorder="1" applyAlignment="1">
      <alignment horizontal="center" vertical="center" shrinkToFit="1"/>
    </xf>
    <xf numFmtId="0" fontId="9" fillId="9" borderId="18" xfId="2" applyFont="1" applyFill="1" applyBorder="1" applyAlignment="1">
      <alignment horizontal="center" vertical="center" shrinkToFit="1"/>
    </xf>
    <xf numFmtId="0" fontId="9" fillId="7" borderId="3" xfId="2" applyFont="1" applyFill="1" applyBorder="1" applyAlignment="1">
      <alignment horizontal="center" vertical="center" shrinkToFit="1"/>
    </xf>
    <xf numFmtId="0" fontId="9" fillId="7" borderId="18" xfId="2" applyFont="1" applyFill="1" applyBorder="1" applyAlignment="1">
      <alignment horizontal="center" vertical="center" shrinkToFit="1"/>
    </xf>
    <xf numFmtId="0" fontId="30" fillId="4" borderId="14" xfId="2" applyFont="1" applyFill="1" applyBorder="1" applyAlignment="1">
      <alignment horizontal="center" vertical="center" shrinkToFit="1"/>
    </xf>
    <xf numFmtId="0" fontId="9" fillId="4" borderId="54" xfId="2" applyFont="1" applyFill="1" applyBorder="1" applyAlignment="1">
      <alignment horizontal="center" vertical="center" shrinkToFit="1"/>
    </xf>
    <xf numFmtId="0" fontId="9" fillId="4" borderId="25"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0" borderId="54" xfId="2" applyFont="1" applyBorder="1" applyAlignment="1" applyProtection="1">
      <alignment horizontal="center"/>
      <protection locked="0"/>
    </xf>
    <xf numFmtId="0" fontId="30" fillId="0" borderId="55" xfId="2" applyFont="1" applyBorder="1" applyAlignment="1" applyProtection="1">
      <alignment horizontal="center"/>
      <protection locked="0"/>
    </xf>
    <xf numFmtId="0" fontId="9" fillId="4" borderId="1" xfId="2" applyFont="1" applyFill="1" applyBorder="1" applyAlignment="1">
      <alignment horizontal="center" vertical="center" shrinkToFit="1"/>
    </xf>
    <xf numFmtId="0" fontId="9" fillId="4" borderId="40" xfId="2" applyFont="1" applyFill="1" applyBorder="1" applyAlignment="1">
      <alignment horizontal="center" vertical="center" shrinkToFit="1"/>
    </xf>
    <xf numFmtId="0" fontId="9" fillId="4" borderId="28" xfId="2" applyFont="1" applyFill="1" applyBorder="1" applyAlignment="1">
      <alignment horizontal="center" vertical="center"/>
    </xf>
    <xf numFmtId="0" fontId="9" fillId="4" borderId="1" xfId="2" applyFont="1" applyFill="1" applyBorder="1" applyAlignment="1">
      <alignment horizontal="center" vertical="center"/>
    </xf>
    <xf numFmtId="0" fontId="9" fillId="4" borderId="1" xfId="2" applyFont="1" applyFill="1" applyBorder="1" applyAlignment="1">
      <alignment horizontal="center" vertical="center" wrapText="1"/>
    </xf>
    <xf numFmtId="0" fontId="9" fillId="4" borderId="58" xfId="2" applyFont="1" applyFill="1" applyBorder="1" applyAlignment="1">
      <alignment horizontal="center" vertical="center" shrinkToFit="1"/>
    </xf>
    <xf numFmtId="0" fontId="9" fillId="4" borderId="74" xfId="2" applyFont="1" applyFill="1" applyBorder="1" applyAlignment="1">
      <alignment horizontal="center" vertical="center" shrinkToFit="1"/>
    </xf>
    <xf numFmtId="0" fontId="9" fillId="0" borderId="65" xfId="2" applyFont="1" applyBorder="1" applyAlignment="1">
      <alignment horizontal="center" vertical="center" wrapText="1"/>
    </xf>
    <xf numFmtId="0" fontId="9" fillId="0" borderId="1" xfId="2" applyFont="1" applyBorder="1" applyAlignment="1">
      <alignment horizontal="center" vertical="center" wrapText="1"/>
    </xf>
    <xf numFmtId="0" fontId="9" fillId="7" borderId="1" xfId="2" applyFont="1" applyFill="1" applyBorder="1" applyAlignment="1">
      <alignment horizontal="center" vertical="center" shrinkToFit="1"/>
    </xf>
    <xf numFmtId="0" fontId="17" fillId="4" borderId="25"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14" fillId="4" borderId="28" xfId="0" applyFont="1" applyFill="1" applyBorder="1" applyAlignment="1">
      <alignment horizontal="center" vertical="center"/>
    </xf>
    <xf numFmtId="0" fontId="14" fillId="4" borderId="39" xfId="0" applyFont="1" applyFill="1" applyBorder="1" applyAlignment="1">
      <alignment horizontal="center" vertical="center"/>
    </xf>
    <xf numFmtId="0" fontId="17" fillId="4" borderId="71" xfId="0" applyFont="1" applyFill="1" applyBorder="1" applyAlignment="1">
      <alignment horizontal="center" vertical="center" wrapText="1"/>
    </xf>
    <xf numFmtId="0" fontId="17" fillId="4" borderId="61"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0" fillId="4" borderId="30" xfId="0" applyFill="1" applyBorder="1" applyAlignment="1">
      <alignment horizontal="center" vertical="center"/>
    </xf>
    <xf numFmtId="0" fontId="0" fillId="4" borderId="2" xfId="0" applyFill="1" applyBorder="1" applyAlignment="1">
      <alignment horizontal="center" vertical="center"/>
    </xf>
    <xf numFmtId="0" fontId="0" fillId="4" borderId="24" xfId="0" applyFill="1" applyBorder="1" applyAlignment="1">
      <alignment horizontal="center" vertical="center"/>
    </xf>
    <xf numFmtId="0" fontId="0" fillId="4" borderId="31" xfId="0" applyFill="1" applyBorder="1" applyAlignment="1">
      <alignment horizontal="center" vertical="center"/>
    </xf>
    <xf numFmtId="0" fontId="0" fillId="4" borderId="25" xfId="0" applyFill="1" applyBorder="1" applyAlignment="1">
      <alignment horizontal="center" vertical="center"/>
    </xf>
    <xf numFmtId="0" fontId="0" fillId="4" borderId="26" xfId="0" applyFill="1" applyBorder="1" applyAlignment="1">
      <alignment horizontal="center" vertical="center"/>
    </xf>
    <xf numFmtId="0" fontId="0" fillId="4" borderId="44" xfId="0" applyFill="1" applyBorder="1" applyAlignment="1">
      <alignment horizontal="center" vertical="center"/>
    </xf>
    <xf numFmtId="0" fontId="0" fillId="4" borderId="27" xfId="0" applyFill="1" applyBorder="1" applyAlignment="1">
      <alignment horizontal="center" vertical="center"/>
    </xf>
    <xf numFmtId="0" fontId="14" fillId="4" borderId="26" xfId="0" applyFont="1" applyFill="1" applyBorder="1" applyAlignment="1">
      <alignment horizontal="center" vertical="center"/>
    </xf>
    <xf numFmtId="0" fontId="14" fillId="4" borderId="1" xfId="0" applyFont="1" applyFill="1" applyBorder="1" applyAlignment="1">
      <alignment horizontal="center" vertical="center"/>
    </xf>
    <xf numFmtId="0" fontId="14" fillId="4" borderId="40" xfId="0" applyFont="1" applyFill="1" applyBorder="1" applyAlignment="1">
      <alignment horizontal="center" vertical="center"/>
    </xf>
    <xf numFmtId="0" fontId="17" fillId="4" borderId="33" xfId="0" applyFont="1" applyFill="1" applyBorder="1" applyAlignment="1">
      <alignment horizontal="center" vertical="center" wrapText="1"/>
    </xf>
    <xf numFmtId="0" fontId="0" fillId="4" borderId="44" xfId="0" applyFill="1" applyBorder="1" applyAlignment="1">
      <alignment horizontal="center" vertical="center" shrinkToFit="1"/>
    </xf>
    <xf numFmtId="0" fontId="0" fillId="4" borderId="46" xfId="0" applyFill="1" applyBorder="1" applyAlignment="1">
      <alignment horizontal="center" vertical="center" shrinkToFit="1"/>
    </xf>
    <xf numFmtId="0" fontId="0" fillId="4" borderId="3" xfId="0" applyFill="1" applyBorder="1" applyAlignment="1">
      <alignment horizontal="center" vertical="center" shrinkToFit="1"/>
    </xf>
    <xf numFmtId="0" fontId="0" fillId="4" borderId="47" xfId="0" applyFill="1" applyBorder="1" applyAlignment="1">
      <alignment horizontal="center" vertical="center" shrinkToFit="1"/>
    </xf>
    <xf numFmtId="0" fontId="0" fillId="4" borderId="48" xfId="0" applyFill="1" applyBorder="1" applyAlignment="1">
      <alignment horizontal="center" vertical="center" shrinkToFit="1"/>
    </xf>
    <xf numFmtId="0" fontId="0" fillId="4" borderId="38" xfId="0" applyFill="1" applyBorder="1" applyAlignment="1">
      <alignment horizontal="center" vertical="center" shrinkToFit="1"/>
    </xf>
    <xf numFmtId="0" fontId="0" fillId="4" borderId="24" xfId="0" applyFill="1" applyBorder="1" applyAlignment="1">
      <alignment horizontal="center" vertical="center" shrinkToFit="1"/>
    </xf>
    <xf numFmtId="0" fontId="0" fillId="4" borderId="51" xfId="0" applyFill="1" applyBorder="1" applyAlignment="1">
      <alignment horizontal="center" vertical="center" shrinkToFit="1"/>
    </xf>
    <xf numFmtId="0" fontId="0" fillId="4" borderId="20" xfId="0" applyFill="1" applyBorder="1" applyAlignment="1">
      <alignment horizontal="center" vertical="center" shrinkToFit="1"/>
    </xf>
    <xf numFmtId="0" fontId="0" fillId="4" borderId="37" xfId="0" applyFill="1" applyBorder="1" applyAlignment="1">
      <alignment horizontal="center" vertical="center" shrinkToFit="1"/>
    </xf>
    <xf numFmtId="0" fontId="0" fillId="4" borderId="17" xfId="0" applyFill="1" applyBorder="1" applyAlignment="1">
      <alignment horizontal="center" vertical="center" shrinkToFit="1"/>
    </xf>
    <xf numFmtId="0" fontId="0" fillId="4" borderId="12" xfId="0" applyFill="1" applyBorder="1" applyAlignment="1">
      <alignment horizontal="center" vertical="center" shrinkToFit="1"/>
    </xf>
    <xf numFmtId="0" fontId="27" fillId="4" borderId="1" xfId="2" applyFill="1" applyBorder="1" applyAlignment="1">
      <alignment horizontal="center"/>
    </xf>
    <xf numFmtId="0" fontId="2" fillId="4" borderId="1" xfId="2" applyFont="1" applyFill="1" applyBorder="1" applyAlignment="1">
      <alignment horizontal="center" vertical="center"/>
    </xf>
    <xf numFmtId="0" fontId="2" fillId="3" borderId="1" xfId="2" applyFont="1" applyFill="1" applyBorder="1" applyAlignment="1">
      <alignment horizontal="center" vertical="center"/>
    </xf>
    <xf numFmtId="0" fontId="9" fillId="4" borderId="44" xfId="0" applyFont="1" applyFill="1" applyBorder="1" applyAlignment="1">
      <alignment horizontal="center" vertical="center"/>
    </xf>
    <xf numFmtId="0" fontId="0" fillId="0" borderId="46" xfId="0" applyBorder="1" applyAlignment="1">
      <alignment horizontal="center" vertical="center"/>
    </xf>
    <xf numFmtId="0" fontId="9" fillId="4" borderId="28"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9" fillId="0" borderId="77" xfId="0" applyFont="1" applyBorder="1" applyAlignment="1" applyProtection="1">
      <alignment horizontal="center" vertical="center"/>
      <protection locked="0"/>
    </xf>
    <xf numFmtId="0" fontId="9" fillId="4" borderId="24" xfId="0" applyFont="1" applyFill="1" applyBorder="1" applyAlignment="1">
      <alignment horizontal="center" vertical="center" wrapText="1" shrinkToFit="1"/>
    </xf>
    <xf numFmtId="0" fontId="0" fillId="0" borderId="23" xfId="0" applyBorder="1" applyAlignment="1">
      <alignment horizontal="center" vertical="center" wrapText="1" shrinkToFit="1"/>
    </xf>
    <xf numFmtId="0" fontId="0" fillId="0" borderId="19" xfId="0" applyBorder="1" applyAlignment="1">
      <alignment horizontal="center" vertical="center" wrapText="1" shrinkToFit="1"/>
    </xf>
    <xf numFmtId="0" fontId="0" fillId="0" borderId="17"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72" xfId="0" applyBorder="1" applyAlignment="1">
      <alignment horizontal="center" vertical="center" wrapText="1" shrinkToFit="1"/>
    </xf>
    <xf numFmtId="0" fontId="9" fillId="4" borderId="3" xfId="0" applyFont="1" applyFill="1" applyBorder="1" applyAlignment="1">
      <alignment horizontal="center" vertical="center"/>
    </xf>
    <xf numFmtId="0" fontId="9" fillId="4" borderId="18" xfId="0" applyFont="1" applyFill="1" applyBorder="1" applyAlignment="1">
      <alignment horizontal="center" vertical="center"/>
    </xf>
    <xf numFmtId="0" fontId="0" fillId="0" borderId="47" xfId="0" applyBorder="1" applyAlignment="1">
      <alignment horizontal="center" vertical="center"/>
    </xf>
    <xf numFmtId="0" fontId="0" fillId="12" borderId="3" xfId="0" applyFill="1" applyBorder="1" applyAlignment="1">
      <alignment horizontal="center" vertical="center"/>
    </xf>
    <xf numFmtId="0" fontId="0" fillId="12" borderId="18" xfId="0" applyFill="1" applyBorder="1" applyAlignment="1">
      <alignment horizontal="center" vertical="center"/>
    </xf>
    <xf numFmtId="0" fontId="0" fillId="12" borderId="4" xfId="0" applyFill="1" applyBorder="1" applyAlignment="1">
      <alignment horizontal="center" vertical="center"/>
    </xf>
    <xf numFmtId="0" fontId="0" fillId="4" borderId="26" xfId="0" applyFill="1" applyBorder="1" applyAlignment="1">
      <alignment horizontal="center" vertical="center" wrapText="1"/>
    </xf>
    <xf numFmtId="0" fontId="0" fillId="3" borderId="2" xfId="0" applyFill="1" applyBorder="1" applyAlignment="1">
      <alignment horizontal="center" vertical="center"/>
    </xf>
    <xf numFmtId="0" fontId="0" fillId="4" borderId="71" xfId="0" applyFill="1" applyBorder="1" applyAlignment="1">
      <alignment horizontal="center" vertical="center"/>
    </xf>
    <xf numFmtId="0" fontId="0" fillId="4" borderId="49" xfId="0" applyFill="1" applyBorder="1" applyAlignment="1">
      <alignment horizontal="center" vertical="center"/>
    </xf>
    <xf numFmtId="0" fontId="0" fillId="4" borderId="45" xfId="0" applyFill="1" applyBorder="1" applyAlignment="1">
      <alignment horizontal="center" vertical="center"/>
    </xf>
    <xf numFmtId="0" fontId="0" fillId="4" borderId="50" xfId="0" applyFill="1" applyBorder="1" applyAlignment="1">
      <alignment horizontal="center" vertical="center"/>
    </xf>
    <xf numFmtId="0" fontId="0" fillId="4" borderId="23" xfId="0" applyFill="1" applyBorder="1" applyAlignment="1">
      <alignment horizontal="center" vertical="center"/>
    </xf>
    <xf numFmtId="0" fontId="0" fillId="4" borderId="19" xfId="0" applyFill="1" applyBorder="1" applyAlignment="1">
      <alignment horizontal="center" vertical="center"/>
    </xf>
    <xf numFmtId="0" fontId="0" fillId="4" borderId="39" xfId="0" applyFill="1" applyBorder="1" applyAlignment="1">
      <alignment horizontal="center" vertical="center"/>
    </xf>
    <xf numFmtId="0" fontId="0" fillId="4" borderId="40" xfId="0" applyFill="1" applyBorder="1" applyAlignment="1">
      <alignment horizontal="center" vertical="center"/>
    </xf>
    <xf numFmtId="0" fontId="0" fillId="3" borderId="40" xfId="0" applyFill="1" applyBorder="1" applyAlignment="1">
      <alignment horizontal="center" vertical="center"/>
    </xf>
    <xf numFmtId="0" fontId="8" fillId="4" borderId="57" xfId="0" applyFont="1" applyFill="1" applyBorder="1" applyAlignment="1">
      <alignment horizontal="center" vertical="center" textRotation="255"/>
    </xf>
    <xf numFmtId="0" fontId="8" fillId="4" borderId="58" xfId="0" applyFont="1" applyFill="1" applyBorder="1" applyAlignment="1">
      <alignment horizontal="center" vertical="center" textRotation="255"/>
    </xf>
    <xf numFmtId="0" fontId="0" fillId="0" borderId="59" xfId="0" applyBorder="1" applyAlignment="1">
      <alignment horizontal="center" vertical="center"/>
    </xf>
    <xf numFmtId="0" fontId="0" fillId="12" borderId="40" xfId="0" applyFill="1"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6" fillId="0" borderId="3" xfId="0" applyFont="1" applyFill="1" applyBorder="1" applyAlignment="1">
      <alignment horizontal="center" vertical="center"/>
    </xf>
    <xf numFmtId="0" fontId="9" fillId="0" borderId="18" xfId="0" applyFont="1" applyBorder="1" applyAlignment="1">
      <alignment horizontal="center" vertical="center"/>
    </xf>
    <xf numFmtId="0" fontId="9" fillId="0" borderId="47" xfId="0" applyFont="1" applyBorder="1" applyAlignment="1">
      <alignment horizontal="center" vertical="center"/>
    </xf>
    <xf numFmtId="0" fontId="8" fillId="0" borderId="26"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14" fontId="16" fillId="0" borderId="44" xfId="0" applyNumberFormat="1" applyFont="1" applyBorder="1" applyAlignment="1" applyProtection="1">
      <alignment horizontal="center" vertical="center"/>
      <protection locked="0"/>
    </xf>
    <xf numFmtId="14" fontId="0" fillId="0" borderId="49" xfId="0" applyNumberFormat="1" applyBorder="1" applyAlignment="1">
      <alignment horizontal="center" vertical="center"/>
    </xf>
    <xf numFmtId="14" fontId="0" fillId="0" borderId="45" xfId="0" applyNumberFormat="1" applyBorder="1" applyAlignment="1">
      <alignment horizontal="center" vertical="center"/>
    </xf>
    <xf numFmtId="0" fontId="0" fillId="3" borderId="3" xfId="0" applyFill="1" applyBorder="1" applyAlignment="1">
      <alignment horizontal="center" vertical="center"/>
    </xf>
    <xf numFmtId="0" fontId="0" fillId="3" borderId="18" xfId="0" applyFill="1" applyBorder="1" applyAlignment="1">
      <alignment horizontal="center" vertical="center"/>
    </xf>
    <xf numFmtId="0" fontId="0" fillId="3" borderId="4" xfId="0" applyFill="1" applyBorder="1" applyAlignment="1">
      <alignment horizontal="center" vertical="center"/>
    </xf>
    <xf numFmtId="0" fontId="16" fillId="4" borderId="3" xfId="0" applyFont="1" applyFill="1" applyBorder="1" applyAlignment="1">
      <alignment horizontal="center" vertical="center"/>
    </xf>
    <xf numFmtId="0" fontId="9" fillId="12" borderId="23" xfId="0" applyFont="1" applyFill="1" applyBorder="1" applyAlignment="1">
      <alignment horizontal="center" vertical="center"/>
    </xf>
    <xf numFmtId="0" fontId="9" fillId="12" borderId="19" xfId="0" applyFont="1" applyFill="1" applyBorder="1" applyAlignment="1">
      <alignment horizontal="center" vertical="center"/>
    </xf>
    <xf numFmtId="0" fontId="8"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xf>
    <xf numFmtId="0" fontId="0" fillId="0" borderId="8" xfId="0" applyBorder="1" applyAlignment="1">
      <alignment horizontal="center" vertical="center"/>
    </xf>
    <xf numFmtId="0" fontId="0" fillId="0" borderId="10" xfId="0" applyBorder="1" applyAlignment="1">
      <alignment horizontal="center" vertical="center"/>
    </xf>
    <xf numFmtId="0" fontId="9" fillId="12" borderId="34" xfId="0" applyFont="1" applyFill="1" applyBorder="1" applyAlignment="1">
      <alignment horizontal="center" vertical="center"/>
    </xf>
    <xf numFmtId="185" fontId="9" fillId="0" borderId="3" xfId="0" applyNumberFormat="1" applyFont="1" applyFill="1" applyBorder="1" applyAlignment="1">
      <alignment horizontal="center" vertical="center"/>
    </xf>
    <xf numFmtId="178" fontId="8" fillId="3" borderId="24" xfId="0" applyNumberFormat="1" applyFont="1" applyFill="1" applyBorder="1" applyAlignment="1">
      <alignment horizontal="center" vertical="center"/>
    </xf>
    <xf numFmtId="178" fontId="8" fillId="3" borderId="19" xfId="0" applyNumberFormat="1" applyFont="1" applyFill="1" applyBorder="1" applyAlignment="1">
      <alignment horizontal="center" vertical="center"/>
    </xf>
    <xf numFmtId="0" fontId="32" fillId="12" borderId="24" xfId="0" applyFont="1" applyFill="1" applyBorder="1" applyAlignment="1">
      <alignment horizontal="center" vertical="center"/>
    </xf>
    <xf numFmtId="0" fontId="11" fillId="12" borderId="23" xfId="0" applyFont="1" applyFill="1" applyBorder="1" applyAlignment="1">
      <alignment horizontal="center" vertical="center"/>
    </xf>
    <xf numFmtId="0" fontId="11" fillId="12" borderId="19" xfId="0" applyFont="1" applyFill="1" applyBorder="1" applyAlignment="1">
      <alignment horizontal="center" vertical="center"/>
    </xf>
    <xf numFmtId="185" fontId="9" fillId="0" borderId="44" xfId="0" applyNumberFormat="1" applyFont="1" applyFill="1" applyBorder="1" applyAlignment="1">
      <alignment horizontal="center" vertical="center"/>
    </xf>
    <xf numFmtId="178" fontId="8" fillId="3" borderId="51" xfId="0" applyNumberFormat="1" applyFont="1" applyFill="1" applyBorder="1" applyAlignment="1">
      <alignment horizontal="center" vertical="center"/>
    </xf>
    <xf numFmtId="185" fontId="8" fillId="3" borderId="48" xfId="0" applyNumberFormat="1" applyFont="1" applyFill="1" applyBorder="1" applyAlignment="1">
      <alignment horizontal="center" vertical="center"/>
    </xf>
    <xf numFmtId="185" fontId="8" fillId="3" borderId="34" xfId="0" applyNumberFormat="1" applyFont="1" applyFill="1" applyBorder="1" applyAlignment="1">
      <alignment horizontal="center" vertical="center"/>
    </xf>
    <xf numFmtId="0" fontId="9" fillId="12" borderId="48" xfId="0" applyFont="1" applyFill="1" applyBorder="1" applyAlignment="1">
      <alignment horizontal="center" vertical="center"/>
    </xf>
    <xf numFmtId="185" fontId="8" fillId="3" borderId="48" xfId="0" quotePrefix="1" applyNumberFormat="1" applyFont="1" applyFill="1" applyBorder="1" applyAlignment="1">
      <alignment horizontal="center" vertical="center"/>
    </xf>
    <xf numFmtId="185" fontId="8" fillId="3" borderId="38" xfId="0" applyNumberFormat="1" applyFont="1" applyFill="1" applyBorder="1" applyAlignment="1">
      <alignment horizontal="center" vertical="center"/>
    </xf>
    <xf numFmtId="0" fontId="0" fillId="4" borderId="19" xfId="0" applyFill="1" applyBorder="1" applyAlignment="1">
      <alignment horizontal="center" vertical="center" shrinkToFit="1"/>
    </xf>
    <xf numFmtId="0" fontId="0" fillId="4" borderId="2" xfId="0" applyFill="1" applyBorder="1" applyAlignment="1">
      <alignment horizontal="center" vertical="center" shrinkToFit="1"/>
    </xf>
    <xf numFmtId="178" fontId="9" fillId="0" borderId="2" xfId="0" applyNumberFormat="1" applyFont="1" applyFill="1" applyBorder="1" applyAlignment="1" applyProtection="1">
      <alignment horizontal="center" vertical="center"/>
    </xf>
    <xf numFmtId="0" fontId="16"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49" xfId="0" applyFont="1" applyFill="1" applyBorder="1" applyAlignment="1">
      <alignment horizontal="center" vertical="center"/>
    </xf>
    <xf numFmtId="178" fontId="9" fillId="0" borderId="1" xfId="0" applyNumberFormat="1" applyFont="1" applyFill="1" applyBorder="1" applyAlignment="1">
      <alignment horizontal="center" vertical="center"/>
    </xf>
    <xf numFmtId="178" fontId="9" fillId="0" borderId="1" xfId="0" applyNumberFormat="1" applyFont="1" applyFill="1" applyBorder="1" applyAlignment="1" applyProtection="1">
      <alignment horizontal="center" vertical="center"/>
    </xf>
    <xf numFmtId="178" fontId="9" fillId="0" borderId="29" xfId="0" applyNumberFormat="1" applyFont="1" applyFill="1" applyBorder="1" applyAlignment="1">
      <alignment horizontal="center" vertical="center"/>
    </xf>
    <xf numFmtId="0" fontId="9" fillId="0" borderId="29" xfId="0" applyFont="1" applyBorder="1" applyAlignment="1" applyProtection="1">
      <alignment horizontal="center" vertical="center"/>
      <protection locked="0"/>
    </xf>
    <xf numFmtId="178" fontId="9" fillId="0" borderId="29" xfId="0" applyNumberFormat="1" applyFont="1" applyFill="1" applyBorder="1" applyAlignment="1" applyProtection="1">
      <alignment horizontal="center" vertical="center"/>
    </xf>
    <xf numFmtId="0" fontId="9" fillId="0" borderId="40" xfId="0" applyFont="1" applyBorder="1" applyAlignment="1" applyProtection="1">
      <alignment horizontal="center" vertical="center"/>
      <protection locked="0"/>
    </xf>
    <xf numFmtId="0" fontId="9" fillId="4" borderId="40" xfId="0" applyFont="1" applyFill="1" applyBorder="1" applyAlignment="1">
      <alignment horizontal="center" vertical="center"/>
    </xf>
    <xf numFmtId="0" fontId="9" fillId="4" borderId="36"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6" fillId="0" borderId="1" xfId="0" applyFont="1" applyFill="1" applyBorder="1" applyAlignment="1">
      <alignment horizontal="center" vertical="center"/>
    </xf>
    <xf numFmtId="0" fontId="9" fillId="4" borderId="4" xfId="0" applyFont="1" applyFill="1" applyBorder="1" applyAlignment="1">
      <alignment horizontal="center" vertical="center"/>
    </xf>
    <xf numFmtId="0" fontId="9" fillId="0" borderId="1" xfId="0" applyFont="1" applyBorder="1" applyAlignment="1" applyProtection="1">
      <alignment horizontal="right" vertical="center"/>
      <protection locked="0"/>
    </xf>
    <xf numFmtId="0" fontId="16" fillId="0" borderId="1" xfId="0" applyFont="1" applyBorder="1" applyAlignment="1" applyProtection="1">
      <alignment horizontal="righ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14" fillId="4" borderId="4"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0" fillId="0" borderId="1" xfId="0" applyBorder="1" applyAlignment="1" applyProtection="1">
      <alignment horizontal="center" vertical="center"/>
      <protection locked="0"/>
    </xf>
    <xf numFmtId="0" fontId="0" fillId="0" borderId="3" xfId="0" applyBorder="1" applyAlignment="1" applyProtection="1">
      <alignment vertical="center"/>
      <protection locked="0"/>
    </xf>
    <xf numFmtId="0" fontId="0" fillId="0" borderId="18" xfId="0" applyBorder="1" applyAlignment="1" applyProtection="1">
      <alignment vertical="center"/>
      <protection locked="0"/>
    </xf>
    <xf numFmtId="0" fontId="0" fillId="0" borderId="47" xfId="0" applyBorder="1" applyAlignment="1" applyProtection="1">
      <alignment vertical="center"/>
      <protection locked="0"/>
    </xf>
    <xf numFmtId="56" fontId="0" fillId="0" borderId="3" xfId="0" applyNumberFormat="1" applyBorder="1" applyAlignment="1" applyProtection="1">
      <alignment vertical="center"/>
      <protection locked="0"/>
    </xf>
    <xf numFmtId="178" fontId="9" fillId="0" borderId="31" xfId="0" applyNumberFormat="1" applyFont="1" applyFill="1" applyBorder="1" applyAlignment="1" applyProtection="1">
      <alignment horizontal="center" vertical="center"/>
    </xf>
    <xf numFmtId="0" fontId="0" fillId="4" borderId="4" xfId="0" applyFill="1" applyBorder="1" applyAlignment="1">
      <alignment horizontal="center" vertical="center"/>
    </xf>
    <xf numFmtId="0" fontId="0" fillId="4" borderId="1" xfId="0" applyFill="1" applyBorder="1" applyAlignment="1">
      <alignment horizontal="center" vertical="center"/>
    </xf>
    <xf numFmtId="0" fontId="0" fillId="13" borderId="40" xfId="0" applyFill="1" applyBorder="1" applyAlignment="1">
      <alignment horizontal="center" vertical="center"/>
    </xf>
    <xf numFmtId="0" fontId="9" fillId="12" borderId="3" xfId="0" applyFont="1" applyFill="1" applyBorder="1" applyAlignment="1">
      <alignment horizontal="center" vertical="center"/>
    </xf>
    <xf numFmtId="0" fontId="0" fillId="0" borderId="18" xfId="0" applyBorder="1" applyAlignment="1">
      <alignment vertical="center"/>
    </xf>
    <xf numFmtId="0" fontId="0" fillId="0" borderId="4" xfId="0" applyBorder="1" applyAlignment="1">
      <alignment vertical="center"/>
    </xf>
    <xf numFmtId="0" fontId="9" fillId="0" borderId="29" xfId="0" applyFont="1" applyFill="1" applyBorder="1" applyAlignment="1">
      <alignment horizontal="center" vertical="center"/>
    </xf>
    <xf numFmtId="0" fontId="9" fillId="4" borderId="40" xfId="0" applyFont="1" applyFill="1" applyBorder="1" applyAlignment="1">
      <alignment horizontal="center" vertical="center" shrinkToFit="1"/>
    </xf>
    <xf numFmtId="0" fontId="8" fillId="0" borderId="40" xfId="0" applyFont="1" applyFill="1" applyBorder="1" applyAlignment="1">
      <alignment horizontal="center" vertical="center"/>
    </xf>
    <xf numFmtId="0" fontId="8" fillId="0" borderId="36" xfId="0" applyFont="1" applyFill="1" applyBorder="1" applyAlignment="1">
      <alignment horizontal="center" vertical="center"/>
    </xf>
    <xf numFmtId="0" fontId="8" fillId="4" borderId="59" xfId="0" applyFont="1" applyFill="1" applyBorder="1" applyAlignment="1">
      <alignment horizontal="center" vertical="center" textRotation="255"/>
    </xf>
    <xf numFmtId="0" fontId="9" fillId="4" borderId="26" xfId="0" applyFont="1" applyFill="1" applyBorder="1" applyAlignment="1">
      <alignment horizontal="center" vertical="center" shrinkToFit="1"/>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xf numFmtId="0" fontId="0" fillId="0" borderId="48" xfId="0" applyBorder="1" applyAlignment="1" applyProtection="1">
      <alignment vertical="center"/>
      <protection locked="0"/>
    </xf>
    <xf numFmtId="0" fontId="0" fillId="0" borderId="34" xfId="0" applyBorder="1" applyAlignment="1" applyProtection="1">
      <alignment vertical="center"/>
      <protection locked="0"/>
    </xf>
    <xf numFmtId="0" fontId="0" fillId="0" borderId="38" xfId="0" applyBorder="1" applyAlignment="1" applyProtection="1">
      <alignment vertical="center"/>
      <protection locked="0"/>
    </xf>
    <xf numFmtId="0" fontId="17" fillId="4" borderId="3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4" fillId="4" borderId="2" xfId="0" applyFont="1" applyFill="1" applyBorder="1" applyAlignment="1">
      <alignment horizontal="center" vertical="center"/>
    </xf>
    <xf numFmtId="0" fontId="17" fillId="4" borderId="4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 xfId="0" applyFont="1" applyFill="1" applyBorder="1" applyAlignment="1">
      <alignment horizontal="center" vertical="center" wrapText="1"/>
    </xf>
    <xf numFmtId="176" fontId="9" fillId="7" borderId="3" xfId="0" applyNumberFormat="1" applyFont="1" applyFill="1" applyBorder="1" applyAlignment="1">
      <alignment horizontal="center" vertical="center" shrinkToFit="1"/>
    </xf>
    <xf numFmtId="176" fontId="9" fillId="7" borderId="18" xfId="0" applyNumberFormat="1" applyFont="1" applyFill="1" applyBorder="1" applyAlignment="1">
      <alignment horizontal="center" vertical="center" shrinkToFit="1"/>
    </xf>
    <xf numFmtId="176" fontId="9" fillId="7" borderId="4" xfId="0" applyNumberFormat="1" applyFont="1" applyFill="1" applyBorder="1" applyAlignment="1">
      <alignment horizontal="center" vertical="center" shrinkToFit="1"/>
    </xf>
    <xf numFmtId="178" fontId="9" fillId="3" borderId="3" xfId="0" applyNumberFormat="1" applyFont="1" applyFill="1" applyBorder="1" applyAlignment="1">
      <alignment horizontal="center" vertical="center"/>
    </xf>
    <xf numFmtId="178" fontId="9" fillId="3" borderId="18" xfId="0" applyNumberFormat="1" applyFont="1" applyFill="1" applyBorder="1" applyAlignment="1">
      <alignment horizontal="center" vertical="center"/>
    </xf>
    <xf numFmtId="178" fontId="9" fillId="3" borderId="4" xfId="0" applyNumberFormat="1" applyFont="1" applyFill="1" applyBorder="1" applyAlignment="1">
      <alignment horizontal="center" vertical="center"/>
    </xf>
    <xf numFmtId="0" fontId="9" fillId="3" borderId="3"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9" fillId="4" borderId="52" xfId="0" applyFont="1" applyFill="1" applyBorder="1" applyAlignment="1">
      <alignment horizontal="center" vertical="center" shrinkToFit="1"/>
    </xf>
    <xf numFmtId="0" fontId="9" fillId="4" borderId="15" xfId="0" applyFont="1" applyFill="1" applyBorder="1" applyAlignment="1">
      <alignment horizontal="center" vertical="center" shrinkToFit="1"/>
    </xf>
    <xf numFmtId="0" fontId="9" fillId="4" borderId="53"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9" fillId="3" borderId="53" xfId="0" applyFont="1" applyFill="1" applyBorder="1" applyAlignment="1">
      <alignment horizontal="center" vertical="center" shrinkToFit="1"/>
    </xf>
    <xf numFmtId="0" fontId="15" fillId="4" borderId="3" xfId="0" applyFont="1" applyFill="1" applyBorder="1" applyAlignment="1">
      <alignment horizontal="center" vertical="center" wrapText="1" shrinkToFit="1"/>
    </xf>
    <xf numFmtId="0" fontId="15" fillId="4" borderId="4"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56" xfId="0" applyFont="1" applyFill="1" applyBorder="1" applyAlignment="1">
      <alignment horizontal="center" vertical="center" shrinkToFit="1"/>
    </xf>
    <xf numFmtId="0" fontId="9" fillId="4" borderId="1" xfId="0" applyFont="1" applyFill="1" applyBorder="1" applyAlignment="1">
      <alignment horizontal="center" vertical="center" wrapText="1" shrinkToFit="1"/>
    </xf>
    <xf numFmtId="0" fontId="9" fillId="4"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9" borderId="1" xfId="0" applyFont="1" applyFill="1" applyBorder="1" applyAlignment="1">
      <alignment horizontal="center" vertical="center" shrinkToFit="1"/>
    </xf>
    <xf numFmtId="0" fontId="9" fillId="9" borderId="3"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7"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78" fontId="9" fillId="3" borderId="1" xfId="0" applyNumberFormat="1" applyFont="1" applyFill="1" applyBorder="1" applyAlignment="1">
      <alignment horizontal="center" vertical="center" shrinkToFit="1"/>
    </xf>
    <xf numFmtId="0" fontId="16" fillId="0" borderId="4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40" xfId="0" applyFont="1" applyFill="1" applyBorder="1" applyAlignment="1">
      <alignment horizontal="center" vertical="center"/>
    </xf>
    <xf numFmtId="0" fontId="16" fillId="0" borderId="3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3" xfId="0" applyBorder="1" applyAlignment="1">
      <alignment horizontal="center" vertical="center"/>
    </xf>
    <xf numFmtId="0" fontId="8"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wrapText="1"/>
    </xf>
    <xf numFmtId="0" fontId="9" fillId="4" borderId="10" xfId="0" applyFont="1" applyFill="1" applyBorder="1" applyAlignment="1">
      <alignment horizontal="center" vertical="center" textRotation="255" wrapText="1"/>
    </xf>
    <xf numFmtId="0" fontId="0" fillId="0" borderId="5" xfId="0" applyFill="1" applyBorder="1" applyAlignment="1" applyProtection="1">
      <alignment horizontal="center" vertical="top"/>
      <protection locked="0"/>
    </xf>
    <xf numFmtId="0" fontId="0" fillId="0" borderId="6" xfId="0" applyFill="1" applyBorder="1" applyAlignment="1" applyProtection="1">
      <alignment horizontal="center" vertical="top"/>
      <protection locked="0"/>
    </xf>
    <xf numFmtId="0" fontId="0" fillId="0" borderId="7" xfId="0" applyFill="1" applyBorder="1" applyAlignment="1" applyProtection="1">
      <alignment horizontal="center" vertical="top"/>
      <protection locked="0"/>
    </xf>
    <xf numFmtId="0" fontId="0" fillId="0" borderId="8" xfId="0"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9" xfId="0" applyFill="1" applyBorder="1" applyAlignment="1" applyProtection="1">
      <alignment horizontal="center" vertical="top"/>
      <protection locked="0"/>
    </xf>
    <xf numFmtId="0" fontId="0" fillId="0" borderId="10"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12" xfId="0" applyFill="1" applyBorder="1" applyAlignment="1" applyProtection="1">
      <alignment horizontal="center" vertical="top"/>
      <protection locked="0"/>
    </xf>
    <xf numFmtId="0" fontId="8" fillId="4" borderId="45" xfId="0" applyFont="1" applyFill="1" applyBorder="1" applyAlignment="1">
      <alignment horizontal="center" vertical="center"/>
    </xf>
    <xf numFmtId="0" fontId="8" fillId="4" borderId="26" xfId="0" applyFont="1" applyFill="1" applyBorder="1" applyAlignment="1">
      <alignment horizontal="center" vertical="center"/>
    </xf>
    <xf numFmtId="14" fontId="9" fillId="8" borderId="26" xfId="0" applyNumberFormat="1" applyFont="1" applyFill="1" applyBorder="1" applyAlignment="1" applyProtection="1">
      <alignment horizontal="center" vertical="center"/>
      <protection locked="0"/>
    </xf>
    <xf numFmtId="0" fontId="9" fillId="8" borderId="26" xfId="0" applyFont="1" applyFill="1" applyBorder="1" applyAlignment="1" applyProtection="1">
      <alignment horizontal="center" vertical="center"/>
      <protection locked="0"/>
    </xf>
    <xf numFmtId="0" fontId="8" fillId="4" borderId="25" xfId="0" applyFont="1" applyFill="1" applyBorder="1" applyAlignment="1">
      <alignment horizontal="center" vertical="center" textRotation="255"/>
    </xf>
    <xf numFmtId="0" fontId="8" fillId="4" borderId="28" xfId="0" applyFont="1" applyFill="1" applyBorder="1" applyAlignment="1">
      <alignment horizontal="center" vertical="center" textRotation="255"/>
    </xf>
    <xf numFmtId="0" fontId="8" fillId="4" borderId="39" xfId="0" applyFont="1" applyFill="1" applyBorder="1" applyAlignment="1">
      <alignment horizontal="center" vertical="center" textRotation="255"/>
    </xf>
    <xf numFmtId="14" fontId="8" fillId="0" borderId="26" xfId="0" applyNumberFormat="1" applyFont="1" applyBorder="1" applyAlignment="1" applyProtection="1">
      <alignment horizontal="center" vertical="center"/>
      <protection locked="0"/>
    </xf>
    <xf numFmtId="14" fontId="8" fillId="0" borderId="26" xfId="0" applyNumberFormat="1" applyFont="1" applyFill="1" applyBorder="1" applyAlignment="1">
      <alignment horizontal="center" vertical="center"/>
    </xf>
    <xf numFmtId="0" fontId="8" fillId="0" borderId="26" xfId="0" applyFont="1" applyFill="1" applyBorder="1" applyAlignment="1">
      <alignment horizontal="center" vertical="center"/>
    </xf>
    <xf numFmtId="14" fontId="9" fillId="0" borderId="26" xfId="0" applyNumberFormat="1"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8" fillId="4" borderId="27"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9" xfId="0" applyFont="1" applyFill="1" applyBorder="1" applyAlignment="1">
      <alignment horizontal="center" vertical="center"/>
    </xf>
    <xf numFmtId="0" fontId="9" fillId="12" borderId="33" xfId="0" applyFont="1" applyFill="1" applyBorder="1" applyAlignment="1">
      <alignment horizontal="center" vertical="center"/>
    </xf>
    <xf numFmtId="0" fontId="0" fillId="0" borderId="35" xfId="0" applyBorder="1" applyAlignment="1">
      <alignment horizontal="center" vertical="center"/>
    </xf>
    <xf numFmtId="0" fontId="9" fillId="3" borderId="40" xfId="0" applyFont="1" applyFill="1" applyBorder="1" applyAlignment="1" applyProtection="1">
      <alignment horizontal="center" vertical="center"/>
      <protection locked="0"/>
    </xf>
    <xf numFmtId="0" fontId="9" fillId="3" borderId="36"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protection locked="0"/>
    </xf>
    <xf numFmtId="0" fontId="9" fillId="4" borderId="40" xfId="0" applyFont="1" applyFill="1" applyBorder="1" applyAlignment="1" applyProtection="1">
      <alignment horizontal="center" vertical="center"/>
    </xf>
    <xf numFmtId="0" fontId="9" fillId="0" borderId="40" xfId="0" applyFont="1" applyFill="1" applyBorder="1" applyAlignment="1">
      <alignment horizontal="center" vertical="center"/>
    </xf>
    <xf numFmtId="0" fontId="16" fillId="0" borderId="29"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23"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xf>
    <xf numFmtId="0" fontId="9" fillId="4" borderId="21" xfId="0" applyFont="1" applyFill="1" applyBorder="1" applyAlignment="1">
      <alignment horizontal="center" vertical="center"/>
    </xf>
    <xf numFmtId="0" fontId="9" fillId="4" borderId="22" xfId="0" applyFont="1" applyFill="1" applyBorder="1" applyAlignment="1">
      <alignment horizontal="center" vertical="center"/>
    </xf>
    <xf numFmtId="0" fontId="12" fillId="4" borderId="24" xfId="0" applyFont="1" applyFill="1" applyBorder="1" applyAlignment="1">
      <alignment horizontal="center" vertical="center" wrapText="1" shrinkToFit="1"/>
    </xf>
    <xf numFmtId="0" fontId="12" fillId="4" borderId="23" xfId="0" applyFont="1" applyFill="1" applyBorder="1" applyAlignment="1">
      <alignment horizontal="center" vertical="center" shrinkToFit="1"/>
    </xf>
    <xf numFmtId="0" fontId="12" fillId="4" borderId="51" xfId="0" applyFont="1" applyFill="1" applyBorder="1" applyAlignment="1">
      <alignment horizontal="center" vertical="center" shrinkToFit="1"/>
    </xf>
    <xf numFmtId="0" fontId="12" fillId="4" borderId="20" xfId="0" applyFont="1" applyFill="1" applyBorder="1" applyAlignment="1">
      <alignment horizontal="center" vertical="center" shrinkToFit="1"/>
    </xf>
    <xf numFmtId="0" fontId="12" fillId="4" borderId="21" xfId="0" applyFont="1" applyFill="1" applyBorder="1" applyAlignment="1">
      <alignment horizontal="center" vertical="center" shrinkToFit="1"/>
    </xf>
    <xf numFmtId="0" fontId="12" fillId="4" borderId="37" xfId="0" applyFont="1" applyFill="1" applyBorder="1" applyAlignment="1">
      <alignment horizontal="center" vertical="center" shrinkToFit="1"/>
    </xf>
    <xf numFmtId="0" fontId="9" fillId="4" borderId="3"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8" fillId="4" borderId="1" xfId="0" applyFont="1" applyFill="1" applyBorder="1" applyAlignment="1">
      <alignment horizontal="center" vertical="center" wrapText="1"/>
    </xf>
    <xf numFmtId="0" fontId="9" fillId="4" borderId="29" xfId="0" applyFont="1" applyFill="1" applyBorder="1" applyAlignment="1">
      <alignment horizontal="center" vertical="center" wrapText="1" shrinkToFit="1"/>
    </xf>
    <xf numFmtId="0" fontId="9" fillId="4" borderId="26" xfId="0" applyFont="1" applyFill="1" applyBorder="1" applyAlignment="1" applyProtection="1">
      <alignment horizontal="center" vertical="center"/>
    </xf>
    <xf numFmtId="0" fontId="8" fillId="4" borderId="26"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9" fillId="4" borderId="27" xfId="0" applyFont="1" applyFill="1" applyBorder="1" applyAlignment="1">
      <alignment horizontal="center" vertical="center"/>
    </xf>
    <xf numFmtId="0" fontId="9" fillId="4" borderId="48" xfId="0" applyFont="1" applyFill="1" applyBorder="1" applyAlignment="1" applyProtection="1">
      <alignment horizontal="center" vertical="center" shrinkToFit="1"/>
    </xf>
    <xf numFmtId="0" fontId="9" fillId="4" borderId="34" xfId="0" applyFont="1" applyFill="1" applyBorder="1" applyAlignment="1" applyProtection="1">
      <alignment horizontal="center" vertical="center" shrinkToFit="1"/>
    </xf>
    <xf numFmtId="0" fontId="9" fillId="4" borderId="35" xfId="0" applyFont="1" applyFill="1" applyBorder="1" applyAlignment="1" applyProtection="1">
      <alignment horizontal="center" vertical="center" shrinkToFit="1"/>
    </xf>
    <xf numFmtId="0" fontId="9" fillId="4" borderId="25"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5" xfId="0" applyFont="1" applyFill="1" applyBorder="1" applyAlignment="1">
      <alignment horizontal="center" vertical="center"/>
    </xf>
    <xf numFmtId="0" fontId="9" fillId="4" borderId="46" xfId="0" applyFont="1" applyFill="1" applyBorder="1" applyAlignment="1">
      <alignment horizontal="center" vertical="center"/>
    </xf>
    <xf numFmtId="0" fontId="9" fillId="4" borderId="25" xfId="0" applyFont="1" applyFill="1" applyBorder="1" applyAlignment="1" applyProtection="1">
      <alignment horizontal="center" vertical="center" textRotation="255"/>
    </xf>
    <xf numFmtId="0" fontId="9" fillId="4" borderId="28" xfId="0" applyFont="1" applyFill="1" applyBorder="1" applyAlignment="1" applyProtection="1">
      <alignment horizontal="center" vertical="center" textRotation="255"/>
    </xf>
    <xf numFmtId="0" fontId="9" fillId="4" borderId="39" xfId="0" applyFont="1" applyFill="1" applyBorder="1" applyAlignment="1" applyProtection="1">
      <alignment horizontal="center" vertical="center" textRotation="255"/>
    </xf>
    <xf numFmtId="0" fontId="9" fillId="0" borderId="3"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16" fillId="0" borderId="18"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9" fillId="4" borderId="25" xfId="0" applyFont="1" applyFill="1" applyBorder="1" applyAlignment="1">
      <alignment horizontal="center" vertical="center" textRotation="255" wrapText="1"/>
    </xf>
    <xf numFmtId="0" fontId="9" fillId="4" borderId="28" xfId="0" applyFont="1" applyFill="1" applyBorder="1" applyAlignment="1">
      <alignment horizontal="center" vertical="center" textRotation="255" wrapText="1"/>
    </xf>
    <xf numFmtId="0" fontId="9" fillId="4" borderId="39" xfId="0" applyFont="1" applyFill="1" applyBorder="1" applyAlignment="1">
      <alignment horizontal="center" vertical="center" textRotation="255" wrapText="1"/>
    </xf>
    <xf numFmtId="0" fontId="9" fillId="4" borderId="25" xfId="0" applyFont="1" applyFill="1" applyBorder="1" applyAlignment="1">
      <alignment horizontal="center" vertical="center" textRotation="255" shrinkToFit="1"/>
    </xf>
    <xf numFmtId="0" fontId="9" fillId="4" borderId="28" xfId="0" applyFont="1" applyFill="1" applyBorder="1" applyAlignment="1">
      <alignment horizontal="center" vertical="center" textRotation="255" shrinkToFit="1"/>
    </xf>
    <xf numFmtId="0" fontId="9" fillId="4" borderId="39" xfId="0" applyFont="1" applyFill="1" applyBorder="1" applyAlignment="1">
      <alignment horizontal="center" vertical="center" textRotation="255" shrinkToFit="1"/>
    </xf>
    <xf numFmtId="0" fontId="9" fillId="4" borderId="27" xfId="0" applyFont="1" applyFill="1" applyBorder="1" applyAlignment="1">
      <alignment horizontal="center" vertical="center" shrinkToFit="1"/>
    </xf>
    <xf numFmtId="0" fontId="9" fillId="4" borderId="3" xfId="0" applyFont="1" applyFill="1" applyBorder="1" applyAlignment="1" applyProtection="1">
      <alignment horizontal="center" vertical="center" shrinkToFit="1"/>
    </xf>
    <xf numFmtId="0" fontId="9" fillId="4" borderId="18" xfId="0" applyFont="1" applyFill="1" applyBorder="1" applyAlignment="1" applyProtection="1">
      <alignment horizontal="center" vertical="center" shrinkToFit="1"/>
    </xf>
    <xf numFmtId="0" fontId="9" fillId="4" borderId="4" xfId="0" applyFont="1" applyFill="1" applyBorder="1" applyAlignment="1" applyProtection="1">
      <alignment horizontal="center" vertical="center" shrinkToFit="1"/>
    </xf>
    <xf numFmtId="185" fontId="9" fillId="0" borderId="3" xfId="0" applyNumberFormat="1" applyFont="1" applyFill="1" applyBorder="1" applyAlignment="1" applyProtection="1">
      <alignment horizontal="center" vertical="center" shrinkToFit="1"/>
    </xf>
    <xf numFmtId="185" fontId="9" fillId="0" borderId="18" xfId="0" applyNumberFormat="1" applyFont="1" applyFill="1" applyBorder="1" applyAlignment="1" applyProtection="1">
      <alignment horizontal="center" vertical="center" shrinkToFit="1"/>
    </xf>
    <xf numFmtId="185" fontId="9" fillId="0" borderId="47" xfId="0" applyNumberFormat="1" applyFont="1" applyFill="1" applyBorder="1" applyAlignment="1" applyProtection="1">
      <alignment horizontal="center" vertical="center" shrinkToFit="1"/>
    </xf>
    <xf numFmtId="0" fontId="9" fillId="4" borderId="1" xfId="0" applyFont="1" applyFill="1" applyBorder="1" applyAlignment="1" applyProtection="1">
      <alignment horizontal="center" vertical="center" shrinkToFit="1"/>
    </xf>
    <xf numFmtId="0" fontId="9" fillId="4" borderId="29"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protection locked="0"/>
    </xf>
    <xf numFmtId="14" fontId="9" fillId="0" borderId="1" xfId="0" applyNumberFormat="1" applyFont="1" applyFill="1" applyBorder="1" applyAlignment="1" applyProtection="1">
      <alignment horizontal="center" vertical="center" shrinkToFit="1"/>
      <protection locked="0"/>
    </xf>
    <xf numFmtId="0" fontId="9" fillId="0" borderId="2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36" xfId="0" applyFont="1" applyFill="1" applyBorder="1" applyAlignment="1" applyProtection="1">
      <alignment horizontal="center" vertical="center" shrinkToFit="1"/>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4" borderId="48" xfId="0" applyFont="1" applyFill="1" applyBorder="1" applyAlignment="1">
      <alignment horizontal="center" vertical="center" shrinkToFit="1"/>
    </xf>
    <xf numFmtId="0" fontId="9" fillId="0" borderId="48"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8" xfId="0" applyFont="1" applyFill="1" applyBorder="1" applyAlignment="1">
      <alignment horizontal="center" vertical="center"/>
    </xf>
    <xf numFmtId="0" fontId="9" fillId="4" borderId="38"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4" borderId="57" xfId="0" applyFont="1" applyFill="1" applyBorder="1" applyAlignment="1">
      <alignment horizontal="center" vertical="center"/>
    </xf>
    <xf numFmtId="0" fontId="9" fillId="4" borderId="58" xfId="0" applyFont="1" applyFill="1" applyBorder="1" applyAlignment="1">
      <alignment horizontal="center" vertical="center"/>
    </xf>
    <xf numFmtId="0" fontId="9" fillId="4" borderId="59" xfId="0" applyFont="1" applyFill="1" applyBorder="1" applyAlignment="1">
      <alignment horizontal="center" vertical="center"/>
    </xf>
    <xf numFmtId="0" fontId="9" fillId="0" borderId="44"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12" fillId="4" borderId="62" xfId="0" applyFont="1" applyFill="1" applyBorder="1" applyAlignment="1">
      <alignment horizontal="center" vertical="center" shrinkToFit="1"/>
    </xf>
    <xf numFmtId="0" fontId="12" fillId="4" borderId="30" xfId="0" applyFont="1" applyFill="1" applyBorder="1" applyAlignment="1">
      <alignment horizontal="center" vertical="center" shrinkToFit="1"/>
    </xf>
    <xf numFmtId="185" fontId="9" fillId="0" borderId="4" xfId="0" applyNumberFormat="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protection locked="0"/>
    </xf>
    <xf numFmtId="0" fontId="12" fillId="0" borderId="39" xfId="0" applyFont="1" applyFill="1" applyBorder="1" applyAlignment="1" applyProtection="1">
      <alignment horizontal="center" vertical="center" shrinkToFit="1"/>
      <protection locked="0"/>
    </xf>
    <xf numFmtId="0" fontId="12" fillId="0" borderId="64"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9" fillId="4" borderId="16"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66"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72" xfId="0" applyFont="1" applyFill="1" applyBorder="1" applyAlignment="1">
      <alignment horizontal="center" vertical="center"/>
    </xf>
    <xf numFmtId="0" fontId="9" fillId="4" borderId="39" xfId="0" applyFont="1" applyFill="1" applyBorder="1" applyAlignment="1">
      <alignment horizontal="center" vertical="center" shrinkToFit="1"/>
    </xf>
    <xf numFmtId="178" fontId="9" fillId="4" borderId="40" xfId="0" applyNumberFormat="1" applyFont="1" applyFill="1" applyBorder="1" applyAlignment="1" applyProtection="1">
      <alignment horizontal="center" vertical="center" shrinkToFit="1"/>
    </xf>
    <xf numFmtId="187" fontId="9" fillId="0" borderId="48" xfId="0" applyNumberFormat="1" applyFont="1" applyFill="1" applyBorder="1" applyAlignment="1" applyProtection="1">
      <alignment horizontal="center" vertical="center" shrinkToFit="1"/>
    </xf>
    <xf numFmtId="187" fontId="9" fillId="0" borderId="34" xfId="0" applyNumberFormat="1" applyFont="1" applyFill="1" applyBorder="1" applyAlignment="1" applyProtection="1">
      <alignment horizontal="center" vertical="center" shrinkToFit="1"/>
    </xf>
    <xf numFmtId="187" fontId="9" fillId="0" borderId="35" xfId="0" applyNumberFormat="1" applyFont="1" applyFill="1" applyBorder="1" applyAlignment="1" applyProtection="1">
      <alignment horizontal="center" vertical="center" shrinkToFit="1"/>
    </xf>
    <xf numFmtId="187" fontId="9" fillId="0" borderId="3" xfId="0" applyNumberFormat="1" applyFont="1" applyFill="1" applyBorder="1" applyAlignment="1" applyProtection="1">
      <alignment horizontal="center" vertical="center" shrinkToFit="1"/>
    </xf>
    <xf numFmtId="187" fontId="9" fillId="0" borderId="18" xfId="0" applyNumberFormat="1" applyFont="1" applyFill="1" applyBorder="1" applyAlignment="1" applyProtection="1">
      <alignment horizontal="center" vertical="center" shrinkToFit="1"/>
    </xf>
    <xf numFmtId="187" fontId="9" fillId="0" borderId="4" xfId="0" applyNumberFormat="1" applyFont="1" applyFill="1" applyBorder="1" applyAlignment="1" applyProtection="1">
      <alignment horizontal="center" vertical="center" shrinkToFit="1"/>
    </xf>
    <xf numFmtId="0" fontId="9" fillId="0" borderId="1" xfId="0" applyFont="1" applyBorder="1" applyAlignment="1" applyProtection="1">
      <alignment horizontal="center" vertical="center" shrinkToFit="1"/>
      <protection locked="0"/>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0" borderId="9" xfId="0" applyFont="1" applyFill="1" applyBorder="1" applyAlignment="1" applyProtection="1">
      <alignment horizontal="center" vertical="center" shrinkToFit="1"/>
      <protection locked="0"/>
    </xf>
    <xf numFmtId="0" fontId="9" fillId="0" borderId="7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center" vertical="center" shrinkToFit="1"/>
      <protection locked="0"/>
    </xf>
    <xf numFmtId="0" fontId="9" fillId="0" borderId="43" xfId="0" applyFont="1" applyFill="1" applyBorder="1" applyAlignment="1" applyProtection="1">
      <alignment horizontal="center" vertical="center" shrinkToFit="1"/>
      <protection locked="0"/>
    </xf>
    <xf numFmtId="0" fontId="9" fillId="0" borderId="55" xfId="0" applyFont="1" applyFill="1" applyBorder="1" applyAlignment="1" applyProtection="1">
      <alignment horizontal="center" vertical="center" shrinkToFit="1"/>
      <protection locked="0"/>
    </xf>
    <xf numFmtId="0" fontId="9" fillId="0" borderId="64" xfId="0" applyFont="1" applyFill="1" applyBorder="1" applyAlignment="1" applyProtection="1">
      <alignment horizontal="center" vertical="center" shrinkToFit="1"/>
      <protection locked="0"/>
    </xf>
    <xf numFmtId="0" fontId="7" fillId="4" borderId="3"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0" borderId="1" xfId="0" applyFont="1" applyFill="1" applyBorder="1" applyAlignment="1">
      <alignment horizontal="center" vertical="center" shrinkToFit="1"/>
    </xf>
    <xf numFmtId="0" fontId="9" fillId="4" borderId="26" xfId="0" applyFont="1" applyFill="1" applyBorder="1" applyAlignment="1" applyProtection="1">
      <alignment horizontal="center" vertical="center" shrinkToFit="1"/>
    </xf>
    <xf numFmtId="0" fontId="9" fillId="4" borderId="27" xfId="0" applyFont="1" applyFill="1" applyBorder="1" applyAlignment="1" applyProtection="1">
      <alignment horizontal="center" vertical="center" shrinkToFit="1"/>
    </xf>
    <xf numFmtId="0" fontId="9" fillId="4" borderId="41" xfId="0" applyFont="1" applyFill="1" applyBorder="1" applyAlignment="1">
      <alignment horizontal="center" vertical="center" shrinkToFit="1"/>
    </xf>
    <xf numFmtId="0" fontId="9" fillId="4" borderId="71" xfId="0" applyFont="1" applyFill="1" applyBorder="1" applyAlignment="1">
      <alignment horizontal="center" vertical="center" shrinkToFit="1"/>
    </xf>
    <xf numFmtId="0" fontId="9" fillId="4" borderId="55" xfId="0" applyFont="1" applyFill="1" applyBorder="1" applyAlignment="1">
      <alignment horizontal="center" vertical="center" wrapText="1" shrinkToFit="1"/>
    </xf>
    <xf numFmtId="0" fontId="9" fillId="4" borderId="64" xfId="0" applyFont="1" applyFill="1" applyBorder="1" applyAlignment="1">
      <alignment horizontal="center" vertical="center" wrapText="1" shrinkToFit="1"/>
    </xf>
    <xf numFmtId="0" fontId="9" fillId="4" borderId="27" xfId="0" applyFont="1" applyFill="1" applyBorder="1" applyAlignment="1">
      <alignment horizontal="center" vertical="center" wrapText="1" shrinkToFit="1"/>
    </xf>
    <xf numFmtId="0" fontId="9" fillId="4" borderId="41" xfId="0" applyFont="1" applyFill="1" applyBorder="1" applyAlignment="1">
      <alignment horizontal="center" vertical="center" wrapText="1" shrinkToFit="1"/>
    </xf>
    <xf numFmtId="0" fontId="9" fillId="4" borderId="25"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2" xfId="0" applyFont="1" applyFill="1" applyBorder="1" applyAlignment="1">
      <alignment horizontal="center" vertical="center" shrinkToFit="1"/>
    </xf>
    <xf numFmtId="0" fontId="9" fillId="0" borderId="42"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4" borderId="70" xfId="0" applyFont="1" applyFill="1" applyBorder="1" applyAlignment="1">
      <alignment horizontal="center" vertical="center" shrinkToFit="1"/>
    </xf>
    <xf numFmtId="0" fontId="9" fillId="4" borderId="8" xfId="0" applyFont="1" applyFill="1" applyBorder="1" applyAlignment="1">
      <alignment horizontal="center" vertical="center" shrinkToFit="1"/>
    </xf>
    <xf numFmtId="0" fontId="9" fillId="0" borderId="31" xfId="0" applyFont="1" applyFill="1" applyBorder="1" applyAlignment="1" applyProtection="1">
      <alignment horizontal="center" vertical="center" shrinkToFit="1"/>
      <protection locked="0"/>
    </xf>
    <xf numFmtId="0" fontId="9" fillId="0" borderId="62" xfId="0" applyFont="1" applyFill="1" applyBorder="1" applyAlignment="1" applyProtection="1">
      <alignment horizontal="center" vertical="center" shrinkToFit="1"/>
      <protection locked="0"/>
    </xf>
    <xf numFmtId="0" fontId="9" fillId="0" borderId="50" xfId="0" applyFont="1" applyFill="1" applyBorder="1" applyAlignment="1" applyProtection="1">
      <alignment horizontal="center" vertical="center" shrinkToFit="1"/>
      <protection locked="0"/>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185" fontId="9" fillId="0" borderId="54" xfId="0" applyNumberFormat="1" applyFont="1" applyFill="1" applyBorder="1" applyAlignment="1">
      <alignment horizontal="center" vertical="center" shrinkToFit="1"/>
    </xf>
    <xf numFmtId="185" fontId="9" fillId="0" borderId="55" xfId="0" applyNumberFormat="1" applyFont="1" applyFill="1" applyBorder="1" applyAlignment="1">
      <alignment horizontal="center" vertical="center" shrinkToFit="1"/>
    </xf>
    <xf numFmtId="177" fontId="9" fillId="0" borderId="54" xfId="0" applyNumberFormat="1"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56"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10" fillId="4" borderId="14" xfId="0" applyFont="1" applyFill="1" applyBorder="1" applyAlignment="1">
      <alignment horizontal="center" vertical="center"/>
    </xf>
    <xf numFmtId="0" fontId="10" fillId="4" borderId="54"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6" xfId="0" applyFont="1" applyFill="1" applyBorder="1" applyAlignment="1">
      <alignment horizontal="center" vertical="center"/>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0" borderId="27" xfId="0" applyFont="1" applyBorder="1" applyAlignment="1" applyProtection="1">
      <alignment horizontal="center" vertical="center"/>
      <protection locked="0"/>
    </xf>
    <xf numFmtId="0" fontId="9" fillId="4" borderId="36" xfId="0" applyFont="1" applyFill="1" applyBorder="1" applyAlignment="1">
      <alignment horizontal="center" vertical="center" shrinkToFit="1"/>
    </xf>
    <xf numFmtId="185" fontId="9" fillId="0" borderId="33" xfId="0" applyNumberFormat="1" applyFont="1" applyFill="1" applyBorder="1" applyAlignment="1">
      <alignment horizontal="center" vertical="center" shrinkToFit="1"/>
    </xf>
    <xf numFmtId="185" fontId="9" fillId="0" borderId="34" xfId="0" applyNumberFormat="1" applyFont="1" applyFill="1" applyBorder="1" applyAlignment="1">
      <alignment horizontal="center" vertical="center" shrinkToFit="1"/>
    </xf>
    <xf numFmtId="185" fontId="9" fillId="0" borderId="38" xfId="0" applyNumberFormat="1" applyFont="1" applyFill="1" applyBorder="1" applyAlignment="1">
      <alignment horizontal="center" vertical="center" shrinkToFit="1"/>
    </xf>
    <xf numFmtId="0" fontId="9" fillId="4" borderId="25" xfId="0" applyFont="1" applyFill="1" applyBorder="1" applyAlignment="1">
      <alignment horizontal="center" vertical="center" shrinkToFit="1"/>
    </xf>
    <xf numFmtId="185" fontId="9" fillId="0" borderId="71" xfId="0" applyNumberFormat="1" applyFont="1" applyFill="1" applyBorder="1" applyAlignment="1">
      <alignment horizontal="center" vertical="center" shrinkToFit="1"/>
    </xf>
    <xf numFmtId="185" fontId="9" fillId="0" borderId="49" xfId="0" applyNumberFormat="1" applyFont="1" applyFill="1" applyBorder="1" applyAlignment="1">
      <alignment horizontal="center" vertical="center" shrinkToFit="1"/>
    </xf>
    <xf numFmtId="185" fontId="9" fillId="0" borderId="46" xfId="0" applyNumberFormat="1" applyFont="1" applyFill="1" applyBorder="1" applyAlignment="1">
      <alignment horizontal="center" vertical="center" shrinkToFit="1"/>
    </xf>
    <xf numFmtId="178" fontId="0" fillId="0" borderId="26" xfId="0" applyNumberFormat="1" applyFill="1" applyBorder="1" applyAlignment="1">
      <alignment horizontal="center" vertical="center"/>
    </xf>
    <xf numFmtId="0" fontId="8" fillId="4" borderId="25" xfId="0" applyFont="1" applyFill="1" applyBorder="1" applyAlignment="1">
      <alignment horizontal="center" vertical="center" shrinkToFit="1"/>
    </xf>
    <xf numFmtId="0" fontId="8" fillId="4" borderId="26" xfId="0" applyFont="1" applyFill="1" applyBorder="1" applyAlignment="1">
      <alignment horizontal="center" vertical="center" shrinkToFit="1"/>
    </xf>
    <xf numFmtId="0" fontId="9" fillId="0" borderId="39" xfId="0" applyFont="1" applyFill="1" applyBorder="1" applyAlignment="1" applyProtection="1">
      <alignment horizontal="center" vertical="center" shrinkToFit="1"/>
      <protection locked="0"/>
    </xf>
    <xf numFmtId="0" fontId="9" fillId="4" borderId="52" xfId="0" applyFont="1" applyFill="1" applyBorder="1" applyAlignment="1">
      <alignment horizontal="center" vertical="center" wrapText="1" shrinkToFit="1"/>
    </xf>
    <xf numFmtId="0" fontId="9" fillId="4" borderId="15" xfId="0" applyFont="1" applyFill="1" applyBorder="1" applyAlignment="1">
      <alignment horizontal="center" vertical="center" wrapText="1" shrinkToFit="1"/>
    </xf>
    <xf numFmtId="0" fontId="9" fillId="4" borderId="56" xfId="0" applyFont="1" applyFill="1" applyBorder="1" applyAlignment="1">
      <alignment horizontal="center" vertical="center" wrapText="1" shrinkToFit="1"/>
    </xf>
    <xf numFmtId="0" fontId="9" fillId="0" borderId="52" xfId="0" applyFont="1" applyFill="1" applyBorder="1" applyAlignment="1" applyProtection="1">
      <alignment horizontal="center" vertical="center" shrinkToFit="1"/>
      <protection locked="0"/>
    </xf>
    <xf numFmtId="0" fontId="9" fillId="0" borderId="15" xfId="0" applyFont="1" applyFill="1" applyBorder="1" applyAlignment="1" applyProtection="1">
      <alignment horizontal="center" vertical="center" shrinkToFit="1"/>
      <protection locked="0"/>
    </xf>
    <xf numFmtId="0" fontId="9" fillId="0" borderId="56" xfId="0" applyFont="1" applyFill="1" applyBorder="1" applyAlignment="1" applyProtection="1">
      <alignment horizontal="center" vertical="center" shrinkToFit="1"/>
      <protection locked="0"/>
    </xf>
    <xf numFmtId="0" fontId="8" fillId="4" borderId="39" xfId="0" applyFont="1" applyFill="1" applyBorder="1" applyAlignment="1">
      <alignment horizontal="center" vertical="center" shrinkToFit="1"/>
    </xf>
    <xf numFmtId="0" fontId="8" fillId="4" borderId="40" xfId="0" applyFont="1" applyFill="1" applyBorder="1" applyAlignment="1">
      <alignment horizontal="center" vertical="center" shrinkToFit="1"/>
    </xf>
    <xf numFmtId="0" fontId="9" fillId="0" borderId="50" xfId="0" applyFont="1" applyFill="1" applyBorder="1" applyAlignment="1" applyProtection="1">
      <alignment horizontal="right" vertical="center" shrinkToFit="1"/>
      <protection locked="0"/>
    </xf>
    <xf numFmtId="0" fontId="9" fillId="0" borderId="10" xfId="0" applyFont="1" applyFill="1" applyBorder="1" applyAlignment="1" applyProtection="1">
      <alignment horizontal="right" vertical="center" shrinkToFit="1"/>
      <protection locked="0"/>
    </xf>
    <xf numFmtId="0" fontId="9" fillId="4" borderId="4" xfId="0" applyFont="1" applyFill="1" applyBorder="1" applyAlignment="1">
      <alignment horizontal="left" vertical="center" shrinkToFit="1"/>
    </xf>
    <xf numFmtId="0" fontId="9" fillId="4" borderId="35" xfId="0" applyFont="1" applyFill="1" applyBorder="1" applyAlignment="1">
      <alignment horizontal="left" vertical="center" shrinkToFit="1"/>
    </xf>
    <xf numFmtId="0" fontId="9" fillId="0" borderId="33" xfId="0" applyFont="1" applyFill="1" applyBorder="1" applyAlignment="1" applyProtection="1">
      <alignment horizontal="center" vertical="center" shrinkToFit="1"/>
      <protection locked="0"/>
    </xf>
    <xf numFmtId="0" fontId="9" fillId="0" borderId="34" xfId="0" applyFont="1" applyFill="1" applyBorder="1" applyAlignment="1" applyProtection="1">
      <alignment horizontal="center" vertical="center" shrinkToFit="1"/>
      <protection locked="0"/>
    </xf>
    <xf numFmtId="0" fontId="9" fillId="0" borderId="38" xfId="0" applyFont="1" applyFill="1" applyBorder="1" applyAlignment="1" applyProtection="1">
      <alignment horizontal="center" vertical="center" shrinkToFit="1"/>
      <protection locked="0"/>
    </xf>
    <xf numFmtId="0" fontId="0" fillId="4" borderId="28" xfId="0" applyFill="1" applyBorder="1" applyAlignment="1">
      <alignment horizontal="center" vertical="center"/>
    </xf>
    <xf numFmtId="0" fontId="9" fillId="4" borderId="20" xfId="0" applyFont="1" applyFill="1" applyBorder="1" applyAlignment="1">
      <alignment horizontal="center" vertical="center" shrinkToFit="1"/>
    </xf>
    <xf numFmtId="0" fontId="9" fillId="4" borderId="61" xfId="0" applyFont="1" applyFill="1" applyBorder="1" applyAlignment="1">
      <alignment horizontal="center" vertical="center" wrapText="1" shrinkToFit="1"/>
    </xf>
    <xf numFmtId="0" fontId="9" fillId="4" borderId="18" xfId="0" applyFont="1" applyFill="1" applyBorder="1" applyAlignment="1">
      <alignment horizontal="center" vertical="center" wrapText="1" shrinkToFit="1"/>
    </xf>
    <xf numFmtId="0" fontId="9" fillId="4" borderId="47" xfId="0" applyFont="1" applyFill="1" applyBorder="1" applyAlignment="1">
      <alignment horizontal="center" vertical="center" wrapText="1" shrinkToFit="1"/>
    </xf>
    <xf numFmtId="0" fontId="9" fillId="4" borderId="47" xfId="0" applyFont="1" applyFill="1" applyBorder="1" applyAlignment="1">
      <alignment horizontal="center" vertical="center" shrinkToFit="1"/>
    </xf>
    <xf numFmtId="0" fontId="9" fillId="4" borderId="50" xfId="0" applyFont="1" applyFill="1" applyBorder="1" applyAlignment="1">
      <alignment horizontal="center" vertical="center" shrinkToFit="1"/>
    </xf>
    <xf numFmtId="0" fontId="9" fillId="4" borderId="23" xfId="0" applyFont="1" applyFill="1" applyBorder="1" applyAlignment="1">
      <alignment horizontal="center" vertical="center" shrinkToFit="1"/>
    </xf>
    <xf numFmtId="0" fontId="9" fillId="4" borderId="51" xfId="0" applyFont="1" applyFill="1" applyBorder="1" applyAlignment="1">
      <alignment horizontal="center" vertical="center" shrinkToFit="1"/>
    </xf>
    <xf numFmtId="0" fontId="9" fillId="4" borderId="56" xfId="0" applyFont="1" applyFill="1" applyBorder="1" applyAlignment="1">
      <alignment horizontal="center" vertical="center" shrinkToFit="1"/>
    </xf>
    <xf numFmtId="0" fontId="17" fillId="0" borderId="6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0" fontId="8" fillId="4" borderId="28"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9" fillId="0" borderId="15" xfId="0" applyFont="1" applyBorder="1" applyAlignment="1" applyProtection="1">
      <alignment horizontal="center" vertical="center" shrinkToFit="1"/>
      <protection locked="0"/>
    </xf>
    <xf numFmtId="178" fontId="9" fillId="0" borderId="26" xfId="0" applyNumberFormat="1" applyFont="1" applyFill="1" applyBorder="1" applyAlignment="1">
      <alignment horizontal="center" vertical="center" shrinkToFit="1"/>
    </xf>
    <xf numFmtId="0" fontId="17" fillId="0" borderId="2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29"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36" xfId="0" applyFont="1" applyFill="1" applyBorder="1" applyAlignment="1">
      <alignment horizontal="left" vertical="top" wrapText="1"/>
    </xf>
    <xf numFmtId="178" fontId="9" fillId="0" borderId="26" xfId="0" applyNumberFormat="1" applyFont="1" applyFill="1" applyBorder="1" applyAlignment="1">
      <alignment horizontal="center" vertical="center"/>
    </xf>
    <xf numFmtId="0" fontId="0" fillId="4" borderId="39" xfId="0" applyFill="1" applyBorder="1" applyAlignment="1">
      <alignment horizontal="center" vertical="center" shrinkToFit="1"/>
    </xf>
    <xf numFmtId="0" fontId="0" fillId="4" borderId="40" xfId="0" applyFill="1" applyBorder="1" applyAlignment="1">
      <alignment horizontal="center" vertical="center" shrinkToFit="1"/>
    </xf>
    <xf numFmtId="178" fontId="0" fillId="0" borderId="40" xfId="0" applyNumberFormat="1" applyFill="1" applyBorder="1" applyAlignment="1">
      <alignment horizontal="center" vertical="center"/>
    </xf>
    <xf numFmtId="0" fontId="0" fillId="4" borderId="25" xfId="0" applyFill="1" applyBorder="1" applyAlignment="1">
      <alignment horizontal="center" vertical="center" shrinkToFit="1"/>
    </xf>
    <xf numFmtId="0" fontId="0" fillId="4" borderId="26" xfId="0" applyFill="1" applyBorder="1" applyAlignment="1">
      <alignment horizontal="center" vertical="center" shrinkToFit="1"/>
    </xf>
    <xf numFmtId="0" fontId="9" fillId="12" borderId="30" xfId="0" applyFont="1" applyFill="1" applyBorder="1" applyAlignment="1">
      <alignment horizontal="center" vertical="center" shrinkToFit="1"/>
    </xf>
    <xf numFmtId="0" fontId="9" fillId="12" borderId="58" xfId="0" applyFont="1" applyFill="1" applyBorder="1" applyAlignment="1">
      <alignment horizontal="center" vertical="center" shrinkToFit="1"/>
    </xf>
    <xf numFmtId="0" fontId="9" fillId="12" borderId="63" xfId="0" applyFont="1" applyFill="1" applyBorder="1" applyAlignment="1">
      <alignment horizontal="center" vertical="center" shrinkToFit="1"/>
    </xf>
    <xf numFmtId="0" fontId="9" fillId="0" borderId="3" xfId="0" applyFont="1"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25" fillId="4" borderId="2" xfId="0" applyFont="1" applyFill="1" applyBorder="1" applyAlignment="1">
      <alignment horizontal="center" vertical="center"/>
    </xf>
    <xf numFmtId="0" fontId="26" fillId="4" borderId="2" xfId="0" applyFont="1" applyFill="1" applyBorder="1" applyAlignment="1">
      <alignment horizontal="center" vertical="center"/>
    </xf>
    <xf numFmtId="0" fontId="13" fillId="0" borderId="40" xfId="0" applyFont="1" applyBorder="1" applyAlignment="1">
      <alignment horizontal="center" vertical="center"/>
    </xf>
    <xf numFmtId="0" fontId="24" fillId="0" borderId="40" xfId="0" applyFont="1" applyBorder="1" applyAlignment="1">
      <alignment horizontal="center" vertical="center"/>
    </xf>
    <xf numFmtId="0" fontId="24" fillId="0" borderId="36" xfId="0" applyFont="1" applyBorder="1" applyAlignment="1">
      <alignment horizontal="center" vertical="center"/>
    </xf>
    <xf numFmtId="186" fontId="9" fillId="0" borderId="63" xfId="0" applyNumberFormat="1" applyFont="1" applyBorder="1" applyAlignment="1" applyProtection="1">
      <alignment horizontal="center" vertical="center" shrinkToFit="1"/>
      <protection locked="0"/>
    </xf>
    <xf numFmtId="186" fontId="9" fillId="0" borderId="65" xfId="0" applyNumberFormat="1" applyFont="1" applyBorder="1" applyAlignment="1" applyProtection="1">
      <alignment horizontal="center" vertical="center" shrinkToFit="1"/>
      <protection locked="0"/>
    </xf>
    <xf numFmtId="186" fontId="9" fillId="0" borderId="32" xfId="0" applyNumberFormat="1" applyFont="1" applyBorder="1" applyAlignment="1" applyProtection="1">
      <alignment horizontal="center" vertical="center" shrinkToFit="1"/>
      <protection locked="0"/>
    </xf>
    <xf numFmtId="179" fontId="9" fillId="0" borderId="71" xfId="0" applyNumberFormat="1" applyFont="1" applyFill="1" applyBorder="1" applyAlignment="1" applyProtection="1">
      <alignment horizontal="center" vertical="center" shrinkToFit="1"/>
    </xf>
    <xf numFmtId="179" fontId="9" fillId="0" borderId="49" xfId="0" applyNumberFormat="1" applyFont="1" applyFill="1" applyBorder="1" applyAlignment="1" applyProtection="1">
      <alignment horizontal="center" vertical="center" shrinkToFit="1"/>
    </xf>
    <xf numFmtId="179" fontId="9" fillId="0" borderId="46" xfId="0" applyNumberFormat="1" applyFont="1" applyFill="1" applyBorder="1" applyAlignment="1" applyProtection="1">
      <alignment horizontal="center" vertical="center" shrinkToFit="1"/>
    </xf>
    <xf numFmtId="0" fontId="2" fillId="0" borderId="13"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8" fillId="4" borderId="14" xfId="0" applyFont="1" applyFill="1" applyBorder="1" applyAlignment="1">
      <alignment horizontal="center" vertical="center" shrinkToFit="1"/>
    </xf>
    <xf numFmtId="0" fontId="8" fillId="4" borderId="5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9" fillId="4" borderId="13" xfId="0" applyFont="1" applyFill="1" applyBorder="1" applyAlignment="1">
      <alignment horizontal="center" vertical="center" shrinkToFit="1"/>
    </xf>
    <xf numFmtId="0" fontId="0" fillId="4" borderId="3" xfId="0" applyFill="1" applyBorder="1" applyAlignment="1">
      <alignment horizontal="center" vertical="center" wrapText="1"/>
    </xf>
    <xf numFmtId="0" fontId="9" fillId="12" borderId="71" xfId="0" applyFont="1" applyFill="1" applyBorder="1" applyAlignment="1">
      <alignment horizontal="center" vertical="center"/>
    </xf>
    <xf numFmtId="0" fontId="9" fillId="0" borderId="18" xfId="0" applyFont="1" applyBorder="1" applyAlignment="1">
      <alignment vertical="center"/>
    </xf>
    <xf numFmtId="0" fontId="9" fillId="12"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vertical="center"/>
    </xf>
    <xf numFmtId="0" fontId="9" fillId="0" borderId="46" xfId="0" applyFont="1" applyBorder="1" applyAlignment="1">
      <alignment vertical="center"/>
    </xf>
    <xf numFmtId="0" fontId="0" fillId="0" borderId="49"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0" fillId="0" borderId="18" xfId="0" applyBorder="1" applyAlignment="1">
      <alignment horizontal="center" vertical="center" shrinkToFit="1"/>
    </xf>
    <xf numFmtId="0" fontId="0" fillId="0" borderId="34" xfId="0" applyBorder="1" applyAlignment="1">
      <alignment horizontal="center" vertical="center" shrinkToFit="1"/>
    </xf>
    <xf numFmtId="0" fontId="0" fillId="0" borderId="34" xfId="0" applyBorder="1" applyAlignment="1">
      <alignment horizontal="center" vertical="center"/>
    </xf>
    <xf numFmtId="0" fontId="9" fillId="4" borderId="57" xfId="0" applyFont="1" applyFill="1" applyBorder="1" applyAlignment="1">
      <alignment horizontal="center" vertical="center" textRotation="255" wrapText="1"/>
    </xf>
    <xf numFmtId="0" fontId="9" fillId="4" borderId="58" xfId="0" applyFont="1" applyFill="1" applyBorder="1" applyAlignment="1">
      <alignment horizontal="center" vertical="center" textRotation="255" wrapText="1"/>
    </xf>
    <xf numFmtId="0" fontId="0" fillId="0" borderId="59" xfId="0" applyBorder="1" applyAlignment="1">
      <alignment vertical="center"/>
    </xf>
    <xf numFmtId="0" fontId="9" fillId="12" borderId="18" xfId="0" applyFont="1" applyFill="1" applyBorder="1" applyAlignment="1">
      <alignment horizontal="center" vertical="center"/>
    </xf>
    <xf numFmtId="178" fontId="16" fillId="0" borderId="48" xfId="0" applyNumberFormat="1" applyFont="1" applyFill="1" applyBorder="1" applyAlignment="1">
      <alignment horizontal="center" vertical="center"/>
    </xf>
    <xf numFmtId="0" fontId="9" fillId="3" borderId="47" xfId="0" applyFont="1" applyFill="1" applyBorder="1" applyAlignment="1">
      <alignment horizontal="center" vertical="center"/>
    </xf>
    <xf numFmtId="0" fontId="16" fillId="12" borderId="3" xfId="0" applyFont="1" applyFill="1" applyBorder="1" applyAlignment="1" applyProtection="1">
      <alignment horizontal="center" vertical="center"/>
      <protection locked="0"/>
    </xf>
    <xf numFmtId="0" fontId="9" fillId="0" borderId="4" xfId="0" applyFont="1" applyBorder="1" applyAlignment="1">
      <alignment horizontal="center" vertical="center"/>
    </xf>
    <xf numFmtId="0" fontId="9" fillId="12" borderId="4" xfId="0" applyFont="1" applyFill="1" applyBorder="1" applyAlignment="1">
      <alignment horizontal="center" vertical="center"/>
    </xf>
    <xf numFmtId="0" fontId="9" fillId="12" borderId="47" xfId="0" applyFont="1" applyFill="1" applyBorder="1" applyAlignment="1">
      <alignment horizontal="center" vertical="center"/>
    </xf>
    <xf numFmtId="0" fontId="16" fillId="12" borderId="48" xfId="0" applyFont="1" applyFill="1" applyBorder="1" applyAlignment="1" applyProtection="1">
      <alignment horizontal="center" vertical="center"/>
      <protection locked="0"/>
    </xf>
    <xf numFmtId="0" fontId="9" fillId="12" borderId="38" xfId="0" applyFont="1" applyFill="1" applyBorder="1" applyAlignment="1">
      <alignment horizontal="center" vertical="center"/>
    </xf>
    <xf numFmtId="0" fontId="8" fillId="0" borderId="44" xfId="0" applyFont="1" applyBorder="1" applyAlignment="1">
      <alignment horizontal="center" vertical="center"/>
    </xf>
    <xf numFmtId="0" fontId="16" fillId="3" borderId="3"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47" xfId="0" applyFont="1" applyFill="1" applyBorder="1" applyAlignment="1" applyProtection="1">
      <alignment horizontal="center" vertical="center"/>
    </xf>
    <xf numFmtId="0" fontId="8" fillId="0" borderId="5" xfId="0" applyFont="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67" xfId="0" applyFont="1" applyBorder="1" applyAlignment="1">
      <alignment horizontal="center" vertical="center" wrapText="1"/>
    </xf>
    <xf numFmtId="0" fontId="9" fillId="0" borderId="73" xfId="0" applyFont="1" applyBorder="1" applyAlignment="1">
      <alignment horizontal="center" vertical="center"/>
    </xf>
    <xf numFmtId="0" fontId="0" fillId="0" borderId="60" xfId="0" applyBorder="1" applyAlignment="1">
      <alignment horizontal="center" vertical="center" wrapText="1"/>
    </xf>
    <xf numFmtId="0" fontId="0" fillId="0" borderId="75" xfId="0" applyBorder="1" applyAlignment="1">
      <alignment horizontal="center" vertical="center"/>
    </xf>
    <xf numFmtId="0" fontId="0" fillId="0" borderId="17" xfId="0"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8" fillId="3" borderId="6"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9" fillId="8" borderId="27" xfId="0" applyFont="1" applyFill="1" applyBorder="1" applyAlignment="1" applyProtection="1">
      <alignment horizontal="center" vertical="center"/>
      <protection locked="0"/>
    </xf>
    <xf numFmtId="0" fontId="9" fillId="4" borderId="30" xfId="0" applyFont="1" applyFill="1" applyBorder="1" applyAlignment="1" applyProtection="1">
      <alignment horizontal="center" vertical="center" textRotation="255"/>
    </xf>
    <xf numFmtId="0" fontId="9" fillId="0" borderId="1" xfId="0" applyFont="1" applyFill="1" applyBorder="1" applyAlignment="1" applyProtection="1">
      <alignment horizontal="center" vertical="center"/>
    </xf>
    <xf numFmtId="178" fontId="9" fillId="0" borderId="3" xfId="0" applyNumberFormat="1" applyFont="1" applyBorder="1" applyAlignment="1" applyProtection="1">
      <alignment horizontal="center" vertical="center"/>
      <protection locked="0"/>
    </xf>
    <xf numFmtId="178" fontId="9" fillId="0" borderId="4" xfId="0" applyNumberFormat="1" applyFont="1" applyBorder="1" applyAlignment="1" applyProtection="1">
      <alignment horizontal="center" vertical="center"/>
      <protection locked="0"/>
    </xf>
    <xf numFmtId="178" fontId="9" fillId="0" borderId="1" xfId="0" applyNumberFormat="1" applyFont="1" applyBorder="1" applyAlignment="1" applyProtection="1">
      <alignment horizontal="center" vertical="center"/>
      <protection locked="0"/>
    </xf>
    <xf numFmtId="0" fontId="0" fillId="0" borderId="20"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22" xfId="0" applyBorder="1" applyAlignment="1">
      <alignment horizontal="center" vertical="center" wrapText="1" shrinkToFit="1"/>
    </xf>
    <xf numFmtId="0" fontId="9" fillId="0" borderId="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9" fillId="4" borderId="2" xfId="0" applyFont="1" applyFill="1" applyBorder="1" applyAlignment="1" applyProtection="1">
      <alignment horizontal="center" vertical="center"/>
    </xf>
    <xf numFmtId="0" fontId="9" fillId="3" borderId="2" xfId="0" applyFont="1" applyFill="1" applyBorder="1" applyAlignment="1" applyProtection="1">
      <alignment horizontal="center" vertical="center"/>
      <protection locked="0"/>
    </xf>
    <xf numFmtId="178" fontId="9" fillId="3" borderId="2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0" fontId="9" fillId="3" borderId="19" xfId="0" applyFont="1" applyFill="1" applyBorder="1" applyAlignment="1" applyProtection="1">
      <alignment horizontal="center" vertical="center"/>
      <protection locked="0"/>
    </xf>
    <xf numFmtId="0" fontId="9" fillId="3" borderId="23" xfId="0" applyFont="1" applyFill="1" applyBorder="1" applyAlignment="1" applyProtection="1">
      <alignment horizontal="center" vertical="center"/>
      <protection locked="0"/>
    </xf>
    <xf numFmtId="0" fontId="9" fillId="0" borderId="2"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9"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pplyProtection="1">
      <alignment horizontal="center" vertical="center"/>
      <protection locked="0"/>
    </xf>
    <xf numFmtId="0" fontId="9" fillId="3" borderId="18"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9" fillId="0" borderId="81" xfId="0" applyFont="1" applyBorder="1" applyAlignment="1" applyProtection="1">
      <alignment horizontal="center" vertical="center"/>
      <protection locked="0"/>
    </xf>
    <xf numFmtId="0" fontId="9" fillId="0" borderId="78" xfId="0" applyFont="1" applyBorder="1" applyAlignment="1" applyProtection="1">
      <alignment horizontal="center" vertical="center"/>
      <protection locked="0"/>
    </xf>
    <xf numFmtId="0" fontId="9" fillId="3" borderId="1" xfId="0" applyFont="1" applyFill="1" applyBorder="1" applyAlignment="1">
      <alignment horizontal="center" vertical="center"/>
    </xf>
    <xf numFmtId="178" fontId="9" fillId="3" borderId="3" xfId="0" applyNumberFormat="1" applyFont="1" applyFill="1" applyBorder="1" applyAlignment="1" applyProtection="1">
      <alignment horizontal="center" vertical="center"/>
      <protection locked="0"/>
    </xf>
    <xf numFmtId="178" fontId="9" fillId="3" borderId="4" xfId="0" applyNumberFormat="1" applyFont="1" applyFill="1" applyBorder="1" applyAlignment="1" applyProtection="1">
      <alignment horizontal="center" vertical="center"/>
      <protection locked="0"/>
    </xf>
    <xf numFmtId="0" fontId="9" fillId="4" borderId="40" xfId="0" applyFont="1" applyFill="1" applyBorder="1" applyAlignment="1">
      <alignment horizontal="center" vertical="center" wrapText="1" shrinkToFit="1"/>
    </xf>
    <xf numFmtId="0" fontId="9" fillId="4" borderId="40" xfId="0" applyFont="1" applyFill="1" applyBorder="1" applyAlignment="1">
      <alignment horizontal="center" vertical="center" wrapText="1"/>
    </xf>
    <xf numFmtId="0" fontId="9" fillId="4" borderId="36" xfId="0" applyFont="1" applyFill="1" applyBorder="1" applyAlignment="1">
      <alignment horizontal="center" vertical="center" wrapText="1" shrinkToFit="1"/>
    </xf>
    <xf numFmtId="0" fontId="9" fillId="4" borderId="28" xfId="2" applyFont="1" applyFill="1" applyBorder="1" applyAlignment="1" applyProtection="1">
      <alignment horizontal="center" vertical="center" shrinkToFit="1"/>
    </xf>
    <xf numFmtId="0" fontId="9" fillId="4" borderId="1" xfId="2" applyFont="1" applyFill="1" applyBorder="1" applyAlignment="1" applyProtection="1">
      <alignment horizontal="center" vertical="center" shrinkToFit="1"/>
    </xf>
    <xf numFmtId="0" fontId="9" fillId="4" borderId="58" xfId="2" applyFont="1" applyFill="1" applyBorder="1" applyAlignment="1" applyProtection="1">
      <alignment horizontal="center" vertical="center" shrinkToFit="1"/>
    </xf>
    <xf numFmtId="0" fontId="9" fillId="4" borderId="74" xfId="2" applyFont="1" applyFill="1" applyBorder="1" applyAlignment="1" applyProtection="1">
      <alignment horizontal="center" vertical="center" shrinkToFit="1"/>
    </xf>
    <xf numFmtId="0" fontId="9" fillId="4" borderId="61" xfId="0" applyFont="1" applyFill="1" applyBorder="1" applyAlignment="1" applyProtection="1">
      <alignment horizontal="center" vertical="center" shrinkToFit="1"/>
    </xf>
    <xf numFmtId="0" fontId="9" fillId="4" borderId="33" xfId="0" applyFont="1" applyFill="1" applyBorder="1" applyAlignment="1" applyProtection="1">
      <alignment horizontal="center" vertical="center" shrinkToFit="1"/>
    </xf>
    <xf numFmtId="0" fontId="30" fillId="0" borderId="26" xfId="2" applyFont="1" applyBorder="1" applyAlignment="1" applyProtection="1">
      <alignment horizontal="center" vertical="center"/>
      <protection locked="0"/>
    </xf>
    <xf numFmtId="0" fontId="30" fillId="0" borderId="27" xfId="2" applyFont="1" applyBorder="1" applyAlignment="1" applyProtection="1">
      <alignment horizontal="center" vertical="center"/>
      <protection locked="0"/>
    </xf>
    <xf numFmtId="0" fontId="30" fillId="4" borderId="5" xfId="2" applyFont="1" applyFill="1" applyBorder="1" applyAlignment="1">
      <alignment horizontal="center"/>
    </xf>
    <xf numFmtId="0" fontId="30" fillId="4" borderId="7" xfId="2" applyFont="1" applyFill="1" applyBorder="1" applyAlignment="1">
      <alignment horizontal="center"/>
    </xf>
    <xf numFmtId="0" fontId="30" fillId="0" borderId="48" xfId="2" applyFont="1" applyBorder="1" applyAlignment="1" applyProtection="1">
      <alignment horizontal="center" vertical="center"/>
      <protection locked="0"/>
    </xf>
    <xf numFmtId="0" fontId="30" fillId="0" borderId="38" xfId="2" applyFont="1" applyBorder="1" applyAlignment="1" applyProtection="1">
      <alignment horizontal="center" vertical="center"/>
      <protection locked="0"/>
    </xf>
    <xf numFmtId="0" fontId="30" fillId="0" borderId="6"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0" xfId="2" applyFont="1" applyAlignment="1" applyProtection="1">
      <alignment horizontal="left" vertical="top"/>
      <protection locked="0"/>
    </xf>
    <xf numFmtId="0" fontId="30" fillId="0" borderId="9" xfId="2" applyFont="1" applyBorder="1" applyAlignment="1" applyProtection="1">
      <alignment horizontal="left" vertical="top"/>
      <protection locked="0"/>
    </xf>
    <xf numFmtId="0" fontId="30" fillId="0" borderId="10" xfId="2" applyFont="1" applyBorder="1" applyAlignment="1" applyProtection="1">
      <alignment horizontal="left" vertical="top"/>
      <protection locked="0"/>
    </xf>
    <xf numFmtId="0" fontId="30" fillId="0" borderId="11"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9" fillId="4" borderId="10" xfId="0" applyFont="1" applyFill="1" applyBorder="1" applyAlignment="1" applyProtection="1">
      <alignment horizontal="center" vertical="center" shrinkToFit="1"/>
    </xf>
    <xf numFmtId="0" fontId="9" fillId="4" borderId="11" xfId="0" applyFont="1" applyFill="1" applyBorder="1" applyAlignment="1" applyProtection="1">
      <alignment horizontal="center" vertical="center" shrinkToFit="1"/>
    </xf>
    <xf numFmtId="0" fontId="9" fillId="4" borderId="72" xfId="0" applyFont="1" applyFill="1" applyBorder="1" applyAlignment="1" applyProtection="1">
      <alignment horizontal="center" vertical="center" shrinkToFit="1"/>
    </xf>
    <xf numFmtId="0" fontId="9" fillId="4" borderId="1" xfId="2" applyFont="1" applyFill="1" applyBorder="1" applyAlignment="1" applyProtection="1">
      <alignment horizontal="center" vertical="center" wrapText="1"/>
    </xf>
    <xf numFmtId="0" fontId="9" fillId="4" borderId="28" xfId="2" applyFont="1" applyFill="1" applyBorder="1" applyAlignment="1" applyProtection="1">
      <alignment horizontal="center" vertical="center"/>
    </xf>
    <xf numFmtId="0" fontId="9" fillId="4" borderId="1" xfId="2" applyFont="1" applyFill="1" applyBorder="1" applyAlignment="1" applyProtection="1">
      <alignment horizontal="center" vertical="center"/>
    </xf>
    <xf numFmtId="0" fontId="13" fillId="0" borderId="52"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0" fontId="25" fillId="4" borderId="14" xfId="0" applyFont="1" applyFill="1" applyBorder="1" applyAlignment="1">
      <alignment horizontal="center" vertical="center"/>
    </xf>
    <xf numFmtId="0" fontId="26" fillId="4" borderId="54" xfId="0" applyFont="1" applyFill="1" applyBorder="1" applyAlignment="1">
      <alignment horizontal="center" vertical="center"/>
    </xf>
    <xf numFmtId="0" fontId="26" fillId="4" borderId="55" xfId="0" applyFont="1" applyFill="1" applyBorder="1" applyAlignment="1">
      <alignment horizontal="center" vertical="center"/>
    </xf>
    <xf numFmtId="0" fontId="9" fillId="4" borderId="13" xfId="2" applyFont="1" applyFill="1" applyBorder="1" applyAlignment="1">
      <alignment horizontal="center" vertical="center" shrinkToFit="1"/>
    </xf>
    <xf numFmtId="184" fontId="8" fillId="0" borderId="52" xfId="0" applyNumberFormat="1" applyFont="1" applyFill="1" applyBorder="1" applyAlignment="1">
      <alignment horizontal="center" vertical="center" shrinkToFit="1"/>
    </xf>
    <xf numFmtId="184" fontId="8" fillId="0" borderId="15" xfId="0" applyNumberFormat="1" applyFont="1" applyFill="1" applyBorder="1" applyAlignment="1">
      <alignment horizontal="center" vertical="center" shrinkToFit="1"/>
    </xf>
    <xf numFmtId="184" fontId="8" fillId="0" borderId="56" xfId="0" applyNumberFormat="1" applyFont="1" applyFill="1" applyBorder="1" applyAlignment="1">
      <alignment horizontal="center" vertical="center" shrinkToFit="1"/>
    </xf>
    <xf numFmtId="0" fontId="30" fillId="0" borderId="54" xfId="2" applyFont="1" applyBorder="1" applyAlignment="1" applyProtection="1">
      <alignment horizontal="center" vertical="center"/>
      <protection locked="0"/>
    </xf>
    <xf numFmtId="0" fontId="30" fillId="0" borderId="55" xfId="2" applyFont="1" applyBorder="1" applyAlignment="1" applyProtection="1">
      <alignment horizontal="center" vertical="center"/>
      <protection locked="0"/>
    </xf>
    <xf numFmtId="0" fontId="30" fillId="4" borderId="10" xfId="2" applyFont="1" applyFill="1" applyBorder="1" applyAlignment="1">
      <alignment horizontal="center"/>
    </xf>
    <xf numFmtId="0" fontId="30" fillId="4" borderId="12" xfId="2" applyFont="1" applyFill="1" applyBorder="1" applyAlignment="1">
      <alignment horizontal="center"/>
    </xf>
    <xf numFmtId="0" fontId="30" fillId="4" borderId="26" xfId="2" applyFont="1" applyFill="1" applyBorder="1" applyAlignment="1">
      <alignment horizontal="center" vertical="center" shrinkToFit="1"/>
    </xf>
    <xf numFmtId="0" fontId="9" fillId="4" borderId="25" xfId="2"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cellXfs>
  <cellStyles count="3">
    <cellStyle name="標準" xfId="0" builtinId="0"/>
    <cellStyle name="標準 2" xfId="1" xr:uid="{00000000-0005-0000-0000-000001000000}"/>
    <cellStyle name="標準 3" xfId="2" xr:uid="{B8B49634-35B7-4205-8D57-8774082D0577}"/>
  </cellStyles>
  <dxfs count="253">
    <dxf>
      <fill>
        <patternFill>
          <bgColor theme="0" tint="-0.14996795556505021"/>
        </patternFill>
      </fill>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b/>
        <i val="0"/>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rgb="FFFFC000"/>
      </font>
    </dxf>
    <dxf>
      <fill>
        <patternFill>
          <bgColor theme="7"/>
        </patternFill>
      </fill>
    </dxf>
    <dxf>
      <fill>
        <patternFill>
          <bgColor theme="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ont>
        <color theme="7"/>
      </font>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63098605380325E-2"/>
          <c:y val="1.3072001984927891E-2"/>
          <c:w val="0.94661971756891117"/>
          <c:h val="0.82757513098237812"/>
        </c:manualLayout>
      </c:layout>
      <c:barChart>
        <c:barDir val="col"/>
        <c:grouping val="clustered"/>
        <c:varyColors val="0"/>
        <c:ser>
          <c:idx val="0"/>
          <c:order val="0"/>
          <c:tx>
            <c:v>エキス分100%換算値</c:v>
          </c:tx>
          <c:spPr>
            <a:solidFill>
              <a:schemeClr val="accent1"/>
            </a:solidFill>
            <a:ln>
              <a:noFill/>
            </a:ln>
            <a:effectLst/>
          </c:spPr>
          <c:invertIfNegative val="0"/>
          <c:val>
            <c:numRef>
              <c:f>比較!$D$16:$AQ$16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73D-4CDB-B692-74EC2828FE79}"/>
            </c:ext>
          </c:extLst>
        </c:ser>
        <c:ser>
          <c:idx val="1"/>
          <c:order val="1"/>
          <c:tx>
            <c:v>発酵度</c:v>
          </c:tx>
          <c:spPr>
            <a:solidFill>
              <a:srgbClr val="FF0000"/>
            </a:solidFill>
            <a:ln>
              <a:solidFill>
                <a:srgbClr val="FF0000"/>
              </a:solidFill>
            </a:ln>
            <a:effectLst/>
          </c:spPr>
          <c:invertIfNegative val="0"/>
          <c:val>
            <c:numRef>
              <c:f>比較!$D$15:$AQ$15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E73D-4CDB-B692-74EC2828FE79}"/>
            </c:ext>
          </c:extLst>
        </c:ser>
        <c:ser>
          <c:idx val="2"/>
          <c:order val="2"/>
          <c:tx>
            <c:v>溶解度</c:v>
          </c:tx>
          <c:spPr>
            <a:solidFill>
              <a:srgbClr val="92D050"/>
            </a:solidFill>
            <a:ln>
              <a:noFill/>
            </a:ln>
            <a:effectLst/>
          </c:spPr>
          <c:invertIfNegative val="0"/>
          <c:val>
            <c:numRef>
              <c:f>比較!$D$17:$AQ$17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E73D-4CDB-B692-74EC2828FE79}"/>
            </c:ext>
          </c:extLst>
        </c:ser>
        <c:dLbls>
          <c:showLegendKey val="0"/>
          <c:showVal val="0"/>
          <c:showCatName val="0"/>
          <c:showSerName val="0"/>
          <c:showPercent val="0"/>
          <c:showBubbleSize val="0"/>
        </c:dLbls>
        <c:gapWidth val="219"/>
        <c:overlap val="-27"/>
        <c:axId val="399598784"/>
        <c:axId val="399602704"/>
      </c:barChart>
      <c:lineChart>
        <c:grouping val="standard"/>
        <c:varyColors val="0"/>
        <c:ser>
          <c:idx val="6"/>
          <c:order val="3"/>
          <c:tx>
            <c:v>発酵／溶解比</c:v>
          </c:tx>
          <c:spPr>
            <a:ln w="25400" cap="rnd">
              <a:noFill/>
              <a:round/>
            </a:ln>
            <a:effectLst/>
          </c:spPr>
          <c:marker>
            <c:symbol val="circle"/>
            <c:size val="5"/>
            <c:spPr>
              <a:solidFill>
                <a:srgbClr val="7030A0"/>
              </a:solidFill>
              <a:ln w="9525">
                <a:noFill/>
              </a:ln>
              <a:effectLst/>
            </c:spPr>
          </c:marker>
          <c:val>
            <c:numRef>
              <c:f>比較!$D$41:$AQ$41</c:f>
              <c:numCache>
                <c:formatCode>0.0_ </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6-E73D-4CDB-B692-74EC2828FE79}"/>
            </c:ext>
          </c:extLst>
        </c:ser>
        <c:ser>
          <c:idx val="3"/>
          <c:order val="4"/>
          <c:tx>
            <c:strRef>
              <c:f>比較!$A$42</c:f>
              <c:strCache>
                <c:ptCount val="1"/>
                <c:pt idx="0">
                  <c:v>目標発酵度</c:v>
                </c:pt>
              </c:strCache>
            </c:strRef>
          </c:tx>
          <c:spPr>
            <a:ln w="28575" cap="rnd">
              <a:solidFill>
                <a:srgbClr val="FF0000"/>
              </a:solidFill>
              <a:round/>
            </a:ln>
            <a:effectLst/>
          </c:spPr>
          <c:marker>
            <c:symbol val="none"/>
          </c:marker>
          <c:val>
            <c:numRef>
              <c:f>比較!$D$42:$AQ$42</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0-E380-449F-937E-38BAFA616E2A}"/>
            </c:ext>
          </c:extLst>
        </c:ser>
        <c:ser>
          <c:idx val="4"/>
          <c:order val="5"/>
          <c:tx>
            <c:strRef>
              <c:f>比較!$A$44</c:f>
              <c:strCache>
                <c:ptCount val="1"/>
                <c:pt idx="0">
                  <c:v>目標溶解度</c:v>
                </c:pt>
              </c:strCache>
            </c:strRef>
          </c:tx>
          <c:spPr>
            <a:ln w="28575" cap="rnd">
              <a:solidFill>
                <a:srgbClr val="92D050"/>
              </a:solidFill>
              <a:round/>
            </a:ln>
            <a:effectLst/>
          </c:spPr>
          <c:marker>
            <c:symbol val="none"/>
          </c:marker>
          <c:val>
            <c:numRef>
              <c:f>比較!$D$44:$AQ$44</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1-E380-449F-937E-38BAFA616E2A}"/>
            </c:ext>
          </c:extLst>
        </c:ser>
        <c:ser>
          <c:idx val="5"/>
          <c:order val="6"/>
          <c:tx>
            <c:strRef>
              <c:f>比較!$A$45</c:f>
              <c:strCache>
                <c:ptCount val="1"/>
                <c:pt idx="0">
                  <c:v>目標発酵／溶解比</c:v>
                </c:pt>
              </c:strCache>
            </c:strRef>
          </c:tx>
          <c:spPr>
            <a:ln w="25400" cap="rnd">
              <a:solidFill>
                <a:srgbClr val="7030A0"/>
              </a:solidFill>
              <a:round/>
            </a:ln>
            <a:effectLst/>
          </c:spPr>
          <c:marker>
            <c:symbol val="none"/>
          </c:marker>
          <c:val>
            <c:numRef>
              <c:f>比較!$D$45:$AQ$45</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2-E380-449F-937E-38BAFA616E2A}"/>
            </c:ext>
          </c:extLst>
        </c:ser>
        <c:ser>
          <c:idx val="7"/>
          <c:order val="7"/>
          <c:tx>
            <c:strRef>
              <c:f>比較!$A$43</c:f>
              <c:strCache>
                <c:ptCount val="1"/>
                <c:pt idx="0">
                  <c:v>目標エキス分100%換算値</c:v>
                </c:pt>
              </c:strCache>
            </c:strRef>
          </c:tx>
          <c:spPr>
            <a:ln w="28575" cap="rnd">
              <a:solidFill>
                <a:schemeClr val="accent2">
                  <a:lumMod val="60000"/>
                </a:schemeClr>
              </a:solidFill>
              <a:round/>
            </a:ln>
            <a:effectLst/>
          </c:spPr>
          <c:marker>
            <c:symbol val="none"/>
          </c:marker>
          <c:val>
            <c:numRef>
              <c:f>比較!$D$43:$AQ$43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3-E380-449F-937E-38BAFA616E2A}"/>
            </c:ext>
          </c:extLst>
        </c:ser>
        <c:dLbls>
          <c:showLegendKey val="0"/>
          <c:showVal val="0"/>
          <c:showCatName val="0"/>
          <c:showSerName val="0"/>
          <c:showPercent val="0"/>
          <c:showBubbleSize val="0"/>
        </c:dLbls>
        <c:marker val="1"/>
        <c:smooth val="0"/>
        <c:axId val="399603096"/>
        <c:axId val="399602312"/>
      </c:lineChart>
      <c:catAx>
        <c:axId val="3995987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2704"/>
        <c:crosses val="autoZero"/>
        <c:auto val="1"/>
        <c:lblAlgn val="ctr"/>
        <c:lblOffset val="100"/>
        <c:noMultiLvlLbl val="0"/>
      </c:catAx>
      <c:valAx>
        <c:axId val="39960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598784"/>
        <c:crosses val="autoZero"/>
        <c:crossBetween val="between"/>
      </c:valAx>
      <c:valAx>
        <c:axId val="3996023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3096"/>
        <c:crosses val="max"/>
        <c:crossBetween val="between"/>
      </c:valAx>
      <c:catAx>
        <c:axId val="399603096"/>
        <c:scaling>
          <c:orientation val="minMax"/>
        </c:scaling>
        <c:delete val="1"/>
        <c:axPos val="b"/>
        <c:majorTickMark val="out"/>
        <c:minorTickMark val="none"/>
        <c:tickLblPos val="nextTo"/>
        <c:crossAx val="399602312"/>
        <c:crosses val="autoZero"/>
        <c:auto val="1"/>
        <c:lblAlgn val="ctr"/>
        <c:lblOffset val="100"/>
        <c:noMultiLvlLbl val="0"/>
      </c:catAx>
      <c:spPr>
        <a:noFill/>
        <a:ln>
          <a:noFill/>
        </a:ln>
        <a:effectLst/>
      </c:spPr>
    </c:plotArea>
    <c:legend>
      <c:legendPos val="b"/>
      <c:layout>
        <c:manualLayout>
          <c:xMode val="edge"/>
          <c:yMode val="edge"/>
          <c:x val="4.626534821638096E-2"/>
          <c:y val="0.94321325551806656"/>
          <c:w val="0.89999994118612303"/>
          <c:h val="4.18919375895863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BMD</a:t>
            </a:r>
            <a:r>
              <a:rPr lang="ja-JP" altLang="en-US"/>
              <a:t>曲線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662511129433855E-2"/>
          <c:y val="9.2524348913530535E-2"/>
          <c:w val="0.86605812046833863"/>
          <c:h val="0.79845533926390988"/>
        </c:manualLayout>
      </c:layout>
      <c:scatterChart>
        <c:scatterStyle val="lineMarker"/>
        <c:varyColors val="0"/>
        <c:ser>
          <c:idx val="0"/>
          <c:order val="0"/>
          <c:tx>
            <c:v>BMD曲線</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〇号!$S$129:$BE$129</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46D1-4D17-98DC-4EC732CA95E1}"/>
            </c:ext>
          </c:extLst>
        </c:ser>
        <c:ser>
          <c:idx val="1"/>
          <c:order val="1"/>
          <c:tx>
            <c:strRef>
              <c:f>〇号!$A$176</c:f>
              <c:strCache>
                <c:ptCount val="1"/>
                <c:pt idx="0">
                  <c:v>目標最高BMD</c:v>
                </c:pt>
              </c:strCache>
            </c:strRef>
          </c:tx>
          <c:spPr>
            <a:ln w="19050" cap="rnd">
              <a:solidFill>
                <a:schemeClr val="accent2"/>
              </a:solidFill>
              <a:round/>
            </a:ln>
            <a:effectLst/>
          </c:spPr>
          <c:marker>
            <c:symbol val="none"/>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〇号!$S$176:$BE$176</c:f>
              <c:numCache>
                <c:formatCode>0.0_ </c:formatCode>
                <c:ptCount val="39"/>
                <c:pt idx="0">
                  <c:v>45.3</c:v>
                </c:pt>
                <c:pt idx="1">
                  <c:v>45.3</c:v>
                </c:pt>
                <c:pt idx="2">
                  <c:v>45.3</c:v>
                </c:pt>
                <c:pt idx="3">
                  <c:v>45.3</c:v>
                </c:pt>
                <c:pt idx="4">
                  <c:v>45.3</c:v>
                </c:pt>
                <c:pt idx="5">
                  <c:v>45.3</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pt idx="30">
                  <c:v>45.3</c:v>
                </c:pt>
                <c:pt idx="31">
                  <c:v>45.3</c:v>
                </c:pt>
                <c:pt idx="32">
                  <c:v>45.3</c:v>
                </c:pt>
                <c:pt idx="33">
                  <c:v>45.3</c:v>
                </c:pt>
                <c:pt idx="34">
                  <c:v>45.3</c:v>
                </c:pt>
                <c:pt idx="35">
                  <c:v>45.3</c:v>
                </c:pt>
                <c:pt idx="36">
                  <c:v>45.3</c:v>
                </c:pt>
                <c:pt idx="37">
                  <c:v>45.3</c:v>
                </c:pt>
                <c:pt idx="38">
                  <c:v>45.3</c:v>
                </c:pt>
              </c:numCache>
            </c:numRef>
          </c:yVal>
          <c:smooth val="0"/>
          <c:extLst>
            <c:ext xmlns:c16="http://schemas.microsoft.com/office/drawing/2014/chart" uri="{C3380CC4-5D6E-409C-BE32-E72D297353CC}">
              <c16:uniqueId val="{00000000-1C9E-474E-9A80-354B9D868BF3}"/>
            </c:ext>
          </c:extLst>
        </c:ser>
        <c:dLbls>
          <c:showLegendKey val="0"/>
          <c:showVal val="0"/>
          <c:showCatName val="0"/>
          <c:showSerName val="0"/>
          <c:showPercent val="0"/>
          <c:showBubbleSize val="0"/>
        </c:dLbls>
        <c:axId val="327346176"/>
        <c:axId val="327346960"/>
      </c:scatterChart>
      <c:valAx>
        <c:axId val="327346176"/>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960"/>
        <c:crosses val="autoZero"/>
        <c:crossBetween val="midCat"/>
      </c:valAx>
      <c:valAx>
        <c:axId val="327346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BMD</a:t>
                </a:r>
                <a:endParaRPr lang="ja-JP" alt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176"/>
        <c:crosses val="autoZero"/>
        <c:crossBetween val="midCat"/>
      </c:valAx>
      <c:spPr>
        <a:noFill/>
        <a:ln>
          <a:noFill/>
        </a:ln>
        <a:effectLst/>
      </c:spPr>
    </c:plotArea>
    <c:legend>
      <c:legendPos val="r"/>
      <c:layout>
        <c:manualLayout>
          <c:xMode val="edge"/>
          <c:yMode val="edge"/>
          <c:x val="0.68078522992763135"/>
          <c:y val="0.23854722282306054"/>
          <c:w val="0.19519726033804366"/>
          <c:h val="0.12977971287432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A</a:t>
            </a:r>
            <a:r>
              <a:rPr lang="ja-JP" altLang="en-US"/>
              <a:t>－</a:t>
            </a:r>
            <a:r>
              <a:rPr lang="en-US" altLang="ja-JP"/>
              <a:t>B</a:t>
            </a:r>
            <a:r>
              <a:rPr lang="ja-JP" altLang="en-US"/>
              <a:t>直線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4063879600421576E-2"/>
          <c:y val="0.10421500879720529"/>
          <c:w val="0.89111145454625607"/>
          <c:h val="0.8145799825986203"/>
        </c:manualLayout>
      </c:layout>
      <c:scatterChart>
        <c:scatterStyle val="lineMarker"/>
        <c:varyColors val="0"/>
        <c:ser>
          <c:idx val="0"/>
          <c:order val="0"/>
          <c:tx>
            <c:v>もろみのA-B直線</c:v>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〇号!$S$16:$BE$16</c:f>
              <c:numCache>
                <c:formatCode>0.0_ </c:formatCode>
                <c:ptCount val="39"/>
              </c:numCache>
            </c:numRef>
          </c:xVal>
          <c:yVal>
            <c:numRef>
              <c:f>〇号!$S$162:$BE$162</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5E7-42D3-80E8-1043EA72D560}"/>
            </c:ext>
          </c:extLst>
        </c:ser>
        <c:ser>
          <c:idx val="1"/>
          <c:order val="1"/>
          <c:tx>
            <c:v>上限A-B直線</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〇号!$S$172:$W$172</c:f>
              <c:numCache>
                <c:formatCode>0.0_ </c:formatCode>
                <c:ptCount val="5"/>
                <c:pt idx="0">
                  <c:v>5.3</c:v>
                </c:pt>
                <c:pt idx="1">
                  <c:v>7.9</c:v>
                </c:pt>
                <c:pt idx="2">
                  <c:v>11.4</c:v>
                </c:pt>
                <c:pt idx="3">
                  <c:v>13.6</c:v>
                </c:pt>
                <c:pt idx="4">
                  <c:v>16</c:v>
                </c:pt>
              </c:numCache>
            </c:numRef>
          </c:xVal>
          <c:yVal>
            <c:numRef>
              <c:f>〇号!$S$164:$W$164</c:f>
              <c:numCache>
                <c:formatCode>General</c:formatCode>
                <c:ptCount val="5"/>
                <c:pt idx="0">
                  <c:v>7.6</c:v>
                </c:pt>
                <c:pt idx="1">
                  <c:v>6.2</c:v>
                </c:pt>
                <c:pt idx="2">
                  <c:v>3.8</c:v>
                </c:pt>
                <c:pt idx="3">
                  <c:v>2.2999999999999998</c:v>
                </c:pt>
                <c:pt idx="4">
                  <c:v>0.83</c:v>
                </c:pt>
              </c:numCache>
            </c:numRef>
          </c:yVal>
          <c:smooth val="0"/>
          <c:extLst>
            <c:ext xmlns:c16="http://schemas.microsoft.com/office/drawing/2014/chart" uri="{C3380CC4-5D6E-409C-BE32-E72D297353CC}">
              <c16:uniqueId val="{00000001-95E7-42D3-80E8-1043EA72D560}"/>
            </c:ext>
          </c:extLst>
        </c:ser>
        <c:ser>
          <c:idx val="2"/>
          <c:order val="2"/>
          <c:tx>
            <c:v>下限A-B直線</c:v>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〇号!$S$173:$W$173</c:f>
              <c:numCache>
                <c:formatCode>0.0_ </c:formatCode>
                <c:ptCount val="5"/>
                <c:pt idx="0">
                  <c:v>3.8</c:v>
                </c:pt>
                <c:pt idx="1">
                  <c:v>5.5</c:v>
                </c:pt>
                <c:pt idx="2">
                  <c:v>9</c:v>
                </c:pt>
                <c:pt idx="3">
                  <c:v>14.1</c:v>
                </c:pt>
                <c:pt idx="4">
                  <c:v>15.8</c:v>
                </c:pt>
              </c:numCache>
            </c:numRef>
          </c:xVal>
          <c:yVal>
            <c:numRef>
              <c:f>〇号!$S$165:$W$165</c:f>
              <c:numCache>
                <c:formatCode>General</c:formatCode>
                <c:ptCount val="5"/>
                <c:pt idx="0">
                  <c:v>5.4</c:v>
                </c:pt>
                <c:pt idx="1">
                  <c:v>5.2</c:v>
                </c:pt>
                <c:pt idx="2">
                  <c:v>3.4</c:v>
                </c:pt>
                <c:pt idx="3">
                  <c:v>0.97</c:v>
                </c:pt>
                <c:pt idx="4">
                  <c:v>0.1</c:v>
                </c:pt>
              </c:numCache>
            </c:numRef>
          </c:yVal>
          <c:smooth val="0"/>
          <c:extLst>
            <c:ext xmlns:c16="http://schemas.microsoft.com/office/drawing/2014/chart" uri="{C3380CC4-5D6E-409C-BE32-E72D297353CC}">
              <c16:uniqueId val="{00000002-95E7-42D3-80E8-1043EA72D560}"/>
            </c:ext>
          </c:extLst>
        </c:ser>
        <c:dLbls>
          <c:showLegendKey val="0"/>
          <c:showVal val="0"/>
          <c:showCatName val="0"/>
          <c:showSerName val="0"/>
          <c:showPercent val="0"/>
          <c:showBubbleSize val="0"/>
        </c:dLbls>
        <c:axId val="327345784"/>
        <c:axId val="463041496"/>
      </c:scatterChart>
      <c:valAx>
        <c:axId val="327345784"/>
        <c:scaling>
          <c:orientation val="minMax"/>
          <c:max val="20"/>
          <c:min val="0"/>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アルコール分</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041496"/>
        <c:crosses val="autoZero"/>
        <c:crossBetween val="midCat"/>
        <c:minorUnit val="0.5"/>
      </c:valAx>
      <c:valAx>
        <c:axId val="463041496"/>
        <c:scaling>
          <c:orientation val="minMax"/>
          <c:max val="10"/>
          <c:min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ボーメ</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5784"/>
        <c:crosses val="autoZero"/>
        <c:crossBetween val="midCat"/>
        <c:minorUnit val="0.5"/>
      </c:valAx>
      <c:spPr>
        <a:noFill/>
        <a:ln>
          <a:noFill/>
        </a:ln>
        <a:effectLst/>
      </c:spPr>
    </c:plotArea>
    <c:legend>
      <c:legendPos val="r"/>
      <c:layout>
        <c:manualLayout>
          <c:xMode val="edge"/>
          <c:yMode val="edge"/>
          <c:x val="0.62367568277708241"/>
          <c:y val="0.19139186106409595"/>
          <c:w val="0.28001381937865272"/>
          <c:h val="0.29382088453896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発酵／溶解比（糖化と発酵のバランス）</a:t>
            </a:r>
          </a:p>
        </c:rich>
      </c:tx>
      <c:layout>
        <c:manualLayout>
          <c:xMode val="edge"/>
          <c:yMode val="edge"/>
          <c:x val="0.16641537486307711"/>
          <c:y val="1.155108436998200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63666750039008E-2"/>
          <c:y val="8.1593353520264353E-2"/>
          <c:w val="0.90745634662336039"/>
          <c:h val="0.86073703267656987"/>
        </c:manualLayout>
      </c:layout>
      <c:scatterChart>
        <c:scatterStyle val="lineMarker"/>
        <c:varyColors val="0"/>
        <c:ser>
          <c:idx val="0"/>
          <c:order val="0"/>
          <c:tx>
            <c:strRef>
              <c:f>比較!$D$2</c:f>
              <c:strCache>
                <c:ptCount val="1"/>
                <c:pt idx="0">
                  <c:v>〇号</c:v>
                </c:pt>
              </c:strCache>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比較!$D$18:$AQ$18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c:ext xmlns:c16="http://schemas.microsoft.com/office/drawing/2014/chart" uri="{C3380CC4-5D6E-409C-BE32-E72D297353CC}">
              <c16:uniqueId val="{00000003-6827-4E00-9EA1-C7C302DC4C22}"/>
            </c:ext>
          </c:extLst>
        </c:ser>
        <c:ser>
          <c:idx val="1"/>
          <c:order val="1"/>
          <c:tx>
            <c:strRef>
              <c:f>目標値!$D$28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目標値!$D$36:$AQ$36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目標値!$D$44:$AQ$44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4-6827-4E00-9EA1-C7C302DC4C22}"/>
            </c:ext>
          </c:extLst>
        </c:ser>
        <c:ser>
          <c:idx val="2"/>
          <c:order val="2"/>
          <c:tx>
            <c:strRef>
              <c:f>目標値!$D$70</c:f>
              <c:strCache>
                <c:ptCount val="1"/>
              </c:strCache>
            </c:strRef>
          </c:tx>
          <c:spPr>
            <a:ln w="25400" cap="rnd">
              <a:noFill/>
              <a:round/>
            </a:ln>
            <a:effectLst/>
          </c:spPr>
          <c:marker>
            <c:symbol val="circle"/>
            <c:size val="5"/>
            <c:spPr>
              <a:solidFill>
                <a:schemeClr val="accent3"/>
              </a:solidFill>
              <a:ln w="9525">
                <a:solidFill>
                  <a:schemeClr val="accent3"/>
                </a:solidFill>
              </a:ln>
              <a:effectLst/>
            </c:spPr>
          </c:marker>
          <c:xVal>
            <c:numRef>
              <c:f>目標値!$D$78:$AQ$78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目標値!$D$86:$AQ$86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5-6827-4E00-9EA1-C7C302DC4C22}"/>
            </c:ext>
          </c:extLst>
        </c:ser>
        <c:ser>
          <c:idx val="3"/>
          <c:order val="3"/>
          <c:tx>
            <c:strRef>
              <c:f>目標値!$D$112</c:f>
              <c:strCache>
                <c:ptCount val="1"/>
              </c:strCache>
            </c:strRef>
          </c:tx>
          <c:spPr>
            <a:ln w="25400" cap="rnd">
              <a:noFill/>
              <a:round/>
            </a:ln>
            <a:effectLst/>
          </c:spPr>
          <c:marker>
            <c:symbol val="circle"/>
            <c:size val="5"/>
            <c:spPr>
              <a:solidFill>
                <a:schemeClr val="accent4"/>
              </a:solidFill>
              <a:ln w="9525">
                <a:solidFill>
                  <a:schemeClr val="accent4"/>
                </a:solidFill>
              </a:ln>
              <a:effectLst/>
            </c:spPr>
          </c:marker>
          <c:xVal>
            <c:numRef>
              <c:f>目標値!$D$120:$AQ$120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目標値!$D$128:$AQ$128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6-6827-4E00-9EA1-C7C302DC4C22}"/>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比較!$D$66:$AQ$66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6827-4E00-9EA1-C7C302DC4C22}"/>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比較!$D$108:$AQ$108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6827-4E00-9EA1-C7C302DC4C22}"/>
            </c:ext>
          </c:extLst>
        </c:ser>
        <c:ser>
          <c:idx val="6"/>
          <c:order val="6"/>
          <c:tx>
            <c:strRef>
              <c:f>比較!$D$134</c:f>
              <c:strCache>
                <c:ptCount val="1"/>
              </c:strCache>
              <c:extLst xmlns:c15="http://schemas.microsoft.com/office/drawing/2012/chart"/>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比較!$D$150:$AQ$150</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6827-4E00-9EA1-C7C302DC4C22}"/>
            </c:ext>
          </c:extLst>
        </c:ser>
        <c:ser>
          <c:idx val="7"/>
          <c:order val="7"/>
          <c:tx>
            <c:strRef>
              <c:f>比較!$D$176</c:f>
              <c:strCache>
                <c:ptCount val="1"/>
              </c:strCache>
              <c:extLst xmlns:c15="http://schemas.microsoft.com/office/drawing/2012/chart"/>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比較!$D$192:$AQ$192</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A-6827-4E00-9EA1-C7C302DC4C22}"/>
            </c:ext>
          </c:extLst>
        </c:ser>
        <c:ser>
          <c:idx val="8"/>
          <c:order val="8"/>
          <c:tx>
            <c:strRef>
              <c:f>比較!$D$218</c:f>
              <c:strCache>
                <c:ptCount val="1"/>
              </c:strCache>
              <c:extLst xmlns:c15="http://schemas.microsoft.com/office/drawing/2012/chart"/>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比較!$D$234:$AQ$234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B-6827-4E00-9EA1-C7C302DC4C22}"/>
            </c:ext>
          </c:extLst>
        </c:ser>
        <c:dLbls>
          <c:showLegendKey val="0"/>
          <c:showVal val="0"/>
          <c:showCatName val="0"/>
          <c:showSerName val="0"/>
          <c:showPercent val="0"/>
          <c:showBubbleSize val="0"/>
        </c:dLbls>
        <c:axId val="399982888"/>
        <c:axId val="399986808"/>
        <c:extLst/>
      </c:scatterChart>
      <c:valAx>
        <c:axId val="399982888"/>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6808"/>
        <c:crosses val="autoZero"/>
        <c:crossBetween val="midCat"/>
      </c:valAx>
      <c:valAx>
        <c:axId val="39998680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a:t>
                </a:r>
                <a:r>
                  <a:rPr lang="en-US" altLang="ja-JP"/>
                  <a:t>/</a:t>
                </a:r>
                <a:r>
                  <a:rPr lang="ja-JP" altLang="en-US"/>
                  <a:t>溶解比</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2888"/>
        <c:crosses val="autoZero"/>
        <c:crossBetween val="midCat"/>
      </c:valAx>
      <c:spPr>
        <a:noFill/>
        <a:ln>
          <a:noFill/>
        </a:ln>
        <a:effectLst/>
      </c:spPr>
    </c:plotArea>
    <c:legend>
      <c:legendPos val="r"/>
      <c:layout>
        <c:manualLayout>
          <c:xMode val="edge"/>
          <c:yMode val="edge"/>
          <c:x val="0.70031458504455535"/>
          <c:y val="0.41353552228438578"/>
          <c:w val="0.23026509603171233"/>
          <c:h val="0.3634595084788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溶解度（米の溶け具合）</a:t>
            </a:r>
          </a:p>
        </c:rich>
      </c:tx>
      <c:layout>
        <c:manualLayout>
          <c:xMode val="edge"/>
          <c:yMode val="edge"/>
          <c:x val="0.29779329102004032"/>
          <c:y val="1.992343189219546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0"/>
          <c:order val="0"/>
          <c:tx>
            <c:strRef>
              <c:f>比較!$D$2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3-B2E2-4490-A16E-9D6DD5F34B69}"/>
            </c:ext>
          </c:extLst>
        </c:ser>
        <c:ser>
          <c:idx val="1"/>
          <c:order val="1"/>
          <c:tx>
            <c:strRef>
              <c:f>目標値!$D$28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目標値!$D$36:$AQ$36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目標値!$D$43:$AQ$43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4-B2E2-4490-A16E-9D6DD5F34B69}"/>
            </c:ext>
          </c:extLst>
        </c:ser>
        <c:ser>
          <c:idx val="2"/>
          <c:order val="2"/>
          <c:tx>
            <c:strRef>
              <c:f>目標値!$D$70</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目標値!$D$78:$AQ$78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目標値!$D$85:$AQ$85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5-B2E2-4490-A16E-9D6DD5F34B69}"/>
            </c:ext>
          </c:extLst>
        </c:ser>
        <c:ser>
          <c:idx val="3"/>
          <c:order val="3"/>
          <c:tx>
            <c:strRef>
              <c:f>目標値!$D$112</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目標値!$D$120:$AQ$120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目標値!$D$127:$AQ$127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B2E2-4490-A16E-9D6DD5F34B69}"/>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比較!$D$65:$AQ$65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B2E2-4490-A16E-9D6DD5F34B69}"/>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比較!$D$107:$AQ$107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B2E2-4490-A16E-9D6DD5F34B69}"/>
            </c:ext>
          </c:extLst>
        </c:ser>
        <c:ser>
          <c:idx val="6"/>
          <c:order val="6"/>
          <c:tx>
            <c:strRef>
              <c:f>比較!$D$134</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比較!$D$149:$AQ$149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9-B2E2-4490-A16E-9D6DD5F34B69}"/>
            </c:ext>
          </c:extLst>
        </c:ser>
        <c:ser>
          <c:idx val="7"/>
          <c:order val="7"/>
          <c:tx>
            <c:strRef>
              <c:f>比較!$D$176</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比較!$D$191:$AQ$191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A-B2E2-4490-A16E-9D6DD5F34B69}"/>
            </c:ext>
          </c:extLst>
        </c:ser>
        <c:ser>
          <c:idx val="8"/>
          <c:order val="8"/>
          <c:tx>
            <c:strRef>
              <c:f>比較!$D$218</c:f>
              <c:strCache>
                <c:ptCount val="1"/>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比較!$D$233:$AQ$233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B-B2E2-4490-A16E-9D6DD5F34B69}"/>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溶解度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w="25400">
          <a:noFill/>
        </a:ln>
        <a:effectLst/>
      </c:spPr>
    </c:plotArea>
    <c:legend>
      <c:legendPos val="r"/>
      <c:layout>
        <c:manualLayout>
          <c:xMode val="edge"/>
          <c:yMode val="edge"/>
          <c:x val="0.68301830556422272"/>
          <c:y val="0.351641146332413"/>
          <c:w val="0.2222555667874091"/>
          <c:h val="0.445662405574124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0" i="0" baseline="0">
                <a:effectLst/>
              </a:rPr>
              <a:t>発酵度</a:t>
            </a:r>
            <a:r>
              <a:rPr lang="ja-JP" altLang="ja-JP" sz="1800" b="0" i="0" baseline="0">
                <a:effectLst/>
              </a:rPr>
              <a:t>（発酵の進み具合）</a:t>
            </a:r>
            <a:endParaRPr lang="ja-JP" altLang="ja-JP">
              <a:effectLst/>
            </a:endParaRPr>
          </a:p>
        </c:rich>
      </c:tx>
      <c:layout>
        <c:manualLayout>
          <c:xMode val="edge"/>
          <c:yMode val="edge"/>
          <c:x val="0.27932930035620057"/>
          <c:y val="1.76956350766810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0"/>
          <c:order val="0"/>
          <c:tx>
            <c:strRef>
              <c:f>比較!$D$2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比較!$D$15:$AQ$15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3-5D20-4263-BD7A-3F888BD96FA0}"/>
            </c:ext>
          </c:extLst>
        </c:ser>
        <c:ser>
          <c:idx val="1"/>
          <c:order val="1"/>
          <c:tx>
            <c:strRef>
              <c:f>目標値!$D$28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目標値!$D$36:$AQ$36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目標値!$D$41:$AQ$41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4-5D20-4263-BD7A-3F888BD96FA0}"/>
            </c:ext>
          </c:extLst>
        </c:ser>
        <c:ser>
          <c:idx val="2"/>
          <c:order val="2"/>
          <c:tx>
            <c:strRef>
              <c:f>目標値!$D$70</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目標値!$D$78:$AQ$78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目標値!$D$83:$AQ$83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5-5D20-4263-BD7A-3F888BD96FA0}"/>
            </c:ext>
          </c:extLst>
        </c:ser>
        <c:ser>
          <c:idx val="3"/>
          <c:order val="3"/>
          <c:tx>
            <c:strRef>
              <c:f>目標値!$D$112</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目標値!$D$120:$AQ$120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目標値!$D$125:$AQ$125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6-5D20-4263-BD7A-3F888BD96FA0}"/>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比較!$D$63:$AQ$63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7-5D20-4263-BD7A-3F888BD96FA0}"/>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比較!$D$105:$AQ$105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8-5D20-4263-BD7A-3F888BD96FA0}"/>
            </c:ext>
          </c:extLst>
        </c:ser>
        <c:ser>
          <c:idx val="6"/>
          <c:order val="6"/>
          <c:tx>
            <c:strRef>
              <c:f>比較!$D$134</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比較!$D$147:$AQ$147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9-5D20-4263-BD7A-3F888BD96FA0}"/>
            </c:ext>
          </c:extLst>
        </c:ser>
        <c:ser>
          <c:idx val="7"/>
          <c:order val="7"/>
          <c:tx>
            <c:strRef>
              <c:f>比較!$D$176</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比較!$D$189:$AQ$189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A-5D20-4263-BD7A-3F888BD96FA0}"/>
            </c:ext>
          </c:extLst>
        </c:ser>
        <c:ser>
          <c:idx val="8"/>
          <c:order val="8"/>
          <c:tx>
            <c:strRef>
              <c:f>比較!$D$218</c:f>
              <c:strCache>
                <c:ptCount val="1"/>
              </c:strCache>
              <c:extLst xmlns:c15="http://schemas.microsoft.com/office/drawing/2012/chart"/>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比較!$D$231:$AQ$231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B-5D20-4263-BD7A-3F888BD96FA0}"/>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a:noFill/>
        </a:ln>
        <a:effectLst/>
      </c:spPr>
    </c:plotArea>
    <c:legend>
      <c:legendPos val="r"/>
      <c:layout>
        <c:manualLayout>
          <c:xMode val="edge"/>
          <c:yMode val="edge"/>
          <c:x val="0.65646284084342987"/>
          <c:y val="0.37796978760836297"/>
          <c:w val="0.24777081747392943"/>
          <c:h val="0.40764989185611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〇号!$S$11:$BE$11</c:f>
              <c:numCache>
                <c:formatCode>0.0_ </c:formatCode>
                <c:ptCount val="39"/>
              </c:numCache>
            </c:numRef>
          </c:yVal>
          <c:smooth val="0"/>
          <c:extLst>
            <c:ext xmlns:c16="http://schemas.microsoft.com/office/drawing/2014/chart" uri="{C3380CC4-5D6E-409C-BE32-E72D297353CC}">
              <c16:uniqueId val="{00000000-AE96-47E0-8523-F666E4A2E30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〇号!$S$12:$BE$12</c:f>
              <c:numCache>
                <c:formatCode>0.0_ </c:formatCode>
                <c:ptCount val="39"/>
              </c:numCache>
            </c:numRef>
          </c:yVal>
          <c:smooth val="0"/>
          <c:extLst>
            <c:ext xmlns:c16="http://schemas.microsoft.com/office/drawing/2014/chart" uri="{C3380CC4-5D6E-409C-BE32-E72D297353CC}">
              <c16:uniqueId val="{00000001-AE96-47E0-8523-F666E4A2E30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〇号!$S$162:$BE$162</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AE96-47E0-8523-F666E4A2E30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〇号!$S$16:$BE$16</c:f>
              <c:numCache>
                <c:formatCode>0.0_ </c:formatCode>
                <c:ptCount val="39"/>
              </c:numCache>
            </c:numRef>
          </c:yVal>
          <c:smooth val="0"/>
          <c:extLst>
            <c:ext xmlns:c16="http://schemas.microsoft.com/office/drawing/2014/chart" uri="{C3380CC4-5D6E-409C-BE32-E72D297353CC}">
              <c16:uniqueId val="{00000003-AE96-47E0-8523-F666E4A2E30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〇号!$D$11:$R$11</c:f>
              <c:numCache>
                <c:formatCode>0.0_ </c:formatCode>
                <c:ptCount val="15"/>
              </c:numCache>
            </c:numRef>
          </c:yVal>
          <c:smooth val="0"/>
          <c:extLst>
            <c:ext xmlns:c16="http://schemas.microsoft.com/office/drawing/2014/chart" uri="{C3380CC4-5D6E-409C-BE32-E72D297353CC}">
              <c16:uniqueId val="{00000000-22BC-43F4-B772-4380880BF688}"/>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〇号!$D$12:$R$12</c:f>
              <c:numCache>
                <c:formatCode>0.0_ </c:formatCode>
                <c:ptCount val="15"/>
              </c:numCache>
            </c:numRef>
          </c:yVal>
          <c:smooth val="0"/>
          <c:extLst>
            <c:ext xmlns:c16="http://schemas.microsoft.com/office/drawing/2014/chart" uri="{C3380CC4-5D6E-409C-BE32-E72D297353CC}">
              <c16:uniqueId val="{00000001-22BC-43F4-B772-4380880BF688}"/>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〇号!$D$162:$R$162</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22BC-43F4-B772-4380880BF688}"/>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3</xdr:row>
      <xdr:rowOff>25846</xdr:rowOff>
    </xdr:from>
    <xdr:to>
      <xdr:col>0</xdr:col>
      <xdr:colOff>3213100</xdr:colOff>
      <xdr:row>3</xdr:row>
      <xdr:rowOff>2292350</xdr:rowOff>
    </xdr:to>
    <xdr:pic>
      <xdr:nvPicPr>
        <xdr:cNvPr id="4" name="図 3">
          <a:extLst>
            <a:ext uri="{FF2B5EF4-FFF2-40B4-BE49-F238E27FC236}">
              <a16:creationId xmlns:a16="http://schemas.microsoft.com/office/drawing/2014/main" id="{D9752D79-2A1C-400F-8E91-6A73F6CE22AE}"/>
            </a:ext>
          </a:extLst>
        </xdr:cNvPr>
        <xdr:cNvPicPr>
          <a:picLocks noChangeAspect="1"/>
        </xdr:cNvPicPr>
      </xdr:nvPicPr>
      <xdr:blipFill>
        <a:blip xmlns:r="http://schemas.openxmlformats.org/officeDocument/2006/relationships" r:embed="rId1"/>
        <a:stretch>
          <a:fillRect/>
        </a:stretch>
      </xdr:blipFill>
      <xdr:spPr>
        <a:xfrm>
          <a:off x="19051" y="5340796"/>
          <a:ext cx="3194049" cy="2266504"/>
        </a:xfrm>
        <a:prstGeom prst="rect">
          <a:avLst/>
        </a:prstGeom>
      </xdr:spPr>
    </xdr:pic>
    <xdr:clientData/>
  </xdr:twoCellAnchor>
  <xdr:twoCellAnchor editAs="oneCell">
    <xdr:from>
      <xdr:col>0</xdr:col>
      <xdr:colOff>19050</xdr:colOff>
      <xdr:row>4</xdr:row>
      <xdr:rowOff>2889249</xdr:rowOff>
    </xdr:from>
    <xdr:to>
      <xdr:col>0</xdr:col>
      <xdr:colOff>3214265</xdr:colOff>
      <xdr:row>5</xdr:row>
      <xdr:rowOff>2809233</xdr:rowOff>
    </xdr:to>
    <xdr:pic>
      <xdr:nvPicPr>
        <xdr:cNvPr id="98" name="図 97">
          <a:extLst>
            <a:ext uri="{FF2B5EF4-FFF2-40B4-BE49-F238E27FC236}">
              <a16:creationId xmlns:a16="http://schemas.microsoft.com/office/drawing/2014/main" id="{23B0912B-E4C9-4C09-8D43-C0BDA15AAEBA}"/>
            </a:ext>
          </a:extLst>
        </xdr:cNvPr>
        <xdr:cNvPicPr>
          <a:picLocks noChangeAspect="1"/>
        </xdr:cNvPicPr>
      </xdr:nvPicPr>
      <xdr:blipFill>
        <a:blip xmlns:r="http://schemas.openxmlformats.org/officeDocument/2006/relationships" r:embed="rId2"/>
        <a:stretch>
          <a:fillRect/>
        </a:stretch>
      </xdr:blipFill>
      <xdr:spPr>
        <a:xfrm>
          <a:off x="19050" y="11607799"/>
          <a:ext cx="3195215" cy="2840984"/>
        </a:xfrm>
        <a:prstGeom prst="rect">
          <a:avLst/>
        </a:prstGeom>
      </xdr:spPr>
    </xdr:pic>
    <xdr:clientData/>
  </xdr:twoCellAnchor>
  <xdr:twoCellAnchor editAs="oneCell">
    <xdr:from>
      <xdr:col>0</xdr:col>
      <xdr:colOff>0</xdr:colOff>
      <xdr:row>7</xdr:row>
      <xdr:rowOff>8467</xdr:rowOff>
    </xdr:from>
    <xdr:to>
      <xdr:col>0</xdr:col>
      <xdr:colOff>3166005</xdr:colOff>
      <xdr:row>7</xdr:row>
      <xdr:rowOff>2846699</xdr:rowOff>
    </xdr:to>
    <xdr:pic>
      <xdr:nvPicPr>
        <xdr:cNvPr id="93" name="図 92">
          <a:extLst>
            <a:ext uri="{FF2B5EF4-FFF2-40B4-BE49-F238E27FC236}">
              <a16:creationId xmlns:a16="http://schemas.microsoft.com/office/drawing/2014/main" id="{3C8DED41-423D-43D6-AEA5-B3234173A2B4}"/>
            </a:ext>
          </a:extLst>
        </xdr:cNvPr>
        <xdr:cNvPicPr>
          <a:picLocks noChangeAspect="1"/>
        </xdr:cNvPicPr>
      </xdr:nvPicPr>
      <xdr:blipFill>
        <a:blip xmlns:r="http://schemas.openxmlformats.org/officeDocument/2006/relationships" r:embed="rId2"/>
        <a:stretch>
          <a:fillRect/>
        </a:stretch>
      </xdr:blipFill>
      <xdr:spPr>
        <a:xfrm>
          <a:off x="0" y="16357600"/>
          <a:ext cx="3166005" cy="2842042"/>
        </a:xfrm>
        <a:prstGeom prst="rect">
          <a:avLst/>
        </a:prstGeom>
      </xdr:spPr>
    </xdr:pic>
    <xdr:clientData/>
  </xdr:twoCellAnchor>
  <xdr:twoCellAnchor editAs="oneCell">
    <xdr:from>
      <xdr:col>0</xdr:col>
      <xdr:colOff>25400</xdr:colOff>
      <xdr:row>1</xdr:row>
      <xdr:rowOff>2525071</xdr:rowOff>
    </xdr:from>
    <xdr:to>
      <xdr:col>0</xdr:col>
      <xdr:colOff>3168650</xdr:colOff>
      <xdr:row>3</xdr:row>
      <xdr:rowOff>1587</xdr:rowOff>
    </xdr:to>
    <xdr:pic>
      <xdr:nvPicPr>
        <xdr:cNvPr id="60" name="図 59">
          <a:extLst>
            <a:ext uri="{FF2B5EF4-FFF2-40B4-BE49-F238E27FC236}">
              <a16:creationId xmlns:a16="http://schemas.microsoft.com/office/drawing/2014/main" id="{60612B3F-099A-471A-9383-81E88F601D5D}"/>
            </a:ext>
          </a:extLst>
        </xdr:cNvPr>
        <xdr:cNvPicPr>
          <a:picLocks noChangeAspect="1"/>
        </xdr:cNvPicPr>
      </xdr:nvPicPr>
      <xdr:blipFill>
        <a:blip xmlns:r="http://schemas.openxmlformats.org/officeDocument/2006/relationships" r:embed="rId3"/>
        <a:stretch>
          <a:fillRect/>
        </a:stretch>
      </xdr:blipFill>
      <xdr:spPr>
        <a:xfrm>
          <a:off x="25400" y="2760021"/>
          <a:ext cx="3143250" cy="2556516"/>
        </a:xfrm>
        <a:prstGeom prst="rect">
          <a:avLst/>
        </a:prstGeom>
      </xdr:spPr>
    </xdr:pic>
    <xdr:clientData/>
  </xdr:twoCellAnchor>
  <xdr:twoCellAnchor editAs="oneCell">
    <xdr:from>
      <xdr:col>0</xdr:col>
      <xdr:colOff>82550</xdr:colOff>
      <xdr:row>1</xdr:row>
      <xdr:rowOff>1</xdr:rowOff>
    </xdr:from>
    <xdr:to>
      <xdr:col>0</xdr:col>
      <xdr:colOff>3167380</xdr:colOff>
      <xdr:row>2</xdr:row>
      <xdr:rowOff>14715</xdr:rowOff>
    </xdr:to>
    <xdr:pic>
      <xdr:nvPicPr>
        <xdr:cNvPr id="33" name="図 32">
          <a:extLst>
            <a:ext uri="{FF2B5EF4-FFF2-40B4-BE49-F238E27FC236}">
              <a16:creationId xmlns:a16="http://schemas.microsoft.com/office/drawing/2014/main" id="{7A2EA49F-4CA6-4E70-8484-80A55618CD06}"/>
            </a:ext>
          </a:extLst>
        </xdr:cNvPr>
        <xdr:cNvPicPr>
          <a:picLocks noChangeAspect="1"/>
        </xdr:cNvPicPr>
      </xdr:nvPicPr>
      <xdr:blipFill>
        <a:blip xmlns:r="http://schemas.openxmlformats.org/officeDocument/2006/relationships" r:embed="rId4"/>
        <a:stretch>
          <a:fillRect/>
        </a:stretch>
      </xdr:blipFill>
      <xdr:spPr>
        <a:xfrm>
          <a:off x="82550" y="234951"/>
          <a:ext cx="3084830" cy="2554714"/>
        </a:xfrm>
        <a:prstGeom prst="rect">
          <a:avLst/>
        </a:prstGeom>
      </xdr:spPr>
    </xdr:pic>
    <xdr:clientData/>
  </xdr:twoCellAnchor>
  <xdr:twoCellAnchor>
    <xdr:from>
      <xdr:col>0</xdr:col>
      <xdr:colOff>1217283</xdr:colOff>
      <xdr:row>1</xdr:row>
      <xdr:rowOff>2417763</xdr:rowOff>
    </xdr:from>
    <xdr:to>
      <xdr:col>0</xdr:col>
      <xdr:colOff>1497080</xdr:colOff>
      <xdr:row>2</xdr:row>
      <xdr:rowOff>50404</xdr:rowOff>
    </xdr:to>
    <xdr:sp macro="" textlink="">
      <xdr:nvSpPr>
        <xdr:cNvPr id="3" name="楕円 2">
          <a:extLst>
            <a:ext uri="{FF2B5EF4-FFF2-40B4-BE49-F238E27FC236}">
              <a16:creationId xmlns:a16="http://schemas.microsoft.com/office/drawing/2014/main" id="{899EF2EA-0CAD-47B9-8345-2D242C5CA4A3}"/>
            </a:ext>
          </a:extLst>
        </xdr:cNvPr>
        <xdr:cNvSpPr/>
      </xdr:nvSpPr>
      <xdr:spPr>
        <a:xfrm>
          <a:off x="1217283" y="2652713"/>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1749571</xdr:colOff>
      <xdr:row>1</xdr:row>
      <xdr:rowOff>927757</xdr:rowOff>
    </xdr:from>
    <xdr:to>
      <xdr:col>0</xdr:col>
      <xdr:colOff>2450222</xdr:colOff>
      <xdr:row>1</xdr:row>
      <xdr:rowOff>1100398</xdr:rowOff>
    </xdr:to>
    <xdr:sp macro="" textlink="">
      <xdr:nvSpPr>
        <xdr:cNvPr id="5" name="楕円 4">
          <a:extLst>
            <a:ext uri="{FF2B5EF4-FFF2-40B4-BE49-F238E27FC236}">
              <a16:creationId xmlns:a16="http://schemas.microsoft.com/office/drawing/2014/main" id="{164387D6-84B8-4274-9F14-8198348BA0FD}"/>
            </a:ext>
          </a:extLst>
        </xdr:cNvPr>
        <xdr:cNvSpPr/>
      </xdr:nvSpPr>
      <xdr:spPr>
        <a:xfrm>
          <a:off x="1749571" y="1162707"/>
          <a:ext cx="700651" cy="172641"/>
        </a:xfrm>
        <a:prstGeom prst="ellipse">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1456105</xdr:colOff>
      <xdr:row>1</xdr:row>
      <xdr:rowOff>317500</xdr:rowOff>
    </xdr:from>
    <xdr:to>
      <xdr:col>1</xdr:col>
      <xdr:colOff>133350</xdr:colOff>
      <xdr:row>1</xdr:row>
      <xdr:rowOff>2443046</xdr:rowOff>
    </xdr:to>
    <xdr:cxnSp macro="">
      <xdr:nvCxnSpPr>
        <xdr:cNvPr id="6" name="直線矢印コネクタ 5">
          <a:extLst>
            <a:ext uri="{FF2B5EF4-FFF2-40B4-BE49-F238E27FC236}">
              <a16:creationId xmlns:a16="http://schemas.microsoft.com/office/drawing/2014/main" id="{FEFAF703-A8DC-4ED0-A09E-952D905EB6FD}"/>
            </a:ext>
          </a:extLst>
        </xdr:cNvPr>
        <xdr:cNvCxnSpPr>
          <a:endCxn id="3" idx="7"/>
        </xdr:cNvCxnSpPr>
      </xdr:nvCxnSpPr>
      <xdr:spPr>
        <a:xfrm flipH="1">
          <a:off x="1456105" y="552450"/>
          <a:ext cx="1922095" cy="21255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2450222</xdr:colOff>
      <xdr:row>1</xdr:row>
      <xdr:rowOff>1014078</xdr:rowOff>
    </xdr:from>
    <xdr:to>
      <xdr:col>1</xdr:col>
      <xdr:colOff>120650</xdr:colOff>
      <xdr:row>1</xdr:row>
      <xdr:rowOff>1422400</xdr:rowOff>
    </xdr:to>
    <xdr:cxnSp macro="">
      <xdr:nvCxnSpPr>
        <xdr:cNvPr id="7" name="直線矢印コネクタ 6">
          <a:extLst>
            <a:ext uri="{FF2B5EF4-FFF2-40B4-BE49-F238E27FC236}">
              <a16:creationId xmlns:a16="http://schemas.microsoft.com/office/drawing/2014/main" id="{D38BE53F-25B0-4020-942C-B8519C40FB88}"/>
            </a:ext>
          </a:extLst>
        </xdr:cNvPr>
        <xdr:cNvCxnSpPr>
          <a:endCxn id="5" idx="6"/>
        </xdr:cNvCxnSpPr>
      </xdr:nvCxnSpPr>
      <xdr:spPr>
        <a:xfrm flipH="1" flipV="1">
          <a:off x="2450222" y="1249028"/>
          <a:ext cx="915278" cy="4083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238016</xdr:colOff>
      <xdr:row>2</xdr:row>
      <xdr:rowOff>1081033</xdr:rowOff>
    </xdr:from>
    <xdr:to>
      <xdr:col>0</xdr:col>
      <xdr:colOff>2051050</xdr:colOff>
      <xdr:row>2</xdr:row>
      <xdr:rowOff>1534292</xdr:rowOff>
    </xdr:to>
    <xdr:sp macro="" textlink="">
      <xdr:nvSpPr>
        <xdr:cNvPr id="9" name="楕円 8">
          <a:extLst>
            <a:ext uri="{FF2B5EF4-FFF2-40B4-BE49-F238E27FC236}">
              <a16:creationId xmlns:a16="http://schemas.microsoft.com/office/drawing/2014/main" id="{CF7DA226-B4D2-41D8-908C-093CA0CA5102}"/>
            </a:ext>
          </a:extLst>
        </xdr:cNvPr>
        <xdr:cNvSpPr/>
      </xdr:nvSpPr>
      <xdr:spPr>
        <a:xfrm>
          <a:off x="238016" y="3855983"/>
          <a:ext cx="1813034" cy="45325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1905000</xdr:colOff>
      <xdr:row>2</xdr:row>
      <xdr:rowOff>254000</xdr:rowOff>
    </xdr:from>
    <xdr:to>
      <xdr:col>1</xdr:col>
      <xdr:colOff>171450</xdr:colOff>
      <xdr:row>2</xdr:row>
      <xdr:rowOff>1174750</xdr:rowOff>
    </xdr:to>
    <xdr:cxnSp macro="">
      <xdr:nvCxnSpPr>
        <xdr:cNvPr id="10" name="直線矢印コネクタ 9">
          <a:extLst>
            <a:ext uri="{FF2B5EF4-FFF2-40B4-BE49-F238E27FC236}">
              <a16:creationId xmlns:a16="http://schemas.microsoft.com/office/drawing/2014/main" id="{D96ECE58-D462-4032-9A52-75EE40D9ACFD}"/>
            </a:ext>
          </a:extLst>
        </xdr:cNvPr>
        <xdr:cNvCxnSpPr/>
      </xdr:nvCxnSpPr>
      <xdr:spPr>
        <a:xfrm flipH="1">
          <a:off x="1905000" y="3028950"/>
          <a:ext cx="1511300" cy="920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47621</xdr:colOff>
      <xdr:row>4</xdr:row>
      <xdr:rowOff>18468</xdr:rowOff>
    </xdr:from>
    <xdr:to>
      <xdr:col>1</xdr:col>
      <xdr:colOff>1465</xdr:colOff>
      <xdr:row>4</xdr:row>
      <xdr:rowOff>2492965</xdr:rowOff>
    </xdr:to>
    <xdr:pic>
      <xdr:nvPicPr>
        <xdr:cNvPr id="11" name="図 10">
          <a:extLst>
            <a:ext uri="{FF2B5EF4-FFF2-40B4-BE49-F238E27FC236}">
              <a16:creationId xmlns:a16="http://schemas.microsoft.com/office/drawing/2014/main" id="{E22F65E3-9083-4D19-9202-DED5C55BE6E0}"/>
            </a:ext>
          </a:extLst>
        </xdr:cNvPr>
        <xdr:cNvPicPr>
          <a:picLocks noChangeAspect="1"/>
        </xdr:cNvPicPr>
      </xdr:nvPicPr>
      <xdr:blipFill rotWithShape="1">
        <a:blip xmlns:r="http://schemas.openxmlformats.org/officeDocument/2006/relationships" r:embed="rId5"/>
        <a:srcRect r="22462"/>
        <a:stretch/>
      </xdr:blipFill>
      <xdr:spPr>
        <a:xfrm>
          <a:off x="47621" y="5333418"/>
          <a:ext cx="3198694" cy="2482117"/>
        </a:xfrm>
        <a:prstGeom prst="rect">
          <a:avLst/>
        </a:prstGeom>
      </xdr:spPr>
    </xdr:pic>
    <xdr:clientData/>
  </xdr:twoCellAnchor>
  <xdr:twoCellAnchor>
    <xdr:from>
      <xdr:col>0</xdr:col>
      <xdr:colOff>2345872</xdr:colOff>
      <xdr:row>4</xdr:row>
      <xdr:rowOff>283028</xdr:rowOff>
    </xdr:from>
    <xdr:to>
      <xdr:col>1</xdr:col>
      <xdr:colOff>114300</xdr:colOff>
      <xdr:row>4</xdr:row>
      <xdr:rowOff>930728</xdr:rowOff>
    </xdr:to>
    <xdr:cxnSp macro="">
      <xdr:nvCxnSpPr>
        <xdr:cNvPr id="12" name="直線矢印コネクタ 11">
          <a:extLst>
            <a:ext uri="{FF2B5EF4-FFF2-40B4-BE49-F238E27FC236}">
              <a16:creationId xmlns:a16="http://schemas.microsoft.com/office/drawing/2014/main" id="{D1250E6A-24DC-4595-BA5D-162D5B887EC7}"/>
            </a:ext>
          </a:extLst>
        </xdr:cNvPr>
        <xdr:cNvCxnSpPr/>
      </xdr:nvCxnSpPr>
      <xdr:spPr>
        <a:xfrm flipH="1">
          <a:off x="2345872" y="5597978"/>
          <a:ext cx="1013278" cy="647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1780761</xdr:colOff>
      <xdr:row>4</xdr:row>
      <xdr:rowOff>936170</xdr:rowOff>
    </xdr:from>
    <xdr:to>
      <xdr:col>0</xdr:col>
      <xdr:colOff>2600739</xdr:colOff>
      <xdr:row>4</xdr:row>
      <xdr:rowOff>1035325</xdr:rowOff>
    </xdr:to>
    <xdr:sp macro="" textlink="">
      <xdr:nvSpPr>
        <xdr:cNvPr id="13" name="四角形: 角を丸くする 12">
          <a:extLst>
            <a:ext uri="{FF2B5EF4-FFF2-40B4-BE49-F238E27FC236}">
              <a16:creationId xmlns:a16="http://schemas.microsoft.com/office/drawing/2014/main" id="{8FED2452-A690-4B49-9885-AFEECAE23A9E}"/>
            </a:ext>
          </a:extLst>
        </xdr:cNvPr>
        <xdr:cNvSpPr/>
      </xdr:nvSpPr>
      <xdr:spPr>
        <a:xfrm>
          <a:off x="1780761" y="6251120"/>
          <a:ext cx="819978" cy="99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1802531</xdr:colOff>
      <xdr:row>4</xdr:row>
      <xdr:rowOff>1736271</xdr:rowOff>
    </xdr:from>
    <xdr:to>
      <xdr:col>0</xdr:col>
      <xdr:colOff>3423556</xdr:colOff>
      <xdr:row>4</xdr:row>
      <xdr:rowOff>1937657</xdr:rowOff>
    </xdr:to>
    <xdr:sp macro="" textlink="">
      <xdr:nvSpPr>
        <xdr:cNvPr id="14" name="四角形: 角を丸くする 13">
          <a:extLst>
            <a:ext uri="{FF2B5EF4-FFF2-40B4-BE49-F238E27FC236}">
              <a16:creationId xmlns:a16="http://schemas.microsoft.com/office/drawing/2014/main" id="{5AC8EE9F-87F0-4C62-AFF3-DD35EFD67309}"/>
            </a:ext>
          </a:extLst>
        </xdr:cNvPr>
        <xdr:cNvSpPr/>
      </xdr:nvSpPr>
      <xdr:spPr>
        <a:xfrm>
          <a:off x="1802531" y="7051221"/>
          <a:ext cx="1443225" cy="20138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3004457</xdr:colOff>
      <xdr:row>4</xdr:row>
      <xdr:rowOff>435428</xdr:rowOff>
    </xdr:from>
    <xdr:to>
      <xdr:col>1</xdr:col>
      <xdr:colOff>103414</xdr:colOff>
      <xdr:row>4</xdr:row>
      <xdr:rowOff>1703614</xdr:rowOff>
    </xdr:to>
    <xdr:cxnSp macro="">
      <xdr:nvCxnSpPr>
        <xdr:cNvPr id="15" name="直線矢印コネクタ 14">
          <a:extLst>
            <a:ext uri="{FF2B5EF4-FFF2-40B4-BE49-F238E27FC236}">
              <a16:creationId xmlns:a16="http://schemas.microsoft.com/office/drawing/2014/main" id="{153C90C1-9EB3-45FC-AF3E-12A493A63A21}"/>
            </a:ext>
          </a:extLst>
        </xdr:cNvPr>
        <xdr:cNvCxnSpPr/>
      </xdr:nvCxnSpPr>
      <xdr:spPr>
        <a:xfrm flipH="1">
          <a:off x="3004457" y="5750378"/>
          <a:ext cx="343807" cy="12681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1646767</xdr:colOff>
      <xdr:row>5</xdr:row>
      <xdr:rowOff>251278</xdr:rowOff>
    </xdr:from>
    <xdr:to>
      <xdr:col>1</xdr:col>
      <xdr:colOff>158754</xdr:colOff>
      <xdr:row>5</xdr:row>
      <xdr:rowOff>2607734</xdr:rowOff>
    </xdr:to>
    <xdr:cxnSp macro="">
      <xdr:nvCxnSpPr>
        <xdr:cNvPr id="17" name="直線矢印コネクタ 16">
          <a:extLst>
            <a:ext uri="{FF2B5EF4-FFF2-40B4-BE49-F238E27FC236}">
              <a16:creationId xmlns:a16="http://schemas.microsoft.com/office/drawing/2014/main" id="{83BF5A81-00B0-4204-8DBB-438939CC7F77}"/>
            </a:ext>
          </a:extLst>
        </xdr:cNvPr>
        <xdr:cNvCxnSpPr>
          <a:endCxn id="54" idx="0"/>
        </xdr:cNvCxnSpPr>
      </xdr:nvCxnSpPr>
      <xdr:spPr>
        <a:xfrm flipH="1">
          <a:off x="1646767" y="11520411"/>
          <a:ext cx="1754720" cy="23564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1405468</xdr:colOff>
      <xdr:row>5</xdr:row>
      <xdr:rowOff>347134</xdr:rowOff>
    </xdr:from>
    <xdr:to>
      <xdr:col>1</xdr:col>
      <xdr:colOff>1947334</xdr:colOff>
      <xdr:row>5</xdr:row>
      <xdr:rowOff>1071034</xdr:rowOff>
    </xdr:to>
    <xdr:cxnSp macro="">
      <xdr:nvCxnSpPr>
        <xdr:cNvPr id="18" name="直線矢印コネクタ 17">
          <a:extLst>
            <a:ext uri="{FF2B5EF4-FFF2-40B4-BE49-F238E27FC236}">
              <a16:creationId xmlns:a16="http://schemas.microsoft.com/office/drawing/2014/main" id="{0F672BED-4A7C-4415-9BE1-EF043919E6C4}"/>
            </a:ext>
          </a:extLst>
        </xdr:cNvPr>
        <xdr:cNvCxnSpPr/>
      </xdr:nvCxnSpPr>
      <xdr:spPr>
        <a:xfrm flipH="1">
          <a:off x="1405468" y="11616267"/>
          <a:ext cx="3784599" cy="723900"/>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2887133</xdr:colOff>
      <xdr:row>5</xdr:row>
      <xdr:rowOff>1168400</xdr:rowOff>
    </xdr:from>
    <xdr:to>
      <xdr:col>1</xdr:col>
      <xdr:colOff>50801</xdr:colOff>
      <xdr:row>5</xdr:row>
      <xdr:rowOff>1591734</xdr:rowOff>
    </xdr:to>
    <xdr:cxnSp macro="">
      <xdr:nvCxnSpPr>
        <xdr:cNvPr id="21" name="直線矢印コネクタ 20">
          <a:extLst>
            <a:ext uri="{FF2B5EF4-FFF2-40B4-BE49-F238E27FC236}">
              <a16:creationId xmlns:a16="http://schemas.microsoft.com/office/drawing/2014/main" id="{EFAFA66D-0C33-4EBA-94B2-29D2677D0EBF}"/>
            </a:ext>
          </a:extLst>
        </xdr:cNvPr>
        <xdr:cNvCxnSpPr/>
      </xdr:nvCxnSpPr>
      <xdr:spPr>
        <a:xfrm flipH="1">
          <a:off x="2887133" y="12437533"/>
          <a:ext cx="406401" cy="423334"/>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2506135</xdr:colOff>
      <xdr:row>5</xdr:row>
      <xdr:rowOff>1219201</xdr:rowOff>
    </xdr:from>
    <xdr:to>
      <xdr:col>1</xdr:col>
      <xdr:colOff>127000</xdr:colOff>
      <xdr:row>5</xdr:row>
      <xdr:rowOff>1642534</xdr:rowOff>
    </xdr:to>
    <xdr:cxnSp macro="">
      <xdr:nvCxnSpPr>
        <xdr:cNvPr id="23" name="直線矢印コネクタ 22">
          <a:extLst>
            <a:ext uri="{FF2B5EF4-FFF2-40B4-BE49-F238E27FC236}">
              <a16:creationId xmlns:a16="http://schemas.microsoft.com/office/drawing/2014/main" id="{5EC64167-0DA1-49CB-8BE6-C7F4BE054958}"/>
            </a:ext>
          </a:extLst>
        </xdr:cNvPr>
        <xdr:cNvCxnSpPr/>
      </xdr:nvCxnSpPr>
      <xdr:spPr>
        <a:xfrm flipH="1" flipV="1">
          <a:off x="2506135" y="12488334"/>
          <a:ext cx="863598" cy="423333"/>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294030</xdr:colOff>
      <xdr:row>7</xdr:row>
      <xdr:rowOff>472017</xdr:rowOff>
    </xdr:from>
    <xdr:to>
      <xdr:col>1</xdr:col>
      <xdr:colOff>33867</xdr:colOff>
      <xdr:row>7</xdr:row>
      <xdr:rowOff>1912245</xdr:rowOff>
    </xdr:to>
    <xdr:cxnSp macro="">
      <xdr:nvCxnSpPr>
        <xdr:cNvPr id="25" name="直線矢印コネクタ 24">
          <a:extLst>
            <a:ext uri="{FF2B5EF4-FFF2-40B4-BE49-F238E27FC236}">
              <a16:creationId xmlns:a16="http://schemas.microsoft.com/office/drawing/2014/main" id="{C9B92756-A0FB-4A19-8D62-C04B568D40FD}"/>
            </a:ext>
          </a:extLst>
        </xdr:cNvPr>
        <xdr:cNvCxnSpPr>
          <a:endCxn id="8" idx="7"/>
        </xdr:cNvCxnSpPr>
      </xdr:nvCxnSpPr>
      <xdr:spPr>
        <a:xfrm flipH="1">
          <a:off x="294030" y="16821150"/>
          <a:ext cx="2982570" cy="14402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3073400</xdr:colOff>
      <xdr:row>7</xdr:row>
      <xdr:rowOff>1276350</xdr:rowOff>
    </xdr:from>
    <xdr:to>
      <xdr:col>1</xdr:col>
      <xdr:colOff>2247901</xdr:colOff>
      <xdr:row>7</xdr:row>
      <xdr:rowOff>2506134</xdr:rowOff>
    </xdr:to>
    <xdr:cxnSp macro="">
      <xdr:nvCxnSpPr>
        <xdr:cNvPr id="27" name="直線矢印コネクタ 26">
          <a:extLst>
            <a:ext uri="{FF2B5EF4-FFF2-40B4-BE49-F238E27FC236}">
              <a16:creationId xmlns:a16="http://schemas.microsoft.com/office/drawing/2014/main" id="{852B4CBD-9407-4A98-8B17-BBEA3D513933}"/>
            </a:ext>
          </a:extLst>
        </xdr:cNvPr>
        <xdr:cNvCxnSpPr/>
      </xdr:nvCxnSpPr>
      <xdr:spPr>
        <a:xfrm flipH="1">
          <a:off x="3073400" y="17625483"/>
          <a:ext cx="2417234" cy="1229784"/>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38833</xdr:colOff>
      <xdr:row>6</xdr:row>
      <xdr:rowOff>48344</xdr:rowOff>
    </xdr:from>
    <xdr:to>
      <xdr:col>1</xdr:col>
      <xdr:colOff>8449</xdr:colOff>
      <xdr:row>6</xdr:row>
      <xdr:rowOff>2492691</xdr:rowOff>
    </xdr:to>
    <xdr:pic>
      <xdr:nvPicPr>
        <xdr:cNvPr id="29" name="図 28">
          <a:extLst>
            <a:ext uri="{FF2B5EF4-FFF2-40B4-BE49-F238E27FC236}">
              <a16:creationId xmlns:a16="http://schemas.microsoft.com/office/drawing/2014/main" id="{067BDCAA-B046-4760-A83B-D28433EC6AD9}"/>
            </a:ext>
          </a:extLst>
        </xdr:cNvPr>
        <xdr:cNvPicPr>
          <a:picLocks noChangeAspect="1"/>
        </xdr:cNvPicPr>
      </xdr:nvPicPr>
      <xdr:blipFill rotWithShape="1">
        <a:blip xmlns:r="http://schemas.openxmlformats.org/officeDocument/2006/relationships" r:embed="rId6"/>
        <a:srcRect r="5022"/>
        <a:stretch/>
      </xdr:blipFill>
      <xdr:spPr>
        <a:xfrm>
          <a:off x="38833" y="14424744"/>
          <a:ext cx="3208539" cy="2451967"/>
        </a:xfrm>
        <a:prstGeom prst="rect">
          <a:avLst/>
        </a:prstGeom>
      </xdr:spPr>
    </xdr:pic>
    <xdr:clientData/>
  </xdr:twoCellAnchor>
  <xdr:twoCellAnchor>
    <xdr:from>
      <xdr:col>0</xdr:col>
      <xdr:colOff>2942166</xdr:colOff>
      <xdr:row>6</xdr:row>
      <xdr:rowOff>965200</xdr:rowOff>
    </xdr:from>
    <xdr:to>
      <xdr:col>1</xdr:col>
      <xdr:colOff>177800</xdr:colOff>
      <xdr:row>6</xdr:row>
      <xdr:rowOff>1158875</xdr:rowOff>
    </xdr:to>
    <xdr:cxnSp macro="">
      <xdr:nvCxnSpPr>
        <xdr:cNvPr id="31" name="直線矢印コネクタ 30">
          <a:extLst>
            <a:ext uri="{FF2B5EF4-FFF2-40B4-BE49-F238E27FC236}">
              <a16:creationId xmlns:a16="http://schemas.microsoft.com/office/drawing/2014/main" id="{27D69368-1B1F-4071-9378-D599ABE90BC0}"/>
            </a:ext>
          </a:extLst>
        </xdr:cNvPr>
        <xdr:cNvCxnSpPr>
          <a:endCxn id="66" idx="6"/>
        </xdr:cNvCxnSpPr>
      </xdr:nvCxnSpPr>
      <xdr:spPr>
        <a:xfrm flipH="1">
          <a:off x="2942166" y="15341600"/>
          <a:ext cx="478367" cy="193675"/>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29135</xdr:colOff>
      <xdr:row>8</xdr:row>
      <xdr:rowOff>2275168</xdr:rowOff>
    </xdr:from>
    <xdr:to>
      <xdr:col>1</xdr:col>
      <xdr:colOff>3017</xdr:colOff>
      <xdr:row>9</xdr:row>
      <xdr:rowOff>2455956</xdr:rowOff>
    </xdr:to>
    <xdr:pic>
      <xdr:nvPicPr>
        <xdr:cNvPr id="32" name="図 31">
          <a:extLst>
            <a:ext uri="{FF2B5EF4-FFF2-40B4-BE49-F238E27FC236}">
              <a16:creationId xmlns:a16="http://schemas.microsoft.com/office/drawing/2014/main" id="{49CEF061-7D05-4ED9-9570-5A7DB0ED388E}"/>
            </a:ext>
          </a:extLst>
        </xdr:cNvPr>
        <xdr:cNvPicPr>
          <a:picLocks noChangeAspect="1"/>
        </xdr:cNvPicPr>
      </xdr:nvPicPr>
      <xdr:blipFill rotWithShape="1">
        <a:blip xmlns:r="http://schemas.openxmlformats.org/officeDocument/2006/relationships" r:embed="rId7"/>
        <a:srcRect l="31056" t="24707" r="10994" b="5513"/>
        <a:stretch/>
      </xdr:blipFill>
      <xdr:spPr>
        <a:xfrm>
          <a:off x="29135" y="20512368"/>
          <a:ext cx="3178092" cy="2517588"/>
        </a:xfrm>
        <a:prstGeom prst="rect">
          <a:avLst/>
        </a:prstGeom>
      </xdr:spPr>
    </xdr:pic>
    <xdr:clientData/>
  </xdr:twoCellAnchor>
  <xdr:twoCellAnchor editAs="oneCell">
    <xdr:from>
      <xdr:col>0</xdr:col>
      <xdr:colOff>8467</xdr:colOff>
      <xdr:row>8</xdr:row>
      <xdr:rowOff>35984</xdr:rowOff>
    </xdr:from>
    <xdr:to>
      <xdr:col>1</xdr:col>
      <xdr:colOff>2117</xdr:colOff>
      <xdr:row>9</xdr:row>
      <xdr:rowOff>2117</xdr:rowOff>
    </xdr:to>
    <xdr:pic>
      <xdr:nvPicPr>
        <xdr:cNvPr id="34" name="図 33">
          <a:extLst>
            <a:ext uri="{FF2B5EF4-FFF2-40B4-BE49-F238E27FC236}">
              <a16:creationId xmlns:a16="http://schemas.microsoft.com/office/drawing/2014/main" id="{D8A46C9A-16C5-4E73-AD83-80BBD321A729}"/>
            </a:ext>
          </a:extLst>
        </xdr:cNvPr>
        <xdr:cNvPicPr>
          <a:picLocks noChangeAspect="1"/>
        </xdr:cNvPicPr>
      </xdr:nvPicPr>
      <xdr:blipFill>
        <a:blip xmlns:r="http://schemas.openxmlformats.org/officeDocument/2006/relationships" r:embed="rId8"/>
        <a:stretch>
          <a:fillRect/>
        </a:stretch>
      </xdr:blipFill>
      <xdr:spPr>
        <a:xfrm>
          <a:off x="8467" y="19280717"/>
          <a:ext cx="3175000" cy="2302933"/>
        </a:xfrm>
        <a:prstGeom prst="rect">
          <a:avLst/>
        </a:prstGeom>
      </xdr:spPr>
    </xdr:pic>
    <xdr:clientData/>
  </xdr:twoCellAnchor>
  <xdr:twoCellAnchor editAs="oneCell">
    <xdr:from>
      <xdr:col>0</xdr:col>
      <xdr:colOff>0</xdr:colOff>
      <xdr:row>10</xdr:row>
      <xdr:rowOff>133350</xdr:rowOff>
    </xdr:from>
    <xdr:to>
      <xdr:col>1</xdr:col>
      <xdr:colOff>1160</xdr:colOff>
      <xdr:row>10</xdr:row>
      <xdr:rowOff>2227580</xdr:rowOff>
    </xdr:to>
    <xdr:pic>
      <xdr:nvPicPr>
        <xdr:cNvPr id="39" name="図 38">
          <a:extLst>
            <a:ext uri="{FF2B5EF4-FFF2-40B4-BE49-F238E27FC236}">
              <a16:creationId xmlns:a16="http://schemas.microsoft.com/office/drawing/2014/main" id="{1040888B-873F-48AC-A4C7-2BAFAD7F5F20}"/>
            </a:ext>
          </a:extLst>
        </xdr:cNvPr>
        <xdr:cNvPicPr>
          <a:picLocks noChangeAspect="1"/>
        </xdr:cNvPicPr>
      </xdr:nvPicPr>
      <xdr:blipFill>
        <a:blip xmlns:r="http://schemas.openxmlformats.org/officeDocument/2006/relationships" r:embed="rId9"/>
        <a:stretch>
          <a:fillRect/>
        </a:stretch>
      </xdr:blipFill>
      <xdr:spPr>
        <a:xfrm>
          <a:off x="0" y="23514050"/>
          <a:ext cx="3246010" cy="2101850"/>
        </a:xfrm>
        <a:prstGeom prst="rect">
          <a:avLst/>
        </a:prstGeom>
      </xdr:spPr>
    </xdr:pic>
    <xdr:clientData/>
  </xdr:twoCellAnchor>
  <xdr:twoCellAnchor>
    <xdr:from>
      <xdr:col>0</xdr:col>
      <xdr:colOff>1422400</xdr:colOff>
      <xdr:row>10</xdr:row>
      <xdr:rowOff>234950</xdr:rowOff>
    </xdr:from>
    <xdr:to>
      <xdr:col>0</xdr:col>
      <xdr:colOff>1739900</xdr:colOff>
      <xdr:row>10</xdr:row>
      <xdr:rowOff>387350</xdr:rowOff>
    </xdr:to>
    <xdr:sp macro="" textlink="">
      <xdr:nvSpPr>
        <xdr:cNvPr id="41" name="楕円 40">
          <a:extLst>
            <a:ext uri="{FF2B5EF4-FFF2-40B4-BE49-F238E27FC236}">
              <a16:creationId xmlns:a16="http://schemas.microsoft.com/office/drawing/2014/main" id="{7A8C76DE-EE69-464C-9009-4254D1A5C65B}"/>
            </a:ext>
          </a:extLst>
        </xdr:cNvPr>
        <xdr:cNvSpPr/>
      </xdr:nvSpPr>
      <xdr:spPr>
        <a:xfrm>
          <a:off x="1422400" y="23615650"/>
          <a:ext cx="317500" cy="152400"/>
        </a:xfrm>
        <a:prstGeom prst="ellipse">
          <a:avLst/>
        </a:prstGeom>
        <a:solidFill>
          <a:srgbClr val="FF0000">
            <a:alpha val="0"/>
          </a:srgb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1968500</xdr:colOff>
      <xdr:row>10</xdr:row>
      <xdr:rowOff>361950</xdr:rowOff>
    </xdr:from>
    <xdr:to>
      <xdr:col>0</xdr:col>
      <xdr:colOff>2286000</xdr:colOff>
      <xdr:row>10</xdr:row>
      <xdr:rowOff>711200</xdr:rowOff>
    </xdr:to>
    <xdr:sp macro="" textlink="">
      <xdr:nvSpPr>
        <xdr:cNvPr id="42" name="楕円 41">
          <a:extLst>
            <a:ext uri="{FF2B5EF4-FFF2-40B4-BE49-F238E27FC236}">
              <a16:creationId xmlns:a16="http://schemas.microsoft.com/office/drawing/2014/main" id="{22F83166-7F3D-407C-A5EF-A0BBC807E565}"/>
            </a:ext>
          </a:extLst>
        </xdr:cNvPr>
        <xdr:cNvSpPr/>
      </xdr:nvSpPr>
      <xdr:spPr>
        <a:xfrm>
          <a:off x="1968500" y="23742650"/>
          <a:ext cx="317500" cy="349250"/>
        </a:xfrm>
        <a:prstGeom prst="ellipse">
          <a:avLst/>
        </a:prstGeom>
        <a:solidFill>
          <a:srgbClr val="FF0000">
            <a:alpha val="0"/>
          </a:srgb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1405468</xdr:colOff>
      <xdr:row>3</xdr:row>
      <xdr:rowOff>311150</xdr:rowOff>
    </xdr:from>
    <xdr:to>
      <xdr:col>1</xdr:col>
      <xdr:colOff>438150</xdr:colOff>
      <xdr:row>3</xdr:row>
      <xdr:rowOff>2173817</xdr:rowOff>
    </xdr:to>
    <xdr:cxnSp macro="">
      <xdr:nvCxnSpPr>
        <xdr:cNvPr id="44" name="直線矢印コネクタ 43">
          <a:extLst>
            <a:ext uri="{FF2B5EF4-FFF2-40B4-BE49-F238E27FC236}">
              <a16:creationId xmlns:a16="http://schemas.microsoft.com/office/drawing/2014/main" id="{F96F6A10-8CEF-44FE-909A-6AFFA7A83620}"/>
            </a:ext>
          </a:extLst>
        </xdr:cNvPr>
        <xdr:cNvCxnSpPr/>
      </xdr:nvCxnSpPr>
      <xdr:spPr>
        <a:xfrm flipH="1">
          <a:off x="1405468" y="5626100"/>
          <a:ext cx="2277532" cy="18626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780181</xdr:colOff>
      <xdr:row>3</xdr:row>
      <xdr:rowOff>1860549</xdr:rowOff>
    </xdr:from>
    <xdr:to>
      <xdr:col>0</xdr:col>
      <xdr:colOff>3194050</xdr:colOff>
      <xdr:row>3</xdr:row>
      <xdr:rowOff>1993900</xdr:rowOff>
    </xdr:to>
    <xdr:sp macro="" textlink="">
      <xdr:nvSpPr>
        <xdr:cNvPr id="45" name="四角形: 角を丸くする 44">
          <a:extLst>
            <a:ext uri="{FF2B5EF4-FFF2-40B4-BE49-F238E27FC236}">
              <a16:creationId xmlns:a16="http://schemas.microsoft.com/office/drawing/2014/main" id="{197DD98D-6F29-4EF0-8694-20EC2EDDC534}"/>
            </a:ext>
          </a:extLst>
        </xdr:cNvPr>
        <xdr:cNvSpPr/>
      </xdr:nvSpPr>
      <xdr:spPr>
        <a:xfrm>
          <a:off x="780181" y="7175499"/>
          <a:ext cx="2413869" cy="133351"/>
        </a:xfrm>
        <a:prstGeom prst="round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3060700</xdr:colOff>
      <xdr:row>3</xdr:row>
      <xdr:rowOff>1479550</xdr:rowOff>
    </xdr:from>
    <xdr:to>
      <xdr:col>1</xdr:col>
      <xdr:colOff>635000</xdr:colOff>
      <xdr:row>3</xdr:row>
      <xdr:rowOff>1854200</xdr:rowOff>
    </xdr:to>
    <xdr:cxnSp macro="">
      <xdr:nvCxnSpPr>
        <xdr:cNvPr id="46" name="直線矢印コネクタ 45">
          <a:extLst>
            <a:ext uri="{FF2B5EF4-FFF2-40B4-BE49-F238E27FC236}">
              <a16:creationId xmlns:a16="http://schemas.microsoft.com/office/drawing/2014/main" id="{B4426B7A-53A0-4CB8-8B80-55A3758A6337}"/>
            </a:ext>
          </a:extLst>
        </xdr:cNvPr>
        <xdr:cNvCxnSpPr/>
      </xdr:nvCxnSpPr>
      <xdr:spPr>
        <a:xfrm flipH="1">
          <a:off x="3060700" y="6794500"/>
          <a:ext cx="819150" cy="37465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704850</xdr:colOff>
      <xdr:row>4</xdr:row>
      <xdr:rowOff>2184400</xdr:rowOff>
    </xdr:from>
    <xdr:to>
      <xdr:col>0</xdr:col>
      <xdr:colOff>984647</xdr:colOff>
      <xdr:row>4</xdr:row>
      <xdr:rowOff>2357041</xdr:rowOff>
    </xdr:to>
    <xdr:sp macro="" textlink="">
      <xdr:nvSpPr>
        <xdr:cNvPr id="49" name="楕円 48">
          <a:extLst>
            <a:ext uri="{FF2B5EF4-FFF2-40B4-BE49-F238E27FC236}">
              <a16:creationId xmlns:a16="http://schemas.microsoft.com/office/drawing/2014/main" id="{207DC9EA-E870-46CE-9C3C-EA971F00045E}"/>
            </a:ext>
          </a:extLst>
        </xdr:cNvPr>
        <xdr:cNvSpPr/>
      </xdr:nvSpPr>
      <xdr:spPr>
        <a:xfrm>
          <a:off x="704850" y="10306050"/>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774701</xdr:colOff>
      <xdr:row>3</xdr:row>
      <xdr:rowOff>2006601</xdr:rowOff>
    </xdr:from>
    <xdr:to>
      <xdr:col>0</xdr:col>
      <xdr:colOff>3206751</xdr:colOff>
      <xdr:row>3</xdr:row>
      <xdr:rowOff>2171701</xdr:rowOff>
    </xdr:to>
    <xdr:sp macro="" textlink="">
      <xdr:nvSpPr>
        <xdr:cNvPr id="52" name="四角形: 角を丸くする 51">
          <a:extLst>
            <a:ext uri="{FF2B5EF4-FFF2-40B4-BE49-F238E27FC236}">
              <a16:creationId xmlns:a16="http://schemas.microsoft.com/office/drawing/2014/main" id="{84517C5D-ABAE-4E7C-B8D4-100A49841201}"/>
            </a:ext>
          </a:extLst>
        </xdr:cNvPr>
        <xdr:cNvSpPr/>
      </xdr:nvSpPr>
      <xdr:spPr>
        <a:xfrm>
          <a:off x="774701" y="7321551"/>
          <a:ext cx="2432050" cy="165100"/>
        </a:xfrm>
        <a:prstGeom prst="round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3204633</xdr:colOff>
      <xdr:row>3</xdr:row>
      <xdr:rowOff>1816100</xdr:rowOff>
    </xdr:from>
    <xdr:to>
      <xdr:col>1</xdr:col>
      <xdr:colOff>1085850</xdr:colOff>
      <xdr:row>3</xdr:row>
      <xdr:rowOff>2127250</xdr:rowOff>
    </xdr:to>
    <xdr:cxnSp macro="">
      <xdr:nvCxnSpPr>
        <xdr:cNvPr id="53" name="直線矢印コネクタ 52">
          <a:extLst>
            <a:ext uri="{FF2B5EF4-FFF2-40B4-BE49-F238E27FC236}">
              <a16:creationId xmlns:a16="http://schemas.microsoft.com/office/drawing/2014/main" id="{73C06E2E-CCF4-4CCB-94DE-9E1BA5F6C949}"/>
            </a:ext>
          </a:extLst>
        </xdr:cNvPr>
        <xdr:cNvCxnSpPr/>
      </xdr:nvCxnSpPr>
      <xdr:spPr>
        <a:xfrm flipH="1">
          <a:off x="3204633" y="7131050"/>
          <a:ext cx="1126067" cy="31115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1689100</xdr:colOff>
      <xdr:row>2</xdr:row>
      <xdr:rowOff>1898650</xdr:rowOff>
    </xdr:from>
    <xdr:to>
      <xdr:col>1</xdr:col>
      <xdr:colOff>38100</xdr:colOff>
      <xdr:row>2</xdr:row>
      <xdr:rowOff>2514600</xdr:rowOff>
    </xdr:to>
    <xdr:sp macro="" textlink="">
      <xdr:nvSpPr>
        <xdr:cNvPr id="62" name="楕円 61">
          <a:extLst>
            <a:ext uri="{FF2B5EF4-FFF2-40B4-BE49-F238E27FC236}">
              <a16:creationId xmlns:a16="http://schemas.microsoft.com/office/drawing/2014/main" id="{C351A20D-5D3A-4515-8923-1282B0767E87}"/>
            </a:ext>
          </a:extLst>
        </xdr:cNvPr>
        <xdr:cNvSpPr/>
      </xdr:nvSpPr>
      <xdr:spPr>
        <a:xfrm>
          <a:off x="1689100" y="4673600"/>
          <a:ext cx="1593850" cy="615950"/>
        </a:xfrm>
        <a:prstGeom prst="ellipse">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xdr:row>
      <xdr:rowOff>2127250</xdr:rowOff>
    </xdr:from>
    <xdr:to>
      <xdr:col>1</xdr:col>
      <xdr:colOff>1225550</xdr:colOff>
      <xdr:row>2</xdr:row>
      <xdr:rowOff>2206625</xdr:rowOff>
    </xdr:to>
    <xdr:cxnSp macro="">
      <xdr:nvCxnSpPr>
        <xdr:cNvPr id="64" name="直線矢印コネクタ 63">
          <a:extLst>
            <a:ext uri="{FF2B5EF4-FFF2-40B4-BE49-F238E27FC236}">
              <a16:creationId xmlns:a16="http://schemas.microsoft.com/office/drawing/2014/main" id="{059815A9-4366-4904-A9CE-6E0BFFB73588}"/>
            </a:ext>
          </a:extLst>
        </xdr:cNvPr>
        <xdr:cNvCxnSpPr>
          <a:endCxn id="62" idx="6"/>
        </xdr:cNvCxnSpPr>
      </xdr:nvCxnSpPr>
      <xdr:spPr>
        <a:xfrm flipH="1">
          <a:off x="3282950" y="4902200"/>
          <a:ext cx="1187450" cy="7937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33867</xdr:colOff>
      <xdr:row>7</xdr:row>
      <xdr:rowOff>1888067</xdr:rowOff>
    </xdr:from>
    <xdr:to>
      <xdr:col>0</xdr:col>
      <xdr:colOff>338667</xdr:colOff>
      <xdr:row>7</xdr:row>
      <xdr:rowOff>2053167</xdr:rowOff>
    </xdr:to>
    <xdr:sp macro="" textlink="">
      <xdr:nvSpPr>
        <xdr:cNvPr id="8" name="楕円 7">
          <a:extLst>
            <a:ext uri="{FF2B5EF4-FFF2-40B4-BE49-F238E27FC236}">
              <a16:creationId xmlns:a16="http://schemas.microsoft.com/office/drawing/2014/main" id="{63C83B3D-52F4-4717-A45B-97A82EB999FF}"/>
            </a:ext>
          </a:extLst>
        </xdr:cNvPr>
        <xdr:cNvSpPr/>
      </xdr:nvSpPr>
      <xdr:spPr>
        <a:xfrm>
          <a:off x="33867" y="18237200"/>
          <a:ext cx="304800" cy="165100"/>
        </a:xfrm>
        <a:prstGeom prst="ellipse">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728134</xdr:colOff>
      <xdr:row>7</xdr:row>
      <xdr:rowOff>2508251</xdr:rowOff>
    </xdr:from>
    <xdr:to>
      <xdr:col>0</xdr:col>
      <xdr:colOff>3172884</xdr:colOff>
      <xdr:row>7</xdr:row>
      <xdr:rowOff>2667001</xdr:rowOff>
    </xdr:to>
    <xdr:sp macro="" textlink="">
      <xdr:nvSpPr>
        <xdr:cNvPr id="36" name="四角形: 角を丸くする 35">
          <a:extLst>
            <a:ext uri="{FF2B5EF4-FFF2-40B4-BE49-F238E27FC236}">
              <a16:creationId xmlns:a16="http://schemas.microsoft.com/office/drawing/2014/main" id="{4759F645-9FB0-4BFA-85D0-587965DA943B}"/>
            </a:ext>
          </a:extLst>
        </xdr:cNvPr>
        <xdr:cNvSpPr/>
      </xdr:nvSpPr>
      <xdr:spPr>
        <a:xfrm>
          <a:off x="728134" y="18857384"/>
          <a:ext cx="2444750" cy="158750"/>
        </a:xfrm>
        <a:prstGeom prst="round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1430866</xdr:colOff>
      <xdr:row>5</xdr:row>
      <xdr:rowOff>2607734</xdr:rowOff>
    </xdr:from>
    <xdr:to>
      <xdr:col>0</xdr:col>
      <xdr:colOff>1862667</xdr:colOff>
      <xdr:row>6</xdr:row>
      <xdr:rowOff>19050</xdr:rowOff>
    </xdr:to>
    <xdr:sp macro="" textlink="">
      <xdr:nvSpPr>
        <xdr:cNvPr id="54" name="楕円 53">
          <a:extLst>
            <a:ext uri="{FF2B5EF4-FFF2-40B4-BE49-F238E27FC236}">
              <a16:creationId xmlns:a16="http://schemas.microsoft.com/office/drawing/2014/main" id="{1F47CD88-81F8-49CF-93DB-00541C4F529E}"/>
            </a:ext>
          </a:extLst>
        </xdr:cNvPr>
        <xdr:cNvSpPr/>
      </xdr:nvSpPr>
      <xdr:spPr>
        <a:xfrm>
          <a:off x="1430866" y="13876867"/>
          <a:ext cx="431801" cy="247650"/>
        </a:xfrm>
        <a:prstGeom prst="ellipse">
          <a:avLst/>
        </a:prstGeom>
        <a:solidFill>
          <a:schemeClr val="accent1">
            <a:alpha val="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2785533</xdr:colOff>
      <xdr:row>6</xdr:row>
      <xdr:rowOff>990600</xdr:rowOff>
    </xdr:from>
    <xdr:to>
      <xdr:col>0</xdr:col>
      <xdr:colOff>2942166</xdr:colOff>
      <xdr:row>6</xdr:row>
      <xdr:rowOff>1327150</xdr:rowOff>
    </xdr:to>
    <xdr:sp macro="" textlink="">
      <xdr:nvSpPr>
        <xdr:cNvPr id="66" name="楕円 65">
          <a:extLst>
            <a:ext uri="{FF2B5EF4-FFF2-40B4-BE49-F238E27FC236}">
              <a16:creationId xmlns:a16="http://schemas.microsoft.com/office/drawing/2014/main" id="{F8676D33-8886-4EBC-9323-3358D183B8D1}"/>
            </a:ext>
          </a:extLst>
        </xdr:cNvPr>
        <xdr:cNvSpPr/>
      </xdr:nvSpPr>
      <xdr:spPr>
        <a:xfrm>
          <a:off x="2785533" y="15367000"/>
          <a:ext cx="156633" cy="336550"/>
        </a:xfrm>
        <a:prstGeom prst="ellipse">
          <a:avLst/>
        </a:prstGeom>
        <a:solidFill>
          <a:schemeClr val="accent1">
            <a:alpha val="0"/>
          </a:schemeClr>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503767</xdr:colOff>
      <xdr:row>7</xdr:row>
      <xdr:rowOff>1957915</xdr:rowOff>
    </xdr:from>
    <xdr:to>
      <xdr:col>0</xdr:col>
      <xdr:colOff>3098800</xdr:colOff>
      <xdr:row>7</xdr:row>
      <xdr:rowOff>2497666</xdr:rowOff>
    </xdr:to>
    <xdr:sp macro="" textlink="">
      <xdr:nvSpPr>
        <xdr:cNvPr id="71" name="四角形: 角を丸くする 70">
          <a:extLst>
            <a:ext uri="{FF2B5EF4-FFF2-40B4-BE49-F238E27FC236}">
              <a16:creationId xmlns:a16="http://schemas.microsoft.com/office/drawing/2014/main" id="{E4785429-D96B-4BF1-82A1-D8713CA3A61E}"/>
            </a:ext>
          </a:extLst>
        </xdr:cNvPr>
        <xdr:cNvSpPr/>
      </xdr:nvSpPr>
      <xdr:spPr>
        <a:xfrm>
          <a:off x="503767" y="18307048"/>
          <a:ext cx="2595033" cy="539751"/>
        </a:xfrm>
        <a:prstGeom prst="roundRect">
          <a:avLst/>
        </a:prstGeom>
        <a:solidFill>
          <a:schemeClr val="accent1">
            <a:alpha val="0"/>
          </a:schemeClr>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3022600</xdr:colOff>
      <xdr:row>7</xdr:row>
      <xdr:rowOff>1162049</xdr:rowOff>
    </xdr:from>
    <xdr:to>
      <xdr:col>1</xdr:col>
      <xdr:colOff>766234</xdr:colOff>
      <xdr:row>7</xdr:row>
      <xdr:rowOff>1955800</xdr:rowOff>
    </xdr:to>
    <xdr:cxnSp macro="">
      <xdr:nvCxnSpPr>
        <xdr:cNvPr id="73" name="直線矢印コネクタ 72">
          <a:extLst>
            <a:ext uri="{FF2B5EF4-FFF2-40B4-BE49-F238E27FC236}">
              <a16:creationId xmlns:a16="http://schemas.microsoft.com/office/drawing/2014/main" id="{33277518-E1B2-4844-945D-5075C387DBF6}"/>
            </a:ext>
          </a:extLst>
        </xdr:cNvPr>
        <xdr:cNvCxnSpPr/>
      </xdr:nvCxnSpPr>
      <xdr:spPr>
        <a:xfrm flipH="1">
          <a:off x="3022600" y="17511182"/>
          <a:ext cx="986367" cy="793751"/>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2142067</xdr:colOff>
      <xdr:row>5</xdr:row>
      <xdr:rowOff>1676400</xdr:rowOff>
    </xdr:from>
    <xdr:to>
      <xdr:col>1</xdr:col>
      <xdr:colOff>330200</xdr:colOff>
      <xdr:row>6</xdr:row>
      <xdr:rowOff>922867</xdr:rowOff>
    </xdr:to>
    <xdr:cxnSp macro="">
      <xdr:nvCxnSpPr>
        <xdr:cNvPr id="109" name="直線矢印コネクタ 108">
          <a:extLst>
            <a:ext uri="{FF2B5EF4-FFF2-40B4-BE49-F238E27FC236}">
              <a16:creationId xmlns:a16="http://schemas.microsoft.com/office/drawing/2014/main" id="{F00CA07A-3548-40B2-AC31-471832412AEE}"/>
            </a:ext>
          </a:extLst>
        </xdr:cNvPr>
        <xdr:cNvCxnSpPr/>
      </xdr:nvCxnSpPr>
      <xdr:spPr>
        <a:xfrm flipH="1">
          <a:off x="2142067" y="13216467"/>
          <a:ext cx="1430866" cy="208280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16933</xdr:colOff>
      <xdr:row>3</xdr:row>
      <xdr:rowOff>2294468</xdr:rowOff>
    </xdr:from>
    <xdr:to>
      <xdr:col>1</xdr:col>
      <xdr:colOff>846</xdr:colOff>
      <xdr:row>3</xdr:row>
      <xdr:rowOff>3372874</xdr:rowOff>
    </xdr:to>
    <xdr:pic>
      <xdr:nvPicPr>
        <xdr:cNvPr id="119" name="図 118">
          <a:extLst>
            <a:ext uri="{FF2B5EF4-FFF2-40B4-BE49-F238E27FC236}">
              <a16:creationId xmlns:a16="http://schemas.microsoft.com/office/drawing/2014/main" id="{3579E3AD-21E1-478D-AB4F-7AB5C274AD5B}"/>
            </a:ext>
          </a:extLst>
        </xdr:cNvPr>
        <xdr:cNvPicPr>
          <a:picLocks noChangeAspect="1"/>
        </xdr:cNvPicPr>
      </xdr:nvPicPr>
      <xdr:blipFill>
        <a:blip xmlns:r="http://schemas.openxmlformats.org/officeDocument/2006/relationships" r:embed="rId10"/>
        <a:stretch>
          <a:fillRect/>
        </a:stretch>
      </xdr:blipFill>
      <xdr:spPr>
        <a:xfrm>
          <a:off x="16933" y="7611535"/>
          <a:ext cx="3191933" cy="1070786"/>
        </a:xfrm>
        <a:prstGeom prst="rect">
          <a:avLst/>
        </a:prstGeom>
      </xdr:spPr>
    </xdr:pic>
    <xdr:clientData/>
  </xdr:twoCellAnchor>
  <xdr:twoCellAnchor>
    <xdr:from>
      <xdr:col>0</xdr:col>
      <xdr:colOff>948267</xdr:colOff>
      <xdr:row>3</xdr:row>
      <xdr:rowOff>2345266</xdr:rowOff>
    </xdr:from>
    <xdr:to>
      <xdr:col>0</xdr:col>
      <xdr:colOff>1219200</xdr:colOff>
      <xdr:row>3</xdr:row>
      <xdr:rowOff>3259666</xdr:rowOff>
    </xdr:to>
    <xdr:sp macro="" textlink="">
      <xdr:nvSpPr>
        <xdr:cNvPr id="120" name="四角形: 角を丸くする 119">
          <a:extLst>
            <a:ext uri="{FF2B5EF4-FFF2-40B4-BE49-F238E27FC236}">
              <a16:creationId xmlns:a16="http://schemas.microsoft.com/office/drawing/2014/main" id="{304A1031-DD83-49EA-8D7E-A253AE8CFE92}"/>
            </a:ext>
          </a:extLst>
        </xdr:cNvPr>
        <xdr:cNvSpPr/>
      </xdr:nvSpPr>
      <xdr:spPr>
        <a:xfrm>
          <a:off x="948267" y="7662333"/>
          <a:ext cx="270933" cy="914400"/>
        </a:xfrm>
        <a:prstGeom prst="roundRect">
          <a:avLst/>
        </a:prstGeom>
        <a:blipFill dpi="0" rotWithShape="1">
          <a:blip xmlns:r="http://schemas.openxmlformats.org/officeDocument/2006/relationships" r:embed="rId11">
            <a:alphaModFix amt="0"/>
          </a:blip>
          <a:srcRect/>
          <a:tile tx="0" ty="0" sx="100000" sy="100000" flip="none" algn="tl"/>
        </a:bli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1185333</xdr:colOff>
      <xdr:row>3</xdr:row>
      <xdr:rowOff>2755900</xdr:rowOff>
    </xdr:from>
    <xdr:to>
      <xdr:col>1</xdr:col>
      <xdr:colOff>1695450</xdr:colOff>
      <xdr:row>3</xdr:row>
      <xdr:rowOff>3014132</xdr:rowOff>
    </xdr:to>
    <xdr:cxnSp macro="">
      <xdr:nvCxnSpPr>
        <xdr:cNvPr id="122" name="直線矢印コネクタ 121">
          <a:extLst>
            <a:ext uri="{FF2B5EF4-FFF2-40B4-BE49-F238E27FC236}">
              <a16:creationId xmlns:a16="http://schemas.microsoft.com/office/drawing/2014/main" id="{8F55D3F0-4B39-402C-BC3D-6B0968E0CF67}"/>
            </a:ext>
          </a:extLst>
        </xdr:cNvPr>
        <xdr:cNvCxnSpPr/>
      </xdr:nvCxnSpPr>
      <xdr:spPr>
        <a:xfrm flipH="1">
          <a:off x="1185333" y="8070850"/>
          <a:ext cx="3754967" cy="258232"/>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1172633</xdr:colOff>
      <xdr:row>3</xdr:row>
      <xdr:rowOff>2156884</xdr:rowOff>
    </xdr:from>
    <xdr:to>
      <xdr:col>0</xdr:col>
      <xdr:colOff>1452430</xdr:colOff>
      <xdr:row>3</xdr:row>
      <xdr:rowOff>2329525</xdr:rowOff>
    </xdr:to>
    <xdr:sp macro="" textlink="">
      <xdr:nvSpPr>
        <xdr:cNvPr id="43" name="楕円 42">
          <a:extLst>
            <a:ext uri="{FF2B5EF4-FFF2-40B4-BE49-F238E27FC236}">
              <a16:creationId xmlns:a16="http://schemas.microsoft.com/office/drawing/2014/main" id="{F78F3FE3-5186-4B9A-A793-C588776AE526}"/>
            </a:ext>
          </a:extLst>
        </xdr:cNvPr>
        <xdr:cNvSpPr/>
      </xdr:nvSpPr>
      <xdr:spPr>
        <a:xfrm>
          <a:off x="1172633" y="7471834"/>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663574</xdr:colOff>
      <xdr:row>5</xdr:row>
      <xdr:rowOff>1593850</xdr:rowOff>
    </xdr:from>
    <xdr:to>
      <xdr:col>0</xdr:col>
      <xdr:colOff>3232149</xdr:colOff>
      <xdr:row>5</xdr:row>
      <xdr:rowOff>1797050</xdr:rowOff>
    </xdr:to>
    <xdr:sp macro="" textlink="">
      <xdr:nvSpPr>
        <xdr:cNvPr id="22" name="四角形: 角を丸くする 21">
          <a:extLst>
            <a:ext uri="{FF2B5EF4-FFF2-40B4-BE49-F238E27FC236}">
              <a16:creationId xmlns:a16="http://schemas.microsoft.com/office/drawing/2014/main" id="{9F74BFD6-BDC2-4DCD-B465-8913A17930ED}"/>
            </a:ext>
          </a:extLst>
        </xdr:cNvPr>
        <xdr:cNvSpPr/>
      </xdr:nvSpPr>
      <xdr:spPr>
        <a:xfrm>
          <a:off x="663574" y="12862983"/>
          <a:ext cx="2568575" cy="203200"/>
        </a:xfrm>
        <a:prstGeom prst="round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450850</xdr:colOff>
      <xdr:row>5</xdr:row>
      <xdr:rowOff>1049866</xdr:rowOff>
    </xdr:from>
    <xdr:to>
      <xdr:col>0</xdr:col>
      <xdr:colOff>3175000</xdr:colOff>
      <xdr:row>5</xdr:row>
      <xdr:rowOff>1574799</xdr:rowOff>
    </xdr:to>
    <xdr:sp macro="" textlink="">
      <xdr:nvSpPr>
        <xdr:cNvPr id="20" name="四角形: 角を丸くする 19">
          <a:extLst>
            <a:ext uri="{FF2B5EF4-FFF2-40B4-BE49-F238E27FC236}">
              <a16:creationId xmlns:a16="http://schemas.microsoft.com/office/drawing/2014/main" id="{97646A12-5160-43D6-AAF7-CE7DF373ABFA}"/>
            </a:ext>
          </a:extLst>
        </xdr:cNvPr>
        <xdr:cNvSpPr/>
      </xdr:nvSpPr>
      <xdr:spPr>
        <a:xfrm>
          <a:off x="450850" y="12318999"/>
          <a:ext cx="2724150" cy="524933"/>
        </a:xfrm>
        <a:prstGeom prst="round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755650</xdr:colOff>
      <xdr:row>3</xdr:row>
      <xdr:rowOff>793750</xdr:rowOff>
    </xdr:from>
    <xdr:to>
      <xdr:col>0</xdr:col>
      <xdr:colOff>971550</xdr:colOff>
      <xdr:row>3</xdr:row>
      <xdr:rowOff>1289050</xdr:rowOff>
    </xdr:to>
    <xdr:sp macro="" textlink="">
      <xdr:nvSpPr>
        <xdr:cNvPr id="61" name="四角形: 角を丸くする 60">
          <a:extLst>
            <a:ext uri="{FF2B5EF4-FFF2-40B4-BE49-F238E27FC236}">
              <a16:creationId xmlns:a16="http://schemas.microsoft.com/office/drawing/2014/main" id="{BF1BC458-3A60-41C5-AA6D-826B82D7D867}"/>
            </a:ext>
          </a:extLst>
        </xdr:cNvPr>
        <xdr:cNvSpPr/>
      </xdr:nvSpPr>
      <xdr:spPr>
        <a:xfrm>
          <a:off x="755650" y="6108700"/>
          <a:ext cx="215900" cy="495300"/>
        </a:xfrm>
        <a:prstGeom prst="roundRect">
          <a:avLst/>
        </a:prstGeom>
        <a:no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971550</xdr:colOff>
      <xdr:row>3</xdr:row>
      <xdr:rowOff>647700</xdr:rowOff>
    </xdr:from>
    <xdr:to>
      <xdr:col>1</xdr:col>
      <xdr:colOff>806450</xdr:colOff>
      <xdr:row>3</xdr:row>
      <xdr:rowOff>920750</xdr:rowOff>
    </xdr:to>
    <xdr:cxnSp macro="">
      <xdr:nvCxnSpPr>
        <xdr:cNvPr id="63" name="直線矢印コネクタ 62">
          <a:extLst>
            <a:ext uri="{FF2B5EF4-FFF2-40B4-BE49-F238E27FC236}">
              <a16:creationId xmlns:a16="http://schemas.microsoft.com/office/drawing/2014/main" id="{8D825FC3-92BC-4F03-85D4-AB71F64CE494}"/>
            </a:ext>
          </a:extLst>
        </xdr:cNvPr>
        <xdr:cNvCxnSpPr/>
      </xdr:nvCxnSpPr>
      <xdr:spPr>
        <a:xfrm flipH="1">
          <a:off x="971550" y="5962650"/>
          <a:ext cx="3079750" cy="273050"/>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44823</xdr:colOff>
      <xdr:row>1</xdr:row>
      <xdr:rowOff>147794</xdr:rowOff>
    </xdr:from>
    <xdr:to>
      <xdr:col>16</xdr:col>
      <xdr:colOff>255830</xdr:colOff>
      <xdr:row>32</xdr:row>
      <xdr:rowOff>99004</xdr:rowOff>
    </xdr:to>
    <xdr:graphicFrame macro="">
      <xdr:nvGraphicFramePr>
        <xdr:cNvPr id="2" name="グラフ 1">
          <a:extLst>
            <a:ext uri="{FF2B5EF4-FFF2-40B4-BE49-F238E27FC236}">
              <a16:creationId xmlns:a16="http://schemas.microsoft.com/office/drawing/2014/main" id="{95980F5C-0849-405C-BC6D-7EB8C9788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33618</xdr:colOff>
      <xdr:row>37</xdr:row>
      <xdr:rowOff>138280</xdr:rowOff>
    </xdr:from>
    <xdr:to>
      <xdr:col>8</xdr:col>
      <xdr:colOff>511661</xdr:colOff>
      <xdr:row>57</xdr:row>
      <xdr:rowOff>54348</xdr:rowOff>
    </xdr:to>
    <xdr:graphicFrame macro="">
      <xdr:nvGraphicFramePr>
        <xdr:cNvPr id="3" name="グラフ 2">
          <a:extLst>
            <a:ext uri="{FF2B5EF4-FFF2-40B4-BE49-F238E27FC236}">
              <a16:creationId xmlns:a16="http://schemas.microsoft.com/office/drawing/2014/main" id="{613AE058-4203-4C6B-837E-6498C1EE9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52217</xdr:colOff>
      <xdr:row>37</xdr:row>
      <xdr:rowOff>125169</xdr:rowOff>
    </xdr:from>
    <xdr:to>
      <xdr:col>22</xdr:col>
      <xdr:colOff>267035</xdr:colOff>
      <xdr:row>63</xdr:row>
      <xdr:rowOff>20284</xdr:rowOff>
    </xdr:to>
    <xdr:graphicFrame macro="">
      <xdr:nvGraphicFramePr>
        <xdr:cNvPr id="6" name="グラフ 5">
          <a:extLst>
            <a:ext uri="{FF2B5EF4-FFF2-40B4-BE49-F238E27FC236}">
              <a16:creationId xmlns:a16="http://schemas.microsoft.com/office/drawing/2014/main" id="{33FB2679-0F69-4902-B147-7D064FCD7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95138</xdr:colOff>
      <xdr:row>65</xdr:row>
      <xdr:rowOff>9300</xdr:rowOff>
    </xdr:from>
    <xdr:to>
      <xdr:col>9</xdr:col>
      <xdr:colOff>388619</xdr:colOff>
      <xdr:row>102</xdr:row>
      <xdr:rowOff>9300</xdr:rowOff>
    </xdr:to>
    <xdr:graphicFrame macro="">
      <xdr:nvGraphicFramePr>
        <xdr:cNvPr id="5" name="グラフ 4">
          <a:extLst>
            <a:ext uri="{FF2B5EF4-FFF2-40B4-BE49-F238E27FC236}">
              <a16:creationId xmlns:a16="http://schemas.microsoft.com/office/drawing/2014/main" id="{133983A1-1F50-4C12-855E-BFCE5133E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496869</xdr:colOff>
      <xdr:row>65</xdr:row>
      <xdr:rowOff>3809</xdr:rowOff>
    </xdr:from>
    <xdr:to>
      <xdr:col>20</xdr:col>
      <xdr:colOff>197897</xdr:colOff>
      <xdr:row>102</xdr:row>
      <xdr:rowOff>13110</xdr:rowOff>
    </xdr:to>
    <xdr:graphicFrame macro="">
      <xdr:nvGraphicFramePr>
        <xdr:cNvPr id="7" name="グラフ 6">
          <a:extLst>
            <a:ext uri="{FF2B5EF4-FFF2-40B4-BE49-F238E27FC236}">
              <a16:creationId xmlns:a16="http://schemas.microsoft.com/office/drawing/2014/main" id="{E57EA0A9-6937-44C9-86BF-DEE5838E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263448</xdr:colOff>
      <xdr:row>64</xdr:row>
      <xdr:rowOff>160693</xdr:rowOff>
    </xdr:from>
    <xdr:to>
      <xdr:col>29</xdr:col>
      <xdr:colOff>190498</xdr:colOff>
      <xdr:row>101</xdr:row>
      <xdr:rowOff>158788</xdr:rowOff>
    </xdr:to>
    <xdr:graphicFrame macro="">
      <xdr:nvGraphicFramePr>
        <xdr:cNvPr id="8" name="グラフ 7">
          <a:extLst>
            <a:ext uri="{FF2B5EF4-FFF2-40B4-BE49-F238E27FC236}">
              <a16:creationId xmlns:a16="http://schemas.microsoft.com/office/drawing/2014/main" id="{9E5F9180-4794-4166-AA79-25DB09D0A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014659" y="4300659"/>
          <a:ext cx="130614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00000000-0008-0000-0300-000004000000}"/>
            </a:ext>
          </a:extLst>
        </xdr:cNvPr>
        <xdr:cNvSpPr txBox="1"/>
      </xdr:nvSpPr>
      <xdr:spPr>
        <a:xfrm>
          <a:off x="6900007" y="4044217"/>
          <a:ext cx="699964" cy="25644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128</xdr:row>
      <xdr:rowOff>38100</xdr:rowOff>
    </xdr:from>
    <xdr:to>
      <xdr:col>14</xdr:col>
      <xdr:colOff>342900</xdr:colOff>
      <xdr:row>131</xdr:row>
      <xdr:rowOff>95250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352800" y="33404175"/>
          <a:ext cx="3409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139</xdr:row>
      <xdr:rowOff>180975</xdr:rowOff>
    </xdr:from>
    <xdr:to>
      <xdr:col>14</xdr:col>
      <xdr:colOff>142875</xdr:colOff>
      <xdr:row>143</xdr:row>
      <xdr:rowOff>9525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3105150" y="36061650"/>
          <a:ext cx="345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26</xdr:row>
      <xdr:rowOff>195942</xdr:rowOff>
    </xdr:from>
    <xdr:to>
      <xdr:col>49</xdr:col>
      <xdr:colOff>359229</xdr:colOff>
      <xdr:row>28</xdr:row>
      <xdr:rowOff>130628</xdr:rowOff>
    </xdr:to>
    <xdr:cxnSp macro="">
      <xdr:nvCxnSpPr>
        <xdr:cNvPr id="11" name="直線矢印コネクタ 10">
          <a:extLst>
            <a:ext uri="{FF2B5EF4-FFF2-40B4-BE49-F238E27FC236}">
              <a16:creationId xmlns:a16="http://schemas.microsoft.com/office/drawing/2014/main" id="{00000000-0008-0000-0300-00000B000000}"/>
            </a:ext>
          </a:extLst>
        </xdr:cNvPr>
        <xdr:cNvCxnSpPr/>
      </xdr:nvCxnSpPr>
      <xdr:spPr>
        <a:xfrm>
          <a:off x="19188793" y="8406492"/>
          <a:ext cx="2258786" cy="3918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26</xdr:row>
      <xdr:rowOff>152400</xdr:rowOff>
    </xdr:from>
    <xdr:to>
      <xdr:col>49</xdr:col>
      <xdr:colOff>315686</xdr:colOff>
      <xdr:row>28</xdr:row>
      <xdr:rowOff>130630</xdr:rowOff>
    </xdr:to>
    <xdr:cxnSp macro="">
      <xdr:nvCxnSpPr>
        <xdr:cNvPr id="12" name="直線矢印コネクタ 11">
          <a:extLst>
            <a:ext uri="{FF2B5EF4-FFF2-40B4-BE49-F238E27FC236}">
              <a16:creationId xmlns:a16="http://schemas.microsoft.com/office/drawing/2014/main" id="{00000000-0008-0000-0300-00000C000000}"/>
            </a:ext>
          </a:extLst>
        </xdr:cNvPr>
        <xdr:cNvCxnSpPr/>
      </xdr:nvCxnSpPr>
      <xdr:spPr>
        <a:xfrm flipV="1">
          <a:off x="18922093" y="8362950"/>
          <a:ext cx="2481943" cy="43543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26</xdr:row>
      <xdr:rowOff>54428</xdr:rowOff>
    </xdr:from>
    <xdr:to>
      <xdr:col>34</xdr:col>
      <xdr:colOff>217714</xdr:colOff>
      <xdr:row>27</xdr:row>
      <xdr:rowOff>206828</xdr:rowOff>
    </xdr:to>
    <xdr:sp macro="" textlink="">
      <xdr:nvSpPr>
        <xdr:cNvPr id="13" name="矢印: 左カーブ 12">
          <a:extLst>
            <a:ext uri="{FF2B5EF4-FFF2-40B4-BE49-F238E27FC236}">
              <a16:creationId xmlns:a16="http://schemas.microsoft.com/office/drawing/2014/main" id="{00000000-0008-0000-0300-00000D000000}"/>
            </a:ext>
          </a:extLst>
        </xdr:cNvPr>
        <xdr:cNvSpPr/>
      </xdr:nvSpPr>
      <xdr:spPr>
        <a:xfrm>
          <a:off x="14845393" y="8264978"/>
          <a:ext cx="174171"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26</xdr:row>
      <xdr:rowOff>54429</xdr:rowOff>
    </xdr:from>
    <xdr:to>
      <xdr:col>20</xdr:col>
      <xdr:colOff>161924</xdr:colOff>
      <xdr:row>27</xdr:row>
      <xdr:rowOff>206829</xdr:rowOff>
    </xdr:to>
    <xdr:sp macro="" textlink="">
      <xdr:nvSpPr>
        <xdr:cNvPr id="14" name="矢印: 左カーブ 13">
          <a:extLst>
            <a:ext uri="{FF2B5EF4-FFF2-40B4-BE49-F238E27FC236}">
              <a16:creationId xmlns:a16="http://schemas.microsoft.com/office/drawing/2014/main" id="{00000000-0008-0000-0300-00000E000000}"/>
            </a:ext>
          </a:extLst>
        </xdr:cNvPr>
        <xdr:cNvSpPr/>
      </xdr:nvSpPr>
      <xdr:spPr>
        <a:xfrm>
          <a:off x="8873217" y="8264979"/>
          <a:ext cx="223157"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DD48-CE7B-4139-ABD4-CB452C9922EE}">
  <sheetPr codeName="Sheet1"/>
  <dimension ref="A1:K20"/>
  <sheetViews>
    <sheetView tabSelected="1" zoomScale="75" zoomScaleNormal="75" zoomScaleSheetLayoutView="100" workbookViewId="0">
      <pane ySplit="1" topLeftCell="A11" activePane="bottomLeft" state="frozen"/>
      <selection pane="bottomLeft" activeCell="A21" sqref="A21"/>
    </sheetView>
  </sheetViews>
  <sheetFormatPr defaultRowHeight="13.5"/>
  <cols>
    <col min="1" max="1" width="13" bestFit="1" customWidth="1"/>
    <col min="5" max="5" width="10" customWidth="1"/>
    <col min="7" max="7" width="11.625" bestFit="1" customWidth="1"/>
    <col min="11" max="11" width="10.125" customWidth="1"/>
  </cols>
  <sheetData>
    <row r="1" spans="1:11" ht="21">
      <c r="A1" s="55" t="s">
        <v>338</v>
      </c>
      <c r="F1" s="218" t="s">
        <v>491</v>
      </c>
      <c r="G1" s="477">
        <v>46079</v>
      </c>
      <c r="I1" t="s">
        <v>62</v>
      </c>
    </row>
    <row r="3" spans="1:11" ht="122.1" customHeight="1">
      <c r="A3" s="526" t="s">
        <v>458</v>
      </c>
      <c r="B3" s="526"/>
      <c r="C3" s="526"/>
      <c r="D3" s="526"/>
      <c r="E3" s="526"/>
      <c r="F3" s="526"/>
      <c r="G3" s="526"/>
      <c r="H3" s="526"/>
      <c r="I3" s="526"/>
      <c r="J3" s="526"/>
      <c r="K3" s="526"/>
    </row>
    <row r="4" spans="1:11" ht="363.6" customHeight="1">
      <c r="A4" s="527" t="s">
        <v>459</v>
      </c>
      <c r="B4" s="528"/>
      <c r="C4" s="528"/>
      <c r="D4" s="528"/>
      <c r="E4" s="528"/>
      <c r="F4" s="528"/>
      <c r="G4" s="528"/>
      <c r="H4" s="528"/>
      <c r="I4" s="528"/>
      <c r="J4" s="528"/>
      <c r="K4" s="528"/>
    </row>
    <row r="5" spans="1:11" ht="96.95" customHeight="1">
      <c r="A5" s="529" t="s">
        <v>444</v>
      </c>
      <c r="B5" s="529"/>
      <c r="C5" s="529"/>
      <c r="D5" s="529"/>
      <c r="E5" s="529"/>
      <c r="F5" s="529"/>
      <c r="G5" s="529"/>
      <c r="H5" s="529"/>
      <c r="I5" s="529"/>
      <c r="J5" s="529"/>
      <c r="K5" s="529"/>
    </row>
    <row r="6" spans="1:11" ht="52.5" customHeight="1">
      <c r="A6" s="529" t="s">
        <v>405</v>
      </c>
      <c r="B6" s="529"/>
      <c r="C6" s="529"/>
      <c r="D6" s="529"/>
      <c r="E6" s="529"/>
      <c r="F6" s="529"/>
      <c r="G6" s="529"/>
      <c r="H6" s="529"/>
      <c r="I6" s="529"/>
      <c r="J6" s="529"/>
      <c r="K6" s="529"/>
    </row>
    <row r="7" spans="1:11">
      <c r="A7" t="s">
        <v>225</v>
      </c>
    </row>
    <row r="8" spans="1:11">
      <c r="A8" s="416" t="s">
        <v>226</v>
      </c>
      <c r="B8" s="416" t="s">
        <v>229</v>
      </c>
      <c r="C8" s="530" t="s">
        <v>228</v>
      </c>
      <c r="D8" s="530"/>
      <c r="E8" s="530"/>
      <c r="F8" s="530"/>
      <c r="G8" s="530"/>
      <c r="H8" s="530"/>
      <c r="I8" s="530"/>
      <c r="J8" s="531" t="s">
        <v>227</v>
      </c>
      <c r="K8" s="531"/>
    </row>
    <row r="9" spans="1:11">
      <c r="A9" s="167">
        <v>44146</v>
      </c>
      <c r="B9" s="168">
        <v>1</v>
      </c>
      <c r="C9" s="532" t="s">
        <v>231</v>
      </c>
      <c r="D9" s="532"/>
      <c r="E9" s="532"/>
      <c r="F9" s="532"/>
      <c r="G9" s="532"/>
      <c r="H9" s="532"/>
      <c r="I9" s="532"/>
      <c r="J9" s="521" t="s">
        <v>230</v>
      </c>
      <c r="K9" s="521"/>
    </row>
    <row r="10" spans="1:11" ht="27" customHeight="1">
      <c r="A10" s="167">
        <v>44327</v>
      </c>
      <c r="B10" s="168">
        <v>2</v>
      </c>
      <c r="C10" s="525" t="s">
        <v>232</v>
      </c>
      <c r="D10" s="525"/>
      <c r="E10" s="525"/>
      <c r="F10" s="525"/>
      <c r="G10" s="525"/>
      <c r="H10" s="525"/>
      <c r="I10" s="525"/>
      <c r="J10" s="521" t="s">
        <v>230</v>
      </c>
      <c r="K10" s="521"/>
    </row>
    <row r="11" spans="1:11">
      <c r="A11" s="167">
        <v>44770</v>
      </c>
      <c r="B11" s="168">
        <v>2.1</v>
      </c>
      <c r="C11" s="525" t="s">
        <v>339</v>
      </c>
      <c r="D11" s="525"/>
      <c r="E11" s="525"/>
      <c r="F11" s="525"/>
      <c r="G11" s="525"/>
      <c r="H11" s="525"/>
      <c r="I11" s="525"/>
      <c r="J11" s="521" t="s">
        <v>287</v>
      </c>
      <c r="K11" s="521"/>
    </row>
    <row r="12" spans="1:11" ht="54.6" customHeight="1">
      <c r="A12" s="167">
        <v>45079</v>
      </c>
      <c r="B12" s="168">
        <v>2</v>
      </c>
      <c r="C12" s="525" t="s">
        <v>340</v>
      </c>
      <c r="D12" s="525"/>
      <c r="E12" s="525"/>
      <c r="F12" s="525"/>
      <c r="G12" s="525"/>
      <c r="H12" s="525"/>
      <c r="I12" s="525"/>
      <c r="J12" s="521" t="s">
        <v>287</v>
      </c>
      <c r="K12" s="521"/>
    </row>
    <row r="13" spans="1:11" ht="15.75" customHeight="1">
      <c r="A13" s="167">
        <v>45468</v>
      </c>
      <c r="B13" s="168">
        <v>3.1</v>
      </c>
      <c r="C13" s="519" t="s">
        <v>398</v>
      </c>
      <c r="D13" s="520"/>
      <c r="E13" s="520"/>
      <c r="F13" s="520"/>
      <c r="G13" s="520"/>
      <c r="H13" s="520"/>
      <c r="I13" s="520"/>
      <c r="J13" s="521" t="s">
        <v>399</v>
      </c>
      <c r="K13" s="521"/>
    </row>
    <row r="14" spans="1:11" ht="15.75" customHeight="1">
      <c r="A14" s="167">
        <v>45475</v>
      </c>
      <c r="B14" s="168">
        <v>3.2</v>
      </c>
      <c r="C14" s="519" t="s">
        <v>400</v>
      </c>
      <c r="D14" s="520"/>
      <c r="E14" s="520"/>
      <c r="F14" s="520"/>
      <c r="G14" s="520"/>
      <c r="H14" s="520"/>
      <c r="I14" s="520"/>
      <c r="J14" s="521" t="s">
        <v>401</v>
      </c>
      <c r="K14" s="521"/>
    </row>
    <row r="15" spans="1:11" ht="74.099999999999994" customHeight="1">
      <c r="A15" s="167">
        <v>45824</v>
      </c>
      <c r="B15" s="168">
        <v>3.3</v>
      </c>
      <c r="C15" s="519" t="s">
        <v>461</v>
      </c>
      <c r="D15" s="520"/>
      <c r="E15" s="520"/>
      <c r="F15" s="520"/>
      <c r="G15" s="520"/>
      <c r="H15" s="520"/>
      <c r="I15" s="520"/>
      <c r="J15" s="521" t="s">
        <v>399</v>
      </c>
      <c r="K15" s="521"/>
    </row>
    <row r="16" spans="1:11" ht="44.45" customHeight="1">
      <c r="A16" s="467">
        <v>45824</v>
      </c>
      <c r="B16" s="466">
        <v>4.0999999999999996</v>
      </c>
      <c r="C16" s="522" t="s">
        <v>460</v>
      </c>
      <c r="D16" s="523"/>
      <c r="E16" s="523"/>
      <c r="F16" s="523"/>
      <c r="G16" s="523"/>
      <c r="H16" s="523"/>
      <c r="I16" s="524"/>
      <c r="J16" s="521" t="s">
        <v>436</v>
      </c>
      <c r="K16" s="521"/>
    </row>
    <row r="17" spans="1:11" ht="17.45" customHeight="1">
      <c r="A17" s="478">
        <v>45924</v>
      </c>
      <c r="B17" s="475">
        <v>3.4</v>
      </c>
      <c r="C17" s="519" t="s">
        <v>455</v>
      </c>
      <c r="D17" s="520"/>
      <c r="E17" s="520"/>
      <c r="F17" s="520"/>
      <c r="G17" s="520"/>
      <c r="H17" s="520"/>
      <c r="I17" s="520"/>
      <c r="J17" s="521" t="s">
        <v>436</v>
      </c>
      <c r="K17" s="521"/>
    </row>
    <row r="18" spans="1:11" ht="18.95" customHeight="1">
      <c r="A18" s="478">
        <v>45924</v>
      </c>
      <c r="B18" s="472">
        <v>4.2</v>
      </c>
      <c r="C18" s="519" t="s">
        <v>455</v>
      </c>
      <c r="D18" s="520"/>
      <c r="E18" s="520"/>
      <c r="F18" s="520"/>
      <c r="G18" s="520"/>
      <c r="H18" s="520"/>
      <c r="I18" s="520"/>
      <c r="J18" s="521" t="s">
        <v>436</v>
      </c>
      <c r="K18" s="521"/>
    </row>
    <row r="19" spans="1:11" ht="15" customHeight="1">
      <c r="A19" s="478">
        <v>46079</v>
      </c>
      <c r="B19" s="480">
        <v>3.5</v>
      </c>
      <c r="C19" s="519" t="s">
        <v>489</v>
      </c>
      <c r="D19" s="520"/>
      <c r="E19" s="520"/>
      <c r="F19" s="520"/>
      <c r="G19" s="520"/>
      <c r="H19" s="520"/>
      <c r="I19" s="520"/>
      <c r="J19" s="521" t="s">
        <v>436</v>
      </c>
      <c r="K19" s="521"/>
    </row>
    <row r="20" spans="1:11" ht="29.1" customHeight="1">
      <c r="A20" s="478">
        <v>46079</v>
      </c>
      <c r="B20" s="480">
        <v>4.3</v>
      </c>
      <c r="C20" s="519" t="s">
        <v>490</v>
      </c>
      <c r="D20" s="520"/>
      <c r="E20" s="520"/>
      <c r="F20" s="520"/>
      <c r="G20" s="520"/>
      <c r="H20" s="520"/>
      <c r="I20" s="520"/>
      <c r="J20" s="521" t="s">
        <v>436</v>
      </c>
      <c r="K20" s="521"/>
    </row>
  </sheetData>
  <mergeCells count="30">
    <mergeCell ref="C19:I19"/>
    <mergeCell ref="C20:I20"/>
    <mergeCell ref="J19:K19"/>
    <mergeCell ref="J20:K20"/>
    <mergeCell ref="A3:K3"/>
    <mergeCell ref="A4:K4"/>
    <mergeCell ref="A5:K5"/>
    <mergeCell ref="A6:K6"/>
    <mergeCell ref="C8:I8"/>
    <mergeCell ref="J8:K8"/>
    <mergeCell ref="C9:I9"/>
    <mergeCell ref="J9:K9"/>
    <mergeCell ref="C10:I10"/>
    <mergeCell ref="J10:K10"/>
    <mergeCell ref="C11:I11"/>
    <mergeCell ref="J11:K11"/>
    <mergeCell ref="C12:I12"/>
    <mergeCell ref="J12:K12"/>
    <mergeCell ref="C13:I13"/>
    <mergeCell ref="J13:K13"/>
    <mergeCell ref="C14:I14"/>
    <mergeCell ref="J14:K14"/>
    <mergeCell ref="C18:I18"/>
    <mergeCell ref="J18:K18"/>
    <mergeCell ref="C15:I15"/>
    <mergeCell ref="C16:I16"/>
    <mergeCell ref="J15:K15"/>
    <mergeCell ref="J16:K16"/>
    <mergeCell ref="C17:I17"/>
    <mergeCell ref="J17:K17"/>
  </mergeCells>
  <phoneticPr fontId="1"/>
  <pageMargins left="0.26" right="0.2"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4AC0-F507-4215-8B20-C65ADA7FF5F5}">
  <sheetPr codeName="Sheet8"/>
  <dimension ref="A1:D20"/>
  <sheetViews>
    <sheetView zoomScaleNormal="100" zoomScaleSheetLayoutView="100" workbookViewId="0">
      <selection activeCell="D4" sqref="D4"/>
    </sheetView>
  </sheetViews>
  <sheetFormatPr defaultRowHeight="13.5"/>
  <cols>
    <col min="1" max="1" width="46.5" customWidth="1"/>
    <col min="2" max="2" width="53.875" customWidth="1"/>
  </cols>
  <sheetData>
    <row r="1" spans="1:4" ht="18.75" customHeight="1">
      <c r="A1" s="417" t="s">
        <v>342</v>
      </c>
      <c r="B1" s="417" t="s">
        <v>343</v>
      </c>
    </row>
    <row r="2" spans="1:4" ht="200.1" customHeight="1">
      <c r="A2" s="262"/>
      <c r="B2" s="396" t="s">
        <v>442</v>
      </c>
    </row>
    <row r="3" spans="1:4" ht="200.1" customHeight="1">
      <c r="A3" s="262"/>
      <c r="B3" s="396" t="s">
        <v>441</v>
      </c>
    </row>
    <row r="4" spans="1:4" ht="281.45" customHeight="1">
      <c r="A4" s="262"/>
      <c r="B4" s="396" t="s">
        <v>488</v>
      </c>
      <c r="D4" s="468"/>
    </row>
    <row r="5" spans="1:4" ht="230.45" customHeight="1">
      <c r="A5" s="262"/>
      <c r="B5" s="396" t="s">
        <v>456</v>
      </c>
    </row>
    <row r="6" spans="1:4" ht="222.95" customHeight="1">
      <c r="A6" s="262"/>
      <c r="B6" s="396" t="s">
        <v>465</v>
      </c>
    </row>
    <row r="7" spans="1:4" ht="200.1" customHeight="1">
      <c r="A7" s="262"/>
      <c r="B7" s="396" t="s">
        <v>464</v>
      </c>
    </row>
    <row r="8" spans="1:4" ht="228" customHeight="1">
      <c r="A8" s="262"/>
      <c r="B8" s="396" t="s">
        <v>463</v>
      </c>
    </row>
    <row r="9" spans="1:4" ht="183.95" customHeight="1">
      <c r="A9" s="262"/>
      <c r="B9" s="396" t="s">
        <v>462</v>
      </c>
    </row>
    <row r="10" spans="1:4" ht="200.1" customHeight="1">
      <c r="A10" s="262"/>
      <c r="B10" s="396" t="s">
        <v>439</v>
      </c>
    </row>
    <row r="11" spans="1:4" ht="200.1" customHeight="1">
      <c r="A11" s="262"/>
      <c r="B11" s="469" t="s">
        <v>443</v>
      </c>
    </row>
    <row r="12" spans="1:4" ht="200.1" customHeight="1"/>
    <row r="13" spans="1:4" ht="200.1" customHeight="1"/>
    <row r="14" spans="1:4" ht="200.1" customHeight="1"/>
    <row r="15" spans="1:4" ht="200.1" customHeight="1"/>
    <row r="16" spans="1:4" ht="200.1" customHeight="1"/>
    <row r="17" ht="200.1" customHeight="1"/>
    <row r="18" ht="200.1" customHeight="1"/>
    <row r="19" ht="200.1" customHeight="1"/>
    <row r="20" ht="200.1" customHeight="1"/>
  </sheetData>
  <sheetProtection algorithmName="SHA-512" hashValue="sx+VzN4Sa3N9RnYOok1O83C6CjCD6yy16OH3YoTow6QviYn79+bT/SeMV40eybVKAtXXf2QoGoLhXG85fLPPTg==" saltValue="hNPu1etIiMBmi2s8oT1yMg==" spinCount="100000" sheet="1" objects="1" scenarios="1"/>
  <phoneticPr fontId="1"/>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R232"/>
  <sheetViews>
    <sheetView view="pageBreakPreview" zoomScale="60" zoomScaleNormal="40" workbookViewId="0">
      <pane ySplit="1" topLeftCell="A44" activePane="bottomLeft" state="frozen"/>
      <selection pane="bottomLeft" activeCell="E13" sqref="E13"/>
    </sheetView>
  </sheetViews>
  <sheetFormatPr defaultRowHeight="13.5"/>
  <cols>
    <col min="1" max="1" width="12.875" customWidth="1"/>
    <col min="2" max="3" width="7.625" customWidth="1"/>
    <col min="4" max="4" width="13" customWidth="1"/>
    <col min="5" max="14" width="12.125" customWidth="1"/>
    <col min="15" max="15" width="11.375" customWidth="1"/>
  </cols>
  <sheetData>
    <row r="1" spans="1:15" ht="56.45" customHeight="1">
      <c r="A1" s="633" t="s">
        <v>407</v>
      </c>
      <c r="B1" s="634"/>
      <c r="C1" s="634"/>
      <c r="D1" s="634"/>
      <c r="E1" s="634"/>
      <c r="F1" s="634"/>
      <c r="G1" s="634"/>
      <c r="H1" s="634"/>
      <c r="I1" s="634"/>
      <c r="J1" s="634"/>
      <c r="K1" s="634"/>
      <c r="L1" s="634"/>
      <c r="M1" s="634"/>
      <c r="N1" s="635"/>
    </row>
    <row r="2" spans="1:15" ht="36" customHeight="1">
      <c r="A2" s="456" t="s">
        <v>474</v>
      </c>
    </row>
    <row r="3" spans="1:15" ht="20.45" customHeight="1" thickBot="1">
      <c r="A3" s="456"/>
    </row>
    <row r="4" spans="1:15" ht="16.5" customHeight="1">
      <c r="A4" s="533" t="s">
        <v>61</v>
      </c>
      <c r="B4" s="534"/>
      <c r="C4" s="535"/>
      <c r="D4" s="479" t="s">
        <v>47</v>
      </c>
      <c r="E4" s="479" t="s">
        <v>13</v>
      </c>
      <c r="F4" s="479" t="s">
        <v>15</v>
      </c>
      <c r="G4" s="479" t="s">
        <v>48</v>
      </c>
      <c r="H4" s="479" t="s">
        <v>49</v>
      </c>
      <c r="I4" s="319" t="s">
        <v>52</v>
      </c>
      <c r="J4" s="492" t="s">
        <v>345</v>
      </c>
      <c r="K4" s="320" t="s">
        <v>51</v>
      </c>
      <c r="M4" s="182"/>
      <c r="N4" s="182"/>
      <c r="O4" s="182"/>
    </row>
    <row r="5" spans="1:15" ht="16.5" customHeight="1">
      <c r="A5" s="536" t="s">
        <v>163</v>
      </c>
      <c r="B5" s="537"/>
      <c r="C5" s="538"/>
      <c r="D5" s="424" t="str">
        <f>IF(D6+D7=0,"",D6+D7)</f>
        <v/>
      </c>
      <c r="E5" s="424" t="str">
        <f t="shared" ref="E5:H5" si="0">IF(E6+E7=0,"",E6+E7)</f>
        <v/>
      </c>
      <c r="F5" s="424" t="str">
        <f t="shared" si="0"/>
        <v/>
      </c>
      <c r="G5" s="424" t="str">
        <f t="shared" si="0"/>
        <v/>
      </c>
      <c r="H5" s="424" t="str">
        <f t="shared" si="0"/>
        <v/>
      </c>
      <c r="I5" s="323"/>
      <c r="J5" s="488"/>
      <c r="K5" s="441" t="str">
        <f>IF(SUM(D5:I5)=0,"",SUM(D5:I5))</f>
        <v/>
      </c>
      <c r="M5" s="86"/>
      <c r="N5" s="86"/>
      <c r="O5" s="86"/>
    </row>
    <row r="6" spans="1:15" ht="16.5" customHeight="1">
      <c r="A6" s="536" t="s">
        <v>93</v>
      </c>
      <c r="B6" s="537"/>
      <c r="C6" s="538"/>
      <c r="D6" s="371"/>
      <c r="E6" s="371"/>
      <c r="F6" s="371"/>
      <c r="G6" s="371"/>
      <c r="H6" s="371"/>
      <c r="I6" s="323"/>
      <c r="J6" s="488"/>
      <c r="K6" s="441" t="str">
        <f>IF(SUM(D6:I6)=0,"",SUM(D6:I6))</f>
        <v/>
      </c>
      <c r="M6" s="86"/>
      <c r="N6" s="86"/>
      <c r="O6" s="86"/>
    </row>
    <row r="7" spans="1:15" ht="16.5" customHeight="1">
      <c r="A7" s="536" t="s">
        <v>50</v>
      </c>
      <c r="B7" s="537"/>
      <c r="C7" s="538"/>
      <c r="D7" s="371"/>
      <c r="E7" s="371"/>
      <c r="F7" s="371"/>
      <c r="G7" s="371"/>
      <c r="H7" s="371"/>
      <c r="I7" s="323"/>
      <c r="J7" s="488"/>
      <c r="K7" s="441" t="str">
        <f>IF(SUM(D7:I7)=0,"",SUM(D7:I7))</f>
        <v/>
      </c>
      <c r="M7" s="86"/>
      <c r="N7" s="86"/>
      <c r="O7" s="86"/>
    </row>
    <row r="8" spans="1:15" ht="16.5" customHeight="1">
      <c r="A8" s="539" t="s">
        <v>162</v>
      </c>
      <c r="B8" s="540"/>
      <c r="C8" s="541"/>
      <c r="D8" s="484"/>
      <c r="E8" s="484"/>
      <c r="F8" s="484"/>
      <c r="G8" s="484"/>
      <c r="H8" s="484"/>
      <c r="I8" s="484"/>
      <c r="J8" s="489"/>
      <c r="K8" s="485" t="str">
        <f>IF(SUM(D8:I8)=0,"",SUM(D8:I8))</f>
        <v/>
      </c>
      <c r="M8" s="86"/>
      <c r="N8" s="86"/>
      <c r="O8" s="86"/>
    </row>
    <row r="9" spans="1:15" ht="16.5" customHeight="1">
      <c r="A9" s="539" t="s">
        <v>466</v>
      </c>
      <c r="B9" s="540"/>
      <c r="C9" s="541"/>
      <c r="D9" s="490"/>
      <c r="E9" s="490"/>
      <c r="F9" s="490"/>
      <c r="G9" s="490"/>
      <c r="H9" s="490"/>
      <c r="I9" s="490"/>
      <c r="J9" s="262"/>
      <c r="K9" s="485" t="str">
        <f>IF(J9=0,"",J9)</f>
        <v/>
      </c>
      <c r="M9" s="86"/>
      <c r="N9" s="86"/>
      <c r="O9" s="86"/>
    </row>
    <row r="10" spans="1:15" ht="16.5" customHeight="1" thickBot="1">
      <c r="A10" s="542" t="s">
        <v>467</v>
      </c>
      <c r="B10" s="543"/>
      <c r="C10" s="544"/>
      <c r="D10" s="491"/>
      <c r="E10" s="491"/>
      <c r="F10" s="491"/>
      <c r="G10" s="491"/>
      <c r="H10" s="491"/>
      <c r="I10" s="491"/>
      <c r="J10" s="482"/>
      <c r="K10" s="493"/>
      <c r="M10" s="86"/>
      <c r="N10" s="86"/>
      <c r="O10" s="86"/>
    </row>
    <row r="11" spans="1:15" ht="16.5" customHeight="1">
      <c r="A11" s="456"/>
    </row>
    <row r="12" spans="1:15" ht="21.95" customHeight="1" thickBot="1">
      <c r="A12" s="60"/>
    </row>
    <row r="13" spans="1:15" ht="19.350000000000001" customHeight="1">
      <c r="A13" s="549" t="s">
        <v>483</v>
      </c>
      <c r="B13" s="551" t="s">
        <v>261</v>
      </c>
      <c r="C13" s="552"/>
      <c r="D13" s="553"/>
      <c r="E13" s="486"/>
      <c r="F13" s="545" t="s">
        <v>406</v>
      </c>
      <c r="G13" s="546"/>
      <c r="H13" s="546"/>
      <c r="I13" s="495" t="str">
        <f>IFERROR(Q18,"")</f>
        <v/>
      </c>
    </row>
    <row r="14" spans="1:15" ht="19.350000000000001" customHeight="1" thickBot="1">
      <c r="A14" s="550"/>
      <c r="B14" s="554" t="s">
        <v>2</v>
      </c>
      <c r="C14" s="555"/>
      <c r="D14" s="556"/>
      <c r="E14" s="511"/>
      <c r="F14" s="547" t="s">
        <v>297</v>
      </c>
      <c r="G14" s="548"/>
      <c r="H14" s="548"/>
      <c r="I14" s="496" t="str">
        <f>IFERROR(S18,"")</f>
        <v/>
      </c>
    </row>
    <row r="15" spans="1:15" ht="19.350000000000001" customHeight="1">
      <c r="A15" s="501"/>
      <c r="B15" s="502"/>
      <c r="C15" s="503"/>
      <c r="D15" s="503"/>
      <c r="E15" s="504"/>
      <c r="F15" s="547" t="s">
        <v>468</v>
      </c>
      <c r="G15" s="548"/>
      <c r="H15" s="548"/>
      <c r="I15" s="496" t="str">
        <f>IFERROR(U18,"")</f>
        <v/>
      </c>
    </row>
    <row r="16" spans="1:15" ht="19.350000000000001" customHeight="1" thickBot="1">
      <c r="A16" s="512"/>
      <c r="B16" s="498"/>
      <c r="C16" s="42"/>
      <c r="D16" s="42"/>
      <c r="E16" s="118"/>
      <c r="F16" s="557" t="s">
        <v>446</v>
      </c>
      <c r="G16" s="558"/>
      <c r="H16" s="558"/>
      <c r="I16" s="497" t="str">
        <f>IFERROR(W18,"")</f>
        <v/>
      </c>
    </row>
    <row r="17" spans="1:27" ht="9.9499999999999993" customHeight="1">
      <c r="A17" s="512"/>
      <c r="B17" s="498"/>
      <c r="C17" s="42"/>
      <c r="D17" s="42"/>
      <c r="E17" s="118"/>
      <c r="F17" s="505"/>
      <c r="G17" s="506"/>
      <c r="H17" s="506"/>
      <c r="I17" s="507"/>
    </row>
    <row r="18" spans="1:27" ht="9.9499999999999993" hidden="1" customHeight="1">
      <c r="A18" s="512"/>
      <c r="B18" s="498"/>
      <c r="C18" s="42"/>
      <c r="D18" s="42"/>
      <c r="E18" s="515" t="s">
        <v>477</v>
      </c>
      <c r="F18" s="494" t="s">
        <v>123</v>
      </c>
      <c r="G18" s="494" t="e">
        <f>IF(E14="",NA(),ROUND(1443/(1443+E14),4))</f>
        <v>#N/A</v>
      </c>
      <c r="H18" s="494" t="s">
        <v>470</v>
      </c>
      <c r="I18" s="494" t="e">
        <f>IF(E13="",NA(),IFERROR(E13*VLOOKUP(E13,'各種計算式等（配付時非表示）'!$E$3:$H$1003,3,TRUE)+VLOOKUP(E13,'各種計算式等（配付時非表示）'!$E$3:$H$1003,4,TRUE)+0.0000000001,"-"))</f>
        <v>#N/A</v>
      </c>
      <c r="J18" s="494" t="s">
        <v>3</v>
      </c>
      <c r="K18" s="494" t="e">
        <f>(G18-I18)*260+0.21</f>
        <v>#N/A</v>
      </c>
      <c r="L18" s="494" t="s">
        <v>471</v>
      </c>
      <c r="M18" s="494">
        <f>E13*1.5848</f>
        <v>0</v>
      </c>
      <c r="N18" s="494" t="s">
        <v>159</v>
      </c>
      <c r="O18" s="494" t="e">
        <f>K18+M18</f>
        <v>#N/A</v>
      </c>
      <c r="P18" s="494" t="s">
        <v>406</v>
      </c>
      <c r="Q18" s="494" t="e">
        <f>O18*K8/K5</f>
        <v>#N/A</v>
      </c>
      <c r="R18" s="494" t="s">
        <v>297</v>
      </c>
      <c r="S18" s="494" t="e">
        <f>M18*K8/K5</f>
        <v>#VALUE!</v>
      </c>
      <c r="T18" s="494" t="s">
        <v>472</v>
      </c>
      <c r="U18" s="494" t="e">
        <f>K18*K8/K5</f>
        <v>#N/A</v>
      </c>
      <c r="V18" s="494" t="s">
        <v>473</v>
      </c>
      <c r="W18" t="e">
        <f>S18/Q18*100</f>
        <v>#VALUE!</v>
      </c>
    </row>
    <row r="19" spans="1:27" ht="9.9499999999999993" customHeight="1" thickBot="1">
      <c r="A19" s="508"/>
      <c r="B19" s="509"/>
      <c r="C19" s="229"/>
      <c r="D19" s="229"/>
      <c r="E19" s="510"/>
      <c r="F19" s="474"/>
      <c r="G19" s="514"/>
      <c r="H19" s="514"/>
      <c r="I19" s="499"/>
    </row>
    <row r="20" spans="1:27" ht="19.350000000000001" customHeight="1" thickBot="1">
      <c r="A20" s="580" t="s">
        <v>476</v>
      </c>
      <c r="B20" s="571" t="s">
        <v>261</v>
      </c>
      <c r="C20" s="572"/>
      <c r="D20" s="573"/>
      <c r="E20" s="500"/>
      <c r="F20" s="559" t="s">
        <v>479</v>
      </c>
      <c r="G20" s="560"/>
      <c r="H20" s="561"/>
      <c r="I20" s="513" t="str">
        <f>IFERROR((O24*K5*E22)/(180/162*81*K5+J9*J10*1.5848),"")</f>
        <v/>
      </c>
    </row>
    <row r="21" spans="1:27" ht="19.350000000000001" customHeight="1">
      <c r="A21" s="580"/>
      <c r="B21" s="574" t="s">
        <v>2</v>
      </c>
      <c r="C21" s="575"/>
      <c r="D21" s="576"/>
      <c r="E21" s="487"/>
    </row>
    <row r="22" spans="1:27" ht="19.350000000000001" customHeight="1" thickBot="1">
      <c r="A22" s="581"/>
      <c r="B22" s="577" t="s">
        <v>475</v>
      </c>
      <c r="C22" s="578"/>
      <c r="D22" s="579"/>
      <c r="E22" s="483"/>
    </row>
    <row r="23" spans="1:27" ht="9.9499999999999993" customHeight="1">
      <c r="A23" s="474"/>
      <c r="B23" s="474"/>
      <c r="C23" s="474"/>
      <c r="D23" s="474"/>
      <c r="E23" s="473"/>
    </row>
    <row r="24" spans="1:27" ht="9.9499999999999993" hidden="1" customHeight="1">
      <c r="A24" s="474"/>
      <c r="B24" s="474"/>
      <c r="C24" s="474"/>
      <c r="D24" s="474"/>
      <c r="E24" s="473" t="s">
        <v>478</v>
      </c>
      <c r="F24" s="494" t="s">
        <v>123</v>
      </c>
      <c r="G24" t="e">
        <f>IF(E21="",NA(),ROUND(1443/(1443+E21),4))</f>
        <v>#N/A</v>
      </c>
      <c r="H24" s="494" t="s">
        <v>470</v>
      </c>
      <c r="I24" t="e">
        <f>IF(E20="",NA(),IFERROR(E20*VLOOKUP(E20,'各種計算式等（配付時非表示）'!$E$3:$H$1003,3,TRUE)+VLOOKUP(E20,'各種計算式等（配付時非表示）'!$E$3:$H$1003,4,TRUE)+0.0000000001,"-"))</f>
        <v>#N/A</v>
      </c>
      <c r="J24" s="494" t="s">
        <v>3</v>
      </c>
      <c r="K24" t="e">
        <f>(G24-I24)*260+0.21</f>
        <v>#N/A</v>
      </c>
      <c r="L24" s="494" t="s">
        <v>471</v>
      </c>
      <c r="M24">
        <f>E20*1.5848</f>
        <v>0</v>
      </c>
      <c r="N24" s="494" t="s">
        <v>159</v>
      </c>
      <c r="O24" t="e">
        <f>K24+M24</f>
        <v>#N/A</v>
      </c>
      <c r="P24" s="494" t="s">
        <v>480</v>
      </c>
      <c r="Q24" t="e">
        <f>O24*K5*E22/100</f>
        <v>#N/A</v>
      </c>
      <c r="R24" s="494" t="s">
        <v>481</v>
      </c>
      <c r="S24" t="e">
        <f>K5*81*180/162</f>
        <v>#VALUE!</v>
      </c>
      <c r="T24" s="494" t="s">
        <v>482</v>
      </c>
      <c r="U24">
        <f>J9*J10*1.5848</f>
        <v>0</v>
      </c>
      <c r="V24" s="494"/>
    </row>
    <row r="25" spans="1:27" ht="9.9499999999999993" customHeight="1">
      <c r="A25" s="474"/>
      <c r="B25" s="474"/>
      <c r="C25" s="474"/>
      <c r="D25" s="474"/>
      <c r="E25" s="473"/>
    </row>
    <row r="26" spans="1:27" ht="30.6" customHeight="1">
      <c r="A26" s="456" t="s">
        <v>469</v>
      </c>
      <c r="B26" s="474"/>
      <c r="C26" s="474"/>
      <c r="D26" s="474"/>
      <c r="E26" s="473"/>
    </row>
    <row r="27" spans="1:27" s="315" customFormat="1" ht="21" customHeight="1" thickBot="1">
      <c r="A27" s="314" t="s">
        <v>408</v>
      </c>
    </row>
    <row r="28" spans="1:27" s="315" customFormat="1" ht="14.45" customHeight="1" thickBot="1">
      <c r="A28" s="584" t="s">
        <v>282</v>
      </c>
      <c r="B28" s="585"/>
      <c r="C28" s="586"/>
      <c r="D28" s="582"/>
      <c r="E28" s="587"/>
      <c r="F28" s="583"/>
      <c r="H28" s="316" t="s">
        <v>290</v>
      </c>
      <c r="I28" s="582"/>
      <c r="J28" s="583"/>
      <c r="L28" s="447" t="s">
        <v>293</v>
      </c>
      <c r="M28" s="448"/>
      <c r="N28" s="457"/>
      <c r="O28" s="457"/>
      <c r="P28" s="457"/>
      <c r="Q28" s="458"/>
      <c r="R28" s="458"/>
      <c r="S28" s="458"/>
      <c r="T28" s="458"/>
    </row>
    <row r="29" spans="1:27" s="315" customFormat="1" ht="12.95" customHeight="1" thickBot="1">
      <c r="L29" s="594"/>
      <c r="M29" s="595"/>
      <c r="N29" s="595"/>
      <c r="O29" s="595"/>
      <c r="P29" s="595"/>
      <c r="Q29" s="595"/>
      <c r="R29" s="595"/>
      <c r="S29" s="595"/>
      <c r="T29" s="596"/>
    </row>
    <row r="30" spans="1:27" s="315" customFormat="1" ht="14.25">
      <c r="A30" s="533" t="s">
        <v>61</v>
      </c>
      <c r="B30" s="534"/>
      <c r="C30" s="535"/>
      <c r="D30" s="366" t="s">
        <v>47</v>
      </c>
      <c r="E30" s="366" t="s">
        <v>13</v>
      </c>
      <c r="F30" s="366" t="s">
        <v>15</v>
      </c>
      <c r="G30" s="366" t="s">
        <v>48</v>
      </c>
      <c r="H30" s="366" t="s">
        <v>49</v>
      </c>
      <c r="I30" s="319" t="s">
        <v>52</v>
      </c>
      <c r="J30" s="320" t="s">
        <v>51</v>
      </c>
      <c r="K30" s="321"/>
      <c r="L30" s="597"/>
      <c r="M30" s="598"/>
      <c r="N30" s="598"/>
      <c r="O30" s="598"/>
      <c r="P30" s="598"/>
      <c r="Q30" s="598"/>
      <c r="R30" s="598"/>
      <c r="S30" s="598"/>
      <c r="T30" s="599"/>
      <c r="Z30" s="322"/>
      <c r="AA30" s="322"/>
    </row>
    <row r="31" spans="1:27" s="315" customFormat="1" ht="14.25">
      <c r="A31" s="536" t="s">
        <v>163</v>
      </c>
      <c r="B31" s="537"/>
      <c r="C31" s="538"/>
      <c r="D31" s="424" t="str">
        <f>IF(D32+D33=0,"",D32+D33)</f>
        <v/>
      </c>
      <c r="E31" s="424" t="str">
        <f t="shared" ref="E31:H31" si="1">IF(E32+E33=0,"",E32+E33)</f>
        <v/>
      </c>
      <c r="F31" s="424" t="str">
        <f t="shared" si="1"/>
        <v/>
      </c>
      <c r="G31" s="424" t="str">
        <f t="shared" si="1"/>
        <v/>
      </c>
      <c r="H31" s="424" t="str">
        <f t="shared" si="1"/>
        <v/>
      </c>
      <c r="I31" s="323"/>
      <c r="J31" s="441" t="str">
        <f>IF(SUM(D31:I31)=0,"",SUM(D31:I31))</f>
        <v/>
      </c>
      <c r="K31" s="321"/>
      <c r="L31" s="597"/>
      <c r="M31" s="598"/>
      <c r="N31" s="598"/>
      <c r="O31" s="598"/>
      <c r="P31" s="598"/>
      <c r="Q31" s="598"/>
      <c r="R31" s="598"/>
      <c r="S31" s="598"/>
      <c r="T31" s="599"/>
      <c r="X31" s="362"/>
      <c r="Z31" s="322"/>
      <c r="AA31" s="322"/>
    </row>
    <row r="32" spans="1:27" s="315" customFormat="1" ht="14.25">
      <c r="A32" s="536" t="s">
        <v>93</v>
      </c>
      <c r="B32" s="537"/>
      <c r="C32" s="538"/>
      <c r="D32" s="371"/>
      <c r="E32" s="371"/>
      <c r="F32" s="371"/>
      <c r="G32" s="371"/>
      <c r="H32" s="371"/>
      <c r="I32" s="323"/>
      <c r="J32" s="441" t="str">
        <f>IF(SUM(D32:I32)=0,"",SUM(D32:I32))</f>
        <v/>
      </c>
      <c r="K32" s="325"/>
      <c r="L32" s="597"/>
      <c r="M32" s="598"/>
      <c r="N32" s="598"/>
      <c r="O32" s="598"/>
      <c r="P32" s="598"/>
      <c r="Q32" s="598"/>
      <c r="R32" s="598"/>
      <c r="S32" s="598"/>
      <c r="T32" s="599"/>
      <c r="X32" s="362"/>
      <c r="Y32" s="588"/>
      <c r="Z32" s="589"/>
      <c r="AA32" s="589"/>
    </row>
    <row r="33" spans="1:44" s="315" customFormat="1" ht="14.25">
      <c r="A33" s="536" t="s">
        <v>50</v>
      </c>
      <c r="B33" s="537"/>
      <c r="C33" s="538"/>
      <c r="D33" s="371"/>
      <c r="E33" s="371"/>
      <c r="F33" s="371"/>
      <c r="G33" s="371"/>
      <c r="H33" s="371"/>
      <c r="I33" s="323"/>
      <c r="J33" s="441" t="str">
        <f>IF(SUM(D33:I33)=0,"",SUM(D33:I33))</f>
        <v/>
      </c>
      <c r="K33" s="325"/>
      <c r="L33" s="597"/>
      <c r="M33" s="598"/>
      <c r="N33" s="598"/>
      <c r="O33" s="598"/>
      <c r="P33" s="598"/>
      <c r="Q33" s="598"/>
      <c r="R33" s="598"/>
      <c r="S33" s="598"/>
      <c r="T33" s="599"/>
      <c r="X33" s="362"/>
      <c r="Y33" s="588"/>
      <c r="Z33" s="589"/>
      <c r="AA33" s="589"/>
    </row>
    <row r="34" spans="1:44" s="315" customFormat="1" ht="15" thickBot="1">
      <c r="A34" s="542" t="s">
        <v>162</v>
      </c>
      <c r="B34" s="543"/>
      <c r="C34" s="544"/>
      <c r="D34" s="372"/>
      <c r="E34" s="372"/>
      <c r="F34" s="372"/>
      <c r="G34" s="372"/>
      <c r="H34" s="372"/>
      <c r="I34" s="443" t="str">
        <f>IF(SUM(E37:AQ37)=0,"",SUM(E37:AQ37))</f>
        <v/>
      </c>
      <c r="J34" s="442" t="str">
        <f>IF(SUM(D34:I34)=0,"",SUM(D34:I34))</f>
        <v/>
      </c>
      <c r="K34" s="325"/>
      <c r="L34" s="600"/>
      <c r="M34" s="601"/>
      <c r="N34" s="601"/>
      <c r="O34" s="601"/>
      <c r="P34" s="601"/>
      <c r="Q34" s="601"/>
      <c r="R34" s="601"/>
      <c r="S34" s="601"/>
      <c r="T34" s="602"/>
      <c r="X34" s="362"/>
      <c r="Y34" s="588"/>
      <c r="Z34" s="589"/>
      <c r="AA34" s="589"/>
    </row>
    <row r="35" spans="1:44" s="315" customFormat="1" ht="10.5" customHeight="1" thickBot="1"/>
    <row r="36" spans="1:44" s="315" customFormat="1" ht="14.25">
      <c r="A36" s="568" t="s">
        <v>16</v>
      </c>
      <c r="B36" s="569"/>
      <c r="C36" s="570"/>
      <c r="D36" s="366">
        <v>1</v>
      </c>
      <c r="E36" s="366">
        <v>2</v>
      </c>
      <c r="F36" s="366">
        <v>3</v>
      </c>
      <c r="G36" s="366">
        <v>4</v>
      </c>
      <c r="H36" s="366">
        <v>5</v>
      </c>
      <c r="I36" s="366">
        <v>6</v>
      </c>
      <c r="J36" s="366">
        <v>7</v>
      </c>
      <c r="K36" s="366">
        <v>8</v>
      </c>
      <c r="L36" s="366">
        <v>9</v>
      </c>
      <c r="M36" s="366">
        <v>10</v>
      </c>
      <c r="N36" s="366">
        <v>11</v>
      </c>
      <c r="O36" s="366">
        <v>12</v>
      </c>
      <c r="P36" s="366">
        <v>13</v>
      </c>
      <c r="Q36" s="366">
        <v>14</v>
      </c>
      <c r="R36" s="366">
        <v>15</v>
      </c>
      <c r="S36" s="366">
        <v>16</v>
      </c>
      <c r="T36" s="366">
        <v>17</v>
      </c>
      <c r="U36" s="366">
        <v>18</v>
      </c>
      <c r="V36" s="366">
        <v>19</v>
      </c>
      <c r="W36" s="366">
        <v>20</v>
      </c>
      <c r="X36" s="366">
        <v>21</v>
      </c>
      <c r="Y36" s="366">
        <v>22</v>
      </c>
      <c r="Z36" s="366">
        <v>23</v>
      </c>
      <c r="AA36" s="366">
        <v>24</v>
      </c>
      <c r="AB36" s="366">
        <v>25</v>
      </c>
      <c r="AC36" s="366">
        <v>26</v>
      </c>
      <c r="AD36" s="366">
        <v>27</v>
      </c>
      <c r="AE36" s="366">
        <v>28</v>
      </c>
      <c r="AF36" s="366">
        <v>29</v>
      </c>
      <c r="AG36" s="366">
        <v>30</v>
      </c>
      <c r="AH36" s="366">
        <v>31</v>
      </c>
      <c r="AI36" s="366">
        <v>32</v>
      </c>
      <c r="AJ36" s="366">
        <v>33</v>
      </c>
      <c r="AK36" s="366">
        <v>34</v>
      </c>
      <c r="AL36" s="366">
        <v>35</v>
      </c>
      <c r="AM36" s="366">
        <v>36</v>
      </c>
      <c r="AN36" s="366">
        <v>37</v>
      </c>
      <c r="AO36" s="366">
        <v>38</v>
      </c>
      <c r="AP36" s="366">
        <v>39</v>
      </c>
      <c r="AQ36" s="320">
        <v>40</v>
      </c>
    </row>
    <row r="37" spans="1:44" s="315" customFormat="1" ht="14.25">
      <c r="A37" s="536" t="s">
        <v>206</v>
      </c>
      <c r="B37" s="537"/>
      <c r="C37" s="538"/>
      <c r="D37" s="365"/>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6"/>
    </row>
    <row r="38" spans="1:44" s="315" customFormat="1" ht="14.25">
      <c r="A38" s="590" t="s">
        <v>1</v>
      </c>
      <c r="B38" s="591"/>
      <c r="C38" s="592" t="s">
        <v>63</v>
      </c>
      <c r="D38" s="327"/>
      <c r="E38" s="440"/>
      <c r="F38" s="440"/>
      <c r="G38" s="440"/>
      <c r="H38" s="440"/>
      <c r="I38" s="440"/>
      <c r="J38" s="440"/>
      <c r="K38" s="440"/>
      <c r="L38" s="440"/>
      <c r="M38" s="440"/>
      <c r="N38" s="440"/>
      <c r="O38" s="440"/>
      <c r="P38" s="328"/>
      <c r="Q38" s="328"/>
      <c r="R38" s="328"/>
      <c r="S38" s="328"/>
      <c r="T38" s="328"/>
      <c r="U38" s="328"/>
      <c r="V38" s="328"/>
      <c r="W38" s="328"/>
      <c r="X38" s="328"/>
      <c r="Y38" s="328"/>
      <c r="Z38" s="328"/>
      <c r="AA38" s="328"/>
      <c r="AB38" s="328"/>
      <c r="AC38" s="328"/>
      <c r="AD38" s="328"/>
      <c r="AE38" s="328"/>
      <c r="AF38" s="328"/>
      <c r="AG38" s="328"/>
      <c r="AH38" s="328"/>
      <c r="AI38" s="328"/>
      <c r="AJ38" s="328">
        <v>3.4</v>
      </c>
      <c r="AK38" s="328"/>
      <c r="AL38" s="328"/>
      <c r="AM38" s="328"/>
      <c r="AN38" s="328"/>
      <c r="AO38" s="328"/>
      <c r="AP38" s="328"/>
      <c r="AQ38" s="330"/>
      <c r="AR38" s="362"/>
    </row>
    <row r="39" spans="1:44" s="315" customFormat="1" ht="14.25">
      <c r="A39" s="590" t="s">
        <v>2</v>
      </c>
      <c r="B39" s="591"/>
      <c r="C39" s="593"/>
      <c r="D39" s="327"/>
      <c r="E39" s="440"/>
      <c r="F39" s="440"/>
      <c r="G39" s="440"/>
      <c r="H39" s="440"/>
      <c r="I39" s="440"/>
      <c r="J39" s="440"/>
      <c r="K39" s="440"/>
      <c r="L39" s="440"/>
      <c r="M39" s="440"/>
      <c r="N39" s="440"/>
      <c r="O39" s="440"/>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30"/>
      <c r="AR39" s="362"/>
    </row>
    <row r="40" spans="1:44" s="315" customFormat="1" ht="14.25">
      <c r="A40" s="536" t="s">
        <v>261</v>
      </c>
      <c r="B40" s="537"/>
      <c r="C40" s="538"/>
      <c r="D40" s="333"/>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29"/>
      <c r="AM40" s="329"/>
      <c r="AN40" s="329"/>
      <c r="AO40" s="334"/>
      <c r="AP40" s="334"/>
      <c r="AQ40" s="335"/>
    </row>
    <row r="41" spans="1:44" s="315" customFormat="1" ht="14.25">
      <c r="A41" s="536" t="s">
        <v>297</v>
      </c>
      <c r="B41" s="537"/>
      <c r="C41" s="538"/>
      <c r="D41" s="373"/>
      <c r="E41" s="435" t="str">
        <f>IFERROR(E64,"")</f>
        <v/>
      </c>
      <c r="F41" s="435" t="str">
        <f t="shared" ref="F41:AQ41" si="2">IFERROR(F64,"")</f>
        <v/>
      </c>
      <c r="G41" s="435" t="str">
        <f t="shared" si="2"/>
        <v/>
      </c>
      <c r="H41" s="435" t="str">
        <f t="shared" si="2"/>
        <v/>
      </c>
      <c r="I41" s="435" t="str">
        <f t="shared" si="2"/>
        <v/>
      </c>
      <c r="J41" s="435" t="str">
        <f t="shared" si="2"/>
        <v/>
      </c>
      <c r="K41" s="435" t="str">
        <f t="shared" si="2"/>
        <v/>
      </c>
      <c r="L41" s="435" t="str">
        <f t="shared" si="2"/>
        <v/>
      </c>
      <c r="M41" s="435" t="str">
        <f t="shared" si="2"/>
        <v/>
      </c>
      <c r="N41" s="435" t="str">
        <f t="shared" si="2"/>
        <v/>
      </c>
      <c r="O41" s="435" t="str">
        <f t="shared" si="2"/>
        <v/>
      </c>
      <c r="P41" s="435" t="str">
        <f t="shared" si="2"/>
        <v/>
      </c>
      <c r="Q41" s="435" t="str">
        <f t="shared" si="2"/>
        <v/>
      </c>
      <c r="R41" s="435" t="str">
        <f t="shared" si="2"/>
        <v/>
      </c>
      <c r="S41" s="435" t="str">
        <f t="shared" si="2"/>
        <v/>
      </c>
      <c r="T41" s="435" t="str">
        <f t="shared" si="2"/>
        <v/>
      </c>
      <c r="U41" s="435" t="str">
        <f t="shared" si="2"/>
        <v/>
      </c>
      <c r="V41" s="435" t="str">
        <f t="shared" si="2"/>
        <v/>
      </c>
      <c r="W41" s="435" t="str">
        <f t="shared" si="2"/>
        <v/>
      </c>
      <c r="X41" s="435" t="str">
        <f t="shared" si="2"/>
        <v/>
      </c>
      <c r="Y41" s="435" t="str">
        <f t="shared" si="2"/>
        <v/>
      </c>
      <c r="Z41" s="435" t="str">
        <f t="shared" si="2"/>
        <v/>
      </c>
      <c r="AA41" s="435" t="str">
        <f t="shared" si="2"/>
        <v/>
      </c>
      <c r="AB41" s="435" t="str">
        <f t="shared" si="2"/>
        <v/>
      </c>
      <c r="AC41" s="435" t="str">
        <f t="shared" si="2"/>
        <v/>
      </c>
      <c r="AD41" s="435" t="str">
        <f t="shared" si="2"/>
        <v/>
      </c>
      <c r="AE41" s="435" t="str">
        <f t="shared" si="2"/>
        <v/>
      </c>
      <c r="AF41" s="435" t="str">
        <f t="shared" si="2"/>
        <v/>
      </c>
      <c r="AG41" s="435" t="str">
        <f t="shared" si="2"/>
        <v/>
      </c>
      <c r="AH41" s="435" t="str">
        <f t="shared" si="2"/>
        <v/>
      </c>
      <c r="AI41" s="435" t="str">
        <f t="shared" si="2"/>
        <v/>
      </c>
      <c r="AJ41" s="435" t="str">
        <f t="shared" si="2"/>
        <v/>
      </c>
      <c r="AK41" s="435" t="str">
        <f t="shared" si="2"/>
        <v/>
      </c>
      <c r="AL41" s="435" t="str">
        <f t="shared" si="2"/>
        <v/>
      </c>
      <c r="AM41" s="435" t="str">
        <f t="shared" si="2"/>
        <v/>
      </c>
      <c r="AN41" s="435" t="str">
        <f t="shared" si="2"/>
        <v/>
      </c>
      <c r="AO41" s="435" t="str">
        <f t="shared" si="2"/>
        <v/>
      </c>
      <c r="AP41" s="435" t="str">
        <f t="shared" si="2"/>
        <v/>
      </c>
      <c r="AQ41" s="436" t="str">
        <f t="shared" si="2"/>
        <v/>
      </c>
    </row>
    <row r="42" spans="1:44" s="315" customFormat="1" ht="14.25" customHeight="1">
      <c r="A42" s="536" t="s">
        <v>296</v>
      </c>
      <c r="B42" s="537"/>
      <c r="C42" s="538"/>
      <c r="D42" s="373"/>
      <c r="E42" s="425" t="str">
        <f>IFERROR(E65,"")</f>
        <v/>
      </c>
      <c r="F42" s="425" t="str">
        <f t="shared" ref="F42:AQ42" si="3">IFERROR(F65,"")</f>
        <v/>
      </c>
      <c r="G42" s="425" t="str">
        <f t="shared" si="3"/>
        <v/>
      </c>
      <c r="H42" s="425" t="str">
        <f t="shared" si="3"/>
        <v/>
      </c>
      <c r="I42" s="425" t="str">
        <f t="shared" si="3"/>
        <v/>
      </c>
      <c r="J42" s="425" t="str">
        <f t="shared" si="3"/>
        <v/>
      </c>
      <c r="K42" s="425" t="str">
        <f t="shared" si="3"/>
        <v/>
      </c>
      <c r="L42" s="425" t="str">
        <f t="shared" si="3"/>
        <v/>
      </c>
      <c r="M42" s="425" t="str">
        <f t="shared" si="3"/>
        <v/>
      </c>
      <c r="N42" s="425" t="str">
        <f t="shared" si="3"/>
        <v/>
      </c>
      <c r="O42" s="425" t="str">
        <f t="shared" si="3"/>
        <v/>
      </c>
      <c r="P42" s="425" t="str">
        <f t="shared" si="3"/>
        <v/>
      </c>
      <c r="Q42" s="425" t="str">
        <f t="shared" si="3"/>
        <v/>
      </c>
      <c r="R42" s="425" t="str">
        <f t="shared" si="3"/>
        <v/>
      </c>
      <c r="S42" s="425" t="str">
        <f t="shared" si="3"/>
        <v/>
      </c>
      <c r="T42" s="425" t="str">
        <f t="shared" si="3"/>
        <v/>
      </c>
      <c r="U42" s="425" t="str">
        <f t="shared" si="3"/>
        <v/>
      </c>
      <c r="V42" s="425" t="str">
        <f t="shared" si="3"/>
        <v/>
      </c>
      <c r="W42" s="425" t="str">
        <f t="shared" si="3"/>
        <v/>
      </c>
      <c r="X42" s="425" t="str">
        <f t="shared" si="3"/>
        <v/>
      </c>
      <c r="Y42" s="425" t="str">
        <f t="shared" si="3"/>
        <v/>
      </c>
      <c r="Z42" s="425" t="str">
        <f t="shared" si="3"/>
        <v/>
      </c>
      <c r="AA42" s="425" t="str">
        <f t="shared" si="3"/>
        <v/>
      </c>
      <c r="AB42" s="425" t="str">
        <f t="shared" si="3"/>
        <v/>
      </c>
      <c r="AC42" s="425" t="str">
        <f t="shared" si="3"/>
        <v/>
      </c>
      <c r="AD42" s="425" t="str">
        <f t="shared" si="3"/>
        <v/>
      </c>
      <c r="AE42" s="425" t="str">
        <f t="shared" si="3"/>
        <v/>
      </c>
      <c r="AF42" s="425" t="str">
        <f t="shared" si="3"/>
        <v/>
      </c>
      <c r="AG42" s="425" t="str">
        <f t="shared" si="3"/>
        <v/>
      </c>
      <c r="AH42" s="425" t="str">
        <f t="shared" si="3"/>
        <v/>
      </c>
      <c r="AI42" s="425" t="str">
        <f t="shared" si="3"/>
        <v/>
      </c>
      <c r="AJ42" s="425" t="str">
        <f t="shared" si="3"/>
        <v/>
      </c>
      <c r="AK42" s="425" t="str">
        <f t="shared" si="3"/>
        <v/>
      </c>
      <c r="AL42" s="425" t="str">
        <f t="shared" si="3"/>
        <v/>
      </c>
      <c r="AM42" s="425" t="str">
        <f t="shared" si="3"/>
        <v/>
      </c>
      <c r="AN42" s="425" t="str">
        <f t="shared" si="3"/>
        <v/>
      </c>
      <c r="AO42" s="425" t="str">
        <f t="shared" si="3"/>
        <v/>
      </c>
      <c r="AP42" s="425" t="str">
        <f t="shared" si="3"/>
        <v/>
      </c>
      <c r="AQ42" s="426" t="str">
        <f t="shared" si="3"/>
        <v/>
      </c>
      <c r="AR42" s="362"/>
    </row>
    <row r="43" spans="1:44" s="315" customFormat="1" ht="14.25">
      <c r="A43" s="536" t="s">
        <v>406</v>
      </c>
      <c r="B43" s="537"/>
      <c r="C43" s="538"/>
      <c r="D43" s="373"/>
      <c r="E43" s="435" t="str">
        <f>IFERROR(E66,"")</f>
        <v/>
      </c>
      <c r="F43" s="435" t="str">
        <f t="shared" ref="F43:AQ43" si="4">IFERROR(F66,"")</f>
        <v/>
      </c>
      <c r="G43" s="435" t="str">
        <f t="shared" si="4"/>
        <v/>
      </c>
      <c r="H43" s="435" t="str">
        <f t="shared" si="4"/>
        <v/>
      </c>
      <c r="I43" s="435" t="str">
        <f t="shared" si="4"/>
        <v/>
      </c>
      <c r="J43" s="435" t="str">
        <f t="shared" si="4"/>
        <v/>
      </c>
      <c r="K43" s="435" t="str">
        <f t="shared" si="4"/>
        <v/>
      </c>
      <c r="L43" s="435" t="str">
        <f t="shared" si="4"/>
        <v/>
      </c>
      <c r="M43" s="435" t="str">
        <f t="shared" si="4"/>
        <v/>
      </c>
      <c r="N43" s="435" t="str">
        <f t="shared" si="4"/>
        <v/>
      </c>
      <c r="O43" s="435" t="str">
        <f t="shared" si="4"/>
        <v/>
      </c>
      <c r="P43" s="435" t="str">
        <f t="shared" si="4"/>
        <v/>
      </c>
      <c r="Q43" s="435" t="str">
        <f t="shared" si="4"/>
        <v/>
      </c>
      <c r="R43" s="435" t="str">
        <f t="shared" si="4"/>
        <v/>
      </c>
      <c r="S43" s="435" t="str">
        <f t="shared" si="4"/>
        <v/>
      </c>
      <c r="T43" s="435" t="str">
        <f t="shared" si="4"/>
        <v/>
      </c>
      <c r="U43" s="435" t="str">
        <f t="shared" si="4"/>
        <v/>
      </c>
      <c r="V43" s="435" t="str">
        <f t="shared" si="4"/>
        <v/>
      </c>
      <c r="W43" s="435" t="str">
        <f t="shared" si="4"/>
        <v/>
      </c>
      <c r="X43" s="435" t="str">
        <f t="shared" si="4"/>
        <v/>
      </c>
      <c r="Y43" s="435" t="str">
        <f t="shared" si="4"/>
        <v/>
      </c>
      <c r="Z43" s="435" t="str">
        <f t="shared" si="4"/>
        <v/>
      </c>
      <c r="AA43" s="435" t="str">
        <f t="shared" si="4"/>
        <v/>
      </c>
      <c r="AB43" s="435" t="str">
        <f t="shared" si="4"/>
        <v/>
      </c>
      <c r="AC43" s="435" t="str">
        <f t="shared" si="4"/>
        <v/>
      </c>
      <c r="AD43" s="435" t="str">
        <f t="shared" si="4"/>
        <v/>
      </c>
      <c r="AE43" s="435" t="str">
        <f t="shared" si="4"/>
        <v/>
      </c>
      <c r="AF43" s="435" t="str">
        <f t="shared" si="4"/>
        <v/>
      </c>
      <c r="AG43" s="435" t="str">
        <f t="shared" si="4"/>
        <v/>
      </c>
      <c r="AH43" s="435" t="str">
        <f t="shared" si="4"/>
        <v/>
      </c>
      <c r="AI43" s="435" t="str">
        <f t="shared" si="4"/>
        <v/>
      </c>
      <c r="AJ43" s="435" t="str">
        <f t="shared" si="4"/>
        <v/>
      </c>
      <c r="AK43" s="435" t="str">
        <f t="shared" si="4"/>
        <v/>
      </c>
      <c r="AL43" s="435" t="str">
        <f t="shared" si="4"/>
        <v/>
      </c>
      <c r="AM43" s="435" t="str">
        <f t="shared" si="4"/>
        <v/>
      </c>
      <c r="AN43" s="435" t="str">
        <f t="shared" si="4"/>
        <v/>
      </c>
      <c r="AO43" s="435" t="str">
        <f t="shared" si="4"/>
        <v/>
      </c>
      <c r="AP43" s="435" t="str">
        <f t="shared" si="4"/>
        <v/>
      </c>
      <c r="AQ43" s="436" t="str">
        <f t="shared" si="4"/>
        <v/>
      </c>
      <c r="AR43" s="362"/>
    </row>
    <row r="44" spans="1:44" s="315" customFormat="1" ht="14.25">
      <c r="A44" s="536" t="s">
        <v>446</v>
      </c>
      <c r="B44" s="537"/>
      <c r="C44" s="538"/>
      <c r="D44" s="377"/>
      <c r="E44" s="435" t="str">
        <f>IFERROR(E67,"")</f>
        <v/>
      </c>
      <c r="F44" s="435" t="str">
        <f t="shared" ref="F44:AQ44" si="5">IFERROR(F67,"")</f>
        <v/>
      </c>
      <c r="G44" s="435" t="str">
        <f t="shared" si="5"/>
        <v/>
      </c>
      <c r="H44" s="435" t="str">
        <f t="shared" si="5"/>
        <v/>
      </c>
      <c r="I44" s="435" t="str">
        <f t="shared" si="5"/>
        <v/>
      </c>
      <c r="J44" s="435" t="str">
        <f t="shared" si="5"/>
        <v/>
      </c>
      <c r="K44" s="435" t="str">
        <f t="shared" si="5"/>
        <v/>
      </c>
      <c r="L44" s="435" t="str">
        <f t="shared" si="5"/>
        <v/>
      </c>
      <c r="M44" s="435" t="str">
        <f t="shared" si="5"/>
        <v/>
      </c>
      <c r="N44" s="435" t="str">
        <f t="shared" si="5"/>
        <v/>
      </c>
      <c r="O44" s="435" t="str">
        <f t="shared" si="5"/>
        <v/>
      </c>
      <c r="P44" s="435" t="str">
        <f t="shared" si="5"/>
        <v/>
      </c>
      <c r="Q44" s="435" t="str">
        <f t="shared" si="5"/>
        <v/>
      </c>
      <c r="R44" s="435" t="str">
        <f t="shared" si="5"/>
        <v/>
      </c>
      <c r="S44" s="435" t="str">
        <f t="shared" si="5"/>
        <v/>
      </c>
      <c r="T44" s="435" t="str">
        <f t="shared" si="5"/>
        <v/>
      </c>
      <c r="U44" s="435" t="str">
        <f t="shared" si="5"/>
        <v/>
      </c>
      <c r="V44" s="435" t="str">
        <f t="shared" si="5"/>
        <v/>
      </c>
      <c r="W44" s="435" t="str">
        <f t="shared" si="5"/>
        <v/>
      </c>
      <c r="X44" s="435" t="str">
        <f t="shared" si="5"/>
        <v/>
      </c>
      <c r="Y44" s="435" t="str">
        <f t="shared" si="5"/>
        <v/>
      </c>
      <c r="Z44" s="435" t="str">
        <f t="shared" si="5"/>
        <v/>
      </c>
      <c r="AA44" s="435" t="str">
        <f t="shared" si="5"/>
        <v/>
      </c>
      <c r="AB44" s="435" t="str">
        <f t="shared" si="5"/>
        <v/>
      </c>
      <c r="AC44" s="435" t="str">
        <f t="shared" si="5"/>
        <v/>
      </c>
      <c r="AD44" s="435" t="str">
        <f t="shared" si="5"/>
        <v/>
      </c>
      <c r="AE44" s="435" t="str">
        <f t="shared" si="5"/>
        <v/>
      </c>
      <c r="AF44" s="435" t="str">
        <f t="shared" si="5"/>
        <v/>
      </c>
      <c r="AG44" s="435" t="str">
        <f t="shared" si="5"/>
        <v/>
      </c>
      <c r="AH44" s="435" t="str">
        <f t="shared" si="5"/>
        <v/>
      </c>
      <c r="AI44" s="435" t="str">
        <f t="shared" si="5"/>
        <v/>
      </c>
      <c r="AJ44" s="435" t="str">
        <f t="shared" si="5"/>
        <v/>
      </c>
      <c r="AK44" s="435" t="str">
        <f t="shared" si="5"/>
        <v/>
      </c>
      <c r="AL44" s="435" t="str">
        <f t="shared" si="5"/>
        <v/>
      </c>
      <c r="AM44" s="435" t="str">
        <f t="shared" si="5"/>
        <v/>
      </c>
      <c r="AN44" s="435" t="str">
        <f t="shared" si="5"/>
        <v/>
      </c>
      <c r="AO44" s="435" t="str">
        <f t="shared" si="5"/>
        <v/>
      </c>
      <c r="AP44" s="435" t="str">
        <f t="shared" si="5"/>
        <v/>
      </c>
      <c r="AQ44" s="436" t="str">
        <f t="shared" si="5"/>
        <v/>
      </c>
      <c r="AR44" s="362"/>
    </row>
    <row r="45" spans="1:44" s="315" customFormat="1" ht="14.25" hidden="1">
      <c r="A45" s="536" t="s">
        <v>336</v>
      </c>
      <c r="B45" s="537"/>
      <c r="C45" s="538"/>
      <c r="D45" s="378"/>
      <c r="E45" s="427">
        <f t="shared" ref="E45:AQ45" si="6">IF(E37="",0,E37)</f>
        <v>0</v>
      </c>
      <c r="F45" s="427">
        <f t="shared" si="6"/>
        <v>0</v>
      </c>
      <c r="G45" s="427">
        <f t="shared" si="6"/>
        <v>0</v>
      </c>
      <c r="H45" s="427">
        <f t="shared" si="6"/>
        <v>0</v>
      </c>
      <c r="I45" s="427">
        <f t="shared" si="6"/>
        <v>0</v>
      </c>
      <c r="J45" s="427">
        <f t="shared" si="6"/>
        <v>0</v>
      </c>
      <c r="K45" s="427">
        <f t="shared" si="6"/>
        <v>0</v>
      </c>
      <c r="L45" s="427">
        <f t="shared" si="6"/>
        <v>0</v>
      </c>
      <c r="M45" s="427">
        <f t="shared" si="6"/>
        <v>0</v>
      </c>
      <c r="N45" s="427">
        <f t="shared" si="6"/>
        <v>0</v>
      </c>
      <c r="O45" s="427">
        <f t="shared" si="6"/>
        <v>0</v>
      </c>
      <c r="P45" s="427">
        <f t="shared" si="6"/>
        <v>0</v>
      </c>
      <c r="Q45" s="427">
        <f t="shared" si="6"/>
        <v>0</v>
      </c>
      <c r="R45" s="427">
        <f t="shared" si="6"/>
        <v>0</v>
      </c>
      <c r="S45" s="427">
        <f t="shared" si="6"/>
        <v>0</v>
      </c>
      <c r="T45" s="427">
        <f t="shared" si="6"/>
        <v>0</v>
      </c>
      <c r="U45" s="427">
        <f t="shared" si="6"/>
        <v>0</v>
      </c>
      <c r="V45" s="427">
        <f t="shared" si="6"/>
        <v>0</v>
      </c>
      <c r="W45" s="427">
        <f t="shared" si="6"/>
        <v>0</v>
      </c>
      <c r="X45" s="427">
        <f t="shared" si="6"/>
        <v>0</v>
      </c>
      <c r="Y45" s="427">
        <f t="shared" si="6"/>
        <v>0</v>
      </c>
      <c r="Z45" s="427">
        <f t="shared" si="6"/>
        <v>0</v>
      </c>
      <c r="AA45" s="427">
        <f t="shared" si="6"/>
        <v>0</v>
      </c>
      <c r="AB45" s="427">
        <f t="shared" si="6"/>
        <v>0</v>
      </c>
      <c r="AC45" s="427">
        <f t="shared" si="6"/>
        <v>0</v>
      </c>
      <c r="AD45" s="427">
        <f t="shared" si="6"/>
        <v>0</v>
      </c>
      <c r="AE45" s="427">
        <f t="shared" si="6"/>
        <v>0</v>
      </c>
      <c r="AF45" s="427">
        <f t="shared" si="6"/>
        <v>0</v>
      </c>
      <c r="AG45" s="427">
        <f t="shared" si="6"/>
        <v>0</v>
      </c>
      <c r="AH45" s="427">
        <f t="shared" si="6"/>
        <v>0</v>
      </c>
      <c r="AI45" s="427">
        <f t="shared" si="6"/>
        <v>0</v>
      </c>
      <c r="AJ45" s="427">
        <f t="shared" si="6"/>
        <v>0</v>
      </c>
      <c r="AK45" s="427">
        <f t="shared" si="6"/>
        <v>0</v>
      </c>
      <c r="AL45" s="427">
        <f t="shared" si="6"/>
        <v>0</v>
      </c>
      <c r="AM45" s="427">
        <f t="shared" si="6"/>
        <v>0</v>
      </c>
      <c r="AN45" s="427">
        <f t="shared" si="6"/>
        <v>0</v>
      </c>
      <c r="AO45" s="427">
        <f t="shared" si="6"/>
        <v>0</v>
      </c>
      <c r="AP45" s="427">
        <f t="shared" si="6"/>
        <v>0</v>
      </c>
      <c r="AQ45" s="428">
        <f t="shared" si="6"/>
        <v>0</v>
      </c>
      <c r="AR45" s="86"/>
    </row>
    <row r="46" spans="1:44" s="315" customFormat="1" ht="14.25" hidden="1">
      <c r="A46" s="565" t="s">
        <v>328</v>
      </c>
      <c r="B46" s="566"/>
      <c r="C46" s="567"/>
      <c r="D46" s="381">
        <f>SUM(D34:G34)</f>
        <v>0</v>
      </c>
      <c r="E46" s="429">
        <f t="shared" ref="E46:AQ46" si="7">D46+D45</f>
        <v>0</v>
      </c>
      <c r="F46" s="429">
        <f t="shared" si="7"/>
        <v>0</v>
      </c>
      <c r="G46" s="429">
        <f t="shared" si="7"/>
        <v>0</v>
      </c>
      <c r="H46" s="429">
        <f t="shared" si="7"/>
        <v>0</v>
      </c>
      <c r="I46" s="429">
        <f t="shared" si="7"/>
        <v>0</v>
      </c>
      <c r="J46" s="429">
        <f>I46+I45</f>
        <v>0</v>
      </c>
      <c r="K46" s="429">
        <f t="shared" si="7"/>
        <v>0</v>
      </c>
      <c r="L46" s="429">
        <f t="shared" si="7"/>
        <v>0</v>
      </c>
      <c r="M46" s="429">
        <f t="shared" si="7"/>
        <v>0</v>
      </c>
      <c r="N46" s="429">
        <f t="shared" si="7"/>
        <v>0</v>
      </c>
      <c r="O46" s="429">
        <f t="shared" si="7"/>
        <v>0</v>
      </c>
      <c r="P46" s="429">
        <f t="shared" si="7"/>
        <v>0</v>
      </c>
      <c r="Q46" s="429">
        <f t="shared" si="7"/>
        <v>0</v>
      </c>
      <c r="R46" s="429">
        <f t="shared" si="7"/>
        <v>0</v>
      </c>
      <c r="S46" s="429">
        <f t="shared" si="7"/>
        <v>0</v>
      </c>
      <c r="T46" s="429">
        <f t="shared" si="7"/>
        <v>0</v>
      </c>
      <c r="U46" s="429">
        <f t="shared" si="7"/>
        <v>0</v>
      </c>
      <c r="V46" s="429">
        <f t="shared" si="7"/>
        <v>0</v>
      </c>
      <c r="W46" s="429">
        <f t="shared" si="7"/>
        <v>0</v>
      </c>
      <c r="X46" s="429">
        <f t="shared" si="7"/>
        <v>0</v>
      </c>
      <c r="Y46" s="429">
        <f t="shared" si="7"/>
        <v>0</v>
      </c>
      <c r="Z46" s="429">
        <f t="shared" si="7"/>
        <v>0</v>
      </c>
      <c r="AA46" s="429">
        <f t="shared" si="7"/>
        <v>0</v>
      </c>
      <c r="AB46" s="429">
        <f t="shared" si="7"/>
        <v>0</v>
      </c>
      <c r="AC46" s="429">
        <f t="shared" si="7"/>
        <v>0</v>
      </c>
      <c r="AD46" s="429">
        <f t="shared" si="7"/>
        <v>0</v>
      </c>
      <c r="AE46" s="429">
        <f t="shared" si="7"/>
        <v>0</v>
      </c>
      <c r="AF46" s="429">
        <f t="shared" si="7"/>
        <v>0</v>
      </c>
      <c r="AG46" s="429">
        <f t="shared" si="7"/>
        <v>0</v>
      </c>
      <c r="AH46" s="429">
        <f t="shared" si="7"/>
        <v>0</v>
      </c>
      <c r="AI46" s="429">
        <f t="shared" si="7"/>
        <v>0</v>
      </c>
      <c r="AJ46" s="429">
        <f t="shared" si="7"/>
        <v>0</v>
      </c>
      <c r="AK46" s="429">
        <f t="shared" si="7"/>
        <v>0</v>
      </c>
      <c r="AL46" s="429">
        <f t="shared" si="7"/>
        <v>0</v>
      </c>
      <c r="AM46" s="429">
        <f t="shared" si="7"/>
        <v>0</v>
      </c>
      <c r="AN46" s="429">
        <f t="shared" si="7"/>
        <v>0</v>
      </c>
      <c r="AO46" s="429">
        <f t="shared" si="7"/>
        <v>0</v>
      </c>
      <c r="AP46" s="429">
        <f t="shared" si="7"/>
        <v>0</v>
      </c>
      <c r="AQ46" s="430">
        <f t="shared" si="7"/>
        <v>0</v>
      </c>
      <c r="AR46"/>
    </row>
    <row r="47" spans="1:44" s="315" customFormat="1" ht="14.25" hidden="1">
      <c r="A47" s="565" t="s">
        <v>329</v>
      </c>
      <c r="B47" s="566"/>
      <c r="C47" s="567"/>
      <c r="D47" s="384" t="e">
        <f t="shared" ref="D47:AQ47" si="8">(D46)/SUM($D31:$G31)*100</f>
        <v>#DIV/0!</v>
      </c>
      <c r="E47" s="431" t="e">
        <f t="shared" si="8"/>
        <v>#DIV/0!</v>
      </c>
      <c r="F47" s="431" t="e">
        <f t="shared" si="8"/>
        <v>#DIV/0!</v>
      </c>
      <c r="G47" s="431" t="e">
        <f t="shared" si="8"/>
        <v>#DIV/0!</v>
      </c>
      <c r="H47" s="431" t="e">
        <f t="shared" si="8"/>
        <v>#DIV/0!</v>
      </c>
      <c r="I47" s="431" t="e">
        <f t="shared" si="8"/>
        <v>#DIV/0!</v>
      </c>
      <c r="J47" s="431" t="e">
        <f t="shared" si="8"/>
        <v>#DIV/0!</v>
      </c>
      <c r="K47" s="431" t="e">
        <f t="shared" si="8"/>
        <v>#DIV/0!</v>
      </c>
      <c r="L47" s="431" t="e">
        <f t="shared" si="8"/>
        <v>#DIV/0!</v>
      </c>
      <c r="M47" s="431" t="e">
        <f t="shared" si="8"/>
        <v>#DIV/0!</v>
      </c>
      <c r="N47" s="431" t="e">
        <f t="shared" si="8"/>
        <v>#DIV/0!</v>
      </c>
      <c r="O47" s="431" t="e">
        <f t="shared" si="8"/>
        <v>#DIV/0!</v>
      </c>
      <c r="P47" s="431" t="e">
        <f t="shared" si="8"/>
        <v>#DIV/0!</v>
      </c>
      <c r="Q47" s="431" t="e">
        <f t="shared" si="8"/>
        <v>#DIV/0!</v>
      </c>
      <c r="R47" s="431" t="e">
        <f t="shared" si="8"/>
        <v>#DIV/0!</v>
      </c>
      <c r="S47" s="431" t="e">
        <f t="shared" si="8"/>
        <v>#DIV/0!</v>
      </c>
      <c r="T47" s="431" t="e">
        <f t="shared" si="8"/>
        <v>#DIV/0!</v>
      </c>
      <c r="U47" s="431" t="e">
        <f t="shared" si="8"/>
        <v>#DIV/0!</v>
      </c>
      <c r="V47" s="431" t="e">
        <f t="shared" si="8"/>
        <v>#DIV/0!</v>
      </c>
      <c r="W47" s="431" t="e">
        <f t="shared" si="8"/>
        <v>#DIV/0!</v>
      </c>
      <c r="X47" s="431" t="e">
        <f t="shared" si="8"/>
        <v>#DIV/0!</v>
      </c>
      <c r="Y47" s="431" t="e">
        <f t="shared" si="8"/>
        <v>#DIV/0!</v>
      </c>
      <c r="Z47" s="431" t="e">
        <f t="shared" si="8"/>
        <v>#DIV/0!</v>
      </c>
      <c r="AA47" s="431" t="e">
        <f t="shared" si="8"/>
        <v>#DIV/0!</v>
      </c>
      <c r="AB47" s="431" t="e">
        <f t="shared" si="8"/>
        <v>#DIV/0!</v>
      </c>
      <c r="AC47" s="431" t="e">
        <f t="shared" si="8"/>
        <v>#DIV/0!</v>
      </c>
      <c r="AD47" s="431" t="e">
        <f t="shared" si="8"/>
        <v>#DIV/0!</v>
      </c>
      <c r="AE47" s="431" t="e">
        <f t="shared" si="8"/>
        <v>#DIV/0!</v>
      </c>
      <c r="AF47" s="431" t="e">
        <f t="shared" si="8"/>
        <v>#DIV/0!</v>
      </c>
      <c r="AG47" s="431" t="e">
        <f t="shared" si="8"/>
        <v>#DIV/0!</v>
      </c>
      <c r="AH47" s="431" t="e">
        <f t="shared" si="8"/>
        <v>#DIV/0!</v>
      </c>
      <c r="AI47" s="431" t="e">
        <f t="shared" si="8"/>
        <v>#DIV/0!</v>
      </c>
      <c r="AJ47" s="431" t="e">
        <f t="shared" si="8"/>
        <v>#DIV/0!</v>
      </c>
      <c r="AK47" s="431" t="e">
        <f t="shared" si="8"/>
        <v>#DIV/0!</v>
      </c>
      <c r="AL47" s="431" t="e">
        <f t="shared" si="8"/>
        <v>#DIV/0!</v>
      </c>
      <c r="AM47" s="431" t="e">
        <f t="shared" si="8"/>
        <v>#DIV/0!</v>
      </c>
      <c r="AN47" s="431" t="e">
        <f t="shared" si="8"/>
        <v>#DIV/0!</v>
      </c>
      <c r="AO47" s="431" t="e">
        <f t="shared" si="8"/>
        <v>#DIV/0!</v>
      </c>
      <c r="AP47" s="431" t="e">
        <f t="shared" si="8"/>
        <v>#DIV/0!</v>
      </c>
      <c r="AQ47" s="432" t="e">
        <f t="shared" si="8"/>
        <v>#DIV/0!</v>
      </c>
      <c r="AR47"/>
    </row>
    <row r="48" spans="1:44" s="315" customFormat="1" ht="15" thickBot="1">
      <c r="A48" s="562" t="s">
        <v>329</v>
      </c>
      <c r="B48" s="563"/>
      <c r="C48" s="564"/>
      <c r="D48" s="433" t="str">
        <f>IFERROR(D47,"")</f>
        <v/>
      </c>
      <c r="E48" s="433" t="str">
        <f t="shared" ref="E48:U48" si="9">IFERROR(E47,"")</f>
        <v/>
      </c>
      <c r="F48" s="433" t="str">
        <f t="shared" si="9"/>
        <v/>
      </c>
      <c r="G48" s="433" t="str">
        <f t="shared" si="9"/>
        <v/>
      </c>
      <c r="H48" s="433" t="str">
        <f t="shared" si="9"/>
        <v/>
      </c>
      <c r="I48" s="433" t="str">
        <f t="shared" si="9"/>
        <v/>
      </c>
      <c r="J48" s="433" t="str">
        <f t="shared" si="9"/>
        <v/>
      </c>
      <c r="K48" s="433" t="str">
        <f t="shared" si="9"/>
        <v/>
      </c>
      <c r="L48" s="433" t="str">
        <f t="shared" si="9"/>
        <v/>
      </c>
      <c r="M48" s="433" t="str">
        <f t="shared" si="9"/>
        <v/>
      </c>
      <c r="N48" s="433" t="str">
        <f t="shared" si="9"/>
        <v/>
      </c>
      <c r="O48" s="433" t="str">
        <f t="shared" si="9"/>
        <v/>
      </c>
      <c r="P48" s="433" t="str">
        <f t="shared" si="9"/>
        <v/>
      </c>
      <c r="Q48" s="433" t="str">
        <f t="shared" si="9"/>
        <v/>
      </c>
      <c r="R48" s="433" t="str">
        <f t="shared" si="9"/>
        <v/>
      </c>
      <c r="S48" s="433" t="str">
        <f t="shared" si="9"/>
        <v/>
      </c>
      <c r="T48" s="433" t="str">
        <f t="shared" si="9"/>
        <v/>
      </c>
      <c r="U48" s="433" t="str">
        <f t="shared" si="9"/>
        <v/>
      </c>
      <c r="V48" s="433" t="str">
        <f t="shared" ref="V48" si="10">IFERROR(V47,"")</f>
        <v/>
      </c>
      <c r="W48" s="433" t="str">
        <f t="shared" ref="W48" si="11">IFERROR(W47,"")</f>
        <v/>
      </c>
      <c r="X48" s="433" t="str">
        <f t="shared" ref="X48" si="12">IFERROR(X47,"")</f>
        <v/>
      </c>
      <c r="Y48" s="433" t="str">
        <f t="shared" ref="Y48" si="13">IFERROR(Y47,"")</f>
        <v/>
      </c>
      <c r="Z48" s="433" t="str">
        <f t="shared" ref="Z48" si="14">IFERROR(Z47,"")</f>
        <v/>
      </c>
      <c r="AA48" s="433" t="str">
        <f t="shared" ref="AA48" si="15">IFERROR(AA47,"")</f>
        <v/>
      </c>
      <c r="AB48" s="433" t="str">
        <f t="shared" ref="AB48" si="16">IFERROR(AB47,"")</f>
        <v/>
      </c>
      <c r="AC48" s="433" t="str">
        <f t="shared" ref="AC48" si="17">IFERROR(AC47,"")</f>
        <v/>
      </c>
      <c r="AD48" s="433" t="str">
        <f t="shared" ref="AD48" si="18">IFERROR(AD47,"")</f>
        <v/>
      </c>
      <c r="AE48" s="433" t="str">
        <f t="shared" ref="AE48" si="19">IFERROR(AE47,"")</f>
        <v/>
      </c>
      <c r="AF48" s="433" t="str">
        <f t="shared" ref="AF48" si="20">IFERROR(AF47,"")</f>
        <v/>
      </c>
      <c r="AG48" s="433" t="str">
        <f t="shared" ref="AG48" si="21">IFERROR(AG47,"")</f>
        <v/>
      </c>
      <c r="AH48" s="433" t="str">
        <f t="shared" ref="AH48" si="22">IFERROR(AH47,"")</f>
        <v/>
      </c>
      <c r="AI48" s="433" t="str">
        <f t="shared" ref="AI48" si="23">IFERROR(AI47,"")</f>
        <v/>
      </c>
      <c r="AJ48" s="433" t="str">
        <f t="shared" ref="AJ48" si="24">IFERROR(AJ47,"")</f>
        <v/>
      </c>
      <c r="AK48" s="433" t="str">
        <f t="shared" ref="AK48:AL48" si="25">IFERROR(AK47,"")</f>
        <v/>
      </c>
      <c r="AL48" s="433" t="str">
        <f t="shared" si="25"/>
        <v/>
      </c>
      <c r="AM48" s="433" t="str">
        <f t="shared" ref="AM48" si="26">IFERROR(AM47,"")</f>
        <v/>
      </c>
      <c r="AN48" s="433" t="str">
        <f t="shared" ref="AN48" si="27">IFERROR(AN47,"")</f>
        <v/>
      </c>
      <c r="AO48" s="433" t="str">
        <f t="shared" ref="AO48" si="28">IFERROR(AO47,"")</f>
        <v/>
      </c>
      <c r="AP48" s="433" t="str">
        <f t="shared" ref="AP48" si="29">IFERROR(AP47,"")</f>
        <v/>
      </c>
      <c r="AQ48" s="434" t="str">
        <f t="shared" ref="AQ48" si="30">IFERROR(AQ47,"")</f>
        <v/>
      </c>
      <c r="AR48" s="86"/>
    </row>
    <row r="50" spans="1:43" s="315" customFormat="1" ht="14.25" hidden="1">
      <c r="A50" s="336"/>
      <c r="B50" s="336" t="s">
        <v>172</v>
      </c>
      <c r="C50" s="336" t="s">
        <v>173</v>
      </c>
      <c r="D50" s="337" t="s">
        <v>174</v>
      </c>
      <c r="E50" s="336" t="s">
        <v>175</v>
      </c>
      <c r="F50" s="336" t="s">
        <v>176</v>
      </c>
      <c r="G50" s="336" t="s">
        <v>177</v>
      </c>
      <c r="H50" s="336" t="s">
        <v>178</v>
      </c>
      <c r="I50" s="336" t="s">
        <v>179</v>
      </c>
      <c r="J50" s="336" t="s">
        <v>180</v>
      </c>
      <c r="K50" s="336" t="s">
        <v>181</v>
      </c>
      <c r="L50" s="336" t="s">
        <v>298</v>
      </c>
      <c r="M50" s="336" t="s">
        <v>299</v>
      </c>
      <c r="N50" s="336" t="s">
        <v>300</v>
      </c>
      <c r="O50" s="336" t="s">
        <v>301</v>
      </c>
      <c r="P50" s="336" t="s">
        <v>302</v>
      </c>
      <c r="Q50" s="336" t="s">
        <v>303</v>
      </c>
      <c r="R50" s="336" t="s">
        <v>304</v>
      </c>
      <c r="S50" s="336" t="s">
        <v>305</v>
      </c>
      <c r="T50" s="336" t="s">
        <v>306</v>
      </c>
      <c r="U50" s="336" t="s">
        <v>307</v>
      </c>
    </row>
    <row r="51" spans="1:43" s="315" customFormat="1" ht="14.25" hidden="1">
      <c r="A51" s="338" t="s">
        <v>182</v>
      </c>
      <c r="B51" s="338" t="str">
        <f t="array" aca="1" ref="B51" ca="1">IFERROR(OFFSET(INDEX(37:37,SMALL(IF(37:37&lt;&gt;"",COLUMN(37:37)),COLUMN())),-1,0),"")</f>
        <v/>
      </c>
      <c r="C51" s="338" t="str">
        <f t="array" aca="1" ref="C51" ca="1">IFERROR(OFFSET(INDEX(37:37,SMALL(IF(37:37&lt;&gt;"",COLUMN(37:37)),COLUMN())),-1,0),"")</f>
        <v/>
      </c>
      <c r="D51" s="338" t="str">
        <f t="array" aca="1" ref="D51" ca="1">IFERROR(OFFSET(INDEX(37:37,SMALL(IF(37:37&lt;&gt;"",COLUMN(37:37)),COLUMN())),-1,0),"")</f>
        <v/>
      </c>
      <c r="E51" s="338" t="str">
        <f t="array" aca="1" ref="E51" ca="1">IFERROR(OFFSET(INDEX(37:37,SMALL(IF(37:37&lt;&gt;"",COLUMN(37:37)),COLUMN())),-1,0),"")</f>
        <v/>
      </c>
      <c r="F51" s="338" t="str">
        <f t="array" aca="1" ref="F51" ca="1">IFERROR(OFFSET(INDEX(37:37,SMALL(IF(37:37&lt;&gt;"",COLUMN(37:37)),COLUMN())),-1,0),"")</f>
        <v/>
      </c>
      <c r="G51" s="338" t="str">
        <f t="array" aca="1" ref="G51" ca="1">IFERROR(OFFSET(INDEX(37:37,SMALL(IF(37:37&lt;&gt;"",COLUMN(37:37)),COLUMN())),-1,0),"")</f>
        <v/>
      </c>
      <c r="H51" s="338" t="str">
        <f t="array" aca="1" ref="H51" ca="1">IFERROR(OFFSET(INDEX(37:37,SMALL(IF(37:37&lt;&gt;"",COLUMN(37:37)),COLUMN())),-1,0),"")</f>
        <v/>
      </c>
      <c r="I51" s="338" t="str">
        <f t="array" aca="1" ref="I51" ca="1">IFERROR(OFFSET(INDEX(37:37,SMALL(IF(37:37&lt;&gt;"",COLUMN(37:37)),COLUMN())),-1,0),"")</f>
        <v/>
      </c>
      <c r="J51" s="338" t="str">
        <f t="array" aca="1" ref="J51" ca="1">IFERROR(OFFSET(INDEX(37:37,SMALL(IF(37:37&lt;&gt;"",COLUMN(37:37)),COLUMN())),-1,0),"")</f>
        <v/>
      </c>
      <c r="K51" s="338" t="str">
        <f t="array" aca="1" ref="K51" ca="1">IFERROR(OFFSET(INDEX(37:37,SMALL(IF(37:37&lt;&gt;"",COLUMN(37:37)),COLUMN())),-1,0),"")</f>
        <v/>
      </c>
      <c r="L51" s="338" t="str">
        <f t="array" aca="1" ref="L51" ca="1">IFERROR(OFFSET(INDEX(37:37,SMALL(IF(37:37&lt;&gt;"",COLUMN(37:37)),COLUMN())),-1,0),"")</f>
        <v/>
      </c>
      <c r="M51" s="338" t="str">
        <f t="array" aca="1" ref="M51" ca="1">IFERROR(OFFSET(INDEX(37:37,SMALL(IF(37:37&lt;&gt;"",COLUMN(37:37)),COLUMN())),-1,0),"")</f>
        <v/>
      </c>
      <c r="N51" s="338" t="str">
        <f t="array" aca="1" ref="N51" ca="1">IFERROR(OFFSET(INDEX(37:37,SMALL(IF(37:37&lt;&gt;"",COLUMN(37:37)),COLUMN())),-1,0),"")</f>
        <v/>
      </c>
      <c r="O51" s="338" t="str">
        <f t="array" aca="1" ref="O51" ca="1">IFERROR(OFFSET(INDEX(37:37,SMALL(IF(37:37&lt;&gt;"",COLUMN(37:37)),COLUMN())),-1,0),"")</f>
        <v/>
      </c>
      <c r="P51" s="338" t="str">
        <f t="array" aca="1" ref="P51" ca="1">IFERROR(OFFSET(INDEX(37:37,SMALL(IF(37:37&lt;&gt;"",COLUMN(37:37)),COLUMN())),-1,0),"")</f>
        <v/>
      </c>
      <c r="Q51" s="338" t="str">
        <f t="array" aca="1" ref="Q51" ca="1">IFERROR(OFFSET(INDEX(37:37,SMALL(IF(37:37&lt;&gt;"",COLUMN(37:37)),COLUMN())),-1,0),"")</f>
        <v/>
      </c>
      <c r="R51" s="338" t="str">
        <f t="array" aca="1" ref="R51" ca="1">IFERROR(OFFSET(INDEX(37:37,SMALL(IF(37:37&lt;&gt;"",COLUMN(37:37)),COLUMN())),-1,0),"")</f>
        <v/>
      </c>
      <c r="S51" s="338" t="str">
        <f t="array" aca="1" ref="S51" ca="1">IFERROR(OFFSET(INDEX(37:37,SMALL(IF(37:37&lt;&gt;"",COLUMN(37:37)),COLUMN())),-1,0),"")</f>
        <v/>
      </c>
      <c r="T51" s="338" t="str">
        <f t="array" aca="1" ref="T51" ca="1">IFERROR(OFFSET(INDEX(37:37,SMALL(IF(37:37&lt;&gt;"",COLUMN(37:37)),COLUMN())),-1,0),"")</f>
        <v/>
      </c>
      <c r="U51" s="338" t="str">
        <f t="array" aca="1" ref="U51" ca="1">IFERROR(OFFSET(INDEX(37:37,SMALL(IF(37:37&lt;&gt;"",COLUMN(37:37)),COLUMN())),-1,0),"")</f>
        <v/>
      </c>
    </row>
    <row r="52" spans="1:43" s="315" customFormat="1" ht="14.25" hidden="1">
      <c r="A52" s="338" t="str">
        <f t="array" ref="A52">IFERROR(INDEX(37:37,SMALL(IF(37:37&lt;&gt;"",COLUMN(37:37)),COLUMN())),"")</f>
        <v>追水量（L)</v>
      </c>
      <c r="B52" s="338" t="str">
        <f>IFERROR(INDEX(37:37,SMALL(IF(37:37&lt;&gt;"",COLUMN(37:37)),COLUMN())),"")</f>
        <v/>
      </c>
      <c r="C52" s="338" t="str">
        <f t="array" ref="C52">IFERROR(INDEX(37:37,SMALL(IF(37:37&lt;&gt;"",COLUMN(37:37)),COLUMN())),"")</f>
        <v/>
      </c>
      <c r="D52" s="338" t="str">
        <f t="array" ref="D52">IFERROR(INDEX(37:37,SMALL(IF(37:37&lt;&gt;"",COLUMN(37:37)),COLUMN())),"")</f>
        <v/>
      </c>
      <c r="E52" s="338" t="str">
        <f t="array" ref="E52">IFERROR(INDEX(37:37,SMALL(IF(37:37&lt;&gt;"",COLUMN(37:37)),COLUMN())),"")</f>
        <v/>
      </c>
      <c r="F52" s="338" t="str">
        <f t="array" ref="F52">IFERROR(INDEX(37:37,SMALL(IF(37:37&lt;&gt;"",COLUMN(37:37)),COLUMN())),"")</f>
        <v/>
      </c>
      <c r="G52" s="338" t="str">
        <f t="array" ref="G52">IFERROR(INDEX(37:37,SMALL(IF(37:37&lt;&gt;"",COLUMN(37:37)),COLUMN())),"")</f>
        <v/>
      </c>
      <c r="H52" s="338" t="str">
        <f t="array" ref="H52">IFERROR(INDEX(37:37,SMALL(IF(37:37&lt;&gt;"",COLUMN(37:37)),COLUMN())),"")</f>
        <v/>
      </c>
      <c r="I52" s="338" t="str">
        <f t="array" ref="I52">IFERROR(INDEX(37:37,SMALL(IF(37:37&lt;&gt;"",COLUMN(37:37)),COLUMN())),"")</f>
        <v/>
      </c>
      <c r="J52" s="338" t="str">
        <f t="array" ref="J52">IFERROR(INDEX(37:37,SMALL(IF(37:37&lt;&gt;"",COLUMN(37:37)),COLUMN())),"")</f>
        <v/>
      </c>
      <c r="K52" s="338" t="str">
        <f t="array" ref="K52">IFERROR(INDEX(37:37,SMALL(IF(37:37&lt;&gt;"",COLUMN(37:37)),COLUMN())),"")</f>
        <v/>
      </c>
      <c r="L52" s="338" t="str">
        <f t="array" ref="L52">IFERROR(INDEX(37:37,SMALL(IF(37:37&lt;&gt;"",COLUMN(37:37)),COLUMN())),"")</f>
        <v/>
      </c>
      <c r="M52" s="338" t="str">
        <f t="array" ref="M52">IFERROR(INDEX(37:37,SMALL(IF(37:37&lt;&gt;"",COLUMN(37:37)),COLUMN())),"")</f>
        <v/>
      </c>
      <c r="N52" s="338" t="str">
        <f t="array" ref="N52">IFERROR(INDEX(37:37,SMALL(IF(37:37&lt;&gt;"",COLUMN(37:37)),COLUMN())),"")</f>
        <v/>
      </c>
      <c r="O52" s="338" t="str">
        <f t="array" ref="O52">IFERROR(INDEX(37:37,SMALL(IF(37:37&lt;&gt;"",COLUMN(37:37)),COLUMN())),"")</f>
        <v/>
      </c>
      <c r="P52" s="338" t="str">
        <f t="array" ref="P52">IFERROR(INDEX(37:37,SMALL(IF(37:37&lt;&gt;"",COLUMN(37:37)),COLUMN())),"")</f>
        <v/>
      </c>
      <c r="Q52" s="338" t="str">
        <f t="array" ref="Q52">IFERROR(INDEX(37:37,SMALL(IF(37:37&lt;&gt;"",COLUMN(37:37)),COLUMN())),"")</f>
        <v/>
      </c>
      <c r="R52" s="338" t="str">
        <f t="array" ref="R52">IFERROR(INDEX(37:37,SMALL(IF(37:37&lt;&gt;"",COLUMN(37:37)),COLUMN())),"")</f>
        <v/>
      </c>
      <c r="S52" s="338" t="str">
        <f t="array" ref="S52">IFERROR(INDEX(37:37,SMALL(IF(37:37&lt;&gt;"",COLUMN(37:37)),COLUMN())),"")</f>
        <v/>
      </c>
      <c r="T52" s="338" t="str">
        <f t="array" ref="T52">IFERROR(INDEX(37:37,SMALL(IF(37:37&lt;&gt;"",COLUMN(37:37)),COLUMN())),"")</f>
        <v/>
      </c>
      <c r="U52" s="338" t="str">
        <f t="array" ref="U52">IFERROR(INDEX(37:37,SMALL(IF(37:37&lt;&gt;"",COLUMN(37:37)),COLUMN())),"")</f>
        <v/>
      </c>
    </row>
    <row r="53" spans="1:43" s="315" customFormat="1" ht="14.25" hidden="1">
      <c r="A53" s="604" t="s">
        <v>183</v>
      </c>
      <c r="B53" s="605"/>
      <c r="C53" s="606"/>
      <c r="D53" s="339" t="s">
        <v>184</v>
      </c>
      <c r="E53" s="339" t="s">
        <v>185</v>
      </c>
      <c r="F53" s="339" t="s">
        <v>186</v>
      </c>
      <c r="G53" s="339" t="s">
        <v>187</v>
      </c>
      <c r="H53" s="339" t="s">
        <v>188</v>
      </c>
      <c r="I53" s="339" t="s">
        <v>189</v>
      </c>
      <c r="J53" s="339" t="s">
        <v>190</v>
      </c>
      <c r="K53" s="339" t="s">
        <v>191</v>
      </c>
      <c r="L53" s="337" t="s">
        <v>192</v>
      </c>
      <c r="M53" s="337" t="s">
        <v>193</v>
      </c>
      <c r="N53" s="337" t="s">
        <v>194</v>
      </c>
      <c r="O53" s="337" t="s">
        <v>308</v>
      </c>
      <c r="P53" s="337" t="s">
        <v>309</v>
      </c>
      <c r="Q53" s="337" t="s">
        <v>310</v>
      </c>
      <c r="R53" s="337" t="s">
        <v>311</v>
      </c>
      <c r="S53" s="337" t="s">
        <v>312</v>
      </c>
      <c r="T53" s="337" t="s">
        <v>313</v>
      </c>
      <c r="U53" s="337" t="s">
        <v>314</v>
      </c>
      <c r="V53" s="337" t="s">
        <v>315</v>
      </c>
      <c r="W53" s="337" t="s">
        <v>316</v>
      </c>
      <c r="X53" s="337" t="s">
        <v>317</v>
      </c>
    </row>
    <row r="54" spans="1:43" s="315" customFormat="1" ht="14.25" hidden="1">
      <c r="A54" s="607"/>
      <c r="B54" s="608"/>
      <c r="C54" s="609"/>
      <c r="D54" s="340" t="e">
        <f>SUM(D34:G34)/SUM(D31:G31)*100</f>
        <v>#DIV/0!</v>
      </c>
      <c r="E54" s="340" t="e">
        <f>(SUM(D34:G34)+SUM(B52:B52))/SUM(D31:G31)*100</f>
        <v>#DIV/0!</v>
      </c>
      <c r="F54" s="340" t="e">
        <f>(SUM(D34:G34)+SUM(B52:C52))/SUM(D31:G31)*100</f>
        <v>#DIV/0!</v>
      </c>
      <c r="G54" s="340" t="e">
        <f>(SUM(D34:G34)+SUM(B52:D52))/SUM(D31:G31)*100</f>
        <v>#DIV/0!</v>
      </c>
      <c r="H54" s="340" t="e">
        <f>(SUM(D34:G34)+SUM(B52:E52))/SUM(D31:G31)*100</f>
        <v>#DIV/0!</v>
      </c>
      <c r="I54" s="341" t="e">
        <f>(SUM(D34:G34)+SUM(B52:F52))/SUM(D31:G31)*100</f>
        <v>#DIV/0!</v>
      </c>
      <c r="J54" s="340" t="e">
        <f>(SUM(D34:G34)+SUM(B52:G52))/SUM(D31:G31)*100</f>
        <v>#DIV/0!</v>
      </c>
      <c r="K54" s="340" t="e">
        <f>(SUM(D34:G34)+SUM(B52:H52))/SUM(D31:G31)*100</f>
        <v>#DIV/0!</v>
      </c>
      <c r="L54" s="340" t="e">
        <f>(SUM(D34:G34)+SUM(B52:I52))/SUM(D31:G31)*100</f>
        <v>#DIV/0!</v>
      </c>
      <c r="M54" s="340" t="e">
        <f>(SUM(D34:G34)+SUM(B52:J52))/SUM(D31:G31)*100</f>
        <v>#DIV/0!</v>
      </c>
      <c r="N54" s="340" t="e">
        <f>(SUM(D34:G34)+SUM(B52:K52))/SUM(D31:G31)*100</f>
        <v>#DIV/0!</v>
      </c>
      <c r="O54" s="342" t="e">
        <f>(SUM(D34:G34)+SUM(B52:L52))/SUM(D31:G31)*100</f>
        <v>#DIV/0!</v>
      </c>
      <c r="P54" s="343" t="e">
        <f>(SUM(D34:G34)+SUM(B52:M52))/SUM(D31:G31)*100</f>
        <v>#DIV/0!</v>
      </c>
      <c r="Q54" s="343" t="e">
        <f>(SUM(D34:G34)+SUM(B52:N52))/SUM(D31:G31)*100</f>
        <v>#DIV/0!</v>
      </c>
      <c r="R54" s="343" t="e">
        <f>(SUM(D34:G34)+SUM(B52:O52))/SUM(D31:G31)*100</f>
        <v>#DIV/0!</v>
      </c>
      <c r="S54" s="343" t="e">
        <f>(SUM(D34:G34)+SUM(B52:P52))/SUM(D31:G31)*100</f>
        <v>#DIV/0!</v>
      </c>
      <c r="T54" s="343" t="e">
        <f>(SUM(D34:G34)+SUM(B52:Q52))/SUM(D31:G31)*100</f>
        <v>#DIV/0!</v>
      </c>
      <c r="U54" s="343" t="e">
        <f>(SUM(D34:G34)+SUM(B52:R52))/SUM(D31:G31)*100</f>
        <v>#DIV/0!</v>
      </c>
      <c r="V54" s="343" t="e">
        <f>(SUM(D34:G34)+SUM(B52:S52))/SUM(D31:G31)*100</f>
        <v>#DIV/0!</v>
      </c>
      <c r="W54" s="343" t="e">
        <f>(SUM(D34:G34)+SUM(B52:T52))/SUM(D31:G31)*100</f>
        <v>#DIV/0!</v>
      </c>
      <c r="X54" s="343" t="e">
        <f>(SUM(D34:G34)+SUM(B52:U52))/SUM(D31:G31)*100</f>
        <v>#DIV/0!</v>
      </c>
    </row>
    <row r="55" spans="1:43" s="315" customFormat="1" ht="14.25" hidden="1"/>
    <row r="56" spans="1:43" s="315" customFormat="1" ht="14.25" hidden="1">
      <c r="A56" s="610" t="s">
        <v>126</v>
      </c>
      <c r="B56" s="611"/>
      <c r="C56" s="611"/>
      <c r="E56" s="344" t="e">
        <f t="shared" ref="E56:AQ56" si="31">IF(E38="",IF(E39="",NA(),E39/-10),E38)</f>
        <v>#N/A</v>
      </c>
      <c r="F56" s="344" t="e">
        <f t="shared" si="31"/>
        <v>#N/A</v>
      </c>
      <c r="G56" s="344" t="e">
        <f t="shared" si="31"/>
        <v>#N/A</v>
      </c>
      <c r="H56" s="344" t="e">
        <f t="shared" si="31"/>
        <v>#N/A</v>
      </c>
      <c r="I56" s="344" t="e">
        <f t="shared" si="31"/>
        <v>#N/A</v>
      </c>
      <c r="J56" s="344" t="e">
        <f t="shared" si="31"/>
        <v>#N/A</v>
      </c>
      <c r="K56" s="344" t="e">
        <f t="shared" si="31"/>
        <v>#N/A</v>
      </c>
      <c r="L56" s="344" t="e">
        <f t="shared" si="31"/>
        <v>#N/A</v>
      </c>
      <c r="M56" s="344" t="e">
        <f t="shared" si="31"/>
        <v>#N/A</v>
      </c>
      <c r="N56" s="344" t="e">
        <f t="shared" si="31"/>
        <v>#N/A</v>
      </c>
      <c r="O56" s="344" t="e">
        <f t="shared" si="31"/>
        <v>#N/A</v>
      </c>
      <c r="P56" s="344" t="e">
        <f t="shared" si="31"/>
        <v>#N/A</v>
      </c>
      <c r="Q56" s="344" t="e">
        <f t="shared" si="31"/>
        <v>#N/A</v>
      </c>
      <c r="R56" s="344" t="e">
        <f t="shared" si="31"/>
        <v>#N/A</v>
      </c>
      <c r="S56" s="344" t="e">
        <f t="shared" si="31"/>
        <v>#N/A</v>
      </c>
      <c r="T56" s="344" t="e">
        <f t="shared" si="31"/>
        <v>#N/A</v>
      </c>
      <c r="U56" s="344" t="e">
        <f t="shared" si="31"/>
        <v>#N/A</v>
      </c>
      <c r="V56" s="344" t="e">
        <f t="shared" si="31"/>
        <v>#N/A</v>
      </c>
      <c r="W56" s="344" t="e">
        <f t="shared" si="31"/>
        <v>#N/A</v>
      </c>
      <c r="X56" s="344" t="e">
        <f t="shared" si="31"/>
        <v>#N/A</v>
      </c>
      <c r="Y56" s="344" t="e">
        <f t="shared" si="31"/>
        <v>#N/A</v>
      </c>
      <c r="Z56" s="344" t="e">
        <f t="shared" si="31"/>
        <v>#N/A</v>
      </c>
      <c r="AA56" s="344" t="e">
        <f t="shared" si="31"/>
        <v>#N/A</v>
      </c>
      <c r="AB56" s="344" t="e">
        <f t="shared" si="31"/>
        <v>#N/A</v>
      </c>
      <c r="AC56" s="344" t="e">
        <f t="shared" si="31"/>
        <v>#N/A</v>
      </c>
      <c r="AD56" s="344" t="e">
        <f t="shared" si="31"/>
        <v>#N/A</v>
      </c>
      <c r="AE56" s="344" t="e">
        <f t="shared" si="31"/>
        <v>#N/A</v>
      </c>
      <c r="AF56" s="344" t="e">
        <f t="shared" si="31"/>
        <v>#N/A</v>
      </c>
      <c r="AG56" s="344" t="e">
        <f t="shared" si="31"/>
        <v>#N/A</v>
      </c>
      <c r="AH56" s="344" t="e">
        <f t="shared" si="31"/>
        <v>#N/A</v>
      </c>
      <c r="AI56" s="344" t="e">
        <f t="shared" si="31"/>
        <v>#N/A</v>
      </c>
      <c r="AJ56" s="344">
        <f t="shared" si="31"/>
        <v>3.4</v>
      </c>
      <c r="AK56" s="344" t="e">
        <f t="shared" si="31"/>
        <v>#N/A</v>
      </c>
      <c r="AL56" s="344" t="e">
        <f t="shared" si="31"/>
        <v>#N/A</v>
      </c>
      <c r="AM56" s="344" t="e">
        <f t="shared" si="31"/>
        <v>#N/A</v>
      </c>
      <c r="AN56" s="344" t="e">
        <f t="shared" si="31"/>
        <v>#N/A</v>
      </c>
      <c r="AO56" s="344" t="e">
        <f t="shared" si="31"/>
        <v>#N/A</v>
      </c>
      <c r="AP56" s="344" t="e">
        <f t="shared" si="31"/>
        <v>#N/A</v>
      </c>
      <c r="AQ56" s="344" t="e">
        <f t="shared" si="31"/>
        <v>#N/A</v>
      </c>
    </row>
    <row r="57" spans="1:43" s="315" customFormat="1" ht="14.25" hidden="1">
      <c r="A57" s="612" t="s">
        <v>42</v>
      </c>
      <c r="B57" s="613"/>
      <c r="C57" s="613"/>
      <c r="E57" s="345" t="e">
        <f t="shared" ref="E57:AQ57" si="32">IF(E56="",NA(),E56*(-10))</f>
        <v>#N/A</v>
      </c>
      <c r="F57" s="345" t="e">
        <f t="shared" si="32"/>
        <v>#N/A</v>
      </c>
      <c r="G57" s="345" t="e">
        <f t="shared" si="32"/>
        <v>#N/A</v>
      </c>
      <c r="H57" s="345" t="e">
        <f t="shared" si="32"/>
        <v>#N/A</v>
      </c>
      <c r="I57" s="345" t="e">
        <f t="shared" si="32"/>
        <v>#N/A</v>
      </c>
      <c r="J57" s="345" t="e">
        <f t="shared" si="32"/>
        <v>#N/A</v>
      </c>
      <c r="K57" s="345" t="e">
        <f t="shared" si="32"/>
        <v>#N/A</v>
      </c>
      <c r="L57" s="345" t="e">
        <f t="shared" si="32"/>
        <v>#N/A</v>
      </c>
      <c r="M57" s="345" t="e">
        <f t="shared" si="32"/>
        <v>#N/A</v>
      </c>
      <c r="N57" s="345" t="e">
        <f t="shared" si="32"/>
        <v>#N/A</v>
      </c>
      <c r="O57" s="345" t="e">
        <f t="shared" si="32"/>
        <v>#N/A</v>
      </c>
      <c r="P57" s="345" t="e">
        <f t="shared" si="32"/>
        <v>#N/A</v>
      </c>
      <c r="Q57" s="345" t="e">
        <f t="shared" si="32"/>
        <v>#N/A</v>
      </c>
      <c r="R57" s="345" t="e">
        <f t="shared" si="32"/>
        <v>#N/A</v>
      </c>
      <c r="S57" s="345" t="e">
        <f t="shared" si="32"/>
        <v>#N/A</v>
      </c>
      <c r="T57" s="345" t="e">
        <f t="shared" si="32"/>
        <v>#N/A</v>
      </c>
      <c r="U57" s="345" t="e">
        <f t="shared" si="32"/>
        <v>#N/A</v>
      </c>
      <c r="V57" s="345" t="e">
        <f t="shared" si="32"/>
        <v>#N/A</v>
      </c>
      <c r="W57" s="345" t="e">
        <f t="shared" si="32"/>
        <v>#N/A</v>
      </c>
      <c r="X57" s="345" t="e">
        <f t="shared" si="32"/>
        <v>#N/A</v>
      </c>
      <c r="Y57" s="345" t="e">
        <f t="shared" si="32"/>
        <v>#N/A</v>
      </c>
      <c r="Z57" s="345" t="e">
        <f t="shared" si="32"/>
        <v>#N/A</v>
      </c>
      <c r="AA57" s="345" t="e">
        <f t="shared" si="32"/>
        <v>#N/A</v>
      </c>
      <c r="AB57" s="345" t="e">
        <f t="shared" si="32"/>
        <v>#N/A</v>
      </c>
      <c r="AC57" s="345" t="e">
        <f t="shared" si="32"/>
        <v>#N/A</v>
      </c>
      <c r="AD57" s="345" t="e">
        <f t="shared" si="32"/>
        <v>#N/A</v>
      </c>
      <c r="AE57" s="345" t="e">
        <f t="shared" si="32"/>
        <v>#N/A</v>
      </c>
      <c r="AF57" s="345" t="e">
        <f t="shared" si="32"/>
        <v>#N/A</v>
      </c>
      <c r="AG57" s="345" t="e">
        <f t="shared" si="32"/>
        <v>#N/A</v>
      </c>
      <c r="AH57" s="345" t="e">
        <f t="shared" si="32"/>
        <v>#N/A</v>
      </c>
      <c r="AI57" s="345" t="e">
        <f t="shared" si="32"/>
        <v>#N/A</v>
      </c>
      <c r="AJ57" s="345">
        <f t="shared" si="32"/>
        <v>-34</v>
      </c>
      <c r="AK57" s="345" t="e">
        <f t="shared" si="32"/>
        <v>#N/A</v>
      </c>
      <c r="AL57" s="345" t="e">
        <f t="shared" si="32"/>
        <v>#N/A</v>
      </c>
      <c r="AM57" s="345" t="e">
        <f t="shared" si="32"/>
        <v>#N/A</v>
      </c>
      <c r="AN57" s="345" t="e">
        <f t="shared" si="32"/>
        <v>#N/A</v>
      </c>
      <c r="AO57" s="345" t="e">
        <f t="shared" si="32"/>
        <v>#N/A</v>
      </c>
      <c r="AP57" s="345" t="e">
        <f t="shared" si="32"/>
        <v>#N/A</v>
      </c>
      <c r="AQ57" s="345" t="e">
        <f t="shared" si="32"/>
        <v>#N/A</v>
      </c>
    </row>
    <row r="58" spans="1:43" s="315" customFormat="1" ht="14.25" hidden="1">
      <c r="A58" s="346"/>
      <c r="B58" s="603" t="s">
        <v>34</v>
      </c>
      <c r="C58" s="537"/>
      <c r="E58" s="347" t="e">
        <f t="shared" ref="E58:AQ58" si="33">IF(E56="",NA(),ROUND(1443/(1443+E57),4))</f>
        <v>#N/A</v>
      </c>
      <c r="F58" s="347" t="e">
        <f t="shared" si="33"/>
        <v>#N/A</v>
      </c>
      <c r="G58" s="347" t="e">
        <f t="shared" si="33"/>
        <v>#N/A</v>
      </c>
      <c r="H58" s="347" t="e">
        <f t="shared" si="33"/>
        <v>#N/A</v>
      </c>
      <c r="I58" s="347" t="e">
        <f t="shared" si="33"/>
        <v>#N/A</v>
      </c>
      <c r="J58" s="347" t="e">
        <f t="shared" si="33"/>
        <v>#N/A</v>
      </c>
      <c r="K58" s="347" t="e">
        <f t="shared" si="33"/>
        <v>#N/A</v>
      </c>
      <c r="L58" s="347" t="e">
        <f t="shared" si="33"/>
        <v>#N/A</v>
      </c>
      <c r="M58" s="347" t="e">
        <f t="shared" si="33"/>
        <v>#N/A</v>
      </c>
      <c r="N58" s="347" t="e">
        <f t="shared" si="33"/>
        <v>#N/A</v>
      </c>
      <c r="O58" s="347" t="e">
        <f t="shared" si="33"/>
        <v>#N/A</v>
      </c>
      <c r="P58" s="347" t="e">
        <f t="shared" si="33"/>
        <v>#N/A</v>
      </c>
      <c r="Q58" s="347" t="e">
        <f t="shared" si="33"/>
        <v>#N/A</v>
      </c>
      <c r="R58" s="347" t="e">
        <f t="shared" si="33"/>
        <v>#N/A</v>
      </c>
      <c r="S58" s="347" t="e">
        <f t="shared" si="33"/>
        <v>#N/A</v>
      </c>
      <c r="T58" s="347" t="e">
        <f t="shared" si="33"/>
        <v>#N/A</v>
      </c>
      <c r="U58" s="347" t="e">
        <f t="shared" si="33"/>
        <v>#N/A</v>
      </c>
      <c r="V58" s="347" t="e">
        <f t="shared" si="33"/>
        <v>#N/A</v>
      </c>
      <c r="W58" s="347" t="e">
        <f t="shared" si="33"/>
        <v>#N/A</v>
      </c>
      <c r="X58" s="347" t="e">
        <f t="shared" si="33"/>
        <v>#N/A</v>
      </c>
      <c r="Y58" s="347" t="e">
        <f t="shared" si="33"/>
        <v>#N/A</v>
      </c>
      <c r="Z58" s="347" t="e">
        <f t="shared" si="33"/>
        <v>#N/A</v>
      </c>
      <c r="AA58" s="347" t="e">
        <f t="shared" si="33"/>
        <v>#N/A</v>
      </c>
      <c r="AB58" s="347" t="e">
        <f t="shared" si="33"/>
        <v>#N/A</v>
      </c>
      <c r="AC58" s="347" t="e">
        <f t="shared" si="33"/>
        <v>#N/A</v>
      </c>
      <c r="AD58" s="347" t="e">
        <f t="shared" si="33"/>
        <v>#N/A</v>
      </c>
      <c r="AE58" s="347" t="e">
        <f t="shared" si="33"/>
        <v>#N/A</v>
      </c>
      <c r="AF58" s="347" t="e">
        <f t="shared" si="33"/>
        <v>#N/A</v>
      </c>
      <c r="AG58" s="347" t="e">
        <f t="shared" si="33"/>
        <v>#N/A</v>
      </c>
      <c r="AH58" s="347" t="e">
        <f t="shared" si="33"/>
        <v>#N/A</v>
      </c>
      <c r="AI58" s="347" t="e">
        <f t="shared" si="33"/>
        <v>#N/A</v>
      </c>
      <c r="AJ58" s="347">
        <f t="shared" si="33"/>
        <v>1.0241</v>
      </c>
      <c r="AK58" s="347" t="e">
        <f t="shared" si="33"/>
        <v>#N/A</v>
      </c>
      <c r="AL58" s="347" t="e">
        <f t="shared" si="33"/>
        <v>#N/A</v>
      </c>
      <c r="AM58" s="347" t="e">
        <f t="shared" si="33"/>
        <v>#N/A</v>
      </c>
      <c r="AN58" s="347" t="e">
        <f t="shared" si="33"/>
        <v>#N/A</v>
      </c>
      <c r="AO58" s="347" t="e">
        <f t="shared" si="33"/>
        <v>#N/A</v>
      </c>
      <c r="AP58" s="347" t="e">
        <f t="shared" si="33"/>
        <v>#N/A</v>
      </c>
      <c r="AQ58" s="347" t="e">
        <f t="shared" si="33"/>
        <v>#N/A</v>
      </c>
    </row>
    <row r="59" spans="1:43" s="315" customFormat="1" ht="14.25" hidden="1">
      <c r="A59" s="346"/>
      <c r="B59" s="603" t="s">
        <v>35</v>
      </c>
      <c r="C59" s="537"/>
      <c r="E59" s="347" t="e">
        <f>IF(E40="",NA(),IFERROR(E40*VLOOKUP(E40,'各種計算式等（配付時非表示）'!$E$3:$H$1003,3,TRUE)+VLOOKUP(E40,'各種計算式等（配付時非表示）'!$E$3:$H$1003,4,TRUE)+0.0000000001,"-"))</f>
        <v>#N/A</v>
      </c>
      <c r="F59" s="347" t="e">
        <f>IF(F40="",NA(),IFERROR(F40*VLOOKUP(F40,'各種計算式等（配付時非表示）'!$E$3:$H$1003,3,TRUE)+VLOOKUP(F40,'各種計算式等（配付時非表示）'!$E$3:$H$1003,4,TRUE)+0.0000000001,"-"))</f>
        <v>#N/A</v>
      </c>
      <c r="G59" s="347" t="e">
        <f>IF(G40="",NA(),IFERROR(G40*VLOOKUP(G40,'各種計算式等（配付時非表示）'!$E$3:$H$1003,3,TRUE)+VLOOKUP(G40,'各種計算式等（配付時非表示）'!$E$3:$H$1003,4,TRUE)+0.0000000001,"-"))</f>
        <v>#N/A</v>
      </c>
      <c r="H59" s="347" t="e">
        <f>IF(H40="",NA(),IFERROR(H40*VLOOKUP(H40,'各種計算式等（配付時非表示）'!$E$3:$H$1003,3,TRUE)+VLOOKUP(H40,'各種計算式等（配付時非表示）'!$E$3:$H$1003,4,TRUE)+0.0000000001,"-"))</f>
        <v>#N/A</v>
      </c>
      <c r="I59" s="347" t="e">
        <f>IF(I40="",NA(),IFERROR(I40*VLOOKUP(I40,'各種計算式等（配付時非表示）'!$E$3:$H$1003,3,TRUE)+VLOOKUP(I40,'各種計算式等（配付時非表示）'!$E$3:$H$1003,4,TRUE)+0.0000000001,"-"))</f>
        <v>#N/A</v>
      </c>
      <c r="J59" s="347" t="e">
        <f>IF(J40="",NA(),IFERROR(J40*VLOOKUP(J40,'各種計算式等（配付時非表示）'!$E$3:$H$1003,3,TRUE)+VLOOKUP(J40,'各種計算式等（配付時非表示）'!$E$3:$H$1003,4,TRUE)+0.0000000001,"-"))</f>
        <v>#N/A</v>
      </c>
      <c r="K59" s="347" t="e">
        <f>IF(K40="",NA(),IFERROR(K40*VLOOKUP(K40,'各種計算式等（配付時非表示）'!$E$3:$H$1003,3,TRUE)+VLOOKUP(K40,'各種計算式等（配付時非表示）'!$E$3:$H$1003,4,TRUE)+0.0000000001,"-"))</f>
        <v>#N/A</v>
      </c>
      <c r="L59" s="347" t="e">
        <f>IF(L40="",NA(),IFERROR(L40*VLOOKUP(L40,'各種計算式等（配付時非表示）'!$E$3:$H$1003,3,TRUE)+VLOOKUP(L40,'各種計算式等（配付時非表示）'!$E$3:$H$1003,4,TRUE)+0.0000000001,"-"))</f>
        <v>#N/A</v>
      </c>
      <c r="M59" s="347" t="e">
        <f>IF(M40="",NA(),IFERROR(M40*VLOOKUP(M40,'各種計算式等（配付時非表示）'!$E$3:$H$1003,3,TRUE)+VLOOKUP(M40,'各種計算式等（配付時非表示）'!$E$3:$H$1003,4,TRUE)+0.0000000001,"-"))</f>
        <v>#N/A</v>
      </c>
      <c r="N59" s="347" t="e">
        <f>IF(N40="",NA(),IFERROR(N40*VLOOKUP(N40,'各種計算式等（配付時非表示）'!$E$3:$H$1003,3,TRUE)+VLOOKUP(N40,'各種計算式等（配付時非表示）'!$E$3:$H$1003,4,TRUE)+0.0000000001,"-"))</f>
        <v>#N/A</v>
      </c>
      <c r="O59" s="347" t="e">
        <f>IF(O40="",NA(),IFERROR(O40*VLOOKUP(O40,'各種計算式等（配付時非表示）'!$E$3:$H$1003,3,TRUE)+VLOOKUP(O40,'各種計算式等（配付時非表示）'!$E$3:$H$1003,4,TRUE)+0.0000000001,"-"))</f>
        <v>#N/A</v>
      </c>
      <c r="P59" s="347" t="e">
        <f>IF(P40="",NA(),IFERROR(P40*VLOOKUP(P40,'各種計算式等（配付時非表示）'!$E$3:$H$1003,3,TRUE)+VLOOKUP(P40,'各種計算式等（配付時非表示）'!$E$3:$H$1003,4,TRUE)+0.0000000001,"-"))</f>
        <v>#N/A</v>
      </c>
      <c r="Q59" s="347" t="e">
        <f>IF(Q40="",NA(),IFERROR(Q40*VLOOKUP(Q40,'各種計算式等（配付時非表示）'!$E$3:$H$1003,3,TRUE)+VLOOKUP(Q40,'各種計算式等（配付時非表示）'!$E$3:$H$1003,4,TRUE)+0.0000000001,"-"))</f>
        <v>#N/A</v>
      </c>
      <c r="R59" s="347" t="e">
        <f>IF(R40="",NA(),IFERROR(R40*VLOOKUP(R40,'各種計算式等（配付時非表示）'!$E$3:$H$1003,3,TRUE)+VLOOKUP(R40,'各種計算式等（配付時非表示）'!$E$3:$H$1003,4,TRUE)+0.0000000001,"-"))</f>
        <v>#N/A</v>
      </c>
      <c r="S59" s="347" t="e">
        <f>IF(S40="",NA(),IFERROR(S40*VLOOKUP(S40,'各種計算式等（配付時非表示）'!$E$3:$H$1003,3,TRUE)+VLOOKUP(S40,'各種計算式等（配付時非表示）'!$E$3:$H$1003,4,TRUE)+0.0000000001,"-"))</f>
        <v>#N/A</v>
      </c>
      <c r="T59" s="347" t="e">
        <f>IF(T40="",NA(),IFERROR(T40*VLOOKUP(T40,'各種計算式等（配付時非表示）'!$E$3:$H$1003,3,TRUE)+VLOOKUP(T40,'各種計算式等（配付時非表示）'!$E$3:$H$1003,4,TRUE)+0.0000000001,"-"))</f>
        <v>#N/A</v>
      </c>
      <c r="U59" s="347" t="e">
        <f>IF(U40="",NA(),IFERROR(U40*VLOOKUP(U40,'各種計算式等（配付時非表示）'!$E$3:$H$1003,3,TRUE)+VLOOKUP(U40,'各種計算式等（配付時非表示）'!$E$3:$H$1003,4,TRUE)+0.0000000001,"-"))</f>
        <v>#N/A</v>
      </c>
      <c r="V59" s="347" t="e">
        <f>IF(V40="",NA(),IFERROR(V40*VLOOKUP(V40,'各種計算式等（配付時非表示）'!$E$3:$H$1003,3,TRUE)+VLOOKUP(V40,'各種計算式等（配付時非表示）'!$E$3:$H$1003,4,TRUE)+0.0000000001,"-"))</f>
        <v>#N/A</v>
      </c>
      <c r="W59" s="347" t="e">
        <f>IF(W40="",NA(),IFERROR(W40*VLOOKUP(W40,'各種計算式等（配付時非表示）'!$E$3:$H$1003,3,TRUE)+VLOOKUP(W40,'各種計算式等（配付時非表示）'!$E$3:$H$1003,4,TRUE)+0.0000000001,"-"))</f>
        <v>#N/A</v>
      </c>
      <c r="X59" s="347" t="e">
        <f>IF(X40="",NA(),IFERROR(X40*VLOOKUP(X40,'各種計算式等（配付時非表示）'!$E$3:$H$1003,3,TRUE)+VLOOKUP(X40,'各種計算式等（配付時非表示）'!$E$3:$H$1003,4,TRUE)+0.0000000001,"-"))</f>
        <v>#N/A</v>
      </c>
      <c r="Y59" s="347" t="e">
        <f>IF(Y40="",NA(),IFERROR(Y40*VLOOKUP(Y40,'各種計算式等（配付時非表示）'!$E$3:$H$1003,3,TRUE)+VLOOKUP(Y40,'各種計算式等（配付時非表示）'!$E$3:$H$1003,4,TRUE)+0.0000000001,"-"))</f>
        <v>#N/A</v>
      </c>
      <c r="Z59" s="347" t="e">
        <f>IF(Z40="",NA(),IFERROR(Z40*VLOOKUP(Z40,'各種計算式等（配付時非表示）'!$E$3:$H$1003,3,TRUE)+VLOOKUP(Z40,'各種計算式等（配付時非表示）'!$E$3:$H$1003,4,TRUE)+0.0000000001,"-"))</f>
        <v>#N/A</v>
      </c>
      <c r="AA59" s="347" t="e">
        <f>IF(AA40="",NA(),IFERROR(AA40*VLOOKUP(AA40,'各種計算式等（配付時非表示）'!$E$3:$H$1003,3,TRUE)+VLOOKUP(AA40,'各種計算式等（配付時非表示）'!$E$3:$H$1003,4,TRUE)+0.0000000001,"-"))</f>
        <v>#N/A</v>
      </c>
      <c r="AB59" s="347" t="e">
        <f>IF(AB40="",NA(),IFERROR(AB40*VLOOKUP(AB40,'各種計算式等（配付時非表示）'!$E$3:$H$1003,3,TRUE)+VLOOKUP(AB40,'各種計算式等（配付時非表示）'!$E$3:$H$1003,4,TRUE)+0.0000000001,"-"))</f>
        <v>#N/A</v>
      </c>
      <c r="AC59" s="347" t="e">
        <f>IF(AC40="",NA(),IFERROR(AC40*VLOOKUP(AC40,'各種計算式等（配付時非表示）'!$E$3:$H$1003,3,TRUE)+VLOOKUP(AC40,'各種計算式等（配付時非表示）'!$E$3:$H$1003,4,TRUE)+0.0000000001,"-"))</f>
        <v>#N/A</v>
      </c>
      <c r="AD59" s="347" t="e">
        <f>IF(AD40="",NA(),IFERROR(AD40*VLOOKUP(AD40,'各種計算式等（配付時非表示）'!$E$3:$H$1003,3,TRUE)+VLOOKUP(AD40,'各種計算式等（配付時非表示）'!$E$3:$H$1003,4,TRUE)+0.0000000001,"-"))</f>
        <v>#N/A</v>
      </c>
      <c r="AE59" s="347" t="e">
        <f>IF(AE40="",NA(),IFERROR(AE40*VLOOKUP(AE40,'各種計算式等（配付時非表示）'!$E$3:$H$1003,3,TRUE)+VLOOKUP(AE40,'各種計算式等（配付時非表示）'!$E$3:$H$1003,4,TRUE)+0.0000000001,"-"))</f>
        <v>#N/A</v>
      </c>
      <c r="AF59" s="347" t="e">
        <f>IF(AF40="",NA(),IFERROR(AF40*VLOOKUP(AF40,'各種計算式等（配付時非表示）'!$E$3:$H$1003,3,TRUE)+VLOOKUP(AF40,'各種計算式等（配付時非表示）'!$E$3:$H$1003,4,TRUE)+0.0000000001,"-"))</f>
        <v>#N/A</v>
      </c>
      <c r="AG59" s="347" t="e">
        <f>IF(AG40="",NA(),IFERROR(AG40*VLOOKUP(AG40,'各種計算式等（配付時非表示）'!$E$3:$H$1003,3,TRUE)+VLOOKUP(AG40,'各種計算式等（配付時非表示）'!$E$3:$H$1003,4,TRUE)+0.0000000001,"-"))</f>
        <v>#N/A</v>
      </c>
      <c r="AH59" s="347" t="e">
        <f>IF(AH40="",NA(),IFERROR(AH40*VLOOKUP(AH40,'各種計算式等（配付時非表示）'!$E$3:$H$1003,3,TRUE)+VLOOKUP(AH40,'各種計算式等（配付時非表示）'!$E$3:$H$1003,4,TRUE)+0.0000000001,"-"))</f>
        <v>#N/A</v>
      </c>
      <c r="AI59" s="347" t="e">
        <f>IF(AI40="",NA(),IFERROR(AI40*VLOOKUP(AI40,'各種計算式等（配付時非表示）'!$E$3:$H$1003,3,TRUE)+VLOOKUP(AI40,'各種計算式等（配付時非表示）'!$E$3:$H$1003,4,TRUE)+0.0000000001,"-"))</f>
        <v>#N/A</v>
      </c>
      <c r="AJ59" s="347" t="e">
        <f>IF(AJ40="",NA(),IFERROR(AJ40*VLOOKUP(AJ40,'各種計算式等（配付時非表示）'!$E$3:$H$1003,3,TRUE)+VLOOKUP(AJ40,'各種計算式等（配付時非表示）'!$E$3:$H$1003,4,TRUE)+0.0000000001,"-"))</f>
        <v>#N/A</v>
      </c>
      <c r="AK59" s="347" t="e">
        <f>IF(AK40="",NA(),IFERROR(AK40*VLOOKUP(AK40,'各種計算式等（配付時非表示）'!$E$3:$H$1003,3,TRUE)+VLOOKUP(AK40,'各種計算式等（配付時非表示）'!$E$3:$H$1003,4,TRUE)+0.0000000001,"-"))</f>
        <v>#N/A</v>
      </c>
      <c r="AL59" s="347" t="e">
        <f>IF(AL40="",NA(),IFERROR(AL40*VLOOKUP(AL40,'各種計算式等（配付時非表示）'!$E$3:$H$1003,3,TRUE)+VLOOKUP(AL40,'各種計算式等（配付時非表示）'!$E$3:$H$1003,4,TRUE)+0.0000000001,"-"))</f>
        <v>#N/A</v>
      </c>
      <c r="AM59" s="347" t="e">
        <f>IF(AM40="",NA(),IFERROR(AM40*VLOOKUP(AM40,'各種計算式等（配付時非表示）'!$E$3:$H$1003,3,TRUE)+VLOOKUP(AM40,'各種計算式等（配付時非表示）'!$E$3:$H$1003,4,TRUE)+0.0000000001,"-"))</f>
        <v>#N/A</v>
      </c>
      <c r="AN59" s="347" t="e">
        <f>IF(AN40="",NA(),IFERROR(AN40*VLOOKUP(AN40,'各種計算式等（配付時非表示）'!$E$3:$H$1003,3,TRUE)+VLOOKUP(AN40,'各種計算式等（配付時非表示）'!$E$3:$H$1003,4,TRUE)+0.0000000001,"-"))</f>
        <v>#N/A</v>
      </c>
      <c r="AO59" s="347" t="e">
        <f>IF(AO40="",NA(),IFERROR(AO40*VLOOKUP(AO40,'各種計算式等（配付時非表示）'!$E$3:$H$1003,3,TRUE)+VLOOKUP(AO40,'各種計算式等（配付時非表示）'!$E$3:$H$1003,4,TRUE)+0.0000000001,"-"))</f>
        <v>#N/A</v>
      </c>
      <c r="AP59" s="347" t="e">
        <f>IF(AP40="",NA(),IFERROR(AP40*VLOOKUP(AP40,'各種計算式等（配付時非表示）'!$E$3:$H$1003,3,TRUE)+VLOOKUP(AP40,'各種計算式等（配付時非表示）'!$E$3:$H$1003,4,TRUE)+0.0000000001,"-"))</f>
        <v>#N/A</v>
      </c>
      <c r="AQ59" s="347" t="e">
        <f>IF(AQ40="",NA(),IFERROR(AQ40*VLOOKUP(AQ40,'各種計算式等（配付時非表示）'!$E$3:$H$1003,3,TRUE)+VLOOKUP(AQ40,'各種計算式等（配付時非表示）'!$E$3:$H$1003,4,TRUE)+0.0000000001,"-"))</f>
        <v>#N/A</v>
      </c>
    </row>
    <row r="60" spans="1:43" s="315" customFormat="1" ht="14.25" hidden="1">
      <c r="A60" s="603" t="s">
        <v>3</v>
      </c>
      <c r="B60" s="537"/>
      <c r="C60" s="538"/>
      <c r="E60" s="348" t="e">
        <f t="shared" ref="E60:AQ60" si="34">IFERROR(ROUNDDOWN((E58-E59)*260+0.21,1),NA())</f>
        <v>#N/A</v>
      </c>
      <c r="F60" s="348" t="e">
        <f t="shared" si="34"/>
        <v>#N/A</v>
      </c>
      <c r="G60" s="348" t="e">
        <f t="shared" si="34"/>
        <v>#N/A</v>
      </c>
      <c r="H60" s="348" t="e">
        <f t="shared" si="34"/>
        <v>#N/A</v>
      </c>
      <c r="I60" s="348" t="e">
        <f t="shared" si="34"/>
        <v>#N/A</v>
      </c>
      <c r="J60" s="348" t="e">
        <f t="shared" si="34"/>
        <v>#N/A</v>
      </c>
      <c r="K60" s="348" t="e">
        <f t="shared" si="34"/>
        <v>#N/A</v>
      </c>
      <c r="L60" s="348" t="e">
        <f t="shared" si="34"/>
        <v>#N/A</v>
      </c>
      <c r="M60" s="348" t="e">
        <f t="shared" si="34"/>
        <v>#N/A</v>
      </c>
      <c r="N60" s="348" t="e">
        <f t="shared" si="34"/>
        <v>#N/A</v>
      </c>
      <c r="O60" s="348" t="e">
        <f t="shared" si="34"/>
        <v>#N/A</v>
      </c>
      <c r="P60" s="348" t="e">
        <f t="shared" si="34"/>
        <v>#N/A</v>
      </c>
      <c r="Q60" s="348" t="e">
        <f t="shared" si="34"/>
        <v>#N/A</v>
      </c>
      <c r="R60" s="348" t="e">
        <f t="shared" si="34"/>
        <v>#N/A</v>
      </c>
      <c r="S60" s="348" t="e">
        <f t="shared" si="34"/>
        <v>#N/A</v>
      </c>
      <c r="T60" s="348" t="e">
        <f t="shared" si="34"/>
        <v>#N/A</v>
      </c>
      <c r="U60" s="348" t="e">
        <f t="shared" si="34"/>
        <v>#N/A</v>
      </c>
      <c r="V60" s="348" t="e">
        <f t="shared" si="34"/>
        <v>#N/A</v>
      </c>
      <c r="W60" s="348" t="e">
        <f t="shared" si="34"/>
        <v>#N/A</v>
      </c>
      <c r="X60" s="348" t="e">
        <f t="shared" si="34"/>
        <v>#N/A</v>
      </c>
      <c r="Y60" s="348" t="e">
        <f t="shared" si="34"/>
        <v>#N/A</v>
      </c>
      <c r="Z60" s="348" t="e">
        <f t="shared" si="34"/>
        <v>#N/A</v>
      </c>
      <c r="AA60" s="348" t="e">
        <f t="shared" si="34"/>
        <v>#N/A</v>
      </c>
      <c r="AB60" s="348" t="e">
        <f t="shared" si="34"/>
        <v>#N/A</v>
      </c>
      <c r="AC60" s="348" t="e">
        <f t="shared" si="34"/>
        <v>#N/A</v>
      </c>
      <c r="AD60" s="348" t="e">
        <f t="shared" si="34"/>
        <v>#N/A</v>
      </c>
      <c r="AE60" s="348" t="e">
        <f t="shared" si="34"/>
        <v>#N/A</v>
      </c>
      <c r="AF60" s="348" t="e">
        <f t="shared" si="34"/>
        <v>#N/A</v>
      </c>
      <c r="AG60" s="348" t="e">
        <f t="shared" si="34"/>
        <v>#N/A</v>
      </c>
      <c r="AH60" s="348" t="e">
        <f t="shared" si="34"/>
        <v>#N/A</v>
      </c>
      <c r="AI60" s="348" t="e">
        <f t="shared" si="34"/>
        <v>#N/A</v>
      </c>
      <c r="AJ60" s="348" t="e">
        <f t="shared" si="34"/>
        <v>#N/A</v>
      </c>
      <c r="AK60" s="348" t="e">
        <f t="shared" si="34"/>
        <v>#N/A</v>
      </c>
      <c r="AL60" s="348" t="e">
        <f t="shared" si="34"/>
        <v>#N/A</v>
      </c>
      <c r="AM60" s="348" t="e">
        <f t="shared" si="34"/>
        <v>#N/A</v>
      </c>
      <c r="AN60" s="348" t="e">
        <f t="shared" si="34"/>
        <v>#N/A</v>
      </c>
      <c r="AO60" s="348" t="e">
        <f t="shared" si="34"/>
        <v>#N/A</v>
      </c>
      <c r="AP60" s="348" t="e">
        <f t="shared" si="34"/>
        <v>#N/A</v>
      </c>
      <c r="AQ60" s="348" t="e">
        <f t="shared" si="34"/>
        <v>#N/A</v>
      </c>
    </row>
    <row r="61" spans="1:43" s="315" customFormat="1" ht="14.25" hidden="1">
      <c r="A61" s="603" t="s">
        <v>318</v>
      </c>
      <c r="B61" s="537"/>
      <c r="C61" s="538"/>
      <c r="E61" s="349" t="e">
        <f t="shared" ref="E61:AQ61" si="35">IF(E40="",NA(),ROUNDDOWN(E40*1.5848,1))</f>
        <v>#N/A</v>
      </c>
      <c r="F61" s="349" t="e">
        <f t="shared" si="35"/>
        <v>#N/A</v>
      </c>
      <c r="G61" s="349" t="e">
        <f t="shared" si="35"/>
        <v>#N/A</v>
      </c>
      <c r="H61" s="349" t="e">
        <f t="shared" si="35"/>
        <v>#N/A</v>
      </c>
      <c r="I61" s="349" t="e">
        <f t="shared" si="35"/>
        <v>#N/A</v>
      </c>
      <c r="J61" s="349" t="e">
        <f t="shared" si="35"/>
        <v>#N/A</v>
      </c>
      <c r="K61" s="349" t="e">
        <f t="shared" si="35"/>
        <v>#N/A</v>
      </c>
      <c r="L61" s="349" t="e">
        <f t="shared" si="35"/>
        <v>#N/A</v>
      </c>
      <c r="M61" s="349" t="e">
        <f t="shared" si="35"/>
        <v>#N/A</v>
      </c>
      <c r="N61" s="349" t="e">
        <f t="shared" si="35"/>
        <v>#N/A</v>
      </c>
      <c r="O61" s="349" t="e">
        <f t="shared" si="35"/>
        <v>#N/A</v>
      </c>
      <c r="P61" s="349" t="e">
        <f t="shared" si="35"/>
        <v>#N/A</v>
      </c>
      <c r="Q61" s="349" t="e">
        <f t="shared" si="35"/>
        <v>#N/A</v>
      </c>
      <c r="R61" s="349" t="e">
        <f t="shared" si="35"/>
        <v>#N/A</v>
      </c>
      <c r="S61" s="349" t="e">
        <f t="shared" si="35"/>
        <v>#N/A</v>
      </c>
      <c r="T61" s="349" t="e">
        <f t="shared" si="35"/>
        <v>#N/A</v>
      </c>
      <c r="U61" s="349" t="e">
        <f t="shared" si="35"/>
        <v>#N/A</v>
      </c>
      <c r="V61" s="349" t="e">
        <f t="shared" si="35"/>
        <v>#N/A</v>
      </c>
      <c r="W61" s="349" t="e">
        <f t="shared" si="35"/>
        <v>#N/A</v>
      </c>
      <c r="X61" s="349" t="e">
        <f t="shared" si="35"/>
        <v>#N/A</v>
      </c>
      <c r="Y61" s="349" t="e">
        <f t="shared" si="35"/>
        <v>#N/A</v>
      </c>
      <c r="Z61" s="349" t="e">
        <f t="shared" si="35"/>
        <v>#N/A</v>
      </c>
      <c r="AA61" s="349" t="e">
        <f t="shared" si="35"/>
        <v>#N/A</v>
      </c>
      <c r="AB61" s="349" t="e">
        <f t="shared" si="35"/>
        <v>#N/A</v>
      </c>
      <c r="AC61" s="349" t="e">
        <f t="shared" si="35"/>
        <v>#N/A</v>
      </c>
      <c r="AD61" s="349" t="e">
        <f t="shared" si="35"/>
        <v>#N/A</v>
      </c>
      <c r="AE61" s="349" t="e">
        <f t="shared" si="35"/>
        <v>#N/A</v>
      </c>
      <c r="AF61" s="349" t="e">
        <f t="shared" si="35"/>
        <v>#N/A</v>
      </c>
      <c r="AG61" s="349" t="e">
        <f t="shared" si="35"/>
        <v>#N/A</v>
      </c>
      <c r="AH61" s="349" t="e">
        <f t="shared" si="35"/>
        <v>#N/A</v>
      </c>
      <c r="AI61" s="349" t="e">
        <f t="shared" si="35"/>
        <v>#N/A</v>
      </c>
      <c r="AJ61" s="349" t="e">
        <f t="shared" si="35"/>
        <v>#N/A</v>
      </c>
      <c r="AK61" s="349" t="e">
        <f t="shared" si="35"/>
        <v>#N/A</v>
      </c>
      <c r="AL61" s="349" t="e">
        <f t="shared" si="35"/>
        <v>#N/A</v>
      </c>
      <c r="AM61" s="349" t="e">
        <f t="shared" si="35"/>
        <v>#N/A</v>
      </c>
      <c r="AN61" s="349" t="e">
        <f t="shared" si="35"/>
        <v>#N/A</v>
      </c>
      <c r="AO61" s="349" t="e">
        <f t="shared" si="35"/>
        <v>#N/A</v>
      </c>
      <c r="AP61" s="349" t="e">
        <f t="shared" si="35"/>
        <v>#N/A</v>
      </c>
      <c r="AQ61" s="349" t="e">
        <f t="shared" si="35"/>
        <v>#N/A</v>
      </c>
    </row>
    <row r="62" spans="1:43" s="315" customFormat="1" ht="14.25" hidden="1">
      <c r="A62" s="603" t="s">
        <v>159</v>
      </c>
      <c r="B62" s="537"/>
      <c r="C62" s="538"/>
      <c r="E62" s="349" t="e">
        <f t="shared" ref="E62:AQ62" si="36">IF(E60="",NA(),ROUNDDOWN(E60+E61,1))</f>
        <v>#N/A</v>
      </c>
      <c r="F62" s="349" t="e">
        <f t="shared" si="36"/>
        <v>#N/A</v>
      </c>
      <c r="G62" s="349" t="e">
        <f t="shared" si="36"/>
        <v>#N/A</v>
      </c>
      <c r="H62" s="349" t="e">
        <f t="shared" si="36"/>
        <v>#N/A</v>
      </c>
      <c r="I62" s="349" t="e">
        <f t="shared" si="36"/>
        <v>#N/A</v>
      </c>
      <c r="J62" s="349" t="e">
        <f t="shared" si="36"/>
        <v>#N/A</v>
      </c>
      <c r="K62" s="349" t="e">
        <f t="shared" si="36"/>
        <v>#N/A</v>
      </c>
      <c r="L62" s="349" t="e">
        <f t="shared" si="36"/>
        <v>#N/A</v>
      </c>
      <c r="M62" s="349" t="e">
        <f t="shared" si="36"/>
        <v>#N/A</v>
      </c>
      <c r="N62" s="349" t="e">
        <f t="shared" si="36"/>
        <v>#N/A</v>
      </c>
      <c r="O62" s="349" t="e">
        <f t="shared" si="36"/>
        <v>#N/A</v>
      </c>
      <c r="P62" s="349" t="e">
        <f t="shared" si="36"/>
        <v>#N/A</v>
      </c>
      <c r="Q62" s="349" t="e">
        <f t="shared" si="36"/>
        <v>#N/A</v>
      </c>
      <c r="R62" s="349" t="e">
        <f t="shared" si="36"/>
        <v>#N/A</v>
      </c>
      <c r="S62" s="349" t="e">
        <f t="shared" si="36"/>
        <v>#N/A</v>
      </c>
      <c r="T62" s="349" t="e">
        <f t="shared" si="36"/>
        <v>#N/A</v>
      </c>
      <c r="U62" s="349" t="e">
        <f t="shared" si="36"/>
        <v>#N/A</v>
      </c>
      <c r="V62" s="349" t="e">
        <f t="shared" si="36"/>
        <v>#N/A</v>
      </c>
      <c r="W62" s="349" t="e">
        <f t="shared" si="36"/>
        <v>#N/A</v>
      </c>
      <c r="X62" s="349" t="e">
        <f t="shared" si="36"/>
        <v>#N/A</v>
      </c>
      <c r="Y62" s="349" t="e">
        <f t="shared" si="36"/>
        <v>#N/A</v>
      </c>
      <c r="Z62" s="349" t="e">
        <f t="shared" si="36"/>
        <v>#N/A</v>
      </c>
      <c r="AA62" s="349" t="e">
        <f t="shared" si="36"/>
        <v>#N/A</v>
      </c>
      <c r="AB62" s="349" t="e">
        <f t="shared" si="36"/>
        <v>#N/A</v>
      </c>
      <c r="AC62" s="349" t="e">
        <f t="shared" si="36"/>
        <v>#N/A</v>
      </c>
      <c r="AD62" s="349" t="e">
        <f t="shared" si="36"/>
        <v>#N/A</v>
      </c>
      <c r="AE62" s="349" t="e">
        <f t="shared" si="36"/>
        <v>#N/A</v>
      </c>
      <c r="AF62" s="349" t="e">
        <f t="shared" si="36"/>
        <v>#N/A</v>
      </c>
      <c r="AG62" s="349" t="e">
        <f t="shared" si="36"/>
        <v>#N/A</v>
      </c>
      <c r="AH62" s="349" t="e">
        <f t="shared" si="36"/>
        <v>#N/A</v>
      </c>
      <c r="AI62" s="349" t="e">
        <f t="shared" si="36"/>
        <v>#N/A</v>
      </c>
      <c r="AJ62" s="349" t="e">
        <f t="shared" si="36"/>
        <v>#N/A</v>
      </c>
      <c r="AK62" s="349" t="e">
        <f t="shared" si="36"/>
        <v>#N/A</v>
      </c>
      <c r="AL62" s="349" t="e">
        <f t="shared" si="36"/>
        <v>#N/A</v>
      </c>
      <c r="AM62" s="349" t="e">
        <f t="shared" si="36"/>
        <v>#N/A</v>
      </c>
      <c r="AN62" s="349" t="e">
        <f t="shared" si="36"/>
        <v>#N/A</v>
      </c>
      <c r="AO62" s="349" t="e">
        <f t="shared" si="36"/>
        <v>#N/A</v>
      </c>
      <c r="AP62" s="349" t="e">
        <f t="shared" si="36"/>
        <v>#N/A</v>
      </c>
      <c r="AQ62" s="349" t="e">
        <f t="shared" si="36"/>
        <v>#N/A</v>
      </c>
    </row>
    <row r="63" spans="1:43" s="315" customFormat="1" ht="14.25" hidden="1">
      <c r="A63" s="603" t="s">
        <v>195</v>
      </c>
      <c r="B63" s="537"/>
      <c r="C63" s="538"/>
      <c r="E63" s="350" t="e">
        <f t="shared" ref="E63:AQ63" si="37">IF(E40="",NA(),IF(E36&lt;=$B51,E40*$D54/100,IF(E36&lt;=$C51,E40*$E54/100,IF(E36&lt;=$D51,E40*$F54/100,IF(E36&lt;=$E51,E40*$G54/100,IF(E36&lt;=$F51,E40*$H54/100,IF(E36&lt;=$G51,E40*$I54/100,IF(E36&lt;=$H51,E40*$J54/100,IF(E36&lt;=$I51,E40*$K54/100,IF(E36&lt;=$J51,E40*$L54/100,IF(E36&lt;=$K51,E40*$M54/100,IF(E36&lt;=$L51,E40*$N54/100,IF(E36&lt;=$M51,E40*$O54/100,IF(E36&lt;=$N51,E40*$P54/100,IF(E36&lt;=$O51,E40*$Q54/100,IF(E36&lt;=$P51,E40*$R54/100,IF(E36&lt;=$Q51,E40*$S54/100,IF(E36&lt;=$R51,E40*$T54/100,IF(E36&lt;=$S51,E40*$U54/100,IF(E36&lt;=$T51,E40*$V54/100,IF(E36&lt;=$U51,E40*$W54/100,E40*$X54/100)))))))))))))))))))))</f>
        <v>#N/A</v>
      </c>
      <c r="F63" s="350" t="e">
        <f t="shared" si="37"/>
        <v>#N/A</v>
      </c>
      <c r="G63" s="350" t="e">
        <f t="shared" si="37"/>
        <v>#N/A</v>
      </c>
      <c r="H63" s="350" t="e">
        <f t="shared" si="37"/>
        <v>#N/A</v>
      </c>
      <c r="I63" s="350" t="e">
        <f t="shared" si="37"/>
        <v>#N/A</v>
      </c>
      <c r="J63" s="350" t="e">
        <f t="shared" si="37"/>
        <v>#N/A</v>
      </c>
      <c r="K63" s="350" t="e">
        <f t="shared" si="37"/>
        <v>#N/A</v>
      </c>
      <c r="L63" s="350" t="e">
        <f t="shared" si="37"/>
        <v>#N/A</v>
      </c>
      <c r="M63" s="350" t="e">
        <f t="shared" si="37"/>
        <v>#N/A</v>
      </c>
      <c r="N63" s="350" t="e">
        <f t="shared" si="37"/>
        <v>#N/A</v>
      </c>
      <c r="O63" s="350" t="e">
        <f t="shared" si="37"/>
        <v>#N/A</v>
      </c>
      <c r="P63" s="350" t="e">
        <f t="shared" si="37"/>
        <v>#N/A</v>
      </c>
      <c r="Q63" s="350" t="e">
        <f t="shared" si="37"/>
        <v>#N/A</v>
      </c>
      <c r="R63" s="350" t="e">
        <f t="shared" si="37"/>
        <v>#N/A</v>
      </c>
      <c r="S63" s="350" t="e">
        <f t="shared" si="37"/>
        <v>#N/A</v>
      </c>
      <c r="T63" s="350" t="e">
        <f t="shared" si="37"/>
        <v>#N/A</v>
      </c>
      <c r="U63" s="350" t="e">
        <f t="shared" si="37"/>
        <v>#N/A</v>
      </c>
      <c r="V63" s="350" t="e">
        <f t="shared" si="37"/>
        <v>#N/A</v>
      </c>
      <c r="W63" s="350" t="e">
        <f t="shared" si="37"/>
        <v>#N/A</v>
      </c>
      <c r="X63" s="350" t="e">
        <f t="shared" si="37"/>
        <v>#N/A</v>
      </c>
      <c r="Y63" s="350" t="e">
        <f t="shared" si="37"/>
        <v>#N/A</v>
      </c>
      <c r="Z63" s="350" t="e">
        <f t="shared" si="37"/>
        <v>#N/A</v>
      </c>
      <c r="AA63" s="350" t="e">
        <f t="shared" si="37"/>
        <v>#N/A</v>
      </c>
      <c r="AB63" s="350" t="e">
        <f t="shared" si="37"/>
        <v>#N/A</v>
      </c>
      <c r="AC63" s="350" t="e">
        <f t="shared" si="37"/>
        <v>#N/A</v>
      </c>
      <c r="AD63" s="350" t="e">
        <f t="shared" si="37"/>
        <v>#N/A</v>
      </c>
      <c r="AE63" s="350" t="e">
        <f t="shared" si="37"/>
        <v>#N/A</v>
      </c>
      <c r="AF63" s="350" t="e">
        <f t="shared" si="37"/>
        <v>#N/A</v>
      </c>
      <c r="AG63" s="350" t="e">
        <f t="shared" si="37"/>
        <v>#N/A</v>
      </c>
      <c r="AH63" s="350" t="e">
        <f t="shared" si="37"/>
        <v>#N/A</v>
      </c>
      <c r="AI63" s="350" t="e">
        <f t="shared" si="37"/>
        <v>#N/A</v>
      </c>
      <c r="AJ63" s="350" t="e">
        <f t="shared" si="37"/>
        <v>#N/A</v>
      </c>
      <c r="AK63" s="350" t="e">
        <f t="shared" si="37"/>
        <v>#N/A</v>
      </c>
      <c r="AL63" s="350" t="e">
        <f t="shared" si="37"/>
        <v>#N/A</v>
      </c>
      <c r="AM63" s="350" t="e">
        <f t="shared" si="37"/>
        <v>#N/A</v>
      </c>
      <c r="AN63" s="350" t="e">
        <f t="shared" si="37"/>
        <v>#N/A</v>
      </c>
      <c r="AO63" s="350" t="e">
        <f t="shared" si="37"/>
        <v>#N/A</v>
      </c>
      <c r="AP63" s="350" t="e">
        <f t="shared" si="37"/>
        <v>#N/A</v>
      </c>
      <c r="AQ63" s="350" t="e">
        <f t="shared" si="37"/>
        <v>#N/A</v>
      </c>
    </row>
    <row r="64" spans="1:43" s="315" customFormat="1" ht="14.25" hidden="1">
      <c r="A64" s="536" t="s">
        <v>319</v>
      </c>
      <c r="B64" s="537"/>
      <c r="C64" s="537"/>
      <c r="E64" s="351" t="e">
        <f t="shared" ref="E64:AQ64" si="38">IF(E63="",NA(),ROUND(E63*1.5848,1))</f>
        <v>#N/A</v>
      </c>
      <c r="F64" s="351" t="e">
        <f t="shared" si="38"/>
        <v>#N/A</v>
      </c>
      <c r="G64" s="351" t="e">
        <f t="shared" si="38"/>
        <v>#N/A</v>
      </c>
      <c r="H64" s="351" t="e">
        <f t="shared" si="38"/>
        <v>#N/A</v>
      </c>
      <c r="I64" s="351" t="e">
        <f t="shared" si="38"/>
        <v>#N/A</v>
      </c>
      <c r="J64" s="351" t="e">
        <f t="shared" si="38"/>
        <v>#N/A</v>
      </c>
      <c r="K64" s="351" t="e">
        <f t="shared" si="38"/>
        <v>#N/A</v>
      </c>
      <c r="L64" s="351" t="e">
        <f t="shared" si="38"/>
        <v>#N/A</v>
      </c>
      <c r="M64" s="351" t="e">
        <f t="shared" si="38"/>
        <v>#N/A</v>
      </c>
      <c r="N64" s="351" t="e">
        <f t="shared" si="38"/>
        <v>#N/A</v>
      </c>
      <c r="O64" s="351" t="e">
        <f t="shared" si="38"/>
        <v>#N/A</v>
      </c>
      <c r="P64" s="351" t="e">
        <f t="shared" si="38"/>
        <v>#N/A</v>
      </c>
      <c r="Q64" s="351" t="e">
        <f t="shared" si="38"/>
        <v>#N/A</v>
      </c>
      <c r="R64" s="351" t="e">
        <f t="shared" si="38"/>
        <v>#N/A</v>
      </c>
      <c r="S64" s="351" t="e">
        <f t="shared" si="38"/>
        <v>#N/A</v>
      </c>
      <c r="T64" s="351" t="e">
        <f t="shared" si="38"/>
        <v>#N/A</v>
      </c>
      <c r="U64" s="351" t="e">
        <f t="shared" si="38"/>
        <v>#N/A</v>
      </c>
      <c r="V64" s="351" t="e">
        <f t="shared" si="38"/>
        <v>#N/A</v>
      </c>
      <c r="W64" s="351" t="e">
        <f t="shared" si="38"/>
        <v>#N/A</v>
      </c>
      <c r="X64" s="351" t="e">
        <f t="shared" si="38"/>
        <v>#N/A</v>
      </c>
      <c r="Y64" s="351" t="e">
        <f t="shared" si="38"/>
        <v>#N/A</v>
      </c>
      <c r="Z64" s="351" t="e">
        <f t="shared" si="38"/>
        <v>#N/A</v>
      </c>
      <c r="AA64" s="351" t="e">
        <f t="shared" si="38"/>
        <v>#N/A</v>
      </c>
      <c r="AB64" s="351" t="e">
        <f t="shared" si="38"/>
        <v>#N/A</v>
      </c>
      <c r="AC64" s="351" t="e">
        <f t="shared" si="38"/>
        <v>#N/A</v>
      </c>
      <c r="AD64" s="351" t="e">
        <f t="shared" si="38"/>
        <v>#N/A</v>
      </c>
      <c r="AE64" s="351" t="e">
        <f t="shared" si="38"/>
        <v>#N/A</v>
      </c>
      <c r="AF64" s="351" t="e">
        <f t="shared" si="38"/>
        <v>#N/A</v>
      </c>
      <c r="AG64" s="351" t="e">
        <f t="shared" si="38"/>
        <v>#N/A</v>
      </c>
      <c r="AH64" s="351" t="e">
        <f t="shared" si="38"/>
        <v>#N/A</v>
      </c>
      <c r="AI64" s="351" t="e">
        <f t="shared" si="38"/>
        <v>#N/A</v>
      </c>
      <c r="AJ64" s="351" t="e">
        <f t="shared" si="38"/>
        <v>#N/A</v>
      </c>
      <c r="AK64" s="351" t="e">
        <f t="shared" si="38"/>
        <v>#N/A</v>
      </c>
      <c r="AL64" s="351" t="e">
        <f t="shared" si="38"/>
        <v>#N/A</v>
      </c>
      <c r="AM64" s="351" t="e">
        <f t="shared" si="38"/>
        <v>#N/A</v>
      </c>
      <c r="AN64" s="351" t="e">
        <f t="shared" si="38"/>
        <v>#N/A</v>
      </c>
      <c r="AO64" s="351" t="e">
        <f t="shared" si="38"/>
        <v>#N/A</v>
      </c>
      <c r="AP64" s="351" t="e">
        <f t="shared" si="38"/>
        <v>#N/A</v>
      </c>
      <c r="AQ64" s="351" t="e">
        <f t="shared" si="38"/>
        <v>#N/A</v>
      </c>
    </row>
    <row r="65" spans="1:44" s="315" customFormat="1" ht="14.25" hidden="1">
      <c r="A65" s="536" t="s">
        <v>320</v>
      </c>
      <c r="B65" s="537"/>
      <c r="C65" s="537"/>
      <c r="E65" s="351" t="e">
        <f t="shared" ref="E65:AQ65" si="39">IF(E66="",NA(),ROUND(E66-E64,1))</f>
        <v>#N/A</v>
      </c>
      <c r="F65" s="351" t="e">
        <f t="shared" si="39"/>
        <v>#N/A</v>
      </c>
      <c r="G65" s="351" t="e">
        <f t="shared" si="39"/>
        <v>#N/A</v>
      </c>
      <c r="H65" s="351" t="e">
        <f t="shared" si="39"/>
        <v>#N/A</v>
      </c>
      <c r="I65" s="351" t="e">
        <f t="shared" si="39"/>
        <v>#N/A</v>
      </c>
      <c r="J65" s="351" t="e">
        <f t="shared" si="39"/>
        <v>#N/A</v>
      </c>
      <c r="K65" s="351" t="e">
        <f t="shared" si="39"/>
        <v>#N/A</v>
      </c>
      <c r="L65" s="351" t="e">
        <f t="shared" si="39"/>
        <v>#N/A</v>
      </c>
      <c r="M65" s="351" t="e">
        <f t="shared" si="39"/>
        <v>#N/A</v>
      </c>
      <c r="N65" s="351" t="e">
        <f t="shared" si="39"/>
        <v>#N/A</v>
      </c>
      <c r="O65" s="351" t="e">
        <f t="shared" si="39"/>
        <v>#N/A</v>
      </c>
      <c r="P65" s="351" t="e">
        <f t="shared" si="39"/>
        <v>#N/A</v>
      </c>
      <c r="Q65" s="351" t="e">
        <f t="shared" si="39"/>
        <v>#N/A</v>
      </c>
      <c r="R65" s="351" t="e">
        <f t="shared" si="39"/>
        <v>#N/A</v>
      </c>
      <c r="S65" s="351" t="e">
        <f t="shared" si="39"/>
        <v>#N/A</v>
      </c>
      <c r="T65" s="351" t="e">
        <f t="shared" si="39"/>
        <v>#N/A</v>
      </c>
      <c r="U65" s="351" t="e">
        <f t="shared" si="39"/>
        <v>#N/A</v>
      </c>
      <c r="V65" s="351" t="e">
        <f t="shared" si="39"/>
        <v>#N/A</v>
      </c>
      <c r="W65" s="351" t="e">
        <f t="shared" si="39"/>
        <v>#N/A</v>
      </c>
      <c r="X65" s="351" t="e">
        <f t="shared" si="39"/>
        <v>#N/A</v>
      </c>
      <c r="Y65" s="351" t="e">
        <f t="shared" si="39"/>
        <v>#N/A</v>
      </c>
      <c r="Z65" s="351" t="e">
        <f t="shared" si="39"/>
        <v>#N/A</v>
      </c>
      <c r="AA65" s="351" t="e">
        <f t="shared" si="39"/>
        <v>#N/A</v>
      </c>
      <c r="AB65" s="351" t="e">
        <f t="shared" si="39"/>
        <v>#N/A</v>
      </c>
      <c r="AC65" s="351" t="e">
        <f t="shared" si="39"/>
        <v>#N/A</v>
      </c>
      <c r="AD65" s="351" t="e">
        <f t="shared" si="39"/>
        <v>#N/A</v>
      </c>
      <c r="AE65" s="351" t="e">
        <f t="shared" si="39"/>
        <v>#N/A</v>
      </c>
      <c r="AF65" s="351" t="e">
        <f t="shared" si="39"/>
        <v>#N/A</v>
      </c>
      <c r="AG65" s="351" t="e">
        <f t="shared" si="39"/>
        <v>#N/A</v>
      </c>
      <c r="AH65" s="351" t="e">
        <f t="shared" si="39"/>
        <v>#N/A</v>
      </c>
      <c r="AI65" s="351" t="e">
        <f t="shared" si="39"/>
        <v>#N/A</v>
      </c>
      <c r="AJ65" s="351" t="e">
        <f t="shared" si="39"/>
        <v>#N/A</v>
      </c>
      <c r="AK65" s="351" t="e">
        <f t="shared" si="39"/>
        <v>#N/A</v>
      </c>
      <c r="AL65" s="351" t="e">
        <f t="shared" si="39"/>
        <v>#N/A</v>
      </c>
      <c r="AM65" s="351" t="e">
        <f t="shared" si="39"/>
        <v>#N/A</v>
      </c>
      <c r="AN65" s="351" t="e">
        <f t="shared" si="39"/>
        <v>#N/A</v>
      </c>
      <c r="AO65" s="351" t="e">
        <f t="shared" si="39"/>
        <v>#N/A</v>
      </c>
      <c r="AP65" s="351" t="e">
        <f t="shared" si="39"/>
        <v>#N/A</v>
      </c>
      <c r="AQ65" s="351" t="e">
        <f t="shared" si="39"/>
        <v>#N/A</v>
      </c>
    </row>
    <row r="66" spans="1:44" s="315" customFormat="1" ht="14.25" hidden="1">
      <c r="A66" s="536" t="s">
        <v>321</v>
      </c>
      <c r="B66" s="537"/>
      <c r="C66" s="537"/>
      <c r="E66" s="350" t="e">
        <f>IF(E62="",NA(),IF(E36&lt;A64=$B51,E62*$D54/100,IF(E36&lt;=$C51,E62*$E54/100,IF(E36&lt;=$D51,E62*$F54/100,IF(E36&lt;=$E51,E62*$G54/100,IF(E36&lt;=$F51,E62*$H54/100,IF(E36&lt;=$G51,E62*$I54/100,IF(E36&lt;=$H51,E62*$J54/100,IF(E36&lt;=$I51,E62*$K54/100,IF(E36&lt;=$J51,E62*$L54/100,IF(E36&lt;=$K51,E62*$M54/100,IF(E36&lt;=$L51,E62*$N54/100,IF(E36&lt;=$M51,E62*$O54/100,IF(E36&lt;=$N51,E62*$P54/100,IF(E36&lt;=$O51,E62*$Q54/100,IF(E36&lt;=$P51,E62*$R54/100,IF(E36&lt;=$Q51,E62*$S54/100,IF(E36&lt;=$R51,E62*$T54/100,IF(E36&lt;=$S51,E62*$U54/100,IF(E36&lt;=$T51,E62*$V54/100,IF(E36&lt;=$U51,E62*$W54/100,E62*$X54/100)))))))))))))))))))))</f>
        <v>#N/A</v>
      </c>
      <c r="F66" s="350" t="e">
        <f t="shared" ref="F66:AQ66" si="40">IF(F62="",NA(),IF(F36&lt;=$B51,F62*$D54/100,IF(F36&lt;=$C51,F62*$E54/100,IF(F36&lt;=$D51,F62*$F54/100,IF(F36&lt;=$E51,F62*$G54/100,IF(F36&lt;=$F51,F62*$H54/100,IF(F36&lt;=$G51,F62*$I54/100,IF(F36&lt;=$H51,F62*$J54/100,IF(F36&lt;=$I51,F62*$K54/100,IF(F36&lt;=$J51,F62*$L54/100,IF(F36&lt;=$K51,F62*$M54/100,IF(F36&lt;=$L51,F62*$N54/100,IF(F36&lt;=$M51,F62*$O54/100,IF(F36&lt;=$N51,F62*$P54/100,IF(F36&lt;=$O51,F62*$Q54/100,IF(F36&lt;=$P51,F62*$R54/100,IF(F36&lt;=$Q51,F62*$S54/100,IF(F36&lt;=$R51,F62*$T54/100,IF(F36&lt;=$S51,F62*$U54/100,IF(F36&lt;=$T51,F62*$V54/100,IF(F36&lt;=$U51,F62*$W54/100,F62*$X54/100)))))))))))))))))))))</f>
        <v>#N/A</v>
      </c>
      <c r="G66" s="350" t="e">
        <f t="shared" si="40"/>
        <v>#N/A</v>
      </c>
      <c r="H66" s="350" t="e">
        <f t="shared" si="40"/>
        <v>#N/A</v>
      </c>
      <c r="I66" s="350" t="e">
        <f t="shared" si="40"/>
        <v>#N/A</v>
      </c>
      <c r="J66" s="350" t="e">
        <f t="shared" si="40"/>
        <v>#N/A</v>
      </c>
      <c r="K66" s="350" t="e">
        <f t="shared" si="40"/>
        <v>#N/A</v>
      </c>
      <c r="L66" s="350" t="e">
        <f t="shared" si="40"/>
        <v>#N/A</v>
      </c>
      <c r="M66" s="350" t="e">
        <f t="shared" si="40"/>
        <v>#N/A</v>
      </c>
      <c r="N66" s="350" t="e">
        <f t="shared" si="40"/>
        <v>#N/A</v>
      </c>
      <c r="O66" s="350" t="e">
        <f t="shared" si="40"/>
        <v>#N/A</v>
      </c>
      <c r="P66" s="350" t="e">
        <f t="shared" si="40"/>
        <v>#N/A</v>
      </c>
      <c r="Q66" s="350" t="e">
        <f t="shared" si="40"/>
        <v>#N/A</v>
      </c>
      <c r="R66" s="350" t="e">
        <f t="shared" si="40"/>
        <v>#N/A</v>
      </c>
      <c r="S66" s="350" t="e">
        <f t="shared" si="40"/>
        <v>#N/A</v>
      </c>
      <c r="T66" s="350" t="e">
        <f t="shared" si="40"/>
        <v>#N/A</v>
      </c>
      <c r="U66" s="350" t="e">
        <f t="shared" si="40"/>
        <v>#N/A</v>
      </c>
      <c r="V66" s="350" t="e">
        <f t="shared" si="40"/>
        <v>#N/A</v>
      </c>
      <c r="W66" s="350" t="e">
        <f t="shared" si="40"/>
        <v>#N/A</v>
      </c>
      <c r="X66" s="350" t="e">
        <f t="shared" si="40"/>
        <v>#N/A</v>
      </c>
      <c r="Y66" s="350" t="e">
        <f t="shared" si="40"/>
        <v>#N/A</v>
      </c>
      <c r="Z66" s="350" t="e">
        <f t="shared" si="40"/>
        <v>#N/A</v>
      </c>
      <c r="AA66" s="350" t="e">
        <f t="shared" si="40"/>
        <v>#N/A</v>
      </c>
      <c r="AB66" s="350" t="e">
        <f t="shared" si="40"/>
        <v>#N/A</v>
      </c>
      <c r="AC66" s="350" t="e">
        <f t="shared" si="40"/>
        <v>#N/A</v>
      </c>
      <c r="AD66" s="350" t="e">
        <f t="shared" si="40"/>
        <v>#N/A</v>
      </c>
      <c r="AE66" s="350" t="e">
        <f t="shared" si="40"/>
        <v>#N/A</v>
      </c>
      <c r="AF66" s="350" t="e">
        <f t="shared" si="40"/>
        <v>#N/A</v>
      </c>
      <c r="AG66" s="350" t="e">
        <f t="shared" si="40"/>
        <v>#N/A</v>
      </c>
      <c r="AH66" s="350" t="e">
        <f t="shared" si="40"/>
        <v>#N/A</v>
      </c>
      <c r="AI66" s="350" t="e">
        <f t="shared" si="40"/>
        <v>#N/A</v>
      </c>
      <c r="AJ66" s="350" t="e">
        <f t="shared" si="40"/>
        <v>#N/A</v>
      </c>
      <c r="AK66" s="350" t="e">
        <f t="shared" si="40"/>
        <v>#N/A</v>
      </c>
      <c r="AL66" s="350" t="e">
        <f t="shared" si="40"/>
        <v>#N/A</v>
      </c>
      <c r="AM66" s="350" t="e">
        <f t="shared" si="40"/>
        <v>#N/A</v>
      </c>
      <c r="AN66" s="350" t="e">
        <f t="shared" si="40"/>
        <v>#N/A</v>
      </c>
      <c r="AO66" s="350" t="e">
        <f t="shared" si="40"/>
        <v>#N/A</v>
      </c>
      <c r="AP66" s="350" t="e">
        <f t="shared" si="40"/>
        <v>#N/A</v>
      </c>
      <c r="AQ66" s="350" t="e">
        <f t="shared" si="40"/>
        <v>#N/A</v>
      </c>
    </row>
    <row r="67" spans="1:44" s="315" customFormat="1" ht="15" hidden="1" thickBot="1">
      <c r="A67" s="542" t="s">
        <v>322</v>
      </c>
      <c r="B67" s="543"/>
      <c r="C67" s="544"/>
      <c r="E67" s="352" t="e">
        <f t="shared" ref="E67:AQ67" si="41">IF(E66="",NA(),ROUND(E64/E66*100,1))</f>
        <v>#N/A</v>
      </c>
      <c r="F67" s="352" t="e">
        <f t="shared" si="41"/>
        <v>#N/A</v>
      </c>
      <c r="G67" s="352" t="e">
        <f t="shared" si="41"/>
        <v>#N/A</v>
      </c>
      <c r="H67" s="352" t="e">
        <f t="shared" si="41"/>
        <v>#N/A</v>
      </c>
      <c r="I67" s="352" t="e">
        <f t="shared" si="41"/>
        <v>#N/A</v>
      </c>
      <c r="J67" s="352" t="e">
        <f t="shared" si="41"/>
        <v>#N/A</v>
      </c>
      <c r="K67" s="352" t="e">
        <f t="shared" si="41"/>
        <v>#N/A</v>
      </c>
      <c r="L67" s="352" t="e">
        <f t="shared" si="41"/>
        <v>#N/A</v>
      </c>
      <c r="M67" s="352" t="e">
        <f t="shared" si="41"/>
        <v>#N/A</v>
      </c>
      <c r="N67" s="352" t="e">
        <f t="shared" si="41"/>
        <v>#N/A</v>
      </c>
      <c r="O67" s="352" t="e">
        <f t="shared" si="41"/>
        <v>#N/A</v>
      </c>
      <c r="P67" s="352" t="e">
        <f t="shared" si="41"/>
        <v>#N/A</v>
      </c>
      <c r="Q67" s="352" t="e">
        <f t="shared" si="41"/>
        <v>#N/A</v>
      </c>
      <c r="R67" s="352" t="e">
        <f t="shared" si="41"/>
        <v>#N/A</v>
      </c>
      <c r="S67" s="352" t="e">
        <f t="shared" si="41"/>
        <v>#N/A</v>
      </c>
      <c r="T67" s="352" t="e">
        <f t="shared" si="41"/>
        <v>#N/A</v>
      </c>
      <c r="U67" s="352" t="e">
        <f t="shared" si="41"/>
        <v>#N/A</v>
      </c>
      <c r="V67" s="352" t="e">
        <f t="shared" si="41"/>
        <v>#N/A</v>
      </c>
      <c r="W67" s="352" t="e">
        <f t="shared" si="41"/>
        <v>#N/A</v>
      </c>
      <c r="X67" s="352" t="e">
        <f t="shared" si="41"/>
        <v>#N/A</v>
      </c>
      <c r="Y67" s="352" t="e">
        <f t="shared" si="41"/>
        <v>#N/A</v>
      </c>
      <c r="Z67" s="352" t="e">
        <f t="shared" si="41"/>
        <v>#N/A</v>
      </c>
      <c r="AA67" s="352" t="e">
        <f t="shared" si="41"/>
        <v>#N/A</v>
      </c>
      <c r="AB67" s="352" t="e">
        <f t="shared" si="41"/>
        <v>#N/A</v>
      </c>
      <c r="AC67" s="352" t="e">
        <f t="shared" si="41"/>
        <v>#N/A</v>
      </c>
      <c r="AD67" s="352" t="e">
        <f t="shared" si="41"/>
        <v>#N/A</v>
      </c>
      <c r="AE67" s="352" t="e">
        <f t="shared" si="41"/>
        <v>#N/A</v>
      </c>
      <c r="AF67" s="352" t="e">
        <f t="shared" si="41"/>
        <v>#N/A</v>
      </c>
      <c r="AG67" s="352" t="e">
        <f t="shared" si="41"/>
        <v>#N/A</v>
      </c>
      <c r="AH67" s="352" t="e">
        <f t="shared" si="41"/>
        <v>#N/A</v>
      </c>
      <c r="AI67" s="352" t="e">
        <f t="shared" si="41"/>
        <v>#N/A</v>
      </c>
      <c r="AJ67" s="352" t="e">
        <f t="shared" si="41"/>
        <v>#N/A</v>
      </c>
      <c r="AK67" s="352" t="e">
        <f t="shared" si="41"/>
        <v>#N/A</v>
      </c>
      <c r="AL67" s="352" t="e">
        <f t="shared" si="41"/>
        <v>#N/A</v>
      </c>
      <c r="AM67" s="352" t="e">
        <f t="shared" si="41"/>
        <v>#N/A</v>
      </c>
      <c r="AN67" s="352" t="e">
        <f t="shared" si="41"/>
        <v>#N/A</v>
      </c>
      <c r="AO67" s="352" t="e">
        <f t="shared" si="41"/>
        <v>#N/A</v>
      </c>
      <c r="AP67" s="352" t="e">
        <f t="shared" si="41"/>
        <v>#N/A</v>
      </c>
      <c r="AQ67" s="352" t="e">
        <f t="shared" si="41"/>
        <v>#N/A</v>
      </c>
      <c r="AR67" s="352"/>
    </row>
    <row r="68" spans="1:44" s="315" customFormat="1" ht="14.25"/>
    <row r="69" spans="1:44" s="315" customFormat="1" ht="21" customHeight="1" thickBot="1">
      <c r="A69" s="314" t="s">
        <v>410</v>
      </c>
    </row>
    <row r="70" spans="1:44" s="315" customFormat="1" ht="13.7" customHeight="1" thickBot="1">
      <c r="A70" s="614" t="s">
        <v>282</v>
      </c>
      <c r="B70" s="615"/>
      <c r="C70" s="615"/>
      <c r="D70" s="618"/>
      <c r="E70" s="618"/>
      <c r="F70" s="619"/>
      <c r="H70" s="316" t="s">
        <v>290</v>
      </c>
      <c r="I70" s="618"/>
      <c r="J70" s="619"/>
      <c r="L70" s="449" t="s">
        <v>293</v>
      </c>
      <c r="M70" s="450"/>
      <c r="N70" s="457"/>
      <c r="O70" s="457"/>
      <c r="P70" s="457"/>
      <c r="Q70" s="458"/>
      <c r="R70" s="458"/>
      <c r="S70" s="458"/>
      <c r="T70" s="458"/>
    </row>
    <row r="71" spans="1:44" s="315" customFormat="1" ht="12.95" customHeight="1" thickBot="1">
      <c r="L71" s="594"/>
      <c r="M71" s="595"/>
      <c r="N71" s="595"/>
      <c r="O71" s="595"/>
      <c r="P71" s="595"/>
      <c r="Q71" s="595"/>
      <c r="R71" s="595"/>
      <c r="S71" s="595"/>
      <c r="T71" s="596"/>
    </row>
    <row r="72" spans="1:44" s="315" customFormat="1" ht="14.25">
      <c r="A72" s="545" t="s">
        <v>61</v>
      </c>
      <c r="B72" s="617"/>
      <c r="C72" s="617"/>
      <c r="D72" s="366" t="s">
        <v>47</v>
      </c>
      <c r="E72" s="366" t="s">
        <v>13</v>
      </c>
      <c r="F72" s="366" t="s">
        <v>15</v>
      </c>
      <c r="G72" s="366" t="s">
        <v>48</v>
      </c>
      <c r="H72" s="366" t="s">
        <v>49</v>
      </c>
      <c r="I72" s="319" t="s">
        <v>52</v>
      </c>
      <c r="J72" s="320" t="s">
        <v>51</v>
      </c>
      <c r="K72" s="321"/>
      <c r="L72" s="597"/>
      <c r="M72" s="598"/>
      <c r="N72" s="598"/>
      <c r="O72" s="598"/>
      <c r="P72" s="598"/>
      <c r="Q72" s="598"/>
      <c r="R72" s="598"/>
      <c r="S72" s="598"/>
      <c r="T72" s="599"/>
      <c r="Z72" s="322"/>
      <c r="AA72" s="322"/>
    </row>
    <row r="73" spans="1:44" s="315" customFormat="1" ht="14.25">
      <c r="A73" s="547" t="s">
        <v>163</v>
      </c>
      <c r="B73" s="620"/>
      <c r="C73" s="620"/>
      <c r="D73" s="424" t="str">
        <f>IF(D74+D75=0,"",D74+D75)</f>
        <v/>
      </c>
      <c r="E73" s="424" t="str">
        <f>IF(E74+E75=0,"",E74+E75)</f>
        <v/>
      </c>
      <c r="F73" s="424" t="str">
        <f>IF(F74+F75=0,"",F74+F75)</f>
        <v/>
      </c>
      <c r="G73" s="424" t="str">
        <f>IF(G74+G75=0,"",G74+G75)</f>
        <v/>
      </c>
      <c r="H73" s="424" t="str">
        <f>IF(H74+H75=0,"",H74+H75)</f>
        <v/>
      </c>
      <c r="I73" s="323"/>
      <c r="J73" s="441" t="str">
        <f>IF(SUM(D73:I73)=0,"",SUM(D73:I73))</f>
        <v/>
      </c>
      <c r="K73" s="321"/>
      <c r="L73" s="597"/>
      <c r="M73" s="598"/>
      <c r="N73" s="598"/>
      <c r="O73" s="598"/>
      <c r="P73" s="598"/>
      <c r="Q73" s="598"/>
      <c r="R73" s="598"/>
      <c r="S73" s="598"/>
      <c r="T73" s="599"/>
      <c r="Z73" s="322"/>
      <c r="AA73" s="322"/>
    </row>
    <row r="74" spans="1:44" s="315" customFormat="1" ht="14.25">
      <c r="A74" s="547" t="s">
        <v>93</v>
      </c>
      <c r="B74" s="620"/>
      <c r="C74" s="620"/>
      <c r="D74" s="371"/>
      <c r="E74" s="371"/>
      <c r="F74" s="371"/>
      <c r="G74" s="371"/>
      <c r="H74" s="371"/>
      <c r="I74" s="323"/>
      <c r="J74" s="441" t="str">
        <f>IF(SUM(D74:I74)=0,"",SUM(D74:I74))</f>
        <v/>
      </c>
      <c r="K74" s="325"/>
      <c r="L74" s="597"/>
      <c r="M74" s="598"/>
      <c r="N74" s="598"/>
      <c r="O74" s="598"/>
      <c r="P74" s="598"/>
      <c r="Q74" s="598"/>
      <c r="R74" s="598"/>
      <c r="S74" s="598"/>
      <c r="T74" s="599"/>
      <c r="Y74" s="589"/>
      <c r="Z74" s="589"/>
      <c r="AA74" s="589"/>
    </row>
    <row r="75" spans="1:44" s="315" customFormat="1" ht="14.25">
      <c r="A75" s="547" t="s">
        <v>50</v>
      </c>
      <c r="B75" s="620"/>
      <c r="C75" s="620"/>
      <c r="D75" s="371"/>
      <c r="E75" s="371"/>
      <c r="F75" s="371"/>
      <c r="G75" s="371"/>
      <c r="H75" s="371"/>
      <c r="I75" s="323"/>
      <c r="J75" s="441" t="str">
        <f>IF(SUM(D75:I75)=0,"",SUM(D75:I75))</f>
        <v/>
      </c>
      <c r="K75" s="325"/>
      <c r="L75" s="597"/>
      <c r="M75" s="598"/>
      <c r="N75" s="598"/>
      <c r="O75" s="598"/>
      <c r="P75" s="598"/>
      <c r="Q75" s="598"/>
      <c r="R75" s="598"/>
      <c r="S75" s="598"/>
      <c r="T75" s="599"/>
      <c r="Y75" s="589"/>
      <c r="Z75" s="589"/>
      <c r="AA75" s="589"/>
    </row>
    <row r="76" spans="1:44" s="315" customFormat="1" ht="15" thickBot="1">
      <c r="A76" s="557" t="s">
        <v>162</v>
      </c>
      <c r="B76" s="621"/>
      <c r="C76" s="621"/>
      <c r="D76" s="372"/>
      <c r="E76" s="372"/>
      <c r="F76" s="372"/>
      <c r="G76" s="372"/>
      <c r="H76" s="372"/>
      <c r="I76" s="443" t="str">
        <f>IF(SUM(E79:AQ79)=0,"",SUM(E79:AQ79))</f>
        <v/>
      </c>
      <c r="J76" s="442" t="str">
        <f>IF(SUM(D76:I76)=0,"",SUM(D76:I76))</f>
        <v/>
      </c>
      <c r="K76" s="325"/>
      <c r="L76" s="600"/>
      <c r="M76" s="601"/>
      <c r="N76" s="601"/>
      <c r="O76" s="601"/>
      <c r="P76" s="601"/>
      <c r="Q76" s="601"/>
      <c r="R76" s="601"/>
      <c r="S76" s="601"/>
      <c r="T76" s="602"/>
      <c r="Y76" s="589"/>
      <c r="Z76" s="589"/>
      <c r="AA76" s="589"/>
    </row>
    <row r="77" spans="1:44" s="315" customFormat="1" ht="10.5" customHeight="1" thickBot="1"/>
    <row r="78" spans="1:44" s="315" customFormat="1" ht="14.25">
      <c r="A78" s="616" t="s">
        <v>16</v>
      </c>
      <c r="B78" s="617"/>
      <c r="C78" s="617"/>
      <c r="D78" s="366">
        <v>1</v>
      </c>
      <c r="E78" s="366">
        <v>2</v>
      </c>
      <c r="F78" s="366">
        <v>3</v>
      </c>
      <c r="G78" s="366">
        <v>4</v>
      </c>
      <c r="H78" s="366">
        <v>5</v>
      </c>
      <c r="I78" s="366">
        <v>6</v>
      </c>
      <c r="J78" s="366">
        <v>7</v>
      </c>
      <c r="K78" s="366">
        <v>8</v>
      </c>
      <c r="L78" s="366">
        <v>9</v>
      </c>
      <c r="M78" s="366">
        <v>10</v>
      </c>
      <c r="N78" s="366">
        <v>11</v>
      </c>
      <c r="O78" s="366">
        <v>12</v>
      </c>
      <c r="P78" s="366">
        <v>13</v>
      </c>
      <c r="Q78" s="366">
        <v>14</v>
      </c>
      <c r="R78" s="366">
        <v>15</v>
      </c>
      <c r="S78" s="366">
        <v>16</v>
      </c>
      <c r="T78" s="366">
        <v>17</v>
      </c>
      <c r="U78" s="366">
        <v>18</v>
      </c>
      <c r="V78" s="366">
        <v>19</v>
      </c>
      <c r="W78" s="366">
        <v>20</v>
      </c>
      <c r="X78" s="366">
        <v>21</v>
      </c>
      <c r="Y78" s="366">
        <v>22</v>
      </c>
      <c r="Z78" s="366">
        <v>23</v>
      </c>
      <c r="AA78" s="366">
        <v>24</v>
      </c>
      <c r="AB78" s="366">
        <v>25</v>
      </c>
      <c r="AC78" s="366">
        <v>26</v>
      </c>
      <c r="AD78" s="366">
        <v>27</v>
      </c>
      <c r="AE78" s="366">
        <v>28</v>
      </c>
      <c r="AF78" s="366">
        <v>29</v>
      </c>
      <c r="AG78" s="366">
        <v>30</v>
      </c>
      <c r="AH78" s="366">
        <v>31</v>
      </c>
      <c r="AI78" s="366">
        <v>32</v>
      </c>
      <c r="AJ78" s="366">
        <v>33</v>
      </c>
      <c r="AK78" s="366">
        <v>34</v>
      </c>
      <c r="AL78" s="366">
        <v>35</v>
      </c>
      <c r="AM78" s="366">
        <v>36</v>
      </c>
      <c r="AN78" s="366">
        <v>37</v>
      </c>
      <c r="AO78" s="366">
        <v>38</v>
      </c>
      <c r="AP78" s="366">
        <v>39</v>
      </c>
      <c r="AQ78" s="320">
        <v>40</v>
      </c>
    </row>
    <row r="79" spans="1:44" s="315" customFormat="1" ht="14.25">
      <c r="A79" s="547" t="s">
        <v>206</v>
      </c>
      <c r="B79" s="620"/>
      <c r="C79" s="620"/>
      <c r="D79" s="365"/>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6"/>
    </row>
    <row r="80" spans="1:44" s="315" customFormat="1" ht="14.25">
      <c r="A80" s="622" t="s">
        <v>1</v>
      </c>
      <c r="B80" s="623"/>
      <c r="C80" s="624" t="s">
        <v>63</v>
      </c>
      <c r="D80" s="327"/>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30"/>
      <c r="AR80" s="362"/>
    </row>
    <row r="81" spans="1:44" s="315" customFormat="1" ht="14.25">
      <c r="A81" s="622" t="s">
        <v>2</v>
      </c>
      <c r="B81" s="623"/>
      <c r="C81" s="624"/>
      <c r="D81" s="327"/>
      <c r="E81" s="328"/>
      <c r="F81" s="328"/>
      <c r="G81" s="367"/>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30"/>
      <c r="AR81" s="362"/>
    </row>
    <row r="82" spans="1:44" s="315" customFormat="1" ht="14.25">
      <c r="A82" s="547" t="s">
        <v>261</v>
      </c>
      <c r="B82" s="620"/>
      <c r="C82" s="620"/>
      <c r="D82" s="333"/>
      <c r="E82" s="334"/>
      <c r="F82" s="334"/>
      <c r="G82" s="328"/>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29"/>
      <c r="AM82" s="329"/>
      <c r="AN82" s="329"/>
      <c r="AO82" s="334"/>
      <c r="AP82" s="334"/>
      <c r="AQ82" s="335"/>
    </row>
    <row r="83" spans="1:44" s="315" customFormat="1" ht="14.25">
      <c r="A83" s="547" t="s">
        <v>297</v>
      </c>
      <c r="B83" s="620"/>
      <c r="C83" s="620"/>
      <c r="D83" s="373"/>
      <c r="E83" s="435" t="str">
        <f t="shared" ref="E83:AQ83" si="42">IFERROR(E106,"")</f>
        <v/>
      </c>
      <c r="F83" s="435" t="str">
        <f t="shared" si="42"/>
        <v/>
      </c>
      <c r="G83" s="435" t="str">
        <f t="shared" si="42"/>
        <v/>
      </c>
      <c r="H83" s="435" t="str">
        <f t="shared" si="42"/>
        <v/>
      </c>
      <c r="I83" s="435" t="str">
        <f t="shared" si="42"/>
        <v/>
      </c>
      <c r="J83" s="435" t="str">
        <f t="shared" si="42"/>
        <v/>
      </c>
      <c r="K83" s="435" t="str">
        <f t="shared" si="42"/>
        <v/>
      </c>
      <c r="L83" s="435" t="str">
        <f t="shared" si="42"/>
        <v/>
      </c>
      <c r="M83" s="435" t="str">
        <f t="shared" si="42"/>
        <v/>
      </c>
      <c r="N83" s="435" t="str">
        <f t="shared" si="42"/>
        <v/>
      </c>
      <c r="O83" s="435" t="str">
        <f t="shared" si="42"/>
        <v/>
      </c>
      <c r="P83" s="435" t="str">
        <f t="shared" si="42"/>
        <v/>
      </c>
      <c r="Q83" s="435" t="str">
        <f t="shared" si="42"/>
        <v/>
      </c>
      <c r="R83" s="435" t="str">
        <f t="shared" si="42"/>
        <v/>
      </c>
      <c r="S83" s="435" t="str">
        <f t="shared" si="42"/>
        <v/>
      </c>
      <c r="T83" s="435" t="str">
        <f t="shared" si="42"/>
        <v/>
      </c>
      <c r="U83" s="435" t="str">
        <f t="shared" si="42"/>
        <v/>
      </c>
      <c r="V83" s="435" t="str">
        <f t="shared" si="42"/>
        <v/>
      </c>
      <c r="W83" s="435" t="str">
        <f t="shared" si="42"/>
        <v/>
      </c>
      <c r="X83" s="435" t="str">
        <f t="shared" si="42"/>
        <v/>
      </c>
      <c r="Y83" s="435" t="str">
        <f t="shared" si="42"/>
        <v/>
      </c>
      <c r="Z83" s="435" t="str">
        <f t="shared" si="42"/>
        <v/>
      </c>
      <c r="AA83" s="435" t="str">
        <f t="shared" si="42"/>
        <v/>
      </c>
      <c r="AB83" s="435" t="str">
        <f t="shared" si="42"/>
        <v/>
      </c>
      <c r="AC83" s="435" t="str">
        <f t="shared" si="42"/>
        <v/>
      </c>
      <c r="AD83" s="435" t="str">
        <f t="shared" si="42"/>
        <v/>
      </c>
      <c r="AE83" s="435" t="str">
        <f t="shared" si="42"/>
        <v/>
      </c>
      <c r="AF83" s="435" t="str">
        <f t="shared" si="42"/>
        <v/>
      </c>
      <c r="AG83" s="435" t="str">
        <f t="shared" si="42"/>
        <v/>
      </c>
      <c r="AH83" s="435" t="str">
        <f t="shared" si="42"/>
        <v/>
      </c>
      <c r="AI83" s="435" t="str">
        <f t="shared" si="42"/>
        <v/>
      </c>
      <c r="AJ83" s="435" t="str">
        <f t="shared" si="42"/>
        <v/>
      </c>
      <c r="AK83" s="435" t="str">
        <f t="shared" si="42"/>
        <v/>
      </c>
      <c r="AL83" s="435" t="str">
        <f t="shared" si="42"/>
        <v/>
      </c>
      <c r="AM83" s="435" t="str">
        <f t="shared" si="42"/>
        <v/>
      </c>
      <c r="AN83" s="435" t="str">
        <f t="shared" si="42"/>
        <v/>
      </c>
      <c r="AO83" s="435" t="str">
        <f t="shared" si="42"/>
        <v/>
      </c>
      <c r="AP83" s="435" t="str">
        <f t="shared" si="42"/>
        <v/>
      </c>
      <c r="AQ83" s="436" t="str">
        <f t="shared" si="42"/>
        <v/>
      </c>
      <c r="AR83" s="362"/>
    </row>
    <row r="84" spans="1:44" s="315" customFormat="1" ht="14.25" customHeight="1">
      <c r="A84" s="547" t="s">
        <v>296</v>
      </c>
      <c r="B84" s="620"/>
      <c r="C84" s="620"/>
      <c r="D84" s="373"/>
      <c r="E84" s="425" t="str">
        <f t="shared" ref="E84:AQ84" si="43">IFERROR(E107,"")</f>
        <v/>
      </c>
      <c r="F84" s="425" t="str">
        <f t="shared" si="43"/>
        <v/>
      </c>
      <c r="G84" s="425" t="str">
        <f t="shared" si="43"/>
        <v/>
      </c>
      <c r="H84" s="425" t="str">
        <f t="shared" si="43"/>
        <v/>
      </c>
      <c r="I84" s="425" t="str">
        <f t="shared" si="43"/>
        <v/>
      </c>
      <c r="J84" s="425" t="str">
        <f t="shared" si="43"/>
        <v/>
      </c>
      <c r="K84" s="425" t="str">
        <f t="shared" si="43"/>
        <v/>
      </c>
      <c r="L84" s="425" t="str">
        <f t="shared" si="43"/>
        <v/>
      </c>
      <c r="M84" s="425" t="str">
        <f t="shared" si="43"/>
        <v/>
      </c>
      <c r="N84" s="425" t="str">
        <f t="shared" si="43"/>
        <v/>
      </c>
      <c r="O84" s="425" t="str">
        <f t="shared" si="43"/>
        <v/>
      </c>
      <c r="P84" s="425" t="str">
        <f t="shared" si="43"/>
        <v/>
      </c>
      <c r="Q84" s="425" t="str">
        <f t="shared" si="43"/>
        <v/>
      </c>
      <c r="R84" s="425" t="str">
        <f t="shared" si="43"/>
        <v/>
      </c>
      <c r="S84" s="425" t="str">
        <f t="shared" si="43"/>
        <v/>
      </c>
      <c r="T84" s="425" t="str">
        <f t="shared" si="43"/>
        <v/>
      </c>
      <c r="U84" s="425" t="str">
        <f t="shared" si="43"/>
        <v/>
      </c>
      <c r="V84" s="425" t="str">
        <f t="shared" si="43"/>
        <v/>
      </c>
      <c r="W84" s="425" t="str">
        <f t="shared" si="43"/>
        <v/>
      </c>
      <c r="X84" s="425" t="str">
        <f t="shared" si="43"/>
        <v/>
      </c>
      <c r="Y84" s="425" t="str">
        <f t="shared" si="43"/>
        <v/>
      </c>
      <c r="Z84" s="425" t="str">
        <f t="shared" si="43"/>
        <v/>
      </c>
      <c r="AA84" s="425" t="str">
        <f t="shared" si="43"/>
        <v/>
      </c>
      <c r="AB84" s="425" t="str">
        <f t="shared" si="43"/>
        <v/>
      </c>
      <c r="AC84" s="425" t="str">
        <f t="shared" si="43"/>
        <v/>
      </c>
      <c r="AD84" s="425" t="str">
        <f t="shared" si="43"/>
        <v/>
      </c>
      <c r="AE84" s="425" t="str">
        <f t="shared" si="43"/>
        <v/>
      </c>
      <c r="AF84" s="425" t="str">
        <f t="shared" si="43"/>
        <v/>
      </c>
      <c r="AG84" s="425" t="str">
        <f t="shared" si="43"/>
        <v/>
      </c>
      <c r="AH84" s="425" t="str">
        <f t="shared" si="43"/>
        <v/>
      </c>
      <c r="AI84" s="425" t="str">
        <f t="shared" si="43"/>
        <v/>
      </c>
      <c r="AJ84" s="425" t="str">
        <f t="shared" si="43"/>
        <v/>
      </c>
      <c r="AK84" s="425" t="str">
        <f t="shared" si="43"/>
        <v/>
      </c>
      <c r="AL84" s="425" t="str">
        <f t="shared" si="43"/>
        <v/>
      </c>
      <c r="AM84" s="425" t="str">
        <f t="shared" si="43"/>
        <v/>
      </c>
      <c r="AN84" s="425" t="str">
        <f t="shared" si="43"/>
        <v/>
      </c>
      <c r="AO84" s="425" t="str">
        <f t="shared" si="43"/>
        <v/>
      </c>
      <c r="AP84" s="425" t="str">
        <f t="shared" si="43"/>
        <v/>
      </c>
      <c r="AQ84" s="426" t="str">
        <f t="shared" si="43"/>
        <v/>
      </c>
      <c r="AR84" s="362"/>
    </row>
    <row r="85" spans="1:44" s="315" customFormat="1" ht="14.25">
      <c r="A85" s="547" t="s">
        <v>406</v>
      </c>
      <c r="B85" s="620"/>
      <c r="C85" s="620"/>
      <c r="D85" s="373"/>
      <c r="E85" s="435" t="str">
        <f t="shared" ref="E85:AQ85" si="44">IFERROR(E108,"")</f>
        <v/>
      </c>
      <c r="F85" s="435" t="str">
        <f t="shared" si="44"/>
        <v/>
      </c>
      <c r="G85" s="435" t="str">
        <f t="shared" si="44"/>
        <v/>
      </c>
      <c r="H85" s="435" t="str">
        <f t="shared" si="44"/>
        <v/>
      </c>
      <c r="I85" s="435" t="str">
        <f t="shared" si="44"/>
        <v/>
      </c>
      <c r="J85" s="435" t="str">
        <f t="shared" si="44"/>
        <v/>
      </c>
      <c r="K85" s="435" t="str">
        <f t="shared" si="44"/>
        <v/>
      </c>
      <c r="L85" s="435" t="str">
        <f t="shared" si="44"/>
        <v/>
      </c>
      <c r="M85" s="435" t="str">
        <f t="shared" si="44"/>
        <v/>
      </c>
      <c r="N85" s="435" t="str">
        <f t="shared" si="44"/>
        <v/>
      </c>
      <c r="O85" s="435" t="str">
        <f t="shared" si="44"/>
        <v/>
      </c>
      <c r="P85" s="435" t="str">
        <f t="shared" si="44"/>
        <v/>
      </c>
      <c r="Q85" s="435" t="str">
        <f t="shared" si="44"/>
        <v/>
      </c>
      <c r="R85" s="435" t="str">
        <f t="shared" si="44"/>
        <v/>
      </c>
      <c r="S85" s="435" t="str">
        <f t="shared" si="44"/>
        <v/>
      </c>
      <c r="T85" s="435" t="str">
        <f t="shared" si="44"/>
        <v/>
      </c>
      <c r="U85" s="435" t="str">
        <f t="shared" si="44"/>
        <v/>
      </c>
      <c r="V85" s="435" t="str">
        <f t="shared" si="44"/>
        <v/>
      </c>
      <c r="W85" s="435" t="str">
        <f t="shared" si="44"/>
        <v/>
      </c>
      <c r="X85" s="435" t="str">
        <f t="shared" si="44"/>
        <v/>
      </c>
      <c r="Y85" s="435" t="str">
        <f t="shared" si="44"/>
        <v/>
      </c>
      <c r="Z85" s="435" t="str">
        <f t="shared" si="44"/>
        <v/>
      </c>
      <c r="AA85" s="435" t="str">
        <f t="shared" si="44"/>
        <v/>
      </c>
      <c r="AB85" s="435" t="str">
        <f t="shared" si="44"/>
        <v/>
      </c>
      <c r="AC85" s="435" t="str">
        <f t="shared" si="44"/>
        <v/>
      </c>
      <c r="AD85" s="435" t="str">
        <f t="shared" si="44"/>
        <v/>
      </c>
      <c r="AE85" s="435" t="str">
        <f t="shared" si="44"/>
        <v/>
      </c>
      <c r="AF85" s="435" t="str">
        <f t="shared" si="44"/>
        <v/>
      </c>
      <c r="AG85" s="435" t="str">
        <f t="shared" si="44"/>
        <v/>
      </c>
      <c r="AH85" s="435" t="str">
        <f t="shared" si="44"/>
        <v/>
      </c>
      <c r="AI85" s="435" t="str">
        <f t="shared" si="44"/>
        <v/>
      </c>
      <c r="AJ85" s="435" t="str">
        <f t="shared" si="44"/>
        <v/>
      </c>
      <c r="AK85" s="435" t="str">
        <f t="shared" si="44"/>
        <v/>
      </c>
      <c r="AL85" s="435" t="str">
        <f t="shared" si="44"/>
        <v/>
      </c>
      <c r="AM85" s="435" t="str">
        <f t="shared" si="44"/>
        <v/>
      </c>
      <c r="AN85" s="435" t="str">
        <f t="shared" si="44"/>
        <v/>
      </c>
      <c r="AO85" s="435" t="str">
        <f t="shared" si="44"/>
        <v/>
      </c>
      <c r="AP85" s="435" t="str">
        <f t="shared" si="44"/>
        <v/>
      </c>
      <c r="AQ85" s="436" t="str">
        <f t="shared" si="44"/>
        <v/>
      </c>
      <c r="AR85" s="362"/>
    </row>
    <row r="86" spans="1:44" s="315" customFormat="1" ht="14.25">
      <c r="A86" s="625" t="s">
        <v>446</v>
      </c>
      <c r="B86" s="626"/>
      <c r="C86" s="626"/>
      <c r="D86" s="377"/>
      <c r="E86" s="435" t="str">
        <f>IFERROR(E109,"")</f>
        <v/>
      </c>
      <c r="F86" s="435" t="str">
        <f t="shared" ref="F86:AQ86" si="45">IFERROR(F109,"")</f>
        <v/>
      </c>
      <c r="G86" s="435" t="str">
        <f t="shared" si="45"/>
        <v/>
      </c>
      <c r="H86" s="435" t="str">
        <f t="shared" si="45"/>
        <v/>
      </c>
      <c r="I86" s="435" t="str">
        <f t="shared" si="45"/>
        <v/>
      </c>
      <c r="J86" s="435" t="str">
        <f t="shared" si="45"/>
        <v/>
      </c>
      <c r="K86" s="435" t="str">
        <f t="shared" si="45"/>
        <v/>
      </c>
      <c r="L86" s="435" t="str">
        <f t="shared" si="45"/>
        <v/>
      </c>
      <c r="M86" s="435" t="str">
        <f t="shared" si="45"/>
        <v/>
      </c>
      <c r="N86" s="435" t="str">
        <f t="shared" si="45"/>
        <v/>
      </c>
      <c r="O86" s="435" t="str">
        <f t="shared" si="45"/>
        <v/>
      </c>
      <c r="P86" s="435" t="str">
        <f t="shared" si="45"/>
        <v/>
      </c>
      <c r="Q86" s="435" t="str">
        <f t="shared" si="45"/>
        <v/>
      </c>
      <c r="R86" s="435" t="str">
        <f t="shared" si="45"/>
        <v/>
      </c>
      <c r="S86" s="435" t="str">
        <f t="shared" si="45"/>
        <v/>
      </c>
      <c r="T86" s="435" t="str">
        <f t="shared" si="45"/>
        <v/>
      </c>
      <c r="U86" s="435" t="str">
        <f t="shared" si="45"/>
        <v/>
      </c>
      <c r="V86" s="435" t="str">
        <f t="shared" si="45"/>
        <v/>
      </c>
      <c r="W86" s="435" t="str">
        <f t="shared" si="45"/>
        <v/>
      </c>
      <c r="X86" s="435" t="str">
        <f t="shared" si="45"/>
        <v/>
      </c>
      <c r="Y86" s="435" t="str">
        <f t="shared" si="45"/>
        <v/>
      </c>
      <c r="Z86" s="435" t="str">
        <f t="shared" si="45"/>
        <v/>
      </c>
      <c r="AA86" s="435" t="str">
        <f t="shared" si="45"/>
        <v/>
      </c>
      <c r="AB86" s="435" t="str">
        <f t="shared" si="45"/>
        <v/>
      </c>
      <c r="AC86" s="435" t="str">
        <f t="shared" si="45"/>
        <v/>
      </c>
      <c r="AD86" s="435" t="str">
        <f t="shared" si="45"/>
        <v/>
      </c>
      <c r="AE86" s="435" t="str">
        <f t="shared" si="45"/>
        <v/>
      </c>
      <c r="AF86" s="435" t="str">
        <f t="shared" si="45"/>
        <v/>
      </c>
      <c r="AG86" s="435" t="str">
        <f t="shared" si="45"/>
        <v/>
      </c>
      <c r="AH86" s="435" t="str">
        <f t="shared" si="45"/>
        <v/>
      </c>
      <c r="AI86" s="435" t="str">
        <f t="shared" si="45"/>
        <v/>
      </c>
      <c r="AJ86" s="435" t="str">
        <f t="shared" si="45"/>
        <v/>
      </c>
      <c r="AK86" s="435" t="str">
        <f t="shared" si="45"/>
        <v/>
      </c>
      <c r="AL86" s="435" t="str">
        <f t="shared" si="45"/>
        <v/>
      </c>
      <c r="AM86" s="435" t="str">
        <f t="shared" si="45"/>
        <v/>
      </c>
      <c r="AN86" s="435" t="str">
        <f t="shared" si="45"/>
        <v/>
      </c>
      <c r="AO86" s="435" t="str">
        <f t="shared" si="45"/>
        <v/>
      </c>
      <c r="AP86" s="435" t="str">
        <f t="shared" si="45"/>
        <v/>
      </c>
      <c r="AQ86" s="436" t="str">
        <f t="shared" si="45"/>
        <v/>
      </c>
      <c r="AR86" s="362"/>
    </row>
    <row r="87" spans="1:44" s="315" customFormat="1" ht="14.25" hidden="1">
      <c r="A87" s="547" t="s">
        <v>336</v>
      </c>
      <c r="B87" s="620"/>
      <c r="C87" s="620"/>
      <c r="D87" s="378"/>
      <c r="E87" s="379">
        <f t="shared" ref="E87:AQ87" si="46">IF(E79="",0,E79)</f>
        <v>0</v>
      </c>
      <c r="F87" s="379">
        <f t="shared" si="46"/>
        <v>0</v>
      </c>
      <c r="G87" s="379">
        <f t="shared" si="46"/>
        <v>0</v>
      </c>
      <c r="H87" s="379">
        <f t="shared" si="46"/>
        <v>0</v>
      </c>
      <c r="I87" s="379">
        <f t="shared" si="46"/>
        <v>0</v>
      </c>
      <c r="J87" s="379">
        <f t="shared" si="46"/>
        <v>0</v>
      </c>
      <c r="K87" s="379">
        <f t="shared" si="46"/>
        <v>0</v>
      </c>
      <c r="L87" s="379">
        <f t="shared" si="46"/>
        <v>0</v>
      </c>
      <c r="M87" s="379">
        <f t="shared" si="46"/>
        <v>0</v>
      </c>
      <c r="N87" s="379">
        <f t="shared" si="46"/>
        <v>0</v>
      </c>
      <c r="O87" s="379">
        <f t="shared" si="46"/>
        <v>0</v>
      </c>
      <c r="P87" s="379">
        <f t="shared" si="46"/>
        <v>0</v>
      </c>
      <c r="Q87" s="379">
        <f t="shared" si="46"/>
        <v>0</v>
      </c>
      <c r="R87" s="379">
        <f t="shared" si="46"/>
        <v>0</v>
      </c>
      <c r="S87" s="379">
        <f t="shared" si="46"/>
        <v>0</v>
      </c>
      <c r="T87" s="379">
        <f t="shared" si="46"/>
        <v>0</v>
      </c>
      <c r="U87" s="379">
        <f t="shared" si="46"/>
        <v>0</v>
      </c>
      <c r="V87" s="379">
        <f t="shared" si="46"/>
        <v>0</v>
      </c>
      <c r="W87" s="379">
        <f t="shared" si="46"/>
        <v>0</v>
      </c>
      <c r="X87" s="379">
        <f t="shared" si="46"/>
        <v>0</v>
      </c>
      <c r="Y87" s="379">
        <f t="shared" si="46"/>
        <v>0</v>
      </c>
      <c r="Z87" s="379">
        <f t="shared" si="46"/>
        <v>0</v>
      </c>
      <c r="AA87" s="379">
        <f t="shared" si="46"/>
        <v>0</v>
      </c>
      <c r="AB87" s="379">
        <f t="shared" si="46"/>
        <v>0</v>
      </c>
      <c r="AC87" s="379">
        <f t="shared" si="46"/>
        <v>0</v>
      </c>
      <c r="AD87" s="379">
        <f t="shared" si="46"/>
        <v>0</v>
      </c>
      <c r="AE87" s="379">
        <f t="shared" si="46"/>
        <v>0</v>
      </c>
      <c r="AF87" s="379">
        <f t="shared" si="46"/>
        <v>0</v>
      </c>
      <c r="AG87" s="379">
        <f t="shared" si="46"/>
        <v>0</v>
      </c>
      <c r="AH87" s="379">
        <f t="shared" si="46"/>
        <v>0</v>
      </c>
      <c r="AI87" s="379">
        <f t="shared" si="46"/>
        <v>0</v>
      </c>
      <c r="AJ87" s="379">
        <f t="shared" si="46"/>
        <v>0</v>
      </c>
      <c r="AK87" s="379">
        <f t="shared" si="46"/>
        <v>0</v>
      </c>
      <c r="AL87" s="379">
        <f t="shared" si="46"/>
        <v>0</v>
      </c>
      <c r="AM87" s="379">
        <f t="shared" si="46"/>
        <v>0</v>
      </c>
      <c r="AN87" s="379">
        <f t="shared" si="46"/>
        <v>0</v>
      </c>
      <c r="AO87" s="379">
        <f t="shared" si="46"/>
        <v>0</v>
      </c>
      <c r="AP87" s="379">
        <f t="shared" si="46"/>
        <v>0</v>
      </c>
      <c r="AQ87" s="380">
        <f t="shared" si="46"/>
        <v>0</v>
      </c>
      <c r="AR87" s="86"/>
    </row>
    <row r="88" spans="1:44" s="315" customFormat="1" ht="14.25" hidden="1">
      <c r="A88" s="565" t="s">
        <v>328</v>
      </c>
      <c r="B88" s="566"/>
      <c r="C88" s="567"/>
      <c r="D88" s="381">
        <f>SUM(D76:G76)</f>
        <v>0</v>
      </c>
      <c r="E88" s="382">
        <f t="shared" ref="E88:AQ88" si="47">D88+D87</f>
        <v>0</v>
      </c>
      <c r="F88" s="382">
        <f t="shared" si="47"/>
        <v>0</v>
      </c>
      <c r="G88" s="382">
        <f t="shared" si="47"/>
        <v>0</v>
      </c>
      <c r="H88" s="382">
        <f t="shared" si="47"/>
        <v>0</v>
      </c>
      <c r="I88" s="382">
        <f t="shared" si="47"/>
        <v>0</v>
      </c>
      <c r="J88" s="382">
        <f>I88+I87</f>
        <v>0</v>
      </c>
      <c r="K88" s="382">
        <f t="shared" si="47"/>
        <v>0</v>
      </c>
      <c r="L88" s="382">
        <f t="shared" si="47"/>
        <v>0</v>
      </c>
      <c r="M88" s="382">
        <f t="shared" si="47"/>
        <v>0</v>
      </c>
      <c r="N88" s="382">
        <f t="shared" si="47"/>
        <v>0</v>
      </c>
      <c r="O88" s="382">
        <f t="shared" si="47"/>
        <v>0</v>
      </c>
      <c r="P88" s="382">
        <f t="shared" si="47"/>
        <v>0</v>
      </c>
      <c r="Q88" s="382">
        <f t="shared" si="47"/>
        <v>0</v>
      </c>
      <c r="R88" s="382">
        <f t="shared" si="47"/>
        <v>0</v>
      </c>
      <c r="S88" s="382">
        <f t="shared" si="47"/>
        <v>0</v>
      </c>
      <c r="T88" s="382">
        <f t="shared" si="47"/>
        <v>0</v>
      </c>
      <c r="U88" s="382">
        <f t="shared" si="47"/>
        <v>0</v>
      </c>
      <c r="V88" s="382">
        <f t="shared" si="47"/>
        <v>0</v>
      </c>
      <c r="W88" s="382">
        <f t="shared" si="47"/>
        <v>0</v>
      </c>
      <c r="X88" s="382">
        <f t="shared" si="47"/>
        <v>0</v>
      </c>
      <c r="Y88" s="382">
        <f t="shared" si="47"/>
        <v>0</v>
      </c>
      <c r="Z88" s="382">
        <f t="shared" si="47"/>
        <v>0</v>
      </c>
      <c r="AA88" s="382">
        <f t="shared" si="47"/>
        <v>0</v>
      </c>
      <c r="AB88" s="382">
        <f t="shared" si="47"/>
        <v>0</v>
      </c>
      <c r="AC88" s="382">
        <f t="shared" si="47"/>
        <v>0</v>
      </c>
      <c r="AD88" s="382">
        <f t="shared" si="47"/>
        <v>0</v>
      </c>
      <c r="AE88" s="382">
        <f t="shared" si="47"/>
        <v>0</v>
      </c>
      <c r="AF88" s="382">
        <f t="shared" si="47"/>
        <v>0</v>
      </c>
      <c r="AG88" s="382">
        <f t="shared" si="47"/>
        <v>0</v>
      </c>
      <c r="AH88" s="382">
        <f t="shared" si="47"/>
        <v>0</v>
      </c>
      <c r="AI88" s="382">
        <f t="shared" si="47"/>
        <v>0</v>
      </c>
      <c r="AJ88" s="382">
        <f t="shared" si="47"/>
        <v>0</v>
      </c>
      <c r="AK88" s="382">
        <f t="shared" si="47"/>
        <v>0</v>
      </c>
      <c r="AL88" s="382">
        <f t="shared" si="47"/>
        <v>0</v>
      </c>
      <c r="AM88" s="382">
        <f t="shared" si="47"/>
        <v>0</v>
      </c>
      <c r="AN88" s="382">
        <f t="shared" si="47"/>
        <v>0</v>
      </c>
      <c r="AO88" s="382">
        <f t="shared" si="47"/>
        <v>0</v>
      </c>
      <c r="AP88" s="382">
        <f t="shared" si="47"/>
        <v>0</v>
      </c>
      <c r="AQ88" s="383">
        <f t="shared" si="47"/>
        <v>0</v>
      </c>
      <c r="AR88"/>
    </row>
    <row r="89" spans="1:44" s="315" customFormat="1" ht="14.25" hidden="1">
      <c r="A89" s="565" t="s">
        <v>329</v>
      </c>
      <c r="B89" s="566"/>
      <c r="C89" s="567"/>
      <c r="D89" s="384" t="e">
        <f t="shared" ref="D89:AQ89" si="48">(D88)/SUM($D73:$G73)*100</f>
        <v>#DIV/0!</v>
      </c>
      <c r="E89" s="384" t="e">
        <f t="shared" si="48"/>
        <v>#DIV/0!</v>
      </c>
      <c r="F89" s="384" t="e">
        <f t="shared" si="48"/>
        <v>#DIV/0!</v>
      </c>
      <c r="G89" s="384" t="e">
        <f t="shared" si="48"/>
        <v>#DIV/0!</v>
      </c>
      <c r="H89" s="384" t="e">
        <f t="shared" si="48"/>
        <v>#DIV/0!</v>
      </c>
      <c r="I89" s="384" t="e">
        <f t="shared" si="48"/>
        <v>#DIV/0!</v>
      </c>
      <c r="J89" s="384" t="e">
        <f t="shared" si="48"/>
        <v>#DIV/0!</v>
      </c>
      <c r="K89" s="384" t="e">
        <f t="shared" si="48"/>
        <v>#DIV/0!</v>
      </c>
      <c r="L89" s="384" t="e">
        <f t="shared" si="48"/>
        <v>#DIV/0!</v>
      </c>
      <c r="M89" s="384" t="e">
        <f t="shared" si="48"/>
        <v>#DIV/0!</v>
      </c>
      <c r="N89" s="384" t="e">
        <f t="shared" si="48"/>
        <v>#DIV/0!</v>
      </c>
      <c r="O89" s="384" t="e">
        <f t="shared" si="48"/>
        <v>#DIV/0!</v>
      </c>
      <c r="P89" s="384" t="e">
        <f t="shared" si="48"/>
        <v>#DIV/0!</v>
      </c>
      <c r="Q89" s="384" t="e">
        <f t="shared" si="48"/>
        <v>#DIV/0!</v>
      </c>
      <c r="R89" s="384" t="e">
        <f t="shared" si="48"/>
        <v>#DIV/0!</v>
      </c>
      <c r="S89" s="384" t="e">
        <f t="shared" si="48"/>
        <v>#DIV/0!</v>
      </c>
      <c r="T89" s="384" t="e">
        <f t="shared" si="48"/>
        <v>#DIV/0!</v>
      </c>
      <c r="U89" s="384" t="e">
        <f t="shared" si="48"/>
        <v>#DIV/0!</v>
      </c>
      <c r="V89" s="384" t="e">
        <f t="shared" si="48"/>
        <v>#DIV/0!</v>
      </c>
      <c r="W89" s="384" t="e">
        <f t="shared" si="48"/>
        <v>#DIV/0!</v>
      </c>
      <c r="X89" s="384" t="e">
        <f t="shared" si="48"/>
        <v>#DIV/0!</v>
      </c>
      <c r="Y89" s="384" t="e">
        <f t="shared" si="48"/>
        <v>#DIV/0!</v>
      </c>
      <c r="Z89" s="384" t="e">
        <f t="shared" si="48"/>
        <v>#DIV/0!</v>
      </c>
      <c r="AA89" s="384" t="e">
        <f t="shared" si="48"/>
        <v>#DIV/0!</v>
      </c>
      <c r="AB89" s="384" t="e">
        <f t="shared" si="48"/>
        <v>#DIV/0!</v>
      </c>
      <c r="AC89" s="384" t="e">
        <f t="shared" si="48"/>
        <v>#DIV/0!</v>
      </c>
      <c r="AD89" s="384" t="e">
        <f t="shared" si="48"/>
        <v>#DIV/0!</v>
      </c>
      <c r="AE89" s="384" t="e">
        <f t="shared" si="48"/>
        <v>#DIV/0!</v>
      </c>
      <c r="AF89" s="384" t="e">
        <f t="shared" si="48"/>
        <v>#DIV/0!</v>
      </c>
      <c r="AG89" s="384" t="e">
        <f t="shared" si="48"/>
        <v>#DIV/0!</v>
      </c>
      <c r="AH89" s="384" t="e">
        <f t="shared" si="48"/>
        <v>#DIV/0!</v>
      </c>
      <c r="AI89" s="384" t="e">
        <f t="shared" si="48"/>
        <v>#DIV/0!</v>
      </c>
      <c r="AJ89" s="384" t="e">
        <f t="shared" si="48"/>
        <v>#DIV/0!</v>
      </c>
      <c r="AK89" s="384" t="e">
        <f t="shared" si="48"/>
        <v>#DIV/0!</v>
      </c>
      <c r="AL89" s="384" t="e">
        <f t="shared" si="48"/>
        <v>#DIV/0!</v>
      </c>
      <c r="AM89" s="384" t="e">
        <f t="shared" si="48"/>
        <v>#DIV/0!</v>
      </c>
      <c r="AN89" s="384" t="e">
        <f t="shared" si="48"/>
        <v>#DIV/0!</v>
      </c>
      <c r="AO89" s="384" t="e">
        <f t="shared" si="48"/>
        <v>#DIV/0!</v>
      </c>
      <c r="AP89" s="384" t="e">
        <f t="shared" si="48"/>
        <v>#DIV/0!</v>
      </c>
      <c r="AQ89" s="385" t="e">
        <f t="shared" si="48"/>
        <v>#DIV/0!</v>
      </c>
      <c r="AR89"/>
    </row>
    <row r="90" spans="1:44" s="315" customFormat="1" ht="15" thickBot="1">
      <c r="A90" s="562" t="s">
        <v>329</v>
      </c>
      <c r="B90" s="563"/>
      <c r="C90" s="564"/>
      <c r="D90" s="433" t="str">
        <f t="shared" ref="D90:AQ90" si="49">IFERROR(D89,"")</f>
        <v/>
      </c>
      <c r="E90" s="437" t="str">
        <f t="shared" si="49"/>
        <v/>
      </c>
      <c r="F90" s="437" t="str">
        <f t="shared" si="49"/>
        <v/>
      </c>
      <c r="G90" s="437" t="str">
        <f t="shared" si="49"/>
        <v/>
      </c>
      <c r="H90" s="437" t="str">
        <f t="shared" si="49"/>
        <v/>
      </c>
      <c r="I90" s="437" t="str">
        <f t="shared" si="49"/>
        <v/>
      </c>
      <c r="J90" s="437" t="str">
        <f t="shared" si="49"/>
        <v/>
      </c>
      <c r="K90" s="437" t="str">
        <f t="shared" si="49"/>
        <v/>
      </c>
      <c r="L90" s="437" t="str">
        <f t="shared" si="49"/>
        <v/>
      </c>
      <c r="M90" s="437" t="str">
        <f t="shared" si="49"/>
        <v/>
      </c>
      <c r="N90" s="437" t="str">
        <f t="shared" si="49"/>
        <v/>
      </c>
      <c r="O90" s="437" t="str">
        <f t="shared" si="49"/>
        <v/>
      </c>
      <c r="P90" s="437" t="str">
        <f t="shared" si="49"/>
        <v/>
      </c>
      <c r="Q90" s="437" t="str">
        <f t="shared" si="49"/>
        <v/>
      </c>
      <c r="R90" s="437" t="str">
        <f t="shared" si="49"/>
        <v/>
      </c>
      <c r="S90" s="437" t="str">
        <f t="shared" si="49"/>
        <v/>
      </c>
      <c r="T90" s="437" t="str">
        <f t="shared" si="49"/>
        <v/>
      </c>
      <c r="U90" s="437" t="str">
        <f t="shared" si="49"/>
        <v/>
      </c>
      <c r="V90" s="437" t="str">
        <f t="shared" si="49"/>
        <v/>
      </c>
      <c r="W90" s="437" t="str">
        <f t="shared" si="49"/>
        <v/>
      </c>
      <c r="X90" s="437" t="str">
        <f t="shared" si="49"/>
        <v/>
      </c>
      <c r="Y90" s="437" t="str">
        <f t="shared" si="49"/>
        <v/>
      </c>
      <c r="Z90" s="437" t="str">
        <f t="shared" si="49"/>
        <v/>
      </c>
      <c r="AA90" s="437" t="str">
        <f t="shared" si="49"/>
        <v/>
      </c>
      <c r="AB90" s="437" t="str">
        <f t="shared" si="49"/>
        <v/>
      </c>
      <c r="AC90" s="437" t="str">
        <f t="shared" si="49"/>
        <v/>
      </c>
      <c r="AD90" s="437" t="str">
        <f t="shared" si="49"/>
        <v/>
      </c>
      <c r="AE90" s="437" t="str">
        <f t="shared" si="49"/>
        <v/>
      </c>
      <c r="AF90" s="437" t="str">
        <f t="shared" si="49"/>
        <v/>
      </c>
      <c r="AG90" s="437" t="str">
        <f t="shared" si="49"/>
        <v/>
      </c>
      <c r="AH90" s="437" t="str">
        <f t="shared" si="49"/>
        <v/>
      </c>
      <c r="AI90" s="437" t="str">
        <f t="shared" si="49"/>
        <v/>
      </c>
      <c r="AJ90" s="437" t="str">
        <f t="shared" si="49"/>
        <v/>
      </c>
      <c r="AK90" s="437" t="str">
        <f t="shared" si="49"/>
        <v/>
      </c>
      <c r="AL90" s="437" t="str">
        <f t="shared" si="49"/>
        <v/>
      </c>
      <c r="AM90" s="437" t="str">
        <f t="shared" si="49"/>
        <v/>
      </c>
      <c r="AN90" s="437" t="str">
        <f t="shared" si="49"/>
        <v/>
      </c>
      <c r="AO90" s="437" t="str">
        <f t="shared" si="49"/>
        <v/>
      </c>
      <c r="AP90" s="437" t="str">
        <f t="shared" si="49"/>
        <v/>
      </c>
      <c r="AQ90" s="438" t="str">
        <f t="shared" si="49"/>
        <v/>
      </c>
      <c r="AR90" s="86"/>
    </row>
    <row r="92" spans="1:44" s="315" customFormat="1" ht="14.25" hidden="1">
      <c r="A92" s="336"/>
      <c r="B92" s="336" t="s">
        <v>172</v>
      </c>
      <c r="C92" s="336" t="s">
        <v>173</v>
      </c>
      <c r="D92" s="337" t="s">
        <v>174</v>
      </c>
      <c r="E92" s="336" t="s">
        <v>175</v>
      </c>
      <c r="F92" s="336" t="s">
        <v>176</v>
      </c>
      <c r="G92" s="336" t="s">
        <v>177</v>
      </c>
      <c r="H92" s="336" t="s">
        <v>178</v>
      </c>
      <c r="I92" s="336" t="s">
        <v>179</v>
      </c>
      <c r="J92" s="336" t="s">
        <v>180</v>
      </c>
      <c r="K92" s="336" t="s">
        <v>181</v>
      </c>
      <c r="L92" s="336" t="s">
        <v>298</v>
      </c>
      <c r="M92" s="336" t="s">
        <v>299</v>
      </c>
      <c r="N92" s="336" t="s">
        <v>300</v>
      </c>
      <c r="O92" s="336" t="s">
        <v>301</v>
      </c>
      <c r="P92" s="336" t="s">
        <v>302</v>
      </c>
      <c r="Q92" s="336" t="s">
        <v>303</v>
      </c>
      <c r="R92" s="336" t="s">
        <v>304</v>
      </c>
      <c r="S92" s="336" t="s">
        <v>305</v>
      </c>
      <c r="T92" s="336" t="s">
        <v>306</v>
      </c>
      <c r="U92" s="336" t="s">
        <v>307</v>
      </c>
    </row>
    <row r="93" spans="1:44" s="315" customFormat="1" ht="14.25" hidden="1">
      <c r="A93" s="338" t="s">
        <v>182</v>
      </c>
      <c r="B93" s="338" t="str">
        <f t="array" aca="1" ref="B93" ca="1">IFERROR(OFFSET(INDEX(79:79,SMALL(IF(79:79&lt;&gt;"",COLUMN(79:79)),COLUMN())),-1,0),"")</f>
        <v/>
      </c>
      <c r="C93" s="338" t="str">
        <f t="array" aca="1" ref="C93" ca="1">IFERROR(OFFSET(INDEX(79:79,SMALL(IF(79:79&lt;&gt;"",COLUMN(79:79)),COLUMN())),-1,0),"")</f>
        <v/>
      </c>
      <c r="D93" s="338" t="str">
        <f t="array" aca="1" ref="D93" ca="1">IFERROR(OFFSET(INDEX(79:79,SMALL(IF(79:79&lt;&gt;"",COLUMN(79:79)),COLUMN())),-1,0),"")</f>
        <v/>
      </c>
      <c r="E93" s="338" t="str">
        <f t="array" aca="1" ref="E93" ca="1">IFERROR(OFFSET(INDEX(79:79,SMALL(IF(79:79&lt;&gt;"",COLUMN(79:79)),COLUMN())),-1,0),"")</f>
        <v/>
      </c>
      <c r="F93" s="338" t="str">
        <f t="array" aca="1" ref="F93" ca="1">IFERROR(OFFSET(INDEX(79:79,SMALL(IF(79:79&lt;&gt;"",COLUMN(79:79)),COLUMN())),-1,0),"")</f>
        <v/>
      </c>
      <c r="G93" s="338" t="str">
        <f t="array" aca="1" ref="G93" ca="1">IFERROR(OFFSET(INDEX(79:79,SMALL(IF(79:79&lt;&gt;"",COLUMN(79:79)),COLUMN())),-1,0),"")</f>
        <v/>
      </c>
      <c r="H93" s="338" t="str">
        <f t="array" aca="1" ref="H93" ca="1">IFERROR(OFFSET(INDEX(79:79,SMALL(IF(79:79&lt;&gt;"",COLUMN(79:79)),COLUMN())),-1,0),"")</f>
        <v/>
      </c>
      <c r="I93" s="338" t="str">
        <f t="array" aca="1" ref="I93" ca="1">IFERROR(OFFSET(INDEX(79:79,SMALL(IF(79:79&lt;&gt;"",COLUMN(79:79)),COLUMN())),-1,0),"")</f>
        <v/>
      </c>
      <c r="J93" s="338" t="str">
        <f t="array" aca="1" ref="J93" ca="1">IFERROR(OFFSET(INDEX(79:79,SMALL(IF(79:79&lt;&gt;"",COLUMN(79:79)),COLUMN())),-1,0),"")</f>
        <v/>
      </c>
      <c r="K93" s="338" t="str">
        <f t="array" aca="1" ref="K93" ca="1">IFERROR(OFFSET(INDEX(79:79,SMALL(IF(79:79&lt;&gt;"",COLUMN(79:79)),COLUMN())),-1,0),"")</f>
        <v/>
      </c>
      <c r="L93" s="338" t="str">
        <f t="array" aca="1" ref="L93" ca="1">IFERROR(OFFSET(INDEX(79:79,SMALL(IF(79:79&lt;&gt;"",COLUMN(79:79)),COLUMN())),-1,0),"")</f>
        <v/>
      </c>
      <c r="M93" s="338" t="str">
        <f t="array" aca="1" ref="M93" ca="1">IFERROR(OFFSET(INDEX(79:79,SMALL(IF(79:79&lt;&gt;"",COLUMN(79:79)),COLUMN())),-1,0),"")</f>
        <v/>
      </c>
      <c r="N93" s="338" t="str">
        <f t="array" aca="1" ref="N93" ca="1">IFERROR(OFFSET(INDEX(79:79,SMALL(IF(79:79&lt;&gt;"",COLUMN(79:79)),COLUMN())),-1,0),"")</f>
        <v/>
      </c>
      <c r="O93" s="338" t="str">
        <f t="array" aca="1" ref="O93" ca="1">IFERROR(OFFSET(INDEX(79:79,SMALL(IF(79:79&lt;&gt;"",COLUMN(79:79)),COLUMN())),-1,0),"")</f>
        <v/>
      </c>
      <c r="P93" s="338" t="str">
        <f t="array" aca="1" ref="P93" ca="1">IFERROR(OFFSET(INDEX(79:79,SMALL(IF(79:79&lt;&gt;"",COLUMN(79:79)),COLUMN())),-1,0),"")</f>
        <v/>
      </c>
      <c r="Q93" s="338" t="str">
        <f t="array" aca="1" ref="Q93" ca="1">IFERROR(OFFSET(INDEX(79:79,SMALL(IF(79:79&lt;&gt;"",COLUMN(79:79)),COLUMN())),-1,0),"")</f>
        <v/>
      </c>
      <c r="R93" s="338" t="str">
        <f t="array" aca="1" ref="R93" ca="1">IFERROR(OFFSET(INDEX(79:79,SMALL(IF(79:79&lt;&gt;"",COLUMN(79:79)),COLUMN())),-1,0),"")</f>
        <v/>
      </c>
      <c r="S93" s="338" t="str">
        <f t="array" aca="1" ref="S93" ca="1">IFERROR(OFFSET(INDEX(79:79,SMALL(IF(79:79&lt;&gt;"",COLUMN(79:79)),COLUMN())),-1,0),"")</f>
        <v/>
      </c>
      <c r="T93" s="338" t="str">
        <f t="array" aca="1" ref="T93" ca="1">IFERROR(OFFSET(INDEX(79:79,SMALL(IF(79:79&lt;&gt;"",COLUMN(79:79)),COLUMN())),-1,0),"")</f>
        <v/>
      </c>
      <c r="U93" s="338" t="str">
        <f t="array" aca="1" ref="U93" ca="1">IFERROR(OFFSET(INDEX(79:79,SMALL(IF(79:79&lt;&gt;"",COLUMN(79:79)),COLUMN())),-1,0),"")</f>
        <v/>
      </c>
    </row>
    <row r="94" spans="1:44" s="315" customFormat="1" ht="14.25" hidden="1">
      <c r="A94" s="338" t="str">
        <f t="array" ref="A94">IFERROR(INDEX(79:79,SMALL(IF(79:79&lt;&gt;"",COLUMN(79:79)),COLUMN())),"")</f>
        <v>追水量（L)</v>
      </c>
      <c r="B94" s="338" t="str">
        <f t="array" ref="B94">IFERROR(INDEX(79:79,SMALL(IF(79:79&lt;&gt;"",COLUMN(79:79)),COLUMN())),"")</f>
        <v/>
      </c>
      <c r="C94" s="338" t="str">
        <f t="array" ref="C94">IFERROR(INDEX(79:79,SMALL(IF(79:79&lt;&gt;"",COLUMN(79:79)),COLUMN())),"")</f>
        <v/>
      </c>
      <c r="D94" s="338" t="str">
        <f t="array" ref="D94">IFERROR(INDEX(79:79,SMALL(IF(79:79&lt;&gt;"",COLUMN(79:79)),COLUMN())),"")</f>
        <v/>
      </c>
      <c r="E94" s="338" t="str">
        <f t="array" ref="E94">IFERROR(INDEX(79:79,SMALL(IF(79:79&lt;&gt;"",COLUMN(79:79)),COLUMN())),"")</f>
        <v/>
      </c>
      <c r="F94" s="338" t="str">
        <f t="array" ref="F94">IFERROR(INDEX(79:79,SMALL(IF(79:79&lt;&gt;"",COLUMN(79:79)),COLUMN())),"")</f>
        <v/>
      </c>
      <c r="G94" s="338" t="str">
        <f t="array" ref="G94">IFERROR(INDEX(79:79,SMALL(IF(79:79&lt;&gt;"",COLUMN(79:79)),COLUMN())),"")</f>
        <v/>
      </c>
      <c r="H94" s="338" t="str">
        <f t="array" ref="H94">IFERROR(INDEX(79:79,SMALL(IF(79:79&lt;&gt;"",COLUMN(79:79)),COLUMN())),"")</f>
        <v/>
      </c>
      <c r="I94" s="338" t="str">
        <f t="array" ref="I94">IFERROR(INDEX(79:79,SMALL(IF(79:79&lt;&gt;"",COLUMN(79:79)),COLUMN())),"")</f>
        <v/>
      </c>
      <c r="J94" s="338" t="str">
        <f t="array" ref="J94">IFERROR(INDEX(79:79,SMALL(IF(79:79&lt;&gt;"",COLUMN(79:79)),COLUMN())),"")</f>
        <v/>
      </c>
      <c r="K94" s="338" t="str">
        <f t="array" ref="K94">IFERROR(INDEX(79:79,SMALL(IF(79:79&lt;&gt;"",COLUMN(79:79)),COLUMN())),"")</f>
        <v/>
      </c>
      <c r="L94" s="338" t="str">
        <f t="array" ref="L94">IFERROR(INDEX(79:79,SMALL(IF(79:79&lt;&gt;"",COLUMN(79:79)),COLUMN())),"")</f>
        <v/>
      </c>
      <c r="M94" s="338" t="str">
        <f t="array" ref="M94">IFERROR(INDEX(79:79,SMALL(IF(79:79&lt;&gt;"",COLUMN(79:79)),COLUMN())),"")</f>
        <v/>
      </c>
      <c r="N94" s="338" t="str">
        <f t="array" ref="N94">IFERROR(INDEX(79:79,SMALL(IF(79:79&lt;&gt;"",COLUMN(79:79)),COLUMN())),"")</f>
        <v/>
      </c>
      <c r="O94" s="338" t="str">
        <f t="array" ref="O94">IFERROR(INDEX(79:79,SMALL(IF(79:79&lt;&gt;"",COLUMN(79:79)),COLUMN())),"")</f>
        <v/>
      </c>
      <c r="P94" s="338" t="str">
        <f t="array" ref="P94">IFERROR(INDEX(79:79,SMALL(IF(79:79&lt;&gt;"",COLUMN(79:79)),COLUMN())),"")</f>
        <v/>
      </c>
      <c r="Q94" s="338" t="str">
        <f t="array" ref="Q94">IFERROR(INDEX(79:79,SMALL(IF(79:79&lt;&gt;"",COLUMN(79:79)),COLUMN())),"")</f>
        <v/>
      </c>
      <c r="R94" s="338" t="str">
        <f t="array" ref="R94">IFERROR(INDEX(79:79,SMALL(IF(79:79&lt;&gt;"",COLUMN(79:79)),COLUMN())),"")</f>
        <v/>
      </c>
      <c r="S94" s="338" t="str">
        <f t="array" ref="S94">IFERROR(INDEX(79:79,SMALL(IF(79:79&lt;&gt;"",COLUMN(79:79)),COLUMN())),"")</f>
        <v/>
      </c>
      <c r="T94" s="338" t="str">
        <f t="array" ref="T94">IFERROR(INDEX(79:79,SMALL(IF(79:79&lt;&gt;"",COLUMN(79:79)),COLUMN())),"")</f>
        <v/>
      </c>
      <c r="U94" s="338" t="str">
        <f t="array" ref="U94">IFERROR(INDEX(79:79,SMALL(IF(79:79&lt;&gt;"",COLUMN(79:79)),COLUMN())),"")</f>
        <v/>
      </c>
    </row>
    <row r="95" spans="1:44" s="315" customFormat="1" ht="14.25" hidden="1">
      <c r="A95" s="627" t="s">
        <v>183</v>
      </c>
      <c r="B95" s="627"/>
      <c r="C95" s="627"/>
      <c r="D95" s="339" t="s">
        <v>184</v>
      </c>
      <c r="E95" s="339" t="s">
        <v>185</v>
      </c>
      <c r="F95" s="339" t="s">
        <v>186</v>
      </c>
      <c r="G95" s="339" t="s">
        <v>187</v>
      </c>
      <c r="H95" s="339" t="s">
        <v>188</v>
      </c>
      <c r="I95" s="339" t="s">
        <v>189</v>
      </c>
      <c r="J95" s="339" t="s">
        <v>190</v>
      </c>
      <c r="K95" s="339" t="s">
        <v>191</v>
      </c>
      <c r="L95" s="337" t="s">
        <v>192</v>
      </c>
      <c r="M95" s="337" t="s">
        <v>193</v>
      </c>
      <c r="N95" s="337" t="s">
        <v>194</v>
      </c>
      <c r="O95" s="337" t="s">
        <v>308</v>
      </c>
      <c r="P95" s="337" t="s">
        <v>309</v>
      </c>
      <c r="Q95" s="337" t="s">
        <v>310</v>
      </c>
      <c r="R95" s="337" t="s">
        <v>311</v>
      </c>
      <c r="S95" s="337" t="s">
        <v>312</v>
      </c>
      <c r="T95" s="337" t="s">
        <v>313</v>
      </c>
      <c r="U95" s="337" t="s">
        <v>314</v>
      </c>
      <c r="V95" s="337" t="s">
        <v>315</v>
      </c>
      <c r="W95" s="337" t="s">
        <v>316</v>
      </c>
      <c r="X95" s="337" t="s">
        <v>317</v>
      </c>
    </row>
    <row r="96" spans="1:44" s="315" customFormat="1" ht="14.25" hidden="1">
      <c r="A96" s="628"/>
      <c r="B96" s="628"/>
      <c r="C96" s="628"/>
      <c r="D96" s="340" t="e">
        <f>SUM(D76:G76)/SUM(D73:G73)*100</f>
        <v>#DIV/0!</v>
      </c>
      <c r="E96" s="340" t="e">
        <f>(SUM(D76:G76)+SUM(B94:B94))/SUM(D73:G73)*100</f>
        <v>#DIV/0!</v>
      </c>
      <c r="F96" s="340" t="e">
        <f>(SUM(D76:G76)+SUM(B94:C94))/SUM(D73:G73)*100</f>
        <v>#DIV/0!</v>
      </c>
      <c r="G96" s="340" t="e">
        <f>(SUM(D76:G76)+SUM(B94:D94))/SUM(D73:G73)*100</f>
        <v>#DIV/0!</v>
      </c>
      <c r="H96" s="340" t="e">
        <f>(SUM(D76:G76)+SUM(B94:E94))/SUM(D73:G73)*100</f>
        <v>#DIV/0!</v>
      </c>
      <c r="I96" s="341" t="e">
        <f>(SUM(D76:G76)+SUM(B94:F94))/SUM(D73:G73)*100</f>
        <v>#DIV/0!</v>
      </c>
      <c r="J96" s="340" t="e">
        <f>(SUM(D76:G76)+SUM(B94:G94))/SUM(D73:G73)*100</f>
        <v>#DIV/0!</v>
      </c>
      <c r="K96" s="340" t="e">
        <f>(SUM(D76:G76)+SUM(B94:H94))/SUM(D73:G73)*100</f>
        <v>#DIV/0!</v>
      </c>
      <c r="L96" s="340" t="e">
        <f>(SUM(D76:G76)+SUM(B94:I94))/SUM(D73:G73)*100</f>
        <v>#DIV/0!</v>
      </c>
      <c r="M96" s="340" t="e">
        <f>(SUM(D76:G76)+SUM(B94:J94))/SUM(D73:G73)*100</f>
        <v>#DIV/0!</v>
      </c>
      <c r="N96" s="340" t="e">
        <f>(SUM(D76:G76)+SUM(B94:K94))/SUM(D73:G73)*100</f>
        <v>#DIV/0!</v>
      </c>
      <c r="O96" s="342" t="e">
        <f>(SUM(D76:G76)+SUM(B94:L94))/SUM(D73:G73)*100</f>
        <v>#DIV/0!</v>
      </c>
      <c r="P96" s="343" t="e">
        <f>(SUM(D76:G76)+SUM(B94:M94))/SUM(D73:G73)*100</f>
        <v>#DIV/0!</v>
      </c>
      <c r="Q96" s="343" t="e">
        <f>(SUM(D76:G76)+SUM(B94:N94))/SUM(D73:G73)*100</f>
        <v>#DIV/0!</v>
      </c>
      <c r="R96" s="343" t="e">
        <f>(SUM(D76:G76)+SUM(B94:O94))/SUM(D73:G73)*100</f>
        <v>#DIV/0!</v>
      </c>
      <c r="S96" s="343" t="e">
        <f>(SUM(D76:G76)+SUM(B94:P94))/SUM(D73:G73)*100</f>
        <v>#DIV/0!</v>
      </c>
      <c r="T96" s="343" t="e">
        <f>(SUM(D76:G76)+SUM(B94:Q94))/SUM(D73:G73)*100</f>
        <v>#DIV/0!</v>
      </c>
      <c r="U96" s="343" t="e">
        <f>(SUM(D76:G76)+SUM(B94:R94))/SUM(D73:G73)*100</f>
        <v>#DIV/0!</v>
      </c>
      <c r="V96" s="343" t="e">
        <f>(SUM(D76:G76)+SUM(B94:S94))/SUM(D73:G73)*100</f>
        <v>#DIV/0!</v>
      </c>
      <c r="W96" s="343" t="e">
        <f>(SUM(D76:G76)+SUM(B94:T94))/SUM(D73:G73)*100</f>
        <v>#DIV/0!</v>
      </c>
      <c r="X96" s="343" t="e">
        <f>(SUM(D76:G76)+SUM(B94:U94))/SUM(D73:G73)*100</f>
        <v>#DIV/0!</v>
      </c>
    </row>
    <row r="97" spans="1:44" s="315" customFormat="1" ht="14.25" hidden="1"/>
    <row r="98" spans="1:44" s="315" customFormat="1" ht="14.25" hidden="1">
      <c r="A98" s="610" t="s">
        <v>126</v>
      </c>
      <c r="B98" s="611"/>
      <c r="C98" s="611"/>
      <c r="E98" s="344" t="e">
        <f>IF(E80="",IF(E81="",NA(),E81/-10),E80)</f>
        <v>#N/A</v>
      </c>
      <c r="F98" s="344" t="e">
        <f>IF(F80="",IF(F81="",NA(),F81/-10),F80)</f>
        <v>#N/A</v>
      </c>
      <c r="G98" s="344" t="e">
        <f>IF(G80="",IF(G82="",NA(),G82/-10),G80)</f>
        <v>#N/A</v>
      </c>
      <c r="H98" s="344" t="e">
        <f t="shared" ref="H98:AQ98" si="50">IF(H80="",IF(H81="",NA(),H81/-10),H80)</f>
        <v>#N/A</v>
      </c>
      <c r="I98" s="344" t="e">
        <f t="shared" si="50"/>
        <v>#N/A</v>
      </c>
      <c r="J98" s="344" t="e">
        <f t="shared" si="50"/>
        <v>#N/A</v>
      </c>
      <c r="K98" s="344" t="e">
        <f t="shared" si="50"/>
        <v>#N/A</v>
      </c>
      <c r="L98" s="344" t="e">
        <f t="shared" si="50"/>
        <v>#N/A</v>
      </c>
      <c r="M98" s="344" t="e">
        <f t="shared" si="50"/>
        <v>#N/A</v>
      </c>
      <c r="N98" s="344" t="e">
        <f t="shared" si="50"/>
        <v>#N/A</v>
      </c>
      <c r="O98" s="344" t="e">
        <f t="shared" si="50"/>
        <v>#N/A</v>
      </c>
      <c r="P98" s="344" t="e">
        <f t="shared" si="50"/>
        <v>#N/A</v>
      </c>
      <c r="Q98" s="344" t="e">
        <f t="shared" si="50"/>
        <v>#N/A</v>
      </c>
      <c r="R98" s="344" t="e">
        <f t="shared" si="50"/>
        <v>#N/A</v>
      </c>
      <c r="S98" s="344" t="e">
        <f t="shared" si="50"/>
        <v>#N/A</v>
      </c>
      <c r="T98" s="344" t="e">
        <f t="shared" si="50"/>
        <v>#N/A</v>
      </c>
      <c r="U98" s="344" t="e">
        <f t="shared" si="50"/>
        <v>#N/A</v>
      </c>
      <c r="V98" s="344" t="e">
        <f t="shared" si="50"/>
        <v>#N/A</v>
      </c>
      <c r="W98" s="344" t="e">
        <f t="shared" si="50"/>
        <v>#N/A</v>
      </c>
      <c r="X98" s="344" t="e">
        <f t="shared" si="50"/>
        <v>#N/A</v>
      </c>
      <c r="Y98" s="344" t="e">
        <f t="shared" si="50"/>
        <v>#N/A</v>
      </c>
      <c r="Z98" s="344" t="e">
        <f t="shared" si="50"/>
        <v>#N/A</v>
      </c>
      <c r="AA98" s="344" t="e">
        <f t="shared" si="50"/>
        <v>#N/A</v>
      </c>
      <c r="AB98" s="344" t="e">
        <f t="shared" si="50"/>
        <v>#N/A</v>
      </c>
      <c r="AC98" s="344" t="e">
        <f t="shared" si="50"/>
        <v>#N/A</v>
      </c>
      <c r="AD98" s="344" t="e">
        <f t="shared" si="50"/>
        <v>#N/A</v>
      </c>
      <c r="AE98" s="344" t="e">
        <f t="shared" si="50"/>
        <v>#N/A</v>
      </c>
      <c r="AF98" s="344" t="e">
        <f t="shared" si="50"/>
        <v>#N/A</v>
      </c>
      <c r="AG98" s="344" t="e">
        <f t="shared" si="50"/>
        <v>#N/A</v>
      </c>
      <c r="AH98" s="344" t="e">
        <f t="shared" si="50"/>
        <v>#N/A</v>
      </c>
      <c r="AI98" s="344" t="e">
        <f t="shared" si="50"/>
        <v>#N/A</v>
      </c>
      <c r="AJ98" s="344" t="e">
        <f t="shared" si="50"/>
        <v>#N/A</v>
      </c>
      <c r="AK98" s="344" t="e">
        <f t="shared" si="50"/>
        <v>#N/A</v>
      </c>
      <c r="AL98" s="344" t="e">
        <f t="shared" si="50"/>
        <v>#N/A</v>
      </c>
      <c r="AM98" s="344" t="e">
        <f t="shared" si="50"/>
        <v>#N/A</v>
      </c>
      <c r="AN98" s="344" t="e">
        <f t="shared" si="50"/>
        <v>#N/A</v>
      </c>
      <c r="AO98" s="344" t="e">
        <f t="shared" si="50"/>
        <v>#N/A</v>
      </c>
      <c r="AP98" s="344" t="e">
        <f t="shared" si="50"/>
        <v>#N/A</v>
      </c>
      <c r="AQ98" s="344" t="e">
        <f t="shared" si="50"/>
        <v>#N/A</v>
      </c>
    </row>
    <row r="99" spans="1:44" s="315" customFormat="1" ht="14.25" hidden="1">
      <c r="A99" s="629" t="s">
        <v>42</v>
      </c>
      <c r="B99" s="629"/>
      <c r="C99" s="612"/>
      <c r="E99" s="345" t="e">
        <f t="shared" ref="E99:AQ99" si="51">IF(E98="",NA(),E98*(-10))</f>
        <v>#N/A</v>
      </c>
      <c r="F99" s="345" t="e">
        <f t="shared" si="51"/>
        <v>#N/A</v>
      </c>
      <c r="G99" s="345" t="e">
        <f t="shared" si="51"/>
        <v>#N/A</v>
      </c>
      <c r="H99" s="345" t="e">
        <f t="shared" si="51"/>
        <v>#N/A</v>
      </c>
      <c r="I99" s="345" t="e">
        <f t="shared" si="51"/>
        <v>#N/A</v>
      </c>
      <c r="J99" s="345" t="e">
        <f t="shared" si="51"/>
        <v>#N/A</v>
      </c>
      <c r="K99" s="345" t="e">
        <f t="shared" si="51"/>
        <v>#N/A</v>
      </c>
      <c r="L99" s="345" t="e">
        <f t="shared" si="51"/>
        <v>#N/A</v>
      </c>
      <c r="M99" s="345" t="e">
        <f t="shared" si="51"/>
        <v>#N/A</v>
      </c>
      <c r="N99" s="345" t="e">
        <f t="shared" si="51"/>
        <v>#N/A</v>
      </c>
      <c r="O99" s="345" t="e">
        <f t="shared" si="51"/>
        <v>#N/A</v>
      </c>
      <c r="P99" s="345" t="e">
        <f t="shared" si="51"/>
        <v>#N/A</v>
      </c>
      <c r="Q99" s="345" t="e">
        <f t="shared" si="51"/>
        <v>#N/A</v>
      </c>
      <c r="R99" s="345" t="e">
        <f t="shared" si="51"/>
        <v>#N/A</v>
      </c>
      <c r="S99" s="345" t="e">
        <f t="shared" si="51"/>
        <v>#N/A</v>
      </c>
      <c r="T99" s="345" t="e">
        <f t="shared" si="51"/>
        <v>#N/A</v>
      </c>
      <c r="U99" s="345" t="e">
        <f t="shared" si="51"/>
        <v>#N/A</v>
      </c>
      <c r="V99" s="345" t="e">
        <f t="shared" si="51"/>
        <v>#N/A</v>
      </c>
      <c r="W99" s="345" t="e">
        <f t="shared" si="51"/>
        <v>#N/A</v>
      </c>
      <c r="X99" s="345" t="e">
        <f t="shared" si="51"/>
        <v>#N/A</v>
      </c>
      <c r="Y99" s="345" t="e">
        <f t="shared" si="51"/>
        <v>#N/A</v>
      </c>
      <c r="Z99" s="345" t="e">
        <f t="shared" si="51"/>
        <v>#N/A</v>
      </c>
      <c r="AA99" s="345" t="e">
        <f t="shared" si="51"/>
        <v>#N/A</v>
      </c>
      <c r="AB99" s="345" t="e">
        <f t="shared" si="51"/>
        <v>#N/A</v>
      </c>
      <c r="AC99" s="345" t="e">
        <f t="shared" si="51"/>
        <v>#N/A</v>
      </c>
      <c r="AD99" s="345" t="e">
        <f t="shared" si="51"/>
        <v>#N/A</v>
      </c>
      <c r="AE99" s="345" t="e">
        <f t="shared" si="51"/>
        <v>#N/A</v>
      </c>
      <c r="AF99" s="345" t="e">
        <f t="shared" si="51"/>
        <v>#N/A</v>
      </c>
      <c r="AG99" s="345" t="e">
        <f t="shared" si="51"/>
        <v>#N/A</v>
      </c>
      <c r="AH99" s="345" t="e">
        <f t="shared" si="51"/>
        <v>#N/A</v>
      </c>
      <c r="AI99" s="345" t="e">
        <f t="shared" si="51"/>
        <v>#N/A</v>
      </c>
      <c r="AJ99" s="345" t="e">
        <f t="shared" si="51"/>
        <v>#N/A</v>
      </c>
      <c r="AK99" s="345" t="e">
        <f t="shared" si="51"/>
        <v>#N/A</v>
      </c>
      <c r="AL99" s="345" t="e">
        <f t="shared" si="51"/>
        <v>#N/A</v>
      </c>
      <c r="AM99" s="345" t="e">
        <f t="shared" si="51"/>
        <v>#N/A</v>
      </c>
      <c r="AN99" s="345" t="e">
        <f t="shared" si="51"/>
        <v>#N/A</v>
      </c>
      <c r="AO99" s="345" t="e">
        <f t="shared" si="51"/>
        <v>#N/A</v>
      </c>
      <c r="AP99" s="345" t="e">
        <f t="shared" si="51"/>
        <v>#N/A</v>
      </c>
      <c r="AQ99" s="345" t="e">
        <f t="shared" si="51"/>
        <v>#N/A</v>
      </c>
    </row>
    <row r="100" spans="1:44" s="315" customFormat="1" ht="14.25" hidden="1">
      <c r="A100" s="346"/>
      <c r="B100" s="620" t="s">
        <v>34</v>
      </c>
      <c r="C100" s="603"/>
      <c r="E100" s="347" t="e">
        <f t="shared" ref="E100:AQ100" si="52">IF(E98="",NA(),ROUND(1443/(1443+E99),4))</f>
        <v>#N/A</v>
      </c>
      <c r="F100" s="347" t="e">
        <f t="shared" si="52"/>
        <v>#N/A</v>
      </c>
      <c r="G100" s="347" t="e">
        <f t="shared" si="52"/>
        <v>#N/A</v>
      </c>
      <c r="H100" s="347" t="e">
        <f t="shared" si="52"/>
        <v>#N/A</v>
      </c>
      <c r="I100" s="347" t="e">
        <f t="shared" si="52"/>
        <v>#N/A</v>
      </c>
      <c r="J100" s="347" t="e">
        <f t="shared" si="52"/>
        <v>#N/A</v>
      </c>
      <c r="K100" s="347" t="e">
        <f>IF(K98="",NA(),ROUND(1443/(1443+K99),4))</f>
        <v>#N/A</v>
      </c>
      <c r="L100" s="347" t="e">
        <f t="shared" si="52"/>
        <v>#N/A</v>
      </c>
      <c r="M100" s="347" t="e">
        <f t="shared" si="52"/>
        <v>#N/A</v>
      </c>
      <c r="N100" s="347" t="e">
        <f t="shared" si="52"/>
        <v>#N/A</v>
      </c>
      <c r="O100" s="347" t="e">
        <f t="shared" si="52"/>
        <v>#N/A</v>
      </c>
      <c r="P100" s="347" t="e">
        <f t="shared" si="52"/>
        <v>#N/A</v>
      </c>
      <c r="Q100" s="347" t="e">
        <f t="shared" si="52"/>
        <v>#N/A</v>
      </c>
      <c r="R100" s="347" t="e">
        <f t="shared" si="52"/>
        <v>#N/A</v>
      </c>
      <c r="S100" s="347" t="e">
        <f t="shared" si="52"/>
        <v>#N/A</v>
      </c>
      <c r="T100" s="347" t="e">
        <f t="shared" si="52"/>
        <v>#N/A</v>
      </c>
      <c r="U100" s="347" t="e">
        <f t="shared" si="52"/>
        <v>#N/A</v>
      </c>
      <c r="V100" s="347" t="e">
        <f t="shared" si="52"/>
        <v>#N/A</v>
      </c>
      <c r="W100" s="347" t="e">
        <f t="shared" si="52"/>
        <v>#N/A</v>
      </c>
      <c r="X100" s="347" t="e">
        <f t="shared" si="52"/>
        <v>#N/A</v>
      </c>
      <c r="Y100" s="347" t="e">
        <f t="shared" si="52"/>
        <v>#N/A</v>
      </c>
      <c r="Z100" s="347" t="e">
        <f t="shared" si="52"/>
        <v>#N/A</v>
      </c>
      <c r="AA100" s="347" t="e">
        <f t="shared" si="52"/>
        <v>#N/A</v>
      </c>
      <c r="AB100" s="347" t="e">
        <f t="shared" si="52"/>
        <v>#N/A</v>
      </c>
      <c r="AC100" s="347" t="e">
        <f t="shared" si="52"/>
        <v>#N/A</v>
      </c>
      <c r="AD100" s="347" t="e">
        <f t="shared" si="52"/>
        <v>#N/A</v>
      </c>
      <c r="AE100" s="347" t="e">
        <f t="shared" si="52"/>
        <v>#N/A</v>
      </c>
      <c r="AF100" s="347" t="e">
        <f t="shared" si="52"/>
        <v>#N/A</v>
      </c>
      <c r="AG100" s="347" t="e">
        <f t="shared" si="52"/>
        <v>#N/A</v>
      </c>
      <c r="AH100" s="347" t="e">
        <f t="shared" si="52"/>
        <v>#N/A</v>
      </c>
      <c r="AI100" s="347" t="e">
        <f t="shared" si="52"/>
        <v>#N/A</v>
      </c>
      <c r="AJ100" s="347" t="e">
        <f t="shared" si="52"/>
        <v>#N/A</v>
      </c>
      <c r="AK100" s="347" t="e">
        <f t="shared" si="52"/>
        <v>#N/A</v>
      </c>
      <c r="AL100" s="347" t="e">
        <f t="shared" si="52"/>
        <v>#N/A</v>
      </c>
      <c r="AM100" s="347" t="e">
        <f t="shared" si="52"/>
        <v>#N/A</v>
      </c>
      <c r="AN100" s="347" t="e">
        <f t="shared" si="52"/>
        <v>#N/A</v>
      </c>
      <c r="AO100" s="347" t="e">
        <f t="shared" si="52"/>
        <v>#N/A</v>
      </c>
      <c r="AP100" s="347" t="e">
        <f t="shared" si="52"/>
        <v>#N/A</v>
      </c>
      <c r="AQ100" s="347" t="e">
        <f t="shared" si="52"/>
        <v>#N/A</v>
      </c>
    </row>
    <row r="101" spans="1:44" s="315" customFormat="1" ht="14.25" hidden="1">
      <c r="A101" s="346"/>
      <c r="B101" s="620" t="s">
        <v>35</v>
      </c>
      <c r="C101" s="603"/>
      <c r="E101" s="347" t="e">
        <f>IF(E82="",NA(),IFERROR(E82*VLOOKUP(E82,'各種計算式等（配付時非表示）'!$E$3:$H$1003,3,TRUE)+VLOOKUP(E82,'各種計算式等（配付時非表示）'!$E$3:$H$1003,4,TRUE)+0.0000000001,"-"))</f>
        <v>#N/A</v>
      </c>
      <c r="F101" s="347" t="e">
        <f>IF(F82="",NA(),IFERROR(F82*VLOOKUP(F82,'各種計算式等（配付時非表示）'!$E$3:$H$1003,3,TRUE)+VLOOKUP(F82,'各種計算式等（配付時非表示）'!$E$3:$H$1003,4,TRUE)+0.0000000001,"-"))</f>
        <v>#N/A</v>
      </c>
      <c r="G101" s="347" t="e">
        <f>IF(G82="",NA(),IFERROR(G82*VLOOKUP(G82,'各種計算式等（配付時非表示）'!$E$3:$H$1003,3,TRUE)+VLOOKUP(G82,'各種計算式等（配付時非表示）'!$E$3:$H$1003,4,TRUE)+0.0000000001,"-"))</f>
        <v>#N/A</v>
      </c>
      <c r="H101" s="347" t="e">
        <f>IF(H82="",NA(),IFERROR(H82*VLOOKUP(H82,'各種計算式等（配付時非表示）'!$E$3:$H$1003,3,TRUE)+VLOOKUP(H82,'各種計算式等（配付時非表示）'!$E$3:$H$1003,4,TRUE)+0.0000000001,"-"))</f>
        <v>#N/A</v>
      </c>
      <c r="I101" s="347" t="e">
        <f>IF(I82="",NA(),IFERROR(I82*VLOOKUP(I82,'各種計算式等（配付時非表示）'!$E$3:$H$1003,3,TRUE)+VLOOKUP(I82,'各種計算式等（配付時非表示）'!$E$3:$H$1003,4,TRUE)+0.0000000001,"-"))</f>
        <v>#N/A</v>
      </c>
      <c r="J101" s="347" t="e">
        <f>IF(J82="",NA(),IFERROR(J82*VLOOKUP(J82,'各種計算式等（配付時非表示）'!$E$3:$H$1003,3,TRUE)+VLOOKUP(J82,'各種計算式等（配付時非表示）'!$E$3:$H$1003,4,TRUE)+0.0000000001,"-"))</f>
        <v>#N/A</v>
      </c>
      <c r="K101" s="347" t="e">
        <f>IF(K82="",NA(),IFERROR(K82*VLOOKUP(K82,'各種計算式等（配付時非表示）'!$E$3:$H$1003,3,TRUE)+VLOOKUP(K82,'各種計算式等（配付時非表示）'!$E$3:$H$1003,4,TRUE)+0.0000000001,"-"))</f>
        <v>#N/A</v>
      </c>
      <c r="L101" s="347" t="e">
        <f>IF(L82="",NA(),IFERROR(L82*VLOOKUP(L82,'各種計算式等（配付時非表示）'!$E$3:$H$1003,3,TRUE)+VLOOKUP(L82,'各種計算式等（配付時非表示）'!$E$3:$H$1003,4,TRUE)+0.0000000001,"-"))</f>
        <v>#N/A</v>
      </c>
      <c r="M101" s="347" t="e">
        <f>IF(M82="",NA(),IFERROR(M82*VLOOKUP(M82,'各種計算式等（配付時非表示）'!$E$3:$H$1003,3,TRUE)+VLOOKUP(M82,'各種計算式等（配付時非表示）'!$E$3:$H$1003,4,TRUE)+0.0000000001,"-"))</f>
        <v>#N/A</v>
      </c>
      <c r="N101" s="347" t="e">
        <f>IF(N82="",NA(),IFERROR(N82*VLOOKUP(N82,'各種計算式等（配付時非表示）'!$E$3:$H$1003,3,TRUE)+VLOOKUP(N82,'各種計算式等（配付時非表示）'!$E$3:$H$1003,4,TRUE)+0.0000000001,"-"))</f>
        <v>#N/A</v>
      </c>
      <c r="O101" s="347" t="e">
        <f>IF(O82="",NA(),IFERROR(O82*VLOOKUP(O82,'各種計算式等（配付時非表示）'!$E$3:$H$1003,3,TRUE)+VLOOKUP(O82,'各種計算式等（配付時非表示）'!$E$3:$H$1003,4,TRUE)+0.0000000001,"-"))</f>
        <v>#N/A</v>
      </c>
      <c r="P101" s="347" t="e">
        <f>IF(P82="",NA(),IFERROR(P82*VLOOKUP(P82,'各種計算式等（配付時非表示）'!$E$3:$H$1003,3,TRUE)+VLOOKUP(P82,'各種計算式等（配付時非表示）'!$E$3:$H$1003,4,TRUE)+0.0000000001,"-"))</f>
        <v>#N/A</v>
      </c>
      <c r="Q101" s="347" t="e">
        <f>IF(Q82="",NA(),IFERROR(Q82*VLOOKUP(Q82,'各種計算式等（配付時非表示）'!$E$3:$H$1003,3,TRUE)+VLOOKUP(Q82,'各種計算式等（配付時非表示）'!$E$3:$H$1003,4,TRUE)+0.0000000001,"-"))</f>
        <v>#N/A</v>
      </c>
      <c r="R101" s="347" t="e">
        <f>IF(R82="",NA(),IFERROR(R82*VLOOKUP(R82,'各種計算式等（配付時非表示）'!$E$3:$H$1003,3,TRUE)+VLOOKUP(R82,'各種計算式等（配付時非表示）'!$E$3:$H$1003,4,TRUE)+0.0000000001,"-"))</f>
        <v>#N/A</v>
      </c>
      <c r="S101" s="347" t="e">
        <f>IF(S82="",NA(),IFERROR(S82*VLOOKUP(S82,'各種計算式等（配付時非表示）'!$E$3:$H$1003,3,TRUE)+VLOOKUP(S82,'各種計算式等（配付時非表示）'!$E$3:$H$1003,4,TRUE)+0.0000000001,"-"))</f>
        <v>#N/A</v>
      </c>
      <c r="T101" s="347" t="e">
        <f>IF(T82="",NA(),IFERROR(T82*VLOOKUP(T82,'各種計算式等（配付時非表示）'!$E$3:$H$1003,3,TRUE)+VLOOKUP(T82,'各種計算式等（配付時非表示）'!$E$3:$H$1003,4,TRUE)+0.0000000001,"-"))</f>
        <v>#N/A</v>
      </c>
      <c r="U101" s="347" t="e">
        <f>IF(U82="",NA(),IFERROR(U82*VLOOKUP(U82,'各種計算式等（配付時非表示）'!$E$3:$H$1003,3,TRUE)+VLOOKUP(U82,'各種計算式等（配付時非表示）'!$E$3:$H$1003,4,TRUE)+0.0000000001,"-"))</f>
        <v>#N/A</v>
      </c>
      <c r="V101" s="347" t="e">
        <f>IF(V82="",NA(),IFERROR(V82*VLOOKUP(V82,'各種計算式等（配付時非表示）'!$E$3:$H$1003,3,TRUE)+VLOOKUP(V82,'各種計算式等（配付時非表示）'!$E$3:$H$1003,4,TRUE)+0.0000000001,"-"))</f>
        <v>#N/A</v>
      </c>
      <c r="W101" s="347" t="e">
        <f>IF(W82="",NA(),IFERROR(W82*VLOOKUP(W82,'各種計算式等（配付時非表示）'!$E$3:$H$1003,3,TRUE)+VLOOKUP(W82,'各種計算式等（配付時非表示）'!$E$3:$H$1003,4,TRUE)+0.0000000001,"-"))</f>
        <v>#N/A</v>
      </c>
      <c r="X101" s="347" t="e">
        <f>IF(X82="",NA(),IFERROR(X82*VLOOKUP(X82,'各種計算式等（配付時非表示）'!$E$3:$H$1003,3,TRUE)+VLOOKUP(X82,'各種計算式等（配付時非表示）'!$E$3:$H$1003,4,TRUE)+0.0000000001,"-"))</f>
        <v>#N/A</v>
      </c>
      <c r="Y101" s="347" t="e">
        <f>IF(Y82="",NA(),IFERROR(Y82*VLOOKUP(Y82,'各種計算式等（配付時非表示）'!$E$3:$H$1003,3,TRUE)+VLOOKUP(Y82,'各種計算式等（配付時非表示）'!$E$3:$H$1003,4,TRUE)+0.0000000001,"-"))</f>
        <v>#N/A</v>
      </c>
      <c r="Z101" s="347" t="e">
        <f>IF(Z82="",NA(),IFERROR(Z82*VLOOKUP(Z82,'各種計算式等（配付時非表示）'!$E$3:$H$1003,3,TRUE)+VLOOKUP(Z82,'各種計算式等（配付時非表示）'!$E$3:$H$1003,4,TRUE)+0.0000000001,"-"))</f>
        <v>#N/A</v>
      </c>
      <c r="AA101" s="347" t="e">
        <f>IF(AA82="",NA(),IFERROR(AA82*VLOOKUP(AA82,'各種計算式等（配付時非表示）'!$E$3:$H$1003,3,TRUE)+VLOOKUP(AA82,'各種計算式等（配付時非表示）'!$E$3:$H$1003,4,TRUE)+0.0000000001,"-"))</f>
        <v>#N/A</v>
      </c>
      <c r="AB101" s="347" t="e">
        <f>IF(AB82="",NA(),IFERROR(AB82*VLOOKUP(AB82,'各種計算式等（配付時非表示）'!$E$3:$H$1003,3,TRUE)+VLOOKUP(AB82,'各種計算式等（配付時非表示）'!$E$3:$H$1003,4,TRUE)+0.0000000001,"-"))</f>
        <v>#N/A</v>
      </c>
      <c r="AC101" s="347" t="e">
        <f>IF(AC82="",NA(),IFERROR(AC82*VLOOKUP(AC82,'各種計算式等（配付時非表示）'!$E$3:$H$1003,3,TRUE)+VLOOKUP(AC82,'各種計算式等（配付時非表示）'!$E$3:$H$1003,4,TRUE)+0.0000000001,"-"))</f>
        <v>#N/A</v>
      </c>
      <c r="AD101" s="347" t="e">
        <f>IF(AD82="",NA(),IFERROR(AD82*VLOOKUP(AD82,'各種計算式等（配付時非表示）'!$E$3:$H$1003,3,TRUE)+VLOOKUP(AD82,'各種計算式等（配付時非表示）'!$E$3:$H$1003,4,TRUE)+0.0000000001,"-"))</f>
        <v>#N/A</v>
      </c>
      <c r="AE101" s="347" t="e">
        <f>IF(AE82="",NA(),IFERROR(AE82*VLOOKUP(AE82,'各種計算式等（配付時非表示）'!$E$3:$H$1003,3,TRUE)+VLOOKUP(AE82,'各種計算式等（配付時非表示）'!$E$3:$H$1003,4,TRUE)+0.0000000001,"-"))</f>
        <v>#N/A</v>
      </c>
      <c r="AF101" s="347" t="e">
        <f>IF(AF82="",NA(),IFERROR(AF82*VLOOKUP(AF82,'各種計算式等（配付時非表示）'!$E$3:$H$1003,3,TRUE)+VLOOKUP(AF82,'各種計算式等（配付時非表示）'!$E$3:$H$1003,4,TRUE)+0.0000000001,"-"))</f>
        <v>#N/A</v>
      </c>
      <c r="AG101" s="347" t="e">
        <f>IF(AG82="",NA(),IFERROR(AG82*VLOOKUP(AG82,'各種計算式等（配付時非表示）'!$E$3:$H$1003,3,TRUE)+VLOOKUP(AG82,'各種計算式等（配付時非表示）'!$E$3:$H$1003,4,TRUE)+0.0000000001,"-"))</f>
        <v>#N/A</v>
      </c>
      <c r="AH101" s="347" t="e">
        <f>IF(AH82="",NA(),IFERROR(AH82*VLOOKUP(AH82,'各種計算式等（配付時非表示）'!$E$3:$H$1003,3,TRUE)+VLOOKUP(AH82,'各種計算式等（配付時非表示）'!$E$3:$H$1003,4,TRUE)+0.0000000001,"-"))</f>
        <v>#N/A</v>
      </c>
      <c r="AI101" s="347" t="e">
        <f>IF(AI82="",NA(),IFERROR(AI82*VLOOKUP(AI82,'各種計算式等（配付時非表示）'!$E$3:$H$1003,3,TRUE)+VLOOKUP(AI82,'各種計算式等（配付時非表示）'!$E$3:$H$1003,4,TRUE)+0.0000000001,"-"))</f>
        <v>#N/A</v>
      </c>
      <c r="AJ101" s="347" t="e">
        <f>IF(AJ82="",NA(),IFERROR(AJ82*VLOOKUP(AJ82,'各種計算式等（配付時非表示）'!$E$3:$H$1003,3,TRUE)+VLOOKUP(AJ82,'各種計算式等（配付時非表示）'!$E$3:$H$1003,4,TRUE)+0.0000000001,"-"))</f>
        <v>#N/A</v>
      </c>
      <c r="AK101" s="347" t="e">
        <f>IF(AK82="",NA(),IFERROR(AK82*VLOOKUP(AK82,'各種計算式等（配付時非表示）'!$E$3:$H$1003,3,TRUE)+VLOOKUP(AK82,'各種計算式等（配付時非表示）'!$E$3:$H$1003,4,TRUE)+0.0000000001,"-"))</f>
        <v>#N/A</v>
      </c>
      <c r="AL101" s="347" t="e">
        <f>IF(AL82="",NA(),IFERROR(AL82*VLOOKUP(AL82,'各種計算式等（配付時非表示）'!$E$3:$H$1003,3,TRUE)+VLOOKUP(AL82,'各種計算式等（配付時非表示）'!$E$3:$H$1003,4,TRUE)+0.0000000001,"-"))</f>
        <v>#N/A</v>
      </c>
      <c r="AM101" s="347" t="e">
        <f>IF(AM82="",NA(),IFERROR(AM82*VLOOKUP(AM82,'各種計算式等（配付時非表示）'!$E$3:$H$1003,3,TRUE)+VLOOKUP(AM82,'各種計算式等（配付時非表示）'!$E$3:$H$1003,4,TRUE)+0.0000000001,"-"))</f>
        <v>#N/A</v>
      </c>
      <c r="AN101" s="347" t="e">
        <f>IF(AN82="",NA(),IFERROR(AN82*VLOOKUP(AN82,'各種計算式等（配付時非表示）'!$E$3:$H$1003,3,TRUE)+VLOOKUP(AN82,'各種計算式等（配付時非表示）'!$E$3:$H$1003,4,TRUE)+0.0000000001,"-"))</f>
        <v>#N/A</v>
      </c>
      <c r="AO101" s="347" t="e">
        <f>IF(AO82="",NA(),IFERROR(AO82*VLOOKUP(AO82,'各種計算式等（配付時非表示）'!$E$3:$H$1003,3,TRUE)+VLOOKUP(AO82,'各種計算式等（配付時非表示）'!$E$3:$H$1003,4,TRUE)+0.0000000001,"-"))</f>
        <v>#N/A</v>
      </c>
      <c r="AP101" s="347" t="e">
        <f>IF(AP82="",NA(),IFERROR(AP82*VLOOKUP(AP82,'各種計算式等（配付時非表示）'!$E$3:$H$1003,3,TRUE)+VLOOKUP(AP82,'各種計算式等（配付時非表示）'!$E$3:$H$1003,4,TRUE)+0.0000000001,"-"))</f>
        <v>#N/A</v>
      </c>
      <c r="AQ101" s="347" t="e">
        <f>IF(AQ82="",NA(),IFERROR(AQ82*VLOOKUP(AQ82,'各種計算式等（配付時非表示）'!$E$3:$H$1003,3,TRUE)+VLOOKUP(AQ82,'各種計算式等（配付時非表示）'!$E$3:$H$1003,4,TRUE)+0.0000000001,"-"))</f>
        <v>#N/A</v>
      </c>
    </row>
    <row r="102" spans="1:44" s="315" customFormat="1" ht="14.25" hidden="1">
      <c r="A102" s="620" t="s">
        <v>3</v>
      </c>
      <c r="B102" s="620"/>
      <c r="C102" s="620"/>
      <c r="E102" s="348" t="e">
        <f>IFERROR(ROUNDDOWN((E100-E101)*260+0.21,1),NA())</f>
        <v>#N/A</v>
      </c>
      <c r="F102" s="348" t="e">
        <f t="shared" ref="F102:J102" si="53">IFERROR(ROUNDDOWN((F100-F101)*260+0.21,1),NA())</f>
        <v>#N/A</v>
      </c>
      <c r="G102" s="348" t="e">
        <f t="shared" si="53"/>
        <v>#N/A</v>
      </c>
      <c r="H102" s="348" t="e">
        <f t="shared" si="53"/>
        <v>#N/A</v>
      </c>
      <c r="I102" s="348" t="e">
        <f t="shared" si="53"/>
        <v>#N/A</v>
      </c>
      <c r="J102" s="348" t="e">
        <f t="shared" si="53"/>
        <v>#N/A</v>
      </c>
      <c r="K102" s="348" t="e">
        <f>IFERROR(ROUNDDOWN((K100-K101)*260+0.21,1),NA())</f>
        <v>#N/A</v>
      </c>
      <c r="L102" s="348" t="e">
        <f t="shared" ref="L102" si="54">IFERROR(ROUNDDOWN((L100-L101)*260+0.21,1),NA())</f>
        <v>#N/A</v>
      </c>
      <c r="M102" s="348" t="e">
        <f t="shared" ref="M102" si="55">IFERROR(ROUNDDOWN((M100-M101)*260+0.21,1),NA())</f>
        <v>#N/A</v>
      </c>
      <c r="N102" s="348" t="e">
        <f t="shared" ref="N102" si="56">IFERROR(ROUNDDOWN((N100-N101)*260+0.21,1),NA())</f>
        <v>#N/A</v>
      </c>
      <c r="O102" s="348" t="e">
        <f t="shared" ref="O102" si="57">IFERROR(ROUNDDOWN((O100-O101)*260+0.21,1),NA())</f>
        <v>#N/A</v>
      </c>
      <c r="P102" s="348" t="e">
        <f t="shared" ref="P102:R102" si="58">IFERROR(ROUNDDOWN((P100-P101)*260+0.21,1),NA())</f>
        <v>#N/A</v>
      </c>
      <c r="Q102" s="348" t="e">
        <f t="shared" si="58"/>
        <v>#N/A</v>
      </c>
      <c r="R102" s="348" t="e">
        <f t="shared" si="58"/>
        <v>#N/A</v>
      </c>
      <c r="S102" s="348" t="e">
        <f t="shared" ref="S102" si="59">IFERROR(ROUNDDOWN((S100-S101)*260+0.21,1),NA())</f>
        <v>#N/A</v>
      </c>
      <c r="T102" s="348" t="e">
        <f t="shared" ref="T102" si="60">IFERROR(ROUNDDOWN((T100-T101)*260+0.21,1),NA())</f>
        <v>#N/A</v>
      </c>
      <c r="U102" s="348" t="e">
        <f t="shared" ref="U102" si="61">IFERROR(ROUNDDOWN((U100-U101)*260+0.21,1),NA())</f>
        <v>#N/A</v>
      </c>
      <c r="V102" s="348" t="e">
        <f t="shared" ref="V102" si="62">IFERROR(ROUNDDOWN((V100-V101)*260+0.21,1),NA())</f>
        <v>#N/A</v>
      </c>
      <c r="W102" s="348" t="e">
        <f t="shared" ref="W102" si="63">IFERROR(ROUNDDOWN((W100-W101)*260+0.21,1),NA())</f>
        <v>#N/A</v>
      </c>
      <c r="X102" s="348" t="e">
        <f t="shared" ref="X102" si="64">IFERROR(ROUNDDOWN((X100-X101)*260+0.21,1),NA())</f>
        <v>#N/A</v>
      </c>
      <c r="Y102" s="348" t="e">
        <f t="shared" ref="Y102" si="65">IFERROR(ROUNDDOWN((Y100-Y101)*260+0.21,1),NA())</f>
        <v>#N/A</v>
      </c>
      <c r="Z102" s="348" t="e">
        <f t="shared" ref="Z102" si="66">IFERROR(ROUNDDOWN((Z100-Z101)*260+0.21,1),NA())</f>
        <v>#N/A</v>
      </c>
      <c r="AA102" s="348" t="e">
        <f t="shared" ref="AA102" si="67">IFERROR(ROUNDDOWN((AA100-AA101)*260+0.21,1),NA())</f>
        <v>#N/A</v>
      </c>
      <c r="AB102" s="348" t="e">
        <f t="shared" ref="AB102" si="68">IFERROR(ROUNDDOWN((AB100-AB101)*260+0.21,1),NA())</f>
        <v>#N/A</v>
      </c>
      <c r="AC102" s="348" t="e">
        <f t="shared" ref="AC102" si="69">IFERROR(ROUNDDOWN((AC100-AC101)*260+0.21,1),NA())</f>
        <v>#N/A</v>
      </c>
      <c r="AD102" s="348" t="e">
        <f t="shared" ref="AD102:AE102" si="70">IFERROR(ROUNDDOWN((AD100-AD101)*260+0.21,1),NA())</f>
        <v>#N/A</v>
      </c>
      <c r="AE102" s="348" t="e">
        <f t="shared" si="70"/>
        <v>#N/A</v>
      </c>
      <c r="AF102" s="348" t="e">
        <f t="shared" ref="AF102" si="71">IFERROR(ROUNDDOWN((AF100-AF101)*260+0.21,1),NA())</f>
        <v>#N/A</v>
      </c>
      <c r="AG102" s="348" t="e">
        <f t="shared" ref="AG102" si="72">IFERROR(ROUNDDOWN((AG100-AG101)*260+0.21,1),NA())</f>
        <v>#N/A</v>
      </c>
      <c r="AH102" s="348" t="e">
        <f t="shared" ref="AH102" si="73">IFERROR(ROUNDDOWN((AH100-AH101)*260+0.21,1),NA())</f>
        <v>#N/A</v>
      </c>
      <c r="AI102" s="348" t="e">
        <f t="shared" ref="AI102" si="74">IFERROR(ROUNDDOWN((AI100-AI101)*260+0.21,1),NA())</f>
        <v>#N/A</v>
      </c>
      <c r="AJ102" s="348" t="e">
        <f t="shared" ref="AJ102" si="75">IFERROR(ROUNDDOWN((AJ100-AJ101)*260+0.21,1),NA())</f>
        <v>#N/A</v>
      </c>
      <c r="AK102" s="348" t="e">
        <f t="shared" ref="AK102" si="76">IFERROR(ROUNDDOWN((AK100-AK101)*260+0.21,1),NA())</f>
        <v>#N/A</v>
      </c>
      <c r="AL102" s="348" t="e">
        <f t="shared" ref="AL102" si="77">IFERROR(ROUNDDOWN((AL100-AL101)*260+0.21,1),NA())</f>
        <v>#N/A</v>
      </c>
      <c r="AM102" s="348" t="e">
        <f t="shared" ref="AM102" si="78">IFERROR(ROUNDDOWN((AM100-AM101)*260+0.21,1),NA())</f>
        <v>#N/A</v>
      </c>
      <c r="AN102" s="348" t="e">
        <f t="shared" ref="AN102" si="79">IFERROR(ROUNDDOWN((AN100-AN101)*260+0.21,1),NA())</f>
        <v>#N/A</v>
      </c>
      <c r="AO102" s="348" t="e">
        <f t="shared" ref="AO102" si="80">IFERROR(ROUNDDOWN((AO100-AO101)*260+0.21,1),NA())</f>
        <v>#N/A</v>
      </c>
      <c r="AP102" s="348" t="e">
        <f t="shared" ref="AP102" si="81">IFERROR(ROUNDDOWN((AP100-AP101)*260+0.21,1),NA())</f>
        <v>#N/A</v>
      </c>
      <c r="AQ102" s="348" t="e">
        <f t="shared" ref="AQ102" si="82">IFERROR(ROUNDDOWN((AQ100-AQ101)*260+0.21,1),NA())</f>
        <v>#N/A</v>
      </c>
    </row>
    <row r="103" spans="1:44" s="315" customFormat="1" ht="14.25" hidden="1">
      <c r="A103" s="620" t="s">
        <v>318</v>
      </c>
      <c r="B103" s="620"/>
      <c r="C103" s="620"/>
      <c r="E103" s="349" t="e">
        <f>IF(E82="",NA(),ROUNDDOWN(E82*1.5848,1))</f>
        <v>#N/A</v>
      </c>
      <c r="F103" s="349" t="e">
        <f t="shared" ref="F103:K103" si="83">IF(F82="",NA(),ROUNDDOWN(F82*1.5848,1))</f>
        <v>#N/A</v>
      </c>
      <c r="G103" s="349" t="e">
        <f t="shared" si="83"/>
        <v>#N/A</v>
      </c>
      <c r="H103" s="349" t="e">
        <f t="shared" si="83"/>
        <v>#N/A</v>
      </c>
      <c r="I103" s="349" t="e">
        <f t="shared" si="83"/>
        <v>#N/A</v>
      </c>
      <c r="J103" s="349" t="e">
        <f t="shared" si="83"/>
        <v>#N/A</v>
      </c>
      <c r="K103" s="349" t="e">
        <f t="shared" si="83"/>
        <v>#N/A</v>
      </c>
      <c r="L103" s="349" t="e">
        <f t="shared" ref="L103:X103" si="84">IF(L82="",NA(),ROUNDDOWN(L82*1.5848,1))</f>
        <v>#N/A</v>
      </c>
      <c r="M103" s="349" t="e">
        <f t="shared" si="84"/>
        <v>#N/A</v>
      </c>
      <c r="N103" s="349" t="e">
        <f t="shared" si="84"/>
        <v>#N/A</v>
      </c>
      <c r="O103" s="349" t="e">
        <f t="shared" si="84"/>
        <v>#N/A</v>
      </c>
      <c r="P103" s="349" t="e">
        <f t="shared" si="84"/>
        <v>#N/A</v>
      </c>
      <c r="Q103" s="349" t="e">
        <f t="shared" si="84"/>
        <v>#N/A</v>
      </c>
      <c r="R103" s="349" t="e">
        <f t="shared" si="84"/>
        <v>#N/A</v>
      </c>
      <c r="S103" s="349" t="e">
        <f t="shared" si="84"/>
        <v>#N/A</v>
      </c>
      <c r="T103" s="349" t="e">
        <f t="shared" si="84"/>
        <v>#N/A</v>
      </c>
      <c r="U103" s="349" t="e">
        <f t="shared" si="84"/>
        <v>#N/A</v>
      </c>
      <c r="V103" s="349" t="e">
        <f t="shared" si="84"/>
        <v>#N/A</v>
      </c>
      <c r="W103" s="349" t="e">
        <f t="shared" si="84"/>
        <v>#N/A</v>
      </c>
      <c r="X103" s="349" t="e">
        <f t="shared" si="84"/>
        <v>#N/A</v>
      </c>
      <c r="Y103" s="349" t="e">
        <f t="shared" ref="Y103:AQ103" si="85">IF(Y82="",NA(),ROUNDDOWN(Y82*1.5848,1))</f>
        <v>#N/A</v>
      </c>
      <c r="Z103" s="349" t="e">
        <f t="shared" si="85"/>
        <v>#N/A</v>
      </c>
      <c r="AA103" s="349" t="e">
        <f t="shared" si="85"/>
        <v>#N/A</v>
      </c>
      <c r="AB103" s="349" t="e">
        <f t="shared" si="85"/>
        <v>#N/A</v>
      </c>
      <c r="AC103" s="349" t="e">
        <f t="shared" si="85"/>
        <v>#N/A</v>
      </c>
      <c r="AD103" s="349" t="e">
        <f t="shared" si="85"/>
        <v>#N/A</v>
      </c>
      <c r="AE103" s="349" t="e">
        <f t="shared" si="85"/>
        <v>#N/A</v>
      </c>
      <c r="AF103" s="349" t="e">
        <f t="shared" si="85"/>
        <v>#N/A</v>
      </c>
      <c r="AG103" s="349" t="e">
        <f t="shared" si="85"/>
        <v>#N/A</v>
      </c>
      <c r="AH103" s="349" t="e">
        <f t="shared" si="85"/>
        <v>#N/A</v>
      </c>
      <c r="AI103" s="349" t="e">
        <f t="shared" si="85"/>
        <v>#N/A</v>
      </c>
      <c r="AJ103" s="349" t="e">
        <f t="shared" si="85"/>
        <v>#N/A</v>
      </c>
      <c r="AK103" s="349" t="e">
        <f t="shared" si="85"/>
        <v>#N/A</v>
      </c>
      <c r="AL103" s="349" t="e">
        <f t="shared" si="85"/>
        <v>#N/A</v>
      </c>
      <c r="AM103" s="349" t="e">
        <f t="shared" si="85"/>
        <v>#N/A</v>
      </c>
      <c r="AN103" s="349" t="e">
        <f t="shared" si="85"/>
        <v>#N/A</v>
      </c>
      <c r="AO103" s="349" t="e">
        <f t="shared" si="85"/>
        <v>#N/A</v>
      </c>
      <c r="AP103" s="349" t="e">
        <f t="shared" si="85"/>
        <v>#N/A</v>
      </c>
      <c r="AQ103" s="349" t="e">
        <f t="shared" si="85"/>
        <v>#N/A</v>
      </c>
    </row>
    <row r="104" spans="1:44" s="315" customFormat="1" ht="14.25" hidden="1">
      <c r="A104" s="620" t="s">
        <v>159</v>
      </c>
      <c r="B104" s="620"/>
      <c r="C104" s="620"/>
      <c r="E104" s="349" t="e">
        <f>IF(E102="",NA(),ROUNDDOWN(E102+E103,1))</f>
        <v>#N/A</v>
      </c>
      <c r="F104" s="349" t="e">
        <f t="shared" ref="F104:K104" si="86">IF(F102="",NA(),ROUNDDOWN(F102+F103,1))</f>
        <v>#N/A</v>
      </c>
      <c r="G104" s="349" t="e">
        <f t="shared" si="86"/>
        <v>#N/A</v>
      </c>
      <c r="H104" s="349" t="e">
        <f t="shared" si="86"/>
        <v>#N/A</v>
      </c>
      <c r="I104" s="349" t="e">
        <f t="shared" si="86"/>
        <v>#N/A</v>
      </c>
      <c r="J104" s="349" t="e">
        <f t="shared" si="86"/>
        <v>#N/A</v>
      </c>
      <c r="K104" s="349" t="e">
        <f t="shared" si="86"/>
        <v>#N/A</v>
      </c>
      <c r="L104" s="349" t="e">
        <f t="shared" ref="L104" si="87">IF(L102="",NA(),ROUNDDOWN(L102+L103,1))</f>
        <v>#N/A</v>
      </c>
      <c r="M104" s="349" t="e">
        <f t="shared" ref="M104" si="88">IF(M102="",NA(),ROUNDDOWN(M102+M103,1))</f>
        <v>#N/A</v>
      </c>
      <c r="N104" s="349" t="e">
        <f t="shared" ref="N104" si="89">IF(N102="",NA(),ROUNDDOWN(N102+N103,1))</f>
        <v>#N/A</v>
      </c>
      <c r="O104" s="349" t="e">
        <f t="shared" ref="O104" si="90">IF(O102="",NA(),ROUNDDOWN(O102+O103,1))</f>
        <v>#N/A</v>
      </c>
      <c r="P104" s="349" t="e">
        <f t="shared" ref="P104:R104" si="91">IF(P102="",NA(),ROUNDDOWN(P102+P103,1))</f>
        <v>#N/A</v>
      </c>
      <c r="Q104" s="349" t="e">
        <f t="shared" si="91"/>
        <v>#N/A</v>
      </c>
      <c r="R104" s="349" t="e">
        <f t="shared" si="91"/>
        <v>#N/A</v>
      </c>
      <c r="S104" s="349" t="e">
        <f t="shared" ref="S104" si="92">IF(S102="",NA(),ROUNDDOWN(S102+S103,1))</f>
        <v>#N/A</v>
      </c>
      <c r="T104" s="349" t="e">
        <f t="shared" ref="T104" si="93">IF(T102="",NA(),ROUNDDOWN(T102+T103,1))</f>
        <v>#N/A</v>
      </c>
      <c r="U104" s="349" t="e">
        <f t="shared" ref="U104" si="94">IF(U102="",NA(),ROUNDDOWN(U102+U103,1))</f>
        <v>#N/A</v>
      </c>
      <c r="V104" s="349" t="e">
        <f t="shared" ref="V104" si="95">IF(V102="",NA(),ROUNDDOWN(V102+V103,1))</f>
        <v>#N/A</v>
      </c>
      <c r="W104" s="349" t="e">
        <f t="shared" ref="W104" si="96">IF(W102="",NA(),ROUNDDOWN(W102+W103,1))</f>
        <v>#N/A</v>
      </c>
      <c r="X104" s="349" t="e">
        <f t="shared" ref="X104" si="97">IF(X102="",NA(),ROUNDDOWN(X102+X103,1))</f>
        <v>#N/A</v>
      </c>
      <c r="Y104" s="349" t="e">
        <f t="shared" ref="Y104" si="98">IF(Y102="",NA(),ROUNDDOWN(Y102+Y103,1))</f>
        <v>#N/A</v>
      </c>
      <c r="Z104" s="349" t="e">
        <f t="shared" ref="Z104" si="99">IF(Z102="",NA(),ROUNDDOWN(Z102+Z103,1))</f>
        <v>#N/A</v>
      </c>
      <c r="AA104" s="349" t="e">
        <f t="shared" ref="AA104" si="100">IF(AA102="",NA(),ROUNDDOWN(AA102+AA103,1))</f>
        <v>#N/A</v>
      </c>
      <c r="AB104" s="349" t="e">
        <f t="shared" ref="AB104" si="101">IF(AB102="",NA(),ROUNDDOWN(AB102+AB103,1))</f>
        <v>#N/A</v>
      </c>
      <c r="AC104" s="349" t="e">
        <f t="shared" ref="AC104" si="102">IF(AC102="",NA(),ROUNDDOWN(AC102+AC103,1))</f>
        <v>#N/A</v>
      </c>
      <c r="AD104" s="349" t="e">
        <f t="shared" ref="AD104:AE104" si="103">IF(AD102="",NA(),ROUNDDOWN(AD102+AD103,1))</f>
        <v>#N/A</v>
      </c>
      <c r="AE104" s="349" t="e">
        <f t="shared" si="103"/>
        <v>#N/A</v>
      </c>
      <c r="AF104" s="349" t="e">
        <f t="shared" ref="AF104" si="104">IF(AF102="",NA(),ROUNDDOWN(AF102+AF103,1))</f>
        <v>#N/A</v>
      </c>
      <c r="AG104" s="349" t="e">
        <f t="shared" ref="AG104" si="105">IF(AG102="",NA(),ROUNDDOWN(AG102+AG103,1))</f>
        <v>#N/A</v>
      </c>
      <c r="AH104" s="349" t="e">
        <f t="shared" ref="AH104" si="106">IF(AH102="",NA(),ROUNDDOWN(AH102+AH103,1))</f>
        <v>#N/A</v>
      </c>
      <c r="AI104" s="349" t="e">
        <f t="shared" ref="AI104" si="107">IF(AI102="",NA(),ROUNDDOWN(AI102+AI103,1))</f>
        <v>#N/A</v>
      </c>
      <c r="AJ104" s="349" t="e">
        <f t="shared" ref="AJ104" si="108">IF(AJ102="",NA(),ROUNDDOWN(AJ102+AJ103,1))</f>
        <v>#N/A</v>
      </c>
      <c r="AK104" s="349" t="e">
        <f t="shared" ref="AK104" si="109">IF(AK102="",NA(),ROUNDDOWN(AK102+AK103,1))</f>
        <v>#N/A</v>
      </c>
      <c r="AL104" s="349" t="e">
        <f t="shared" ref="AL104" si="110">IF(AL102="",NA(),ROUNDDOWN(AL102+AL103,1))</f>
        <v>#N/A</v>
      </c>
      <c r="AM104" s="349" t="e">
        <f t="shared" ref="AM104" si="111">IF(AM102="",NA(),ROUNDDOWN(AM102+AM103,1))</f>
        <v>#N/A</v>
      </c>
      <c r="AN104" s="349" t="e">
        <f t="shared" ref="AN104" si="112">IF(AN102="",NA(),ROUNDDOWN(AN102+AN103,1))</f>
        <v>#N/A</v>
      </c>
      <c r="AO104" s="349" t="e">
        <f t="shared" ref="AO104" si="113">IF(AO102="",NA(),ROUNDDOWN(AO102+AO103,1))</f>
        <v>#N/A</v>
      </c>
      <c r="AP104" s="349" t="e">
        <f t="shared" ref="AP104" si="114">IF(AP102="",NA(),ROUNDDOWN(AP102+AP103,1))</f>
        <v>#N/A</v>
      </c>
      <c r="AQ104" s="349" t="e">
        <f t="shared" ref="AQ104" si="115">IF(AQ102="",NA(),ROUNDDOWN(AQ102+AQ103,1))</f>
        <v>#N/A</v>
      </c>
    </row>
    <row r="105" spans="1:44" s="315" customFormat="1" ht="14.25" hidden="1">
      <c r="A105" s="620" t="s">
        <v>195</v>
      </c>
      <c r="B105" s="620"/>
      <c r="C105" s="620"/>
      <c r="E105" s="350" t="e">
        <f t="shared" ref="E105:AQ105" si="116">IF(E82="",NA(),IF(E78&lt;=$B93,E82*$D96/100,IF(E78&lt;=$C93,E82*$E96/100,IF(E78&lt;=$D93,E82*$F96/100,IF(E78&lt;=$E93,E82*$G96/100,IF(E78&lt;=$F93,E82*$H96/100,IF(E78&lt;=$G93,E82*$I96/100,IF(E78&lt;=$H93,E82*$J96/100,IF(E78&lt;=$I93,E82*$K96/100,IF(E78&lt;=$J93,E82*$L96/100,IF(E78&lt;=$K93,E82*$M96/100,IF(E78&lt;=$L93,E82*$N96/100,IF(E78&lt;=$M93,E82*$O96/100,IF(E78&lt;=$N93,E82*$P96/100,IF(E78&lt;=$O93,E82*$Q96/100,IF(E78&lt;=$P93,E82*$R96/100,IF(E78&lt;=$Q93,E82*$S96/100,IF(E78&lt;=$R93,E82*$T96/100,IF(E78&lt;=$S93,E82*$U96/100,IF(E78&lt;=$T93,E82*$V96/100,IF(E78&lt;=$U93,E82*$W96/100,E82*$X96/100)))))))))))))))))))))</f>
        <v>#N/A</v>
      </c>
      <c r="F105" s="350" t="e">
        <f t="shared" si="116"/>
        <v>#N/A</v>
      </c>
      <c r="G105" s="350" t="e">
        <f t="shared" si="116"/>
        <v>#N/A</v>
      </c>
      <c r="H105" s="350" t="e">
        <f t="shared" si="116"/>
        <v>#N/A</v>
      </c>
      <c r="I105" s="350" t="e">
        <f t="shared" si="116"/>
        <v>#N/A</v>
      </c>
      <c r="J105" s="350" t="e">
        <f t="shared" si="116"/>
        <v>#N/A</v>
      </c>
      <c r="K105" s="350" t="e">
        <f t="shared" si="116"/>
        <v>#N/A</v>
      </c>
      <c r="L105" s="350" t="e">
        <f t="shared" si="116"/>
        <v>#N/A</v>
      </c>
      <c r="M105" s="350" t="e">
        <f t="shared" si="116"/>
        <v>#N/A</v>
      </c>
      <c r="N105" s="350" t="e">
        <f t="shared" si="116"/>
        <v>#N/A</v>
      </c>
      <c r="O105" s="350" t="e">
        <f t="shared" si="116"/>
        <v>#N/A</v>
      </c>
      <c r="P105" s="350" t="e">
        <f t="shared" si="116"/>
        <v>#N/A</v>
      </c>
      <c r="Q105" s="350" t="e">
        <f t="shared" si="116"/>
        <v>#N/A</v>
      </c>
      <c r="R105" s="350" t="e">
        <f t="shared" si="116"/>
        <v>#N/A</v>
      </c>
      <c r="S105" s="350" t="e">
        <f t="shared" si="116"/>
        <v>#N/A</v>
      </c>
      <c r="T105" s="350" t="e">
        <f t="shared" si="116"/>
        <v>#N/A</v>
      </c>
      <c r="U105" s="350" t="e">
        <f t="shared" si="116"/>
        <v>#N/A</v>
      </c>
      <c r="V105" s="350" t="e">
        <f t="shared" si="116"/>
        <v>#N/A</v>
      </c>
      <c r="W105" s="350" t="e">
        <f t="shared" si="116"/>
        <v>#N/A</v>
      </c>
      <c r="X105" s="350" t="e">
        <f t="shared" si="116"/>
        <v>#N/A</v>
      </c>
      <c r="Y105" s="350" t="e">
        <f t="shared" si="116"/>
        <v>#N/A</v>
      </c>
      <c r="Z105" s="350" t="e">
        <f t="shared" si="116"/>
        <v>#N/A</v>
      </c>
      <c r="AA105" s="350" t="e">
        <f t="shared" si="116"/>
        <v>#N/A</v>
      </c>
      <c r="AB105" s="350" t="e">
        <f t="shared" si="116"/>
        <v>#N/A</v>
      </c>
      <c r="AC105" s="350" t="e">
        <f t="shared" si="116"/>
        <v>#N/A</v>
      </c>
      <c r="AD105" s="350" t="e">
        <f t="shared" si="116"/>
        <v>#N/A</v>
      </c>
      <c r="AE105" s="350" t="e">
        <f t="shared" si="116"/>
        <v>#N/A</v>
      </c>
      <c r="AF105" s="350" t="e">
        <f t="shared" si="116"/>
        <v>#N/A</v>
      </c>
      <c r="AG105" s="350" t="e">
        <f t="shared" si="116"/>
        <v>#N/A</v>
      </c>
      <c r="AH105" s="350" t="e">
        <f t="shared" si="116"/>
        <v>#N/A</v>
      </c>
      <c r="AI105" s="350" t="e">
        <f t="shared" si="116"/>
        <v>#N/A</v>
      </c>
      <c r="AJ105" s="350" t="e">
        <f t="shared" si="116"/>
        <v>#N/A</v>
      </c>
      <c r="AK105" s="350" t="e">
        <f t="shared" si="116"/>
        <v>#N/A</v>
      </c>
      <c r="AL105" s="350" t="e">
        <f t="shared" si="116"/>
        <v>#N/A</v>
      </c>
      <c r="AM105" s="350" t="e">
        <f t="shared" si="116"/>
        <v>#N/A</v>
      </c>
      <c r="AN105" s="350" t="e">
        <f t="shared" si="116"/>
        <v>#N/A</v>
      </c>
      <c r="AO105" s="350" t="e">
        <f t="shared" si="116"/>
        <v>#N/A</v>
      </c>
      <c r="AP105" s="350" t="e">
        <f t="shared" si="116"/>
        <v>#N/A</v>
      </c>
      <c r="AQ105" s="350" t="e">
        <f t="shared" si="116"/>
        <v>#N/A</v>
      </c>
    </row>
    <row r="106" spans="1:44" s="315" customFormat="1" ht="14.25" hidden="1">
      <c r="A106" s="547" t="s">
        <v>319</v>
      </c>
      <c r="B106" s="620"/>
      <c r="C106" s="603"/>
      <c r="E106" s="351" t="e">
        <f>IF(E105="",NA(),ROUND(E105*1.5848,1))</f>
        <v>#N/A</v>
      </c>
      <c r="F106" s="351" t="e">
        <f t="shared" ref="F106:K106" si="117">IF(F105="",NA(),ROUND(F105*1.5848,1))</f>
        <v>#N/A</v>
      </c>
      <c r="G106" s="351" t="e">
        <f t="shared" si="117"/>
        <v>#N/A</v>
      </c>
      <c r="H106" s="351" t="e">
        <f t="shared" si="117"/>
        <v>#N/A</v>
      </c>
      <c r="I106" s="351" t="e">
        <f t="shared" si="117"/>
        <v>#N/A</v>
      </c>
      <c r="J106" s="351" t="e">
        <f t="shared" si="117"/>
        <v>#N/A</v>
      </c>
      <c r="K106" s="351" t="e">
        <f t="shared" si="117"/>
        <v>#N/A</v>
      </c>
      <c r="L106" s="351" t="e">
        <f t="shared" ref="L106" si="118">IF(L105="",NA(),ROUND(L105*1.5848,1))</f>
        <v>#N/A</v>
      </c>
      <c r="M106" s="351" t="e">
        <f t="shared" ref="M106" si="119">IF(M105="",NA(),ROUND(M105*1.5848,1))</f>
        <v>#N/A</v>
      </c>
      <c r="N106" s="351" t="e">
        <f t="shared" ref="N106" si="120">IF(N105="",NA(),ROUND(N105*1.5848,1))</f>
        <v>#N/A</v>
      </c>
      <c r="O106" s="351" t="e">
        <f t="shared" ref="O106" si="121">IF(O105="",NA(),ROUND(O105*1.5848,1))</f>
        <v>#N/A</v>
      </c>
      <c r="P106" s="351" t="e">
        <f t="shared" ref="P106:R106" si="122">IF(P105="",NA(),ROUND(P105*1.5848,1))</f>
        <v>#N/A</v>
      </c>
      <c r="Q106" s="351" t="e">
        <f t="shared" si="122"/>
        <v>#N/A</v>
      </c>
      <c r="R106" s="351" t="e">
        <f t="shared" si="122"/>
        <v>#N/A</v>
      </c>
      <c r="S106" s="351" t="e">
        <f t="shared" ref="S106" si="123">IF(S105="",NA(),ROUND(S105*1.5848,1))</f>
        <v>#N/A</v>
      </c>
      <c r="T106" s="351" t="e">
        <f t="shared" ref="T106" si="124">IF(T105="",NA(),ROUND(T105*1.5848,1))</f>
        <v>#N/A</v>
      </c>
      <c r="U106" s="351" t="e">
        <f t="shared" ref="U106" si="125">IF(U105="",NA(),ROUND(U105*1.5848,1))</f>
        <v>#N/A</v>
      </c>
      <c r="V106" s="351" t="e">
        <f t="shared" ref="V106" si="126">IF(V105="",NA(),ROUND(V105*1.5848,1))</f>
        <v>#N/A</v>
      </c>
      <c r="W106" s="351" t="e">
        <f t="shared" ref="W106" si="127">IF(W105="",NA(),ROUND(W105*1.5848,1))</f>
        <v>#N/A</v>
      </c>
      <c r="X106" s="351" t="e">
        <f t="shared" ref="X106" si="128">IF(X105="",NA(),ROUND(X105*1.5848,1))</f>
        <v>#N/A</v>
      </c>
      <c r="Y106" s="351" t="e">
        <f t="shared" ref="Y106" si="129">IF(Y105="",NA(),ROUND(Y105*1.5848,1))</f>
        <v>#N/A</v>
      </c>
      <c r="Z106" s="351" t="e">
        <f t="shared" ref="Z106" si="130">IF(Z105="",NA(),ROUND(Z105*1.5848,1))</f>
        <v>#N/A</v>
      </c>
      <c r="AA106" s="351" t="e">
        <f t="shared" ref="AA106" si="131">IF(AA105="",NA(),ROUND(AA105*1.5848,1))</f>
        <v>#N/A</v>
      </c>
      <c r="AB106" s="351" t="e">
        <f t="shared" ref="AB106" si="132">IF(AB105="",NA(),ROUND(AB105*1.5848,1))</f>
        <v>#N/A</v>
      </c>
      <c r="AC106" s="351" t="e">
        <f t="shared" ref="AC106" si="133">IF(AC105="",NA(),ROUND(AC105*1.5848,1))</f>
        <v>#N/A</v>
      </c>
      <c r="AD106" s="351" t="e">
        <f t="shared" ref="AD106:AE106" si="134">IF(AD105="",NA(),ROUND(AD105*1.5848,1))</f>
        <v>#N/A</v>
      </c>
      <c r="AE106" s="351" t="e">
        <f t="shared" si="134"/>
        <v>#N/A</v>
      </c>
      <c r="AF106" s="351" t="e">
        <f t="shared" ref="AF106" si="135">IF(AF105="",NA(),ROUND(AF105*1.5848,1))</f>
        <v>#N/A</v>
      </c>
      <c r="AG106" s="351" t="e">
        <f t="shared" ref="AG106" si="136">IF(AG105="",NA(),ROUND(AG105*1.5848,1))</f>
        <v>#N/A</v>
      </c>
      <c r="AH106" s="351" t="e">
        <f t="shared" ref="AH106" si="137">IF(AH105="",NA(),ROUND(AH105*1.5848,1))</f>
        <v>#N/A</v>
      </c>
      <c r="AI106" s="351" t="e">
        <f t="shared" ref="AI106" si="138">IF(AI105="",NA(),ROUND(AI105*1.5848,1))</f>
        <v>#N/A</v>
      </c>
      <c r="AJ106" s="351" t="e">
        <f t="shared" ref="AJ106" si="139">IF(AJ105="",NA(),ROUND(AJ105*1.5848,1))</f>
        <v>#N/A</v>
      </c>
      <c r="AK106" s="351" t="e">
        <f t="shared" ref="AK106" si="140">IF(AK105="",NA(),ROUND(AK105*1.5848,1))</f>
        <v>#N/A</v>
      </c>
      <c r="AL106" s="351" t="e">
        <f t="shared" ref="AL106" si="141">IF(AL105="",NA(),ROUND(AL105*1.5848,1))</f>
        <v>#N/A</v>
      </c>
      <c r="AM106" s="351" t="e">
        <f t="shared" ref="AM106" si="142">IF(AM105="",NA(),ROUND(AM105*1.5848,1))</f>
        <v>#N/A</v>
      </c>
      <c r="AN106" s="351" t="e">
        <f t="shared" ref="AN106" si="143">IF(AN105="",NA(),ROUND(AN105*1.5848,1))</f>
        <v>#N/A</v>
      </c>
      <c r="AO106" s="351" t="e">
        <f t="shared" ref="AO106" si="144">IF(AO105="",NA(),ROUND(AO105*1.5848,1))</f>
        <v>#N/A</v>
      </c>
      <c r="AP106" s="351" t="e">
        <f t="shared" ref="AP106" si="145">IF(AP105="",NA(),ROUND(AP105*1.5848,1))</f>
        <v>#N/A</v>
      </c>
      <c r="AQ106" s="351" t="e">
        <f t="shared" ref="AQ106" si="146">IF(AQ105="",NA(),ROUND(AQ105*1.5848,1))</f>
        <v>#N/A</v>
      </c>
    </row>
    <row r="107" spans="1:44" s="315" customFormat="1" ht="14.25" hidden="1">
      <c r="A107" s="547" t="s">
        <v>320</v>
      </c>
      <c r="B107" s="620"/>
      <c r="C107" s="603"/>
      <c r="E107" s="351" t="e">
        <f>IF(E108="",NA(),ROUND(E108-E106,1))</f>
        <v>#N/A</v>
      </c>
      <c r="F107" s="351" t="e">
        <f t="shared" ref="F107:K107" si="147">IF(F108="",NA(),ROUND(F108-F106,1))</f>
        <v>#N/A</v>
      </c>
      <c r="G107" s="351" t="e">
        <f t="shared" si="147"/>
        <v>#N/A</v>
      </c>
      <c r="H107" s="351" t="e">
        <f t="shared" si="147"/>
        <v>#N/A</v>
      </c>
      <c r="I107" s="351" t="e">
        <f t="shared" si="147"/>
        <v>#N/A</v>
      </c>
      <c r="J107" s="351" t="e">
        <f t="shared" si="147"/>
        <v>#N/A</v>
      </c>
      <c r="K107" s="351" t="e">
        <f t="shared" si="147"/>
        <v>#N/A</v>
      </c>
      <c r="L107" s="351" t="e">
        <f t="shared" ref="L107" si="148">IF(L108="",NA(),ROUND(L108-L106,1))</f>
        <v>#N/A</v>
      </c>
      <c r="M107" s="351" t="e">
        <f t="shared" ref="M107" si="149">IF(M108="",NA(),ROUND(M108-M106,1))</f>
        <v>#N/A</v>
      </c>
      <c r="N107" s="351" t="e">
        <f t="shared" ref="N107" si="150">IF(N108="",NA(),ROUND(N108-N106,1))</f>
        <v>#N/A</v>
      </c>
      <c r="O107" s="351" t="e">
        <f t="shared" ref="O107" si="151">IF(O108="",NA(),ROUND(O108-O106,1))</f>
        <v>#N/A</v>
      </c>
      <c r="P107" s="351" t="e">
        <f t="shared" ref="P107:R107" si="152">IF(P108="",NA(),ROUND(P108-P106,1))</f>
        <v>#N/A</v>
      </c>
      <c r="Q107" s="351" t="e">
        <f t="shared" si="152"/>
        <v>#N/A</v>
      </c>
      <c r="R107" s="351" t="e">
        <f t="shared" si="152"/>
        <v>#N/A</v>
      </c>
      <c r="S107" s="351" t="e">
        <f t="shared" ref="S107" si="153">IF(S108="",NA(),ROUND(S108-S106,1))</f>
        <v>#N/A</v>
      </c>
      <c r="T107" s="351" t="e">
        <f t="shared" ref="T107" si="154">IF(T108="",NA(),ROUND(T108-T106,1))</f>
        <v>#N/A</v>
      </c>
      <c r="U107" s="351" t="e">
        <f t="shared" ref="U107" si="155">IF(U108="",NA(),ROUND(U108-U106,1))</f>
        <v>#N/A</v>
      </c>
      <c r="V107" s="351" t="e">
        <f t="shared" ref="V107" si="156">IF(V108="",NA(),ROUND(V108-V106,1))</f>
        <v>#N/A</v>
      </c>
      <c r="W107" s="351" t="e">
        <f t="shared" ref="W107" si="157">IF(W108="",NA(),ROUND(W108-W106,1))</f>
        <v>#N/A</v>
      </c>
      <c r="X107" s="351" t="e">
        <f t="shared" ref="X107" si="158">IF(X108="",NA(),ROUND(X108-X106,1))</f>
        <v>#N/A</v>
      </c>
      <c r="Y107" s="351" t="e">
        <f t="shared" ref="Y107" si="159">IF(Y108="",NA(),ROUND(Y108-Y106,1))</f>
        <v>#N/A</v>
      </c>
      <c r="Z107" s="351" t="e">
        <f t="shared" ref="Z107" si="160">IF(Z108="",NA(),ROUND(Z108-Z106,1))</f>
        <v>#N/A</v>
      </c>
      <c r="AA107" s="351" t="e">
        <f t="shared" ref="AA107" si="161">IF(AA108="",NA(),ROUND(AA108-AA106,1))</f>
        <v>#N/A</v>
      </c>
      <c r="AB107" s="351" t="e">
        <f t="shared" ref="AB107" si="162">IF(AB108="",NA(),ROUND(AB108-AB106,1))</f>
        <v>#N/A</v>
      </c>
      <c r="AC107" s="351" t="e">
        <f t="shared" ref="AC107" si="163">IF(AC108="",NA(),ROUND(AC108-AC106,1))</f>
        <v>#N/A</v>
      </c>
      <c r="AD107" s="351" t="e">
        <f t="shared" ref="AD107:AE107" si="164">IF(AD108="",NA(),ROUND(AD108-AD106,1))</f>
        <v>#N/A</v>
      </c>
      <c r="AE107" s="351" t="e">
        <f t="shared" si="164"/>
        <v>#N/A</v>
      </c>
      <c r="AF107" s="351" t="e">
        <f t="shared" ref="AF107" si="165">IF(AF108="",NA(),ROUND(AF108-AF106,1))</f>
        <v>#N/A</v>
      </c>
      <c r="AG107" s="351" t="e">
        <f t="shared" ref="AG107" si="166">IF(AG108="",NA(),ROUND(AG108-AG106,1))</f>
        <v>#N/A</v>
      </c>
      <c r="AH107" s="351" t="e">
        <f t="shared" ref="AH107" si="167">IF(AH108="",NA(),ROUND(AH108-AH106,1))</f>
        <v>#N/A</v>
      </c>
      <c r="AI107" s="351" t="e">
        <f t="shared" ref="AI107" si="168">IF(AI108="",NA(),ROUND(AI108-AI106,1))</f>
        <v>#N/A</v>
      </c>
      <c r="AJ107" s="351" t="e">
        <f t="shared" ref="AJ107" si="169">IF(AJ108="",NA(),ROUND(AJ108-AJ106,1))</f>
        <v>#N/A</v>
      </c>
      <c r="AK107" s="351" t="e">
        <f t="shared" ref="AK107" si="170">IF(AK108="",NA(),ROUND(AK108-AK106,1))</f>
        <v>#N/A</v>
      </c>
      <c r="AL107" s="351" t="e">
        <f t="shared" ref="AL107" si="171">IF(AL108="",NA(),ROUND(AL108-AL106,1))</f>
        <v>#N/A</v>
      </c>
      <c r="AM107" s="351" t="e">
        <f t="shared" ref="AM107" si="172">IF(AM108="",NA(),ROUND(AM108-AM106,1))</f>
        <v>#N/A</v>
      </c>
      <c r="AN107" s="351" t="e">
        <f t="shared" ref="AN107" si="173">IF(AN108="",NA(),ROUND(AN108-AN106,1))</f>
        <v>#N/A</v>
      </c>
      <c r="AO107" s="351" t="e">
        <f t="shared" ref="AO107" si="174">IF(AO108="",NA(),ROUND(AO108-AO106,1))</f>
        <v>#N/A</v>
      </c>
      <c r="AP107" s="351" t="e">
        <f t="shared" ref="AP107" si="175">IF(AP108="",NA(),ROUND(AP108-AP106,1))</f>
        <v>#N/A</v>
      </c>
      <c r="AQ107" s="351" t="e">
        <f t="shared" ref="AQ107" si="176">IF(AQ108="",NA(),ROUND(AQ108-AQ106,1))</f>
        <v>#N/A</v>
      </c>
    </row>
    <row r="108" spans="1:44" s="315" customFormat="1" ht="14.25" hidden="1">
      <c r="A108" s="547" t="s">
        <v>321</v>
      </c>
      <c r="B108" s="620"/>
      <c r="C108" s="603"/>
      <c r="E108" s="350" t="e">
        <f t="shared" ref="E108:AQ108" si="177">IF(E104="",NA(),IF(E78&lt;=$B93,E104*$D96/100,IF(E78&lt;=$C93,E104*$E96/100,IF(E78&lt;=$D93,E104*$F96/100,IF(E78&lt;=$E93,E104*$G96/100,IF(E78&lt;=$F93,E104*$H96/100,IF(E78&lt;=$G93,E104*$I96/100,IF(E78&lt;=$H93,E104*$J96/100,IF(E78&lt;=$I93,E104*$K96/100,IF(E78&lt;=$J93,E104*$L96/100,IF(E78&lt;=$K93,E104*$M96/100,IF(E78&lt;=$L93,E104*$N96/100,IF(E78&lt;=$M93,E104*$O96/100,IF(E78&lt;=$N93,E104*$P96/100,IF(E78&lt;=$O93,E104*$Q96/100,IF(E78&lt;=$P93,E104*$R96/100,IF(E78&lt;=$Q93,E104*$S96/100,IF(E78&lt;=$R93,E104*$T96/100,IF(E78&lt;=$S93,E104*$U96/100,IF(E78&lt;=$T93,E104*$V96/100,IF(E78&lt;=$U93,E104*$W96/100,E104*$X96/100)))))))))))))))))))))</f>
        <v>#N/A</v>
      </c>
      <c r="F108" s="350" t="e">
        <f t="shared" si="177"/>
        <v>#N/A</v>
      </c>
      <c r="G108" s="350" t="e">
        <f t="shared" si="177"/>
        <v>#N/A</v>
      </c>
      <c r="H108" s="350" t="e">
        <f t="shared" si="177"/>
        <v>#N/A</v>
      </c>
      <c r="I108" s="350" t="e">
        <f t="shared" si="177"/>
        <v>#N/A</v>
      </c>
      <c r="J108" s="350" t="e">
        <f t="shared" si="177"/>
        <v>#N/A</v>
      </c>
      <c r="K108" s="350" t="e">
        <f t="shared" si="177"/>
        <v>#N/A</v>
      </c>
      <c r="L108" s="350" t="e">
        <f t="shared" si="177"/>
        <v>#N/A</v>
      </c>
      <c r="M108" s="350" t="e">
        <f t="shared" si="177"/>
        <v>#N/A</v>
      </c>
      <c r="N108" s="350" t="e">
        <f t="shared" si="177"/>
        <v>#N/A</v>
      </c>
      <c r="O108" s="350" t="e">
        <f t="shared" si="177"/>
        <v>#N/A</v>
      </c>
      <c r="P108" s="350" t="e">
        <f t="shared" si="177"/>
        <v>#N/A</v>
      </c>
      <c r="Q108" s="350" t="e">
        <f t="shared" si="177"/>
        <v>#N/A</v>
      </c>
      <c r="R108" s="350" t="e">
        <f t="shared" si="177"/>
        <v>#N/A</v>
      </c>
      <c r="S108" s="350" t="e">
        <f t="shared" si="177"/>
        <v>#N/A</v>
      </c>
      <c r="T108" s="350" t="e">
        <f t="shared" si="177"/>
        <v>#N/A</v>
      </c>
      <c r="U108" s="350" t="e">
        <f t="shared" si="177"/>
        <v>#N/A</v>
      </c>
      <c r="V108" s="350" t="e">
        <f t="shared" si="177"/>
        <v>#N/A</v>
      </c>
      <c r="W108" s="350" t="e">
        <f t="shared" si="177"/>
        <v>#N/A</v>
      </c>
      <c r="X108" s="350" t="e">
        <f t="shared" si="177"/>
        <v>#N/A</v>
      </c>
      <c r="Y108" s="350" t="e">
        <f t="shared" si="177"/>
        <v>#N/A</v>
      </c>
      <c r="Z108" s="350" t="e">
        <f t="shared" si="177"/>
        <v>#N/A</v>
      </c>
      <c r="AA108" s="350" t="e">
        <f t="shared" si="177"/>
        <v>#N/A</v>
      </c>
      <c r="AB108" s="350" t="e">
        <f t="shared" si="177"/>
        <v>#N/A</v>
      </c>
      <c r="AC108" s="350" t="e">
        <f t="shared" si="177"/>
        <v>#N/A</v>
      </c>
      <c r="AD108" s="350" t="e">
        <f t="shared" si="177"/>
        <v>#N/A</v>
      </c>
      <c r="AE108" s="350" t="e">
        <f t="shared" si="177"/>
        <v>#N/A</v>
      </c>
      <c r="AF108" s="350" t="e">
        <f t="shared" si="177"/>
        <v>#N/A</v>
      </c>
      <c r="AG108" s="350" t="e">
        <f t="shared" si="177"/>
        <v>#N/A</v>
      </c>
      <c r="AH108" s="350" t="e">
        <f t="shared" si="177"/>
        <v>#N/A</v>
      </c>
      <c r="AI108" s="350" t="e">
        <f t="shared" si="177"/>
        <v>#N/A</v>
      </c>
      <c r="AJ108" s="350" t="e">
        <f t="shared" si="177"/>
        <v>#N/A</v>
      </c>
      <c r="AK108" s="350" t="e">
        <f t="shared" si="177"/>
        <v>#N/A</v>
      </c>
      <c r="AL108" s="350" t="e">
        <f t="shared" si="177"/>
        <v>#N/A</v>
      </c>
      <c r="AM108" s="350" t="e">
        <f t="shared" si="177"/>
        <v>#N/A</v>
      </c>
      <c r="AN108" s="350" t="e">
        <f t="shared" si="177"/>
        <v>#N/A</v>
      </c>
      <c r="AO108" s="350" t="e">
        <f t="shared" si="177"/>
        <v>#N/A</v>
      </c>
      <c r="AP108" s="350" t="e">
        <f t="shared" si="177"/>
        <v>#N/A</v>
      </c>
      <c r="AQ108" s="350" t="e">
        <f t="shared" si="177"/>
        <v>#N/A</v>
      </c>
    </row>
    <row r="109" spans="1:44" s="315" customFormat="1" ht="15" hidden="1" thickBot="1">
      <c r="A109" s="557" t="s">
        <v>322</v>
      </c>
      <c r="B109" s="621"/>
      <c r="C109" s="621"/>
      <c r="E109" s="352" t="e">
        <f>IF(E108="",NA(),ROUND(E106/E108*100,1))</f>
        <v>#N/A</v>
      </c>
      <c r="F109" s="352" t="e">
        <f t="shared" ref="F109:I109" si="178">IF(F108="",NA(),ROUND(F106/F108*100,1))</f>
        <v>#N/A</v>
      </c>
      <c r="G109" s="352" t="e">
        <f t="shared" si="178"/>
        <v>#N/A</v>
      </c>
      <c r="H109" s="352" t="e">
        <f t="shared" si="178"/>
        <v>#N/A</v>
      </c>
      <c r="I109" s="352" t="e">
        <f t="shared" si="178"/>
        <v>#N/A</v>
      </c>
      <c r="J109" s="352" t="e">
        <f>IF(J108="",NA(),ROUND(J106/J108*100,1))</f>
        <v>#N/A</v>
      </c>
      <c r="K109" s="352" t="e">
        <f>IF(K108="",NA(),ROUND(K106/K108*100,1))</f>
        <v>#N/A</v>
      </c>
      <c r="L109" s="352" t="e">
        <f t="shared" ref="L109" si="179">IF(L108="",NA(),ROUND(L106/L108*100,1))</f>
        <v>#N/A</v>
      </c>
      <c r="M109" s="352" t="e">
        <f t="shared" ref="M109" si="180">IF(M108="",NA(),ROUND(M106/M108*100,1))</f>
        <v>#N/A</v>
      </c>
      <c r="N109" s="352" t="e">
        <f t="shared" ref="N109" si="181">IF(N108="",NA(),ROUND(N106/N108*100,1))</f>
        <v>#N/A</v>
      </c>
      <c r="O109" s="352" t="e">
        <f t="shared" ref="O109" si="182">IF(O108="",NA(),ROUND(O106/O108*100,1))</f>
        <v>#N/A</v>
      </c>
      <c r="P109" s="352" t="e">
        <f t="shared" ref="P109:R109" si="183">IF(P108="",NA(),ROUND(P106/P108*100,1))</f>
        <v>#N/A</v>
      </c>
      <c r="Q109" s="352" t="e">
        <f t="shared" si="183"/>
        <v>#N/A</v>
      </c>
      <c r="R109" s="352" t="e">
        <f t="shared" si="183"/>
        <v>#N/A</v>
      </c>
      <c r="S109" s="352" t="e">
        <f t="shared" ref="S109" si="184">IF(S108="",NA(),ROUND(S106/S108*100,1))</f>
        <v>#N/A</v>
      </c>
      <c r="T109" s="352" t="e">
        <f t="shared" ref="T109" si="185">IF(T108="",NA(),ROUND(T106/T108*100,1))</f>
        <v>#N/A</v>
      </c>
      <c r="U109" s="352" t="e">
        <f t="shared" ref="U109" si="186">IF(U108="",NA(),ROUND(U106/U108*100,1))</f>
        <v>#N/A</v>
      </c>
      <c r="V109" s="352" t="e">
        <f t="shared" ref="V109" si="187">IF(V108="",NA(),ROUND(V106/V108*100,1))</f>
        <v>#N/A</v>
      </c>
      <c r="W109" s="352" t="e">
        <f t="shared" ref="W109" si="188">IF(W108="",NA(),ROUND(W106/W108*100,1))</f>
        <v>#N/A</v>
      </c>
      <c r="X109" s="352" t="e">
        <f t="shared" ref="X109" si="189">IF(X108="",NA(),ROUND(X106/X108*100,1))</f>
        <v>#N/A</v>
      </c>
      <c r="Y109" s="352" t="e">
        <f t="shared" ref="Y109" si="190">IF(Y108="",NA(),ROUND(Y106/Y108*100,1))</f>
        <v>#N/A</v>
      </c>
      <c r="Z109" s="352" t="e">
        <f t="shared" ref="Z109" si="191">IF(Z108="",NA(),ROUND(Z106/Z108*100,1))</f>
        <v>#N/A</v>
      </c>
      <c r="AA109" s="352" t="e">
        <f t="shared" ref="AA109" si="192">IF(AA108="",NA(),ROUND(AA106/AA108*100,1))</f>
        <v>#N/A</v>
      </c>
      <c r="AB109" s="352" t="e">
        <f t="shared" ref="AB109" si="193">IF(AB108="",NA(),ROUND(AB106/AB108*100,1))</f>
        <v>#N/A</v>
      </c>
      <c r="AC109" s="352" t="e">
        <f t="shared" ref="AC109" si="194">IF(AC108="",NA(),ROUND(AC106/AC108*100,1))</f>
        <v>#N/A</v>
      </c>
      <c r="AD109" s="352" t="e">
        <f t="shared" ref="AD109:AE109" si="195">IF(AD108="",NA(),ROUND(AD106/AD108*100,1))</f>
        <v>#N/A</v>
      </c>
      <c r="AE109" s="352" t="e">
        <f t="shared" si="195"/>
        <v>#N/A</v>
      </c>
      <c r="AF109" s="352" t="e">
        <f t="shared" ref="AF109" si="196">IF(AF108="",NA(),ROUND(AF106/AF108*100,1))</f>
        <v>#N/A</v>
      </c>
      <c r="AG109" s="352" t="e">
        <f t="shared" ref="AG109" si="197">IF(AG108="",NA(),ROUND(AG106/AG108*100,1))</f>
        <v>#N/A</v>
      </c>
      <c r="AH109" s="352" t="e">
        <f t="shared" ref="AH109" si="198">IF(AH108="",NA(),ROUND(AH106/AH108*100,1))</f>
        <v>#N/A</v>
      </c>
      <c r="AI109" s="352" t="e">
        <f t="shared" ref="AI109" si="199">IF(AI108="",NA(),ROUND(AI106/AI108*100,1))</f>
        <v>#N/A</v>
      </c>
      <c r="AJ109" s="352" t="e">
        <f t="shared" ref="AJ109" si="200">IF(AJ108="",NA(),ROUND(AJ106/AJ108*100,1))</f>
        <v>#N/A</v>
      </c>
      <c r="AK109" s="352" t="e">
        <f t="shared" ref="AK109" si="201">IF(AK108="",NA(),ROUND(AK106/AK108*100,1))</f>
        <v>#N/A</v>
      </c>
      <c r="AL109" s="352" t="e">
        <f t="shared" ref="AL109" si="202">IF(AL108="",NA(),ROUND(AL106/AL108*100,1))</f>
        <v>#N/A</v>
      </c>
      <c r="AM109" s="352" t="e">
        <f t="shared" ref="AM109" si="203">IF(AM108="",NA(),ROUND(AM106/AM108*100,1))</f>
        <v>#N/A</v>
      </c>
      <c r="AN109" s="352" t="e">
        <f t="shared" ref="AN109" si="204">IF(AN108="",NA(),ROUND(AN106/AN108*100,1))</f>
        <v>#N/A</v>
      </c>
      <c r="AO109" s="352" t="e">
        <f t="shared" ref="AO109" si="205">IF(AO108="",NA(),ROUND(AO106/AO108*100,1))</f>
        <v>#N/A</v>
      </c>
      <c r="AP109" s="352" t="e">
        <f t="shared" ref="AP109" si="206">IF(AP108="",NA(),ROUND(AP106/AP108*100,1))</f>
        <v>#N/A</v>
      </c>
      <c r="AQ109" s="352" t="e">
        <f t="shared" ref="AQ109" si="207">IF(AQ108="",NA(),ROUND(AQ106/AQ108*100,1))</f>
        <v>#N/A</v>
      </c>
      <c r="AR109" s="352"/>
    </row>
    <row r="110" spans="1:44" s="315" customFormat="1" ht="14.25"/>
    <row r="111" spans="1:44" s="315" customFormat="1" ht="21" customHeight="1" thickBot="1">
      <c r="A111" s="314" t="s">
        <v>409</v>
      </c>
    </row>
    <row r="112" spans="1:44" s="315" customFormat="1" ht="14.45" customHeight="1" thickBot="1">
      <c r="A112" s="614" t="s">
        <v>282</v>
      </c>
      <c r="B112" s="615"/>
      <c r="C112" s="615"/>
      <c r="D112" s="618"/>
      <c r="E112" s="618"/>
      <c r="F112" s="619"/>
      <c r="H112" s="316" t="s">
        <v>290</v>
      </c>
      <c r="I112" s="618"/>
      <c r="J112" s="619"/>
      <c r="L112" s="449" t="s">
        <v>293</v>
      </c>
      <c r="M112" s="450"/>
      <c r="N112" s="457"/>
      <c r="O112" s="457"/>
      <c r="P112" s="457"/>
      <c r="Q112" s="458"/>
      <c r="R112" s="458"/>
      <c r="S112" s="458"/>
      <c r="T112" s="458"/>
    </row>
    <row r="113" spans="1:44" s="315" customFormat="1" ht="12.95" customHeight="1" thickBot="1">
      <c r="L113" s="594"/>
      <c r="M113" s="595"/>
      <c r="N113" s="595"/>
      <c r="O113" s="595"/>
      <c r="P113" s="595"/>
      <c r="Q113" s="595"/>
      <c r="R113" s="595"/>
      <c r="S113" s="595"/>
      <c r="T113" s="596"/>
    </row>
    <row r="114" spans="1:44" s="315" customFormat="1" ht="14.25">
      <c r="A114" s="545" t="s">
        <v>61</v>
      </c>
      <c r="B114" s="617"/>
      <c r="C114" s="617"/>
      <c r="D114" s="366" t="s">
        <v>47</v>
      </c>
      <c r="E114" s="366" t="s">
        <v>13</v>
      </c>
      <c r="F114" s="366" t="s">
        <v>15</v>
      </c>
      <c r="G114" s="366" t="s">
        <v>48</v>
      </c>
      <c r="H114" s="366" t="s">
        <v>49</v>
      </c>
      <c r="I114" s="319" t="s">
        <v>52</v>
      </c>
      <c r="J114" s="320" t="s">
        <v>51</v>
      </c>
      <c r="K114" s="321"/>
      <c r="L114" s="597"/>
      <c r="M114" s="598"/>
      <c r="N114" s="598"/>
      <c r="O114" s="598"/>
      <c r="P114" s="598"/>
      <c r="Q114" s="598"/>
      <c r="R114" s="598"/>
      <c r="S114" s="598"/>
      <c r="T114" s="599"/>
      <c r="Z114" s="322"/>
      <c r="AA114" s="322"/>
    </row>
    <row r="115" spans="1:44" s="315" customFormat="1" ht="14.25">
      <c r="A115" s="547" t="s">
        <v>163</v>
      </c>
      <c r="B115" s="620"/>
      <c r="C115" s="620"/>
      <c r="D115" s="424" t="str">
        <f>IF(D116+D117=0,"",D116+D117)</f>
        <v/>
      </c>
      <c r="E115" s="424" t="str">
        <f>IF(E116+E117=0,"",E116+E117)</f>
        <v/>
      </c>
      <c r="F115" s="424" t="str">
        <f>IF(F116+F117=0,"",F116+F117)</f>
        <v/>
      </c>
      <c r="G115" s="424" t="str">
        <f>IF(G116+G117=0,"",G116+G117)</f>
        <v/>
      </c>
      <c r="H115" s="424" t="str">
        <f>IF(H116+H117=0,"",H116+H117)</f>
        <v/>
      </c>
      <c r="I115" s="323"/>
      <c r="J115" s="441" t="str">
        <f>IF(SUM(D115:I115)=0,"",SUM(D115:I115))</f>
        <v/>
      </c>
      <c r="K115" s="321"/>
      <c r="L115" s="597"/>
      <c r="M115" s="598"/>
      <c r="N115" s="598"/>
      <c r="O115" s="598"/>
      <c r="P115" s="598"/>
      <c r="Q115" s="598"/>
      <c r="R115" s="598"/>
      <c r="S115" s="598"/>
      <c r="T115" s="599"/>
      <c r="Z115" s="322"/>
      <c r="AA115" s="322"/>
    </row>
    <row r="116" spans="1:44" s="315" customFormat="1" ht="14.25">
      <c r="A116" s="547" t="s">
        <v>93</v>
      </c>
      <c r="B116" s="620"/>
      <c r="C116" s="620"/>
      <c r="D116" s="371"/>
      <c r="E116" s="371"/>
      <c r="F116" s="371"/>
      <c r="G116" s="371"/>
      <c r="H116" s="371"/>
      <c r="I116" s="323"/>
      <c r="J116" s="441" t="str">
        <f>IF(SUM(D116:I116)=0,"",SUM(D116:I116))</f>
        <v/>
      </c>
      <c r="K116" s="325"/>
      <c r="L116" s="597"/>
      <c r="M116" s="598"/>
      <c r="N116" s="598"/>
      <c r="O116" s="598"/>
      <c r="P116" s="598"/>
      <c r="Q116" s="598"/>
      <c r="R116" s="598"/>
      <c r="S116" s="598"/>
      <c r="T116" s="599"/>
      <c r="Y116" s="589"/>
      <c r="Z116" s="589"/>
      <c r="AA116" s="589"/>
    </row>
    <row r="117" spans="1:44" s="315" customFormat="1" ht="14.25">
      <c r="A117" s="547" t="s">
        <v>50</v>
      </c>
      <c r="B117" s="620"/>
      <c r="C117" s="620"/>
      <c r="D117" s="371"/>
      <c r="E117" s="371"/>
      <c r="F117" s="371"/>
      <c r="G117" s="371"/>
      <c r="H117" s="371"/>
      <c r="I117" s="323"/>
      <c r="J117" s="441" t="str">
        <f>IF(SUM(D117:I117)=0,"",SUM(D117:I117))</f>
        <v/>
      </c>
      <c r="K117" s="325"/>
      <c r="L117" s="597"/>
      <c r="M117" s="598"/>
      <c r="N117" s="598"/>
      <c r="O117" s="598"/>
      <c r="P117" s="598"/>
      <c r="Q117" s="598"/>
      <c r="R117" s="598"/>
      <c r="S117" s="598"/>
      <c r="T117" s="599"/>
      <c r="Y117" s="589"/>
      <c r="Z117" s="589"/>
      <c r="AA117" s="589"/>
    </row>
    <row r="118" spans="1:44" s="315" customFormat="1" ht="15" thickBot="1">
      <c r="A118" s="557" t="s">
        <v>162</v>
      </c>
      <c r="B118" s="621"/>
      <c r="C118" s="621"/>
      <c r="D118" s="372"/>
      <c r="E118" s="372"/>
      <c r="F118" s="372"/>
      <c r="G118" s="372"/>
      <c r="H118" s="372"/>
      <c r="I118" s="443" t="str">
        <f>IF(SUM(E121:AQ121)=0,"",SUM(E121:AQ121))</f>
        <v/>
      </c>
      <c r="J118" s="442" t="str">
        <f>IF(SUM(D118:I118)=0,"",SUM(D118:I118))</f>
        <v/>
      </c>
      <c r="K118" s="325"/>
      <c r="L118" s="600"/>
      <c r="M118" s="601"/>
      <c r="N118" s="601"/>
      <c r="O118" s="601"/>
      <c r="P118" s="601"/>
      <c r="Q118" s="601"/>
      <c r="R118" s="601"/>
      <c r="S118" s="601"/>
      <c r="T118" s="602"/>
      <c r="Y118" s="589"/>
      <c r="Z118" s="589"/>
      <c r="AA118" s="589"/>
    </row>
    <row r="119" spans="1:44" s="315" customFormat="1" ht="10.5" customHeight="1" thickBot="1"/>
    <row r="120" spans="1:44" s="315" customFormat="1" ht="14.25">
      <c r="A120" s="616" t="s">
        <v>16</v>
      </c>
      <c r="B120" s="617"/>
      <c r="C120" s="617"/>
      <c r="D120" s="366">
        <v>1</v>
      </c>
      <c r="E120" s="366">
        <v>2</v>
      </c>
      <c r="F120" s="366">
        <v>3</v>
      </c>
      <c r="G120" s="366">
        <v>4</v>
      </c>
      <c r="H120" s="366">
        <v>5</v>
      </c>
      <c r="I120" s="366">
        <v>6</v>
      </c>
      <c r="J120" s="366">
        <v>7</v>
      </c>
      <c r="K120" s="366">
        <v>8</v>
      </c>
      <c r="L120" s="366">
        <v>9</v>
      </c>
      <c r="M120" s="366">
        <v>10</v>
      </c>
      <c r="N120" s="366">
        <v>11</v>
      </c>
      <c r="O120" s="366">
        <v>12</v>
      </c>
      <c r="P120" s="366">
        <v>13</v>
      </c>
      <c r="Q120" s="366">
        <v>14</v>
      </c>
      <c r="R120" s="366">
        <v>15</v>
      </c>
      <c r="S120" s="366">
        <v>16</v>
      </c>
      <c r="T120" s="366">
        <v>17</v>
      </c>
      <c r="U120" s="366">
        <v>18</v>
      </c>
      <c r="V120" s="366">
        <v>19</v>
      </c>
      <c r="W120" s="366">
        <v>20</v>
      </c>
      <c r="X120" s="366">
        <v>21</v>
      </c>
      <c r="Y120" s="366">
        <v>22</v>
      </c>
      <c r="Z120" s="366">
        <v>23</v>
      </c>
      <c r="AA120" s="366">
        <v>24</v>
      </c>
      <c r="AB120" s="366">
        <v>25</v>
      </c>
      <c r="AC120" s="366">
        <v>26</v>
      </c>
      <c r="AD120" s="366">
        <v>27</v>
      </c>
      <c r="AE120" s="366">
        <v>28</v>
      </c>
      <c r="AF120" s="366">
        <v>29</v>
      </c>
      <c r="AG120" s="366">
        <v>30</v>
      </c>
      <c r="AH120" s="366">
        <v>31</v>
      </c>
      <c r="AI120" s="366">
        <v>32</v>
      </c>
      <c r="AJ120" s="366">
        <v>33</v>
      </c>
      <c r="AK120" s="366">
        <v>34</v>
      </c>
      <c r="AL120" s="366">
        <v>35</v>
      </c>
      <c r="AM120" s="366">
        <v>36</v>
      </c>
      <c r="AN120" s="366">
        <v>37</v>
      </c>
      <c r="AO120" s="366">
        <v>38</v>
      </c>
      <c r="AP120" s="366">
        <v>39</v>
      </c>
      <c r="AQ120" s="320">
        <v>40</v>
      </c>
    </row>
    <row r="121" spans="1:44" s="315" customFormat="1" ht="14.25">
      <c r="A121" s="547" t="s">
        <v>206</v>
      </c>
      <c r="B121" s="620"/>
      <c r="C121" s="620"/>
      <c r="D121" s="365"/>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6"/>
    </row>
    <row r="122" spans="1:44" s="315" customFormat="1" ht="14.25">
      <c r="A122" s="622" t="s">
        <v>1</v>
      </c>
      <c r="B122" s="623"/>
      <c r="C122" s="624" t="s">
        <v>63</v>
      </c>
      <c r="D122" s="327"/>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9"/>
      <c r="AM122" s="329"/>
      <c r="AN122" s="329"/>
      <c r="AO122" s="328"/>
      <c r="AP122" s="328"/>
      <c r="AQ122" s="330"/>
      <c r="AR122" s="362"/>
    </row>
    <row r="123" spans="1:44" s="315" customFormat="1" ht="14.25">
      <c r="A123" s="622" t="s">
        <v>2</v>
      </c>
      <c r="B123" s="623"/>
      <c r="C123" s="624"/>
      <c r="D123" s="327"/>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31"/>
      <c r="AQ123" s="332"/>
      <c r="AR123" s="362"/>
    </row>
    <row r="124" spans="1:44" s="315" customFormat="1" ht="14.25">
      <c r="A124" s="547" t="s">
        <v>261</v>
      </c>
      <c r="B124" s="620"/>
      <c r="C124" s="620"/>
      <c r="D124" s="333"/>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29"/>
      <c r="AM124" s="329"/>
      <c r="AN124" s="329"/>
      <c r="AO124" s="334"/>
      <c r="AP124" s="334"/>
      <c r="AQ124" s="335"/>
    </row>
    <row r="125" spans="1:44" s="315" customFormat="1" ht="14.25">
      <c r="A125" s="547" t="s">
        <v>297</v>
      </c>
      <c r="B125" s="620"/>
      <c r="C125" s="620"/>
      <c r="D125" s="373"/>
      <c r="E125" s="445" t="str">
        <f t="shared" ref="E125:AQ125" si="208">IFERROR(E148,"")</f>
        <v/>
      </c>
      <c r="F125" s="445" t="str">
        <f t="shared" si="208"/>
        <v/>
      </c>
      <c r="G125" s="445" t="str">
        <f t="shared" si="208"/>
        <v/>
      </c>
      <c r="H125" s="445" t="str">
        <f t="shared" si="208"/>
        <v/>
      </c>
      <c r="I125" s="445" t="str">
        <f t="shared" si="208"/>
        <v/>
      </c>
      <c r="J125" s="445" t="str">
        <f t="shared" si="208"/>
        <v/>
      </c>
      <c r="K125" s="445" t="str">
        <f t="shared" si="208"/>
        <v/>
      </c>
      <c r="L125" s="445" t="str">
        <f t="shared" si="208"/>
        <v/>
      </c>
      <c r="M125" s="445" t="str">
        <f t="shared" si="208"/>
        <v/>
      </c>
      <c r="N125" s="445" t="str">
        <f t="shared" si="208"/>
        <v/>
      </c>
      <c r="O125" s="445" t="str">
        <f t="shared" si="208"/>
        <v/>
      </c>
      <c r="P125" s="445" t="str">
        <f t="shared" si="208"/>
        <v/>
      </c>
      <c r="Q125" s="445" t="str">
        <f t="shared" si="208"/>
        <v/>
      </c>
      <c r="R125" s="445" t="str">
        <f t="shared" si="208"/>
        <v/>
      </c>
      <c r="S125" s="445" t="str">
        <f t="shared" si="208"/>
        <v/>
      </c>
      <c r="T125" s="445" t="str">
        <f t="shared" si="208"/>
        <v/>
      </c>
      <c r="U125" s="445" t="str">
        <f t="shared" si="208"/>
        <v/>
      </c>
      <c r="V125" s="445" t="str">
        <f t="shared" si="208"/>
        <v/>
      </c>
      <c r="W125" s="445" t="str">
        <f t="shared" si="208"/>
        <v/>
      </c>
      <c r="X125" s="445" t="str">
        <f t="shared" si="208"/>
        <v/>
      </c>
      <c r="Y125" s="445" t="str">
        <f t="shared" si="208"/>
        <v/>
      </c>
      <c r="Z125" s="445" t="str">
        <f t="shared" si="208"/>
        <v/>
      </c>
      <c r="AA125" s="445" t="str">
        <f t="shared" si="208"/>
        <v/>
      </c>
      <c r="AB125" s="445" t="str">
        <f t="shared" si="208"/>
        <v/>
      </c>
      <c r="AC125" s="445" t="str">
        <f t="shared" si="208"/>
        <v/>
      </c>
      <c r="AD125" s="445" t="str">
        <f t="shared" si="208"/>
        <v/>
      </c>
      <c r="AE125" s="445" t="str">
        <f t="shared" si="208"/>
        <v/>
      </c>
      <c r="AF125" s="445" t="str">
        <f t="shared" si="208"/>
        <v/>
      </c>
      <c r="AG125" s="445" t="str">
        <f t="shared" si="208"/>
        <v/>
      </c>
      <c r="AH125" s="445" t="str">
        <f t="shared" si="208"/>
        <v/>
      </c>
      <c r="AI125" s="445" t="str">
        <f t="shared" si="208"/>
        <v/>
      </c>
      <c r="AJ125" s="445" t="str">
        <f t="shared" si="208"/>
        <v/>
      </c>
      <c r="AK125" s="445" t="str">
        <f t="shared" si="208"/>
        <v/>
      </c>
      <c r="AL125" s="445" t="str">
        <f t="shared" si="208"/>
        <v/>
      </c>
      <c r="AM125" s="445" t="str">
        <f t="shared" si="208"/>
        <v/>
      </c>
      <c r="AN125" s="445" t="str">
        <f t="shared" si="208"/>
        <v/>
      </c>
      <c r="AO125" s="445" t="str">
        <f t="shared" si="208"/>
        <v/>
      </c>
      <c r="AP125" s="445" t="str">
        <f t="shared" si="208"/>
        <v/>
      </c>
      <c r="AQ125" s="446" t="str">
        <f t="shared" si="208"/>
        <v/>
      </c>
      <c r="AR125" s="362"/>
    </row>
    <row r="126" spans="1:44" s="315" customFormat="1" ht="14.25" customHeight="1">
      <c r="A126" s="547" t="s">
        <v>296</v>
      </c>
      <c r="B126" s="620"/>
      <c r="C126" s="620"/>
      <c r="D126" s="373"/>
      <c r="E126" s="425" t="str">
        <f t="shared" ref="E126:AQ126" si="209">IFERROR(E149,"")</f>
        <v/>
      </c>
      <c r="F126" s="425" t="str">
        <f t="shared" si="209"/>
        <v/>
      </c>
      <c r="G126" s="425" t="str">
        <f t="shared" si="209"/>
        <v/>
      </c>
      <c r="H126" s="425" t="str">
        <f t="shared" si="209"/>
        <v/>
      </c>
      <c r="I126" s="425" t="str">
        <f t="shared" si="209"/>
        <v/>
      </c>
      <c r="J126" s="425" t="str">
        <f t="shared" si="209"/>
        <v/>
      </c>
      <c r="K126" s="425" t="str">
        <f t="shared" si="209"/>
        <v/>
      </c>
      <c r="L126" s="425" t="str">
        <f t="shared" si="209"/>
        <v/>
      </c>
      <c r="M126" s="425" t="str">
        <f t="shared" si="209"/>
        <v/>
      </c>
      <c r="N126" s="425" t="str">
        <f t="shared" si="209"/>
        <v/>
      </c>
      <c r="O126" s="425" t="str">
        <f t="shared" si="209"/>
        <v/>
      </c>
      <c r="P126" s="425" t="str">
        <f t="shared" si="209"/>
        <v/>
      </c>
      <c r="Q126" s="425" t="str">
        <f t="shared" si="209"/>
        <v/>
      </c>
      <c r="R126" s="425" t="str">
        <f t="shared" si="209"/>
        <v/>
      </c>
      <c r="S126" s="425" t="str">
        <f t="shared" si="209"/>
        <v/>
      </c>
      <c r="T126" s="425" t="str">
        <f t="shared" si="209"/>
        <v/>
      </c>
      <c r="U126" s="425" t="str">
        <f t="shared" si="209"/>
        <v/>
      </c>
      <c r="V126" s="425" t="str">
        <f t="shared" si="209"/>
        <v/>
      </c>
      <c r="W126" s="425" t="str">
        <f t="shared" si="209"/>
        <v/>
      </c>
      <c r="X126" s="425" t="str">
        <f t="shared" si="209"/>
        <v/>
      </c>
      <c r="Y126" s="425" t="str">
        <f t="shared" si="209"/>
        <v/>
      </c>
      <c r="Z126" s="425" t="str">
        <f t="shared" si="209"/>
        <v/>
      </c>
      <c r="AA126" s="425" t="str">
        <f t="shared" si="209"/>
        <v/>
      </c>
      <c r="AB126" s="425" t="str">
        <f t="shared" si="209"/>
        <v/>
      </c>
      <c r="AC126" s="425" t="str">
        <f t="shared" si="209"/>
        <v/>
      </c>
      <c r="AD126" s="425" t="str">
        <f t="shared" si="209"/>
        <v/>
      </c>
      <c r="AE126" s="425" t="str">
        <f t="shared" si="209"/>
        <v/>
      </c>
      <c r="AF126" s="425" t="str">
        <f t="shared" si="209"/>
        <v/>
      </c>
      <c r="AG126" s="425" t="str">
        <f t="shared" si="209"/>
        <v/>
      </c>
      <c r="AH126" s="425" t="str">
        <f t="shared" si="209"/>
        <v/>
      </c>
      <c r="AI126" s="425" t="str">
        <f t="shared" si="209"/>
        <v/>
      </c>
      <c r="AJ126" s="425" t="str">
        <f t="shared" si="209"/>
        <v/>
      </c>
      <c r="AK126" s="425" t="str">
        <f t="shared" si="209"/>
        <v/>
      </c>
      <c r="AL126" s="425" t="str">
        <f t="shared" si="209"/>
        <v/>
      </c>
      <c r="AM126" s="425" t="str">
        <f t="shared" si="209"/>
        <v/>
      </c>
      <c r="AN126" s="425" t="str">
        <f t="shared" si="209"/>
        <v/>
      </c>
      <c r="AO126" s="425" t="str">
        <f t="shared" si="209"/>
        <v/>
      </c>
      <c r="AP126" s="425" t="str">
        <f t="shared" si="209"/>
        <v/>
      </c>
      <c r="AQ126" s="439" t="str">
        <f t="shared" si="209"/>
        <v/>
      </c>
      <c r="AR126" s="362"/>
    </row>
    <row r="127" spans="1:44" s="315" customFormat="1" ht="14.25">
      <c r="A127" s="547" t="s">
        <v>406</v>
      </c>
      <c r="B127" s="620"/>
      <c r="C127" s="620"/>
      <c r="D127" s="373"/>
      <c r="E127" s="445" t="str">
        <f t="shared" ref="E127:AQ127" si="210">IFERROR(E150,"")</f>
        <v/>
      </c>
      <c r="F127" s="445" t="str">
        <f t="shared" si="210"/>
        <v/>
      </c>
      <c r="G127" s="445" t="str">
        <f t="shared" si="210"/>
        <v/>
      </c>
      <c r="H127" s="445" t="str">
        <f t="shared" si="210"/>
        <v/>
      </c>
      <c r="I127" s="445" t="str">
        <f t="shared" si="210"/>
        <v/>
      </c>
      <c r="J127" s="445" t="str">
        <f t="shared" si="210"/>
        <v/>
      </c>
      <c r="K127" s="445" t="str">
        <f t="shared" si="210"/>
        <v/>
      </c>
      <c r="L127" s="445" t="str">
        <f t="shared" si="210"/>
        <v/>
      </c>
      <c r="M127" s="445" t="str">
        <f t="shared" si="210"/>
        <v/>
      </c>
      <c r="N127" s="445" t="str">
        <f t="shared" si="210"/>
        <v/>
      </c>
      <c r="O127" s="445" t="str">
        <f t="shared" si="210"/>
        <v/>
      </c>
      <c r="P127" s="445" t="str">
        <f t="shared" si="210"/>
        <v/>
      </c>
      <c r="Q127" s="445" t="str">
        <f t="shared" si="210"/>
        <v/>
      </c>
      <c r="R127" s="445" t="str">
        <f t="shared" si="210"/>
        <v/>
      </c>
      <c r="S127" s="445" t="str">
        <f t="shared" si="210"/>
        <v/>
      </c>
      <c r="T127" s="445" t="str">
        <f t="shared" si="210"/>
        <v/>
      </c>
      <c r="U127" s="445" t="str">
        <f t="shared" si="210"/>
        <v/>
      </c>
      <c r="V127" s="445" t="str">
        <f t="shared" si="210"/>
        <v/>
      </c>
      <c r="W127" s="445" t="str">
        <f t="shared" si="210"/>
        <v/>
      </c>
      <c r="X127" s="445" t="str">
        <f t="shared" si="210"/>
        <v/>
      </c>
      <c r="Y127" s="445" t="str">
        <f t="shared" si="210"/>
        <v/>
      </c>
      <c r="Z127" s="445" t="str">
        <f t="shared" si="210"/>
        <v/>
      </c>
      <c r="AA127" s="445" t="str">
        <f t="shared" si="210"/>
        <v/>
      </c>
      <c r="AB127" s="445" t="str">
        <f t="shared" si="210"/>
        <v/>
      </c>
      <c r="AC127" s="445" t="str">
        <f t="shared" si="210"/>
        <v/>
      </c>
      <c r="AD127" s="445" t="str">
        <f t="shared" si="210"/>
        <v/>
      </c>
      <c r="AE127" s="445" t="str">
        <f t="shared" si="210"/>
        <v/>
      </c>
      <c r="AF127" s="445" t="str">
        <f t="shared" si="210"/>
        <v/>
      </c>
      <c r="AG127" s="445" t="str">
        <f t="shared" si="210"/>
        <v/>
      </c>
      <c r="AH127" s="445" t="str">
        <f t="shared" si="210"/>
        <v/>
      </c>
      <c r="AI127" s="445" t="str">
        <f t="shared" si="210"/>
        <v/>
      </c>
      <c r="AJ127" s="445" t="str">
        <f t="shared" si="210"/>
        <v/>
      </c>
      <c r="AK127" s="445" t="str">
        <f t="shared" si="210"/>
        <v/>
      </c>
      <c r="AL127" s="445" t="str">
        <f t="shared" si="210"/>
        <v/>
      </c>
      <c r="AM127" s="445" t="str">
        <f t="shared" si="210"/>
        <v/>
      </c>
      <c r="AN127" s="445" t="str">
        <f t="shared" si="210"/>
        <v/>
      </c>
      <c r="AO127" s="445" t="str">
        <f t="shared" si="210"/>
        <v/>
      </c>
      <c r="AP127" s="445" t="str">
        <f t="shared" si="210"/>
        <v/>
      </c>
      <c r="AQ127" s="446" t="str">
        <f t="shared" si="210"/>
        <v/>
      </c>
      <c r="AR127" s="362"/>
    </row>
    <row r="128" spans="1:44" s="315" customFormat="1" ht="14.25">
      <c r="A128" s="625" t="s">
        <v>446</v>
      </c>
      <c r="B128" s="626"/>
      <c r="C128" s="626"/>
      <c r="D128" s="373"/>
      <c r="E128" s="445" t="str">
        <f t="shared" ref="E128:AQ128" si="211">IFERROR(E151,"")</f>
        <v/>
      </c>
      <c r="F128" s="445" t="str">
        <f t="shared" si="211"/>
        <v/>
      </c>
      <c r="G128" s="445" t="str">
        <f t="shared" si="211"/>
        <v/>
      </c>
      <c r="H128" s="445" t="str">
        <f t="shared" si="211"/>
        <v/>
      </c>
      <c r="I128" s="445" t="str">
        <f t="shared" si="211"/>
        <v/>
      </c>
      <c r="J128" s="445" t="str">
        <f t="shared" si="211"/>
        <v/>
      </c>
      <c r="K128" s="445" t="str">
        <f t="shared" si="211"/>
        <v/>
      </c>
      <c r="L128" s="445" t="str">
        <f t="shared" si="211"/>
        <v/>
      </c>
      <c r="M128" s="445" t="str">
        <f t="shared" si="211"/>
        <v/>
      </c>
      <c r="N128" s="445" t="str">
        <f t="shared" si="211"/>
        <v/>
      </c>
      <c r="O128" s="445" t="str">
        <f t="shared" si="211"/>
        <v/>
      </c>
      <c r="P128" s="445" t="str">
        <f t="shared" si="211"/>
        <v/>
      </c>
      <c r="Q128" s="445" t="str">
        <f t="shared" si="211"/>
        <v/>
      </c>
      <c r="R128" s="445" t="str">
        <f t="shared" si="211"/>
        <v/>
      </c>
      <c r="S128" s="445" t="str">
        <f t="shared" si="211"/>
        <v/>
      </c>
      <c r="T128" s="445" t="str">
        <f t="shared" si="211"/>
        <v/>
      </c>
      <c r="U128" s="445" t="str">
        <f t="shared" si="211"/>
        <v/>
      </c>
      <c r="V128" s="445" t="str">
        <f t="shared" si="211"/>
        <v/>
      </c>
      <c r="W128" s="445" t="str">
        <f t="shared" si="211"/>
        <v/>
      </c>
      <c r="X128" s="445" t="str">
        <f t="shared" si="211"/>
        <v/>
      </c>
      <c r="Y128" s="445" t="str">
        <f t="shared" si="211"/>
        <v/>
      </c>
      <c r="Z128" s="445" t="str">
        <f t="shared" si="211"/>
        <v/>
      </c>
      <c r="AA128" s="445" t="str">
        <f t="shared" si="211"/>
        <v/>
      </c>
      <c r="AB128" s="445" t="str">
        <f t="shared" si="211"/>
        <v/>
      </c>
      <c r="AC128" s="445" t="str">
        <f t="shared" si="211"/>
        <v/>
      </c>
      <c r="AD128" s="445" t="str">
        <f t="shared" si="211"/>
        <v/>
      </c>
      <c r="AE128" s="445" t="str">
        <f t="shared" si="211"/>
        <v/>
      </c>
      <c r="AF128" s="445" t="str">
        <f t="shared" si="211"/>
        <v/>
      </c>
      <c r="AG128" s="445" t="str">
        <f t="shared" si="211"/>
        <v/>
      </c>
      <c r="AH128" s="445" t="str">
        <f t="shared" si="211"/>
        <v/>
      </c>
      <c r="AI128" s="445" t="str">
        <f t="shared" si="211"/>
        <v/>
      </c>
      <c r="AJ128" s="445" t="str">
        <f t="shared" si="211"/>
        <v/>
      </c>
      <c r="AK128" s="445" t="str">
        <f t="shared" si="211"/>
        <v/>
      </c>
      <c r="AL128" s="445" t="str">
        <f t="shared" si="211"/>
        <v/>
      </c>
      <c r="AM128" s="445" t="str">
        <f t="shared" si="211"/>
        <v/>
      </c>
      <c r="AN128" s="445" t="str">
        <f t="shared" si="211"/>
        <v/>
      </c>
      <c r="AO128" s="445" t="str">
        <f t="shared" si="211"/>
        <v/>
      </c>
      <c r="AP128" s="445" t="str">
        <f t="shared" si="211"/>
        <v/>
      </c>
      <c r="AQ128" s="446" t="str">
        <f t="shared" si="211"/>
        <v/>
      </c>
      <c r="AR128" s="362"/>
    </row>
    <row r="129" spans="1:44" s="315" customFormat="1" ht="14.25" hidden="1">
      <c r="A129" s="547" t="s">
        <v>336</v>
      </c>
      <c r="B129" s="620"/>
      <c r="C129" s="620"/>
      <c r="D129" s="378"/>
      <c r="E129" s="379">
        <f t="shared" ref="E129:AQ129" si="212">IF(E121="",0,E121)</f>
        <v>0</v>
      </c>
      <c r="F129" s="379">
        <f t="shared" si="212"/>
        <v>0</v>
      </c>
      <c r="G129" s="379">
        <f t="shared" si="212"/>
        <v>0</v>
      </c>
      <c r="H129" s="379">
        <f t="shared" si="212"/>
        <v>0</v>
      </c>
      <c r="I129" s="379">
        <f t="shared" si="212"/>
        <v>0</v>
      </c>
      <c r="J129" s="379">
        <f t="shared" si="212"/>
        <v>0</v>
      </c>
      <c r="K129" s="379">
        <f t="shared" si="212"/>
        <v>0</v>
      </c>
      <c r="L129" s="379">
        <f t="shared" si="212"/>
        <v>0</v>
      </c>
      <c r="M129" s="379">
        <f t="shared" si="212"/>
        <v>0</v>
      </c>
      <c r="N129" s="379">
        <f t="shared" si="212"/>
        <v>0</v>
      </c>
      <c r="O129" s="379">
        <f t="shared" si="212"/>
        <v>0</v>
      </c>
      <c r="P129" s="379">
        <f t="shared" si="212"/>
        <v>0</v>
      </c>
      <c r="Q129" s="379">
        <f t="shared" si="212"/>
        <v>0</v>
      </c>
      <c r="R129" s="379">
        <f t="shared" si="212"/>
        <v>0</v>
      </c>
      <c r="S129" s="379">
        <f t="shared" si="212"/>
        <v>0</v>
      </c>
      <c r="T129" s="379">
        <f t="shared" si="212"/>
        <v>0</v>
      </c>
      <c r="U129" s="379">
        <f t="shared" si="212"/>
        <v>0</v>
      </c>
      <c r="V129" s="379">
        <f t="shared" si="212"/>
        <v>0</v>
      </c>
      <c r="W129" s="379">
        <f t="shared" si="212"/>
        <v>0</v>
      </c>
      <c r="X129" s="379">
        <f t="shared" si="212"/>
        <v>0</v>
      </c>
      <c r="Y129" s="379">
        <f t="shared" si="212"/>
        <v>0</v>
      </c>
      <c r="Z129" s="379">
        <f t="shared" si="212"/>
        <v>0</v>
      </c>
      <c r="AA129" s="379">
        <f t="shared" si="212"/>
        <v>0</v>
      </c>
      <c r="AB129" s="379">
        <f t="shared" si="212"/>
        <v>0</v>
      </c>
      <c r="AC129" s="379">
        <f t="shared" si="212"/>
        <v>0</v>
      </c>
      <c r="AD129" s="379">
        <f t="shared" si="212"/>
        <v>0</v>
      </c>
      <c r="AE129" s="379">
        <f t="shared" si="212"/>
        <v>0</v>
      </c>
      <c r="AF129" s="379">
        <f t="shared" si="212"/>
        <v>0</v>
      </c>
      <c r="AG129" s="379">
        <f t="shared" si="212"/>
        <v>0</v>
      </c>
      <c r="AH129" s="379">
        <f t="shared" si="212"/>
        <v>0</v>
      </c>
      <c r="AI129" s="379">
        <f t="shared" si="212"/>
        <v>0</v>
      </c>
      <c r="AJ129" s="379">
        <f t="shared" si="212"/>
        <v>0</v>
      </c>
      <c r="AK129" s="379">
        <f t="shared" si="212"/>
        <v>0</v>
      </c>
      <c r="AL129" s="379">
        <f t="shared" si="212"/>
        <v>0</v>
      </c>
      <c r="AM129" s="379">
        <f t="shared" si="212"/>
        <v>0</v>
      </c>
      <c r="AN129" s="379">
        <f t="shared" si="212"/>
        <v>0</v>
      </c>
      <c r="AO129" s="379">
        <f t="shared" si="212"/>
        <v>0</v>
      </c>
      <c r="AP129" s="379">
        <f t="shared" si="212"/>
        <v>0</v>
      </c>
      <c r="AQ129" s="380">
        <f t="shared" si="212"/>
        <v>0</v>
      </c>
      <c r="AR129" s="86"/>
    </row>
    <row r="130" spans="1:44" s="315" customFormat="1" ht="14.25" hidden="1">
      <c r="A130" s="565" t="s">
        <v>328</v>
      </c>
      <c r="B130" s="566"/>
      <c r="C130" s="567"/>
      <c r="D130" s="381">
        <f>SUM(D118:G118)</f>
        <v>0</v>
      </c>
      <c r="E130" s="382">
        <f t="shared" ref="E130:AQ130" si="213">D130+D129</f>
        <v>0</v>
      </c>
      <c r="F130" s="382">
        <f t="shared" si="213"/>
        <v>0</v>
      </c>
      <c r="G130" s="382">
        <f t="shared" si="213"/>
        <v>0</v>
      </c>
      <c r="H130" s="382">
        <f t="shared" si="213"/>
        <v>0</v>
      </c>
      <c r="I130" s="382">
        <f t="shared" si="213"/>
        <v>0</v>
      </c>
      <c r="J130" s="382">
        <f>I130+I129</f>
        <v>0</v>
      </c>
      <c r="K130" s="382">
        <f t="shared" si="213"/>
        <v>0</v>
      </c>
      <c r="L130" s="382">
        <f t="shared" si="213"/>
        <v>0</v>
      </c>
      <c r="M130" s="382">
        <f t="shared" si="213"/>
        <v>0</v>
      </c>
      <c r="N130" s="382">
        <f t="shared" si="213"/>
        <v>0</v>
      </c>
      <c r="O130" s="382">
        <f t="shared" si="213"/>
        <v>0</v>
      </c>
      <c r="P130" s="382">
        <f t="shared" si="213"/>
        <v>0</v>
      </c>
      <c r="Q130" s="382">
        <f t="shared" si="213"/>
        <v>0</v>
      </c>
      <c r="R130" s="382">
        <f t="shared" si="213"/>
        <v>0</v>
      </c>
      <c r="S130" s="382">
        <f t="shared" si="213"/>
        <v>0</v>
      </c>
      <c r="T130" s="382">
        <f t="shared" si="213"/>
        <v>0</v>
      </c>
      <c r="U130" s="382">
        <f t="shared" si="213"/>
        <v>0</v>
      </c>
      <c r="V130" s="382">
        <f t="shared" si="213"/>
        <v>0</v>
      </c>
      <c r="W130" s="382">
        <f t="shared" si="213"/>
        <v>0</v>
      </c>
      <c r="X130" s="382">
        <f t="shared" si="213"/>
        <v>0</v>
      </c>
      <c r="Y130" s="382">
        <f t="shared" si="213"/>
        <v>0</v>
      </c>
      <c r="Z130" s="382">
        <f t="shared" si="213"/>
        <v>0</v>
      </c>
      <c r="AA130" s="382">
        <f t="shared" si="213"/>
        <v>0</v>
      </c>
      <c r="AB130" s="382">
        <f t="shared" si="213"/>
        <v>0</v>
      </c>
      <c r="AC130" s="382">
        <f t="shared" si="213"/>
        <v>0</v>
      </c>
      <c r="AD130" s="382">
        <f t="shared" si="213"/>
        <v>0</v>
      </c>
      <c r="AE130" s="382">
        <f t="shared" si="213"/>
        <v>0</v>
      </c>
      <c r="AF130" s="382">
        <f t="shared" si="213"/>
        <v>0</v>
      </c>
      <c r="AG130" s="382">
        <f t="shared" si="213"/>
        <v>0</v>
      </c>
      <c r="AH130" s="382">
        <f t="shared" si="213"/>
        <v>0</v>
      </c>
      <c r="AI130" s="382">
        <f t="shared" si="213"/>
        <v>0</v>
      </c>
      <c r="AJ130" s="382">
        <f t="shared" si="213"/>
        <v>0</v>
      </c>
      <c r="AK130" s="382">
        <f t="shared" si="213"/>
        <v>0</v>
      </c>
      <c r="AL130" s="382">
        <f t="shared" si="213"/>
        <v>0</v>
      </c>
      <c r="AM130" s="382">
        <f t="shared" si="213"/>
        <v>0</v>
      </c>
      <c r="AN130" s="382">
        <f t="shared" si="213"/>
        <v>0</v>
      </c>
      <c r="AO130" s="382">
        <f t="shared" si="213"/>
        <v>0</v>
      </c>
      <c r="AP130" s="382">
        <f t="shared" si="213"/>
        <v>0</v>
      </c>
      <c r="AQ130" s="383">
        <f t="shared" si="213"/>
        <v>0</v>
      </c>
      <c r="AR130"/>
    </row>
    <row r="131" spans="1:44" s="315" customFormat="1" ht="14.25" hidden="1">
      <c r="A131" s="565" t="s">
        <v>329</v>
      </c>
      <c r="B131" s="566"/>
      <c r="C131" s="567"/>
      <c r="D131" s="384" t="e">
        <f t="shared" ref="D131:AQ131" si="214">(D130)/SUM($D115:$G115)*100</f>
        <v>#DIV/0!</v>
      </c>
      <c r="E131" s="384" t="e">
        <f t="shared" si="214"/>
        <v>#DIV/0!</v>
      </c>
      <c r="F131" s="384" t="e">
        <f t="shared" si="214"/>
        <v>#DIV/0!</v>
      </c>
      <c r="G131" s="384" t="e">
        <f t="shared" si="214"/>
        <v>#DIV/0!</v>
      </c>
      <c r="H131" s="384" t="e">
        <f t="shared" si="214"/>
        <v>#DIV/0!</v>
      </c>
      <c r="I131" s="384" t="e">
        <f t="shared" si="214"/>
        <v>#DIV/0!</v>
      </c>
      <c r="J131" s="384" t="e">
        <f t="shared" si="214"/>
        <v>#DIV/0!</v>
      </c>
      <c r="K131" s="384" t="e">
        <f t="shared" si="214"/>
        <v>#DIV/0!</v>
      </c>
      <c r="L131" s="384" t="e">
        <f t="shared" si="214"/>
        <v>#DIV/0!</v>
      </c>
      <c r="M131" s="384" t="e">
        <f t="shared" si="214"/>
        <v>#DIV/0!</v>
      </c>
      <c r="N131" s="384" t="e">
        <f t="shared" si="214"/>
        <v>#DIV/0!</v>
      </c>
      <c r="O131" s="384" t="e">
        <f t="shared" si="214"/>
        <v>#DIV/0!</v>
      </c>
      <c r="P131" s="384" t="e">
        <f t="shared" si="214"/>
        <v>#DIV/0!</v>
      </c>
      <c r="Q131" s="384" t="e">
        <f t="shared" si="214"/>
        <v>#DIV/0!</v>
      </c>
      <c r="R131" s="384" t="e">
        <f t="shared" si="214"/>
        <v>#DIV/0!</v>
      </c>
      <c r="S131" s="384" t="e">
        <f t="shared" si="214"/>
        <v>#DIV/0!</v>
      </c>
      <c r="T131" s="384" t="e">
        <f t="shared" si="214"/>
        <v>#DIV/0!</v>
      </c>
      <c r="U131" s="384" t="e">
        <f t="shared" si="214"/>
        <v>#DIV/0!</v>
      </c>
      <c r="V131" s="384" t="e">
        <f t="shared" si="214"/>
        <v>#DIV/0!</v>
      </c>
      <c r="W131" s="384" t="e">
        <f t="shared" si="214"/>
        <v>#DIV/0!</v>
      </c>
      <c r="X131" s="384" t="e">
        <f t="shared" si="214"/>
        <v>#DIV/0!</v>
      </c>
      <c r="Y131" s="384" t="e">
        <f t="shared" si="214"/>
        <v>#DIV/0!</v>
      </c>
      <c r="Z131" s="384" t="e">
        <f t="shared" si="214"/>
        <v>#DIV/0!</v>
      </c>
      <c r="AA131" s="384" t="e">
        <f t="shared" si="214"/>
        <v>#DIV/0!</v>
      </c>
      <c r="AB131" s="384" t="e">
        <f t="shared" si="214"/>
        <v>#DIV/0!</v>
      </c>
      <c r="AC131" s="384" t="e">
        <f t="shared" si="214"/>
        <v>#DIV/0!</v>
      </c>
      <c r="AD131" s="384" t="e">
        <f t="shared" si="214"/>
        <v>#DIV/0!</v>
      </c>
      <c r="AE131" s="384" t="e">
        <f t="shared" si="214"/>
        <v>#DIV/0!</v>
      </c>
      <c r="AF131" s="384" t="e">
        <f t="shared" si="214"/>
        <v>#DIV/0!</v>
      </c>
      <c r="AG131" s="384" t="e">
        <f t="shared" si="214"/>
        <v>#DIV/0!</v>
      </c>
      <c r="AH131" s="384" t="e">
        <f t="shared" si="214"/>
        <v>#DIV/0!</v>
      </c>
      <c r="AI131" s="384" t="e">
        <f t="shared" si="214"/>
        <v>#DIV/0!</v>
      </c>
      <c r="AJ131" s="384" t="e">
        <f t="shared" si="214"/>
        <v>#DIV/0!</v>
      </c>
      <c r="AK131" s="384" t="e">
        <f t="shared" si="214"/>
        <v>#DIV/0!</v>
      </c>
      <c r="AL131" s="384" t="e">
        <f t="shared" si="214"/>
        <v>#DIV/0!</v>
      </c>
      <c r="AM131" s="384" t="e">
        <f t="shared" si="214"/>
        <v>#DIV/0!</v>
      </c>
      <c r="AN131" s="384" t="e">
        <f t="shared" si="214"/>
        <v>#DIV/0!</v>
      </c>
      <c r="AO131" s="384" t="e">
        <f t="shared" si="214"/>
        <v>#DIV/0!</v>
      </c>
      <c r="AP131" s="384" t="e">
        <f t="shared" si="214"/>
        <v>#DIV/0!</v>
      </c>
      <c r="AQ131" s="385" t="e">
        <f t="shared" si="214"/>
        <v>#DIV/0!</v>
      </c>
      <c r="AR131"/>
    </row>
    <row r="132" spans="1:44" s="315" customFormat="1" ht="15" thickBot="1">
      <c r="A132" s="562" t="s">
        <v>329</v>
      </c>
      <c r="B132" s="563"/>
      <c r="C132" s="564"/>
      <c r="D132" s="444" t="str">
        <f t="shared" ref="D132:AQ132" si="215">IFERROR(D131,"")</f>
        <v/>
      </c>
      <c r="E132" s="437" t="str">
        <f t="shared" si="215"/>
        <v/>
      </c>
      <c r="F132" s="437" t="str">
        <f t="shared" si="215"/>
        <v/>
      </c>
      <c r="G132" s="437" t="str">
        <f t="shared" si="215"/>
        <v/>
      </c>
      <c r="H132" s="437" t="str">
        <f t="shared" si="215"/>
        <v/>
      </c>
      <c r="I132" s="437" t="str">
        <f t="shared" si="215"/>
        <v/>
      </c>
      <c r="J132" s="437" t="str">
        <f t="shared" si="215"/>
        <v/>
      </c>
      <c r="K132" s="437" t="str">
        <f t="shared" si="215"/>
        <v/>
      </c>
      <c r="L132" s="437" t="str">
        <f t="shared" si="215"/>
        <v/>
      </c>
      <c r="M132" s="437" t="str">
        <f t="shared" si="215"/>
        <v/>
      </c>
      <c r="N132" s="437" t="str">
        <f t="shared" si="215"/>
        <v/>
      </c>
      <c r="O132" s="437" t="str">
        <f t="shared" si="215"/>
        <v/>
      </c>
      <c r="P132" s="437" t="str">
        <f t="shared" si="215"/>
        <v/>
      </c>
      <c r="Q132" s="437" t="str">
        <f t="shared" si="215"/>
        <v/>
      </c>
      <c r="R132" s="437" t="str">
        <f t="shared" si="215"/>
        <v/>
      </c>
      <c r="S132" s="437" t="str">
        <f t="shared" si="215"/>
        <v/>
      </c>
      <c r="T132" s="437" t="str">
        <f t="shared" si="215"/>
        <v/>
      </c>
      <c r="U132" s="437" t="str">
        <f t="shared" si="215"/>
        <v/>
      </c>
      <c r="V132" s="437" t="str">
        <f t="shared" si="215"/>
        <v/>
      </c>
      <c r="W132" s="437" t="str">
        <f t="shared" si="215"/>
        <v/>
      </c>
      <c r="X132" s="437" t="str">
        <f t="shared" si="215"/>
        <v/>
      </c>
      <c r="Y132" s="437" t="str">
        <f t="shared" si="215"/>
        <v/>
      </c>
      <c r="Z132" s="437" t="str">
        <f t="shared" si="215"/>
        <v/>
      </c>
      <c r="AA132" s="437" t="str">
        <f t="shared" si="215"/>
        <v/>
      </c>
      <c r="AB132" s="437" t="str">
        <f t="shared" si="215"/>
        <v/>
      </c>
      <c r="AC132" s="437" t="str">
        <f t="shared" si="215"/>
        <v/>
      </c>
      <c r="AD132" s="437" t="str">
        <f t="shared" si="215"/>
        <v/>
      </c>
      <c r="AE132" s="437" t="str">
        <f t="shared" si="215"/>
        <v/>
      </c>
      <c r="AF132" s="437" t="str">
        <f t="shared" si="215"/>
        <v/>
      </c>
      <c r="AG132" s="437" t="str">
        <f t="shared" si="215"/>
        <v/>
      </c>
      <c r="AH132" s="437" t="str">
        <f t="shared" si="215"/>
        <v/>
      </c>
      <c r="AI132" s="437" t="str">
        <f t="shared" si="215"/>
        <v/>
      </c>
      <c r="AJ132" s="437" t="str">
        <f t="shared" si="215"/>
        <v/>
      </c>
      <c r="AK132" s="437" t="str">
        <f t="shared" si="215"/>
        <v/>
      </c>
      <c r="AL132" s="437" t="str">
        <f t="shared" si="215"/>
        <v/>
      </c>
      <c r="AM132" s="437" t="str">
        <f t="shared" si="215"/>
        <v/>
      </c>
      <c r="AN132" s="437" t="str">
        <f t="shared" si="215"/>
        <v/>
      </c>
      <c r="AO132" s="437" t="str">
        <f t="shared" si="215"/>
        <v/>
      </c>
      <c r="AP132" s="437" t="str">
        <f t="shared" si="215"/>
        <v/>
      </c>
      <c r="AQ132" s="438" t="str">
        <f t="shared" si="215"/>
        <v/>
      </c>
      <c r="AR132" s="86"/>
    </row>
    <row r="133" spans="1:44">
      <c r="A133" s="86"/>
      <c r="B133" s="86"/>
      <c r="C133" s="86"/>
      <c r="D133" s="86"/>
    </row>
    <row r="134" spans="1:44" s="315" customFormat="1" ht="14.25" hidden="1">
      <c r="A134" s="364"/>
      <c r="B134" s="364" t="s">
        <v>172</v>
      </c>
      <c r="C134" s="364" t="s">
        <v>173</v>
      </c>
      <c r="D134" s="339" t="s">
        <v>174</v>
      </c>
      <c r="E134" s="336" t="s">
        <v>175</v>
      </c>
      <c r="F134" s="336" t="s">
        <v>176</v>
      </c>
      <c r="G134" s="336" t="s">
        <v>177</v>
      </c>
      <c r="H134" s="336" t="s">
        <v>178</v>
      </c>
      <c r="I134" s="336" t="s">
        <v>179</v>
      </c>
      <c r="J134" s="336" t="s">
        <v>180</v>
      </c>
      <c r="K134" s="336" t="s">
        <v>181</v>
      </c>
      <c r="L134" s="336" t="s">
        <v>298</v>
      </c>
      <c r="M134" s="336" t="s">
        <v>299</v>
      </c>
      <c r="N134" s="336" t="s">
        <v>300</v>
      </c>
      <c r="O134" s="336" t="s">
        <v>301</v>
      </c>
      <c r="P134" s="336" t="s">
        <v>302</v>
      </c>
      <c r="Q134" s="336" t="s">
        <v>303</v>
      </c>
      <c r="R134" s="336" t="s">
        <v>304</v>
      </c>
      <c r="S134" s="336" t="s">
        <v>305</v>
      </c>
      <c r="T134" s="336" t="s">
        <v>306</v>
      </c>
      <c r="U134" s="336" t="s">
        <v>307</v>
      </c>
    </row>
    <row r="135" spans="1:44" s="315" customFormat="1" ht="14.25" hidden="1">
      <c r="A135" s="338" t="s">
        <v>182</v>
      </c>
      <c r="B135" s="338" t="str">
        <f t="array" aca="1" ref="B135" ca="1">IFERROR(OFFSET(INDEX(121:121,SMALL(IF(121:121&lt;&gt;"",COLUMN(121:121)),COLUMN())),-1,0),"")</f>
        <v/>
      </c>
      <c r="C135" s="338" t="str">
        <f t="array" aca="1" ref="C135" ca="1">IFERROR(OFFSET(INDEX(121:121,SMALL(IF(121:121&lt;&gt;"",COLUMN(121:121)),COLUMN())),-1,0),"")</f>
        <v/>
      </c>
      <c r="D135" s="338" t="str">
        <f t="array" aca="1" ref="D135" ca="1">IFERROR(OFFSET(INDEX(121:121,SMALL(IF(121:121&lt;&gt;"",COLUMN(121:121)),COLUMN())),-1,0),"")</f>
        <v/>
      </c>
      <c r="E135" s="338" t="str">
        <f t="array" aca="1" ref="E135" ca="1">IFERROR(OFFSET(INDEX(121:121,SMALL(IF(121:121&lt;&gt;"",COLUMN(121:121)),COLUMN())),-1,0),"")</f>
        <v/>
      </c>
      <c r="F135" s="338" t="str">
        <f t="array" aca="1" ref="F135" ca="1">IFERROR(OFFSET(INDEX(121:121,SMALL(IF(121:121&lt;&gt;"",COLUMN(121:121)),COLUMN())),-1,0),"")</f>
        <v/>
      </c>
      <c r="G135" s="338" t="str">
        <f t="array" aca="1" ref="G135" ca="1">IFERROR(OFFSET(INDEX(121:121,SMALL(IF(121:121&lt;&gt;"",COLUMN(121:121)),COLUMN())),-1,0),"")</f>
        <v/>
      </c>
      <c r="H135" s="338" t="str">
        <f t="array" aca="1" ref="H135" ca="1">IFERROR(OFFSET(INDEX(121:121,SMALL(IF(121:121&lt;&gt;"",COLUMN(121:121)),COLUMN())),-1,0),"")</f>
        <v/>
      </c>
      <c r="I135" s="338" t="str">
        <f t="array" aca="1" ref="I135" ca="1">IFERROR(OFFSET(INDEX(121:121,SMALL(IF(121:121&lt;&gt;"",COLUMN(121:121)),COLUMN())),-1,0),"")</f>
        <v/>
      </c>
      <c r="J135" s="338" t="str">
        <f t="array" aca="1" ref="J135" ca="1">IFERROR(OFFSET(INDEX(121:121,SMALL(IF(121:121&lt;&gt;"",COLUMN(121:121)),COLUMN())),-1,0),"")</f>
        <v/>
      </c>
      <c r="K135" s="338" t="str">
        <f t="array" aca="1" ref="K135" ca="1">IFERROR(OFFSET(INDEX(121:121,SMALL(IF(121:121&lt;&gt;"",COLUMN(121:121)),COLUMN())),-1,0),"")</f>
        <v/>
      </c>
      <c r="L135" s="338" t="str">
        <f t="array" aca="1" ref="L135" ca="1">IFERROR(OFFSET(INDEX(121:121,SMALL(IF(121:121&lt;&gt;"",COLUMN(121:121)),COLUMN())),-1,0),"")</f>
        <v/>
      </c>
      <c r="M135" s="338" t="str">
        <f t="array" aca="1" ref="M135" ca="1">IFERROR(OFFSET(INDEX(121:121,SMALL(IF(121:121&lt;&gt;"",COLUMN(121:121)),COLUMN())),-1,0),"")</f>
        <v/>
      </c>
      <c r="N135" s="338" t="str">
        <f t="array" aca="1" ref="N135" ca="1">IFERROR(OFFSET(INDEX(121:121,SMALL(IF(121:121&lt;&gt;"",COLUMN(121:121)),COLUMN())),-1,0),"")</f>
        <v/>
      </c>
      <c r="O135" s="338" t="str">
        <f t="array" aca="1" ref="O135" ca="1">IFERROR(OFFSET(INDEX(121:121,SMALL(IF(121:121&lt;&gt;"",COLUMN(121:121)),COLUMN())),-1,0),"")</f>
        <v/>
      </c>
      <c r="P135" s="338" t="str">
        <f t="array" aca="1" ref="P135" ca="1">IFERROR(OFFSET(INDEX(121:121,SMALL(IF(121:121&lt;&gt;"",COLUMN(121:121)),COLUMN())),-1,0),"")</f>
        <v/>
      </c>
      <c r="Q135" s="338" t="str">
        <f t="array" aca="1" ref="Q135" ca="1">IFERROR(OFFSET(INDEX(121:121,SMALL(IF(121:121&lt;&gt;"",COLUMN(121:121)),COLUMN())),-1,0),"")</f>
        <v/>
      </c>
      <c r="R135" s="338" t="str">
        <f t="array" aca="1" ref="R135" ca="1">IFERROR(OFFSET(INDEX(121:121,SMALL(IF(121:121&lt;&gt;"",COLUMN(121:121)),COLUMN())),-1,0),"")</f>
        <v/>
      </c>
      <c r="S135" s="338" t="str">
        <f t="array" aca="1" ref="S135" ca="1">IFERROR(OFFSET(INDEX(121:121,SMALL(IF(121:121&lt;&gt;"",COLUMN(121:121)),COLUMN())),-1,0),"")</f>
        <v/>
      </c>
      <c r="T135" s="338" t="str">
        <f t="array" aca="1" ref="T135" ca="1">IFERROR(OFFSET(INDEX(121:121,SMALL(IF(121:121&lt;&gt;"",COLUMN(121:121)),COLUMN())),-1,0),"")</f>
        <v/>
      </c>
      <c r="U135" s="338" t="str">
        <f t="array" aca="1" ref="U135" ca="1">IFERROR(OFFSET(INDEX(121:121,SMALL(IF(121:121&lt;&gt;"",COLUMN(121:121)),COLUMN())),-1,0),"")</f>
        <v/>
      </c>
    </row>
    <row r="136" spans="1:44" s="315" customFormat="1" ht="14.25" hidden="1">
      <c r="A136" s="338" t="str">
        <f t="array" ref="A136">IFERROR(INDEX(121:121,SMALL(IF(121:121&lt;&gt;"",COLUMN(121:121)),COLUMN())),"")</f>
        <v>追水量（L)</v>
      </c>
      <c r="B136" s="338" t="str">
        <f t="array" ref="B136">IFERROR(INDEX(121:121,SMALL(IF(121:121&lt;&gt;"",COLUMN(121:121)),COLUMN())),"")</f>
        <v/>
      </c>
      <c r="C136" s="338" t="str">
        <f t="array" ref="C136">IFERROR(INDEX(121:121,SMALL(IF(121:121&lt;&gt;"",COLUMN(121:121)),COLUMN())),"")</f>
        <v/>
      </c>
      <c r="D136" s="338" t="str">
        <f t="array" ref="D136">IFERROR(INDEX(121:121,SMALL(IF(121:121&lt;&gt;"",COLUMN(121:121)),COLUMN())),"")</f>
        <v/>
      </c>
      <c r="E136" s="338" t="str">
        <f t="array" ref="E136">IFERROR(INDEX(121:121,SMALL(IF(121:121&lt;&gt;"",COLUMN(121:121)),COLUMN())),"")</f>
        <v/>
      </c>
      <c r="F136" s="338" t="str">
        <f t="array" ref="F136">IFERROR(INDEX(121:121,SMALL(IF(121:121&lt;&gt;"",COLUMN(121:121)),COLUMN())),"")</f>
        <v/>
      </c>
      <c r="G136" s="338" t="str">
        <f t="array" ref="G136">IFERROR(INDEX(121:121,SMALL(IF(121:121&lt;&gt;"",COLUMN(121:121)),COLUMN())),"")</f>
        <v/>
      </c>
      <c r="H136" s="338" t="str">
        <f t="array" ref="H136">IFERROR(INDEX(121:121,SMALL(IF(121:121&lt;&gt;"",COLUMN(121:121)),COLUMN())),"")</f>
        <v/>
      </c>
      <c r="I136" s="338" t="str">
        <f t="array" ref="I136">IFERROR(INDEX(121:121,SMALL(IF(121:121&lt;&gt;"",COLUMN(121:121)),COLUMN())),"")</f>
        <v/>
      </c>
      <c r="J136" s="338" t="str">
        <f t="array" ref="J136">IFERROR(INDEX(121:121,SMALL(IF(121:121&lt;&gt;"",COLUMN(121:121)),COLUMN())),"")</f>
        <v/>
      </c>
      <c r="K136" s="338" t="str">
        <f t="array" ref="K136">IFERROR(INDEX(121:121,SMALL(IF(121:121&lt;&gt;"",COLUMN(121:121)),COLUMN())),"")</f>
        <v/>
      </c>
      <c r="L136" s="338" t="str">
        <f t="array" ref="L136">IFERROR(INDEX(121:121,SMALL(IF(121:121&lt;&gt;"",COLUMN(121:121)),COLUMN())),"")</f>
        <v/>
      </c>
      <c r="M136" s="338" t="str">
        <f t="array" ref="M136">IFERROR(INDEX(121:121,SMALL(IF(121:121&lt;&gt;"",COLUMN(121:121)),COLUMN())),"")</f>
        <v/>
      </c>
      <c r="N136" s="338" t="str">
        <f t="array" ref="N136">IFERROR(INDEX(121:121,SMALL(IF(121:121&lt;&gt;"",COLUMN(121:121)),COLUMN())),"")</f>
        <v/>
      </c>
      <c r="O136" s="338" t="str">
        <f t="array" ref="O136">IFERROR(INDEX(121:121,SMALL(IF(121:121&lt;&gt;"",COLUMN(121:121)),COLUMN())),"")</f>
        <v/>
      </c>
      <c r="P136" s="338" t="str">
        <f t="array" ref="P136">IFERROR(INDEX(121:121,SMALL(IF(121:121&lt;&gt;"",COLUMN(121:121)),COLUMN())),"")</f>
        <v/>
      </c>
      <c r="Q136" s="338" t="str">
        <f t="array" ref="Q136">IFERROR(INDEX(121:121,SMALL(IF(121:121&lt;&gt;"",COLUMN(121:121)),COLUMN())),"")</f>
        <v/>
      </c>
      <c r="R136" s="338" t="str">
        <f t="array" ref="R136">IFERROR(INDEX(121:121,SMALL(IF(121:121&lt;&gt;"",COLUMN(121:121)),COLUMN())),"")</f>
        <v/>
      </c>
      <c r="S136" s="338" t="str">
        <f t="array" ref="S136">IFERROR(INDEX(121:121,SMALL(IF(121:121&lt;&gt;"",COLUMN(121:121)),COLUMN())),"")</f>
        <v/>
      </c>
      <c r="T136" s="338" t="str">
        <f t="array" ref="T136">IFERROR(INDEX(121:121,SMALL(IF(121:121&lt;&gt;"",COLUMN(121:121)),COLUMN())),"")</f>
        <v/>
      </c>
      <c r="U136" s="338" t="str">
        <f t="array" ref="U136">IFERROR(INDEX(121:121,SMALL(IF(121:121&lt;&gt;"",COLUMN(121:121)),COLUMN())),"")</f>
        <v/>
      </c>
    </row>
    <row r="137" spans="1:44" s="315" customFormat="1" ht="14.25" hidden="1">
      <c r="A137" s="627" t="s">
        <v>183</v>
      </c>
      <c r="B137" s="627"/>
      <c r="C137" s="627"/>
      <c r="D137" s="339" t="s">
        <v>184</v>
      </c>
      <c r="E137" s="339" t="s">
        <v>185</v>
      </c>
      <c r="F137" s="339" t="s">
        <v>186</v>
      </c>
      <c r="G137" s="339" t="s">
        <v>187</v>
      </c>
      <c r="H137" s="339" t="s">
        <v>188</v>
      </c>
      <c r="I137" s="339" t="s">
        <v>189</v>
      </c>
      <c r="J137" s="339" t="s">
        <v>190</v>
      </c>
      <c r="K137" s="339" t="s">
        <v>191</v>
      </c>
      <c r="L137" s="337" t="s">
        <v>192</v>
      </c>
      <c r="M137" s="337" t="s">
        <v>193</v>
      </c>
      <c r="N137" s="337" t="s">
        <v>194</v>
      </c>
      <c r="O137" s="337" t="s">
        <v>308</v>
      </c>
      <c r="P137" s="337" t="s">
        <v>309</v>
      </c>
      <c r="Q137" s="337" t="s">
        <v>310</v>
      </c>
      <c r="R137" s="337" t="s">
        <v>311</v>
      </c>
      <c r="S137" s="337" t="s">
        <v>312</v>
      </c>
      <c r="T137" s="337" t="s">
        <v>313</v>
      </c>
      <c r="U137" s="337" t="s">
        <v>314</v>
      </c>
      <c r="V137" s="337" t="s">
        <v>315</v>
      </c>
      <c r="W137" s="337" t="s">
        <v>316</v>
      </c>
      <c r="X137" s="337" t="s">
        <v>317</v>
      </c>
    </row>
    <row r="138" spans="1:44" s="315" customFormat="1" ht="14.25" hidden="1">
      <c r="A138" s="628"/>
      <c r="B138" s="628"/>
      <c r="C138" s="628"/>
      <c r="D138" s="340" t="e">
        <f>SUM(D118:G118)/SUM(D115:G115)*100</f>
        <v>#DIV/0!</v>
      </c>
      <c r="E138" s="340" t="e">
        <f>(SUM(D118:G118)+SUM(B136:B136))/SUM(D115:G115)*100</f>
        <v>#DIV/0!</v>
      </c>
      <c r="F138" s="340" t="e">
        <f>(SUM(D118:G118)+SUM(B136:C136))/SUM(D115:G115)*100</f>
        <v>#DIV/0!</v>
      </c>
      <c r="G138" s="340" t="e">
        <f>(SUM(D118:G118)+SUM(B136:D136))/SUM(D115:G115)*100</f>
        <v>#DIV/0!</v>
      </c>
      <c r="H138" s="340" t="e">
        <f>(SUM(D118:G118)+SUM(B136:E136))/SUM(D115:G115)*100</f>
        <v>#DIV/0!</v>
      </c>
      <c r="I138" s="341" t="e">
        <f>(SUM(D118:G118)+SUM(B136:F136))/SUM(D115:G115)*100</f>
        <v>#DIV/0!</v>
      </c>
      <c r="J138" s="340" t="e">
        <f>(SUM(D118:G118)+SUM(B136:G136))/SUM(D115:G115)*100</f>
        <v>#DIV/0!</v>
      </c>
      <c r="K138" s="340" t="e">
        <f>(SUM(D118:G118)+SUM(B136:H136))/SUM(D115:G115)*100</f>
        <v>#DIV/0!</v>
      </c>
      <c r="L138" s="340" t="e">
        <f>(SUM(D118:G118)+SUM(B136:I136))/SUM(D115:G115)*100</f>
        <v>#DIV/0!</v>
      </c>
      <c r="M138" s="340" t="e">
        <f>(SUM(D118:G118)+SUM(B136:J136))/SUM(D115:G115)*100</f>
        <v>#DIV/0!</v>
      </c>
      <c r="N138" s="340" t="e">
        <f>(SUM(D118:G118)+SUM(B136:K136))/SUM(D115:G115)*100</f>
        <v>#DIV/0!</v>
      </c>
      <c r="O138" s="342" t="e">
        <f>(SUM(D118:G118)+SUM(B136:L136))/SUM(D115:G115)*100</f>
        <v>#DIV/0!</v>
      </c>
      <c r="P138" s="343" t="e">
        <f>(SUM(D118:G118)+SUM(B136:M136))/SUM(D115:G115)*100</f>
        <v>#DIV/0!</v>
      </c>
      <c r="Q138" s="343" t="e">
        <f>(SUM(D118:G118)+SUM(B136:N136))/SUM(D115:G115)*100</f>
        <v>#DIV/0!</v>
      </c>
      <c r="R138" s="343" t="e">
        <f>(SUM(D118:G118)+SUM(B136:O136))/SUM(D115:G115)*100</f>
        <v>#DIV/0!</v>
      </c>
      <c r="S138" s="343" t="e">
        <f>(SUM(D118:G118)+SUM(B136:P136))/SUM(D115:G115)*100</f>
        <v>#DIV/0!</v>
      </c>
      <c r="T138" s="343" t="e">
        <f>(SUM(D118:G118)+SUM(B136:Q136))/SUM(D115:G115)*100</f>
        <v>#DIV/0!</v>
      </c>
      <c r="U138" s="343" t="e">
        <f>(SUM(D118:G118)+SUM(B136:R136))/SUM(D115:G115)*100</f>
        <v>#DIV/0!</v>
      </c>
      <c r="V138" s="343" t="e">
        <f>(SUM(D118:G118)+SUM(B136:S136))/SUM(D115:G115)*100</f>
        <v>#DIV/0!</v>
      </c>
      <c r="W138" s="343" t="e">
        <f>(SUM(D118:G118)+SUM(B136:T136))/SUM(D115:G115)*100</f>
        <v>#DIV/0!</v>
      </c>
      <c r="X138" s="343" t="e">
        <f>(SUM(D118:G118)+SUM(B136:U136))/SUM(D115:G115)*100</f>
        <v>#DIV/0!</v>
      </c>
    </row>
    <row r="139" spans="1:44" s="315" customFormat="1" ht="14.25" hidden="1"/>
    <row r="140" spans="1:44" s="315" customFormat="1" ht="14.25" hidden="1">
      <c r="A140" s="610" t="s">
        <v>126</v>
      </c>
      <c r="B140" s="611"/>
      <c r="C140" s="611"/>
      <c r="E140" s="344" t="e">
        <f t="shared" ref="E140:AQ140" si="216">IF(E122="",IF(E123="",NA(),E123/-10),E122)</f>
        <v>#N/A</v>
      </c>
      <c r="F140" s="344" t="e">
        <f t="shared" si="216"/>
        <v>#N/A</v>
      </c>
      <c r="G140" s="344" t="e">
        <f t="shared" si="216"/>
        <v>#N/A</v>
      </c>
      <c r="H140" s="344" t="e">
        <f t="shared" si="216"/>
        <v>#N/A</v>
      </c>
      <c r="I140" s="344" t="e">
        <f t="shared" si="216"/>
        <v>#N/A</v>
      </c>
      <c r="J140" s="344" t="e">
        <f t="shared" si="216"/>
        <v>#N/A</v>
      </c>
      <c r="K140" s="344" t="e">
        <f t="shared" si="216"/>
        <v>#N/A</v>
      </c>
      <c r="L140" s="344" t="e">
        <f t="shared" si="216"/>
        <v>#N/A</v>
      </c>
      <c r="M140" s="344" t="e">
        <f t="shared" si="216"/>
        <v>#N/A</v>
      </c>
      <c r="N140" s="344" t="e">
        <f t="shared" si="216"/>
        <v>#N/A</v>
      </c>
      <c r="O140" s="344" t="e">
        <f t="shared" si="216"/>
        <v>#N/A</v>
      </c>
      <c r="P140" s="344" t="e">
        <f t="shared" si="216"/>
        <v>#N/A</v>
      </c>
      <c r="Q140" s="344" t="e">
        <f t="shared" si="216"/>
        <v>#N/A</v>
      </c>
      <c r="R140" s="344" t="e">
        <f t="shared" si="216"/>
        <v>#N/A</v>
      </c>
      <c r="S140" s="344" t="e">
        <f t="shared" si="216"/>
        <v>#N/A</v>
      </c>
      <c r="T140" s="344" t="e">
        <f t="shared" si="216"/>
        <v>#N/A</v>
      </c>
      <c r="U140" s="344" t="e">
        <f t="shared" si="216"/>
        <v>#N/A</v>
      </c>
      <c r="V140" s="344" t="e">
        <f t="shared" si="216"/>
        <v>#N/A</v>
      </c>
      <c r="W140" s="344" t="e">
        <f t="shared" si="216"/>
        <v>#N/A</v>
      </c>
      <c r="X140" s="344" t="e">
        <f t="shared" si="216"/>
        <v>#N/A</v>
      </c>
      <c r="Y140" s="344" t="e">
        <f t="shared" si="216"/>
        <v>#N/A</v>
      </c>
      <c r="Z140" s="344" t="e">
        <f t="shared" si="216"/>
        <v>#N/A</v>
      </c>
      <c r="AA140" s="344" t="e">
        <f t="shared" si="216"/>
        <v>#N/A</v>
      </c>
      <c r="AB140" s="344" t="e">
        <f t="shared" si="216"/>
        <v>#N/A</v>
      </c>
      <c r="AC140" s="344" t="e">
        <f t="shared" si="216"/>
        <v>#N/A</v>
      </c>
      <c r="AD140" s="344" t="e">
        <f t="shared" si="216"/>
        <v>#N/A</v>
      </c>
      <c r="AE140" s="344" t="e">
        <f t="shared" si="216"/>
        <v>#N/A</v>
      </c>
      <c r="AF140" s="344" t="e">
        <f t="shared" si="216"/>
        <v>#N/A</v>
      </c>
      <c r="AG140" s="344" t="e">
        <f t="shared" si="216"/>
        <v>#N/A</v>
      </c>
      <c r="AH140" s="344" t="e">
        <f t="shared" si="216"/>
        <v>#N/A</v>
      </c>
      <c r="AI140" s="344" t="e">
        <f t="shared" si="216"/>
        <v>#N/A</v>
      </c>
      <c r="AJ140" s="344" t="e">
        <f t="shared" si="216"/>
        <v>#N/A</v>
      </c>
      <c r="AK140" s="344" t="e">
        <f t="shared" si="216"/>
        <v>#N/A</v>
      </c>
      <c r="AL140" s="344" t="e">
        <f t="shared" si="216"/>
        <v>#N/A</v>
      </c>
      <c r="AM140" s="344" t="e">
        <f t="shared" si="216"/>
        <v>#N/A</v>
      </c>
      <c r="AN140" s="344" t="e">
        <f t="shared" si="216"/>
        <v>#N/A</v>
      </c>
      <c r="AO140" s="344" t="e">
        <f t="shared" si="216"/>
        <v>#N/A</v>
      </c>
      <c r="AP140" s="344" t="e">
        <f t="shared" si="216"/>
        <v>#N/A</v>
      </c>
      <c r="AQ140" s="344" t="e">
        <f t="shared" si="216"/>
        <v>#N/A</v>
      </c>
    </row>
    <row r="141" spans="1:44" s="315" customFormat="1" ht="14.25" hidden="1">
      <c r="A141" s="629" t="s">
        <v>42</v>
      </c>
      <c r="B141" s="629"/>
      <c r="C141" s="612"/>
      <c r="E141" s="345" t="e">
        <f t="shared" ref="E141:AQ141" si="217">IF(E140="",NA(),E140*(-10))</f>
        <v>#N/A</v>
      </c>
      <c r="F141" s="345" t="e">
        <f t="shared" si="217"/>
        <v>#N/A</v>
      </c>
      <c r="G141" s="345" t="e">
        <f t="shared" si="217"/>
        <v>#N/A</v>
      </c>
      <c r="H141" s="345" t="e">
        <f t="shared" si="217"/>
        <v>#N/A</v>
      </c>
      <c r="I141" s="345" t="e">
        <f t="shared" si="217"/>
        <v>#N/A</v>
      </c>
      <c r="J141" s="345" t="e">
        <f t="shared" si="217"/>
        <v>#N/A</v>
      </c>
      <c r="K141" s="345" t="e">
        <f t="shared" si="217"/>
        <v>#N/A</v>
      </c>
      <c r="L141" s="345" t="e">
        <f t="shared" si="217"/>
        <v>#N/A</v>
      </c>
      <c r="M141" s="345" t="e">
        <f t="shared" si="217"/>
        <v>#N/A</v>
      </c>
      <c r="N141" s="345" t="e">
        <f t="shared" si="217"/>
        <v>#N/A</v>
      </c>
      <c r="O141" s="345" t="e">
        <f t="shared" si="217"/>
        <v>#N/A</v>
      </c>
      <c r="P141" s="345" t="e">
        <f t="shared" si="217"/>
        <v>#N/A</v>
      </c>
      <c r="Q141" s="345" t="e">
        <f t="shared" si="217"/>
        <v>#N/A</v>
      </c>
      <c r="R141" s="345" t="e">
        <f t="shared" si="217"/>
        <v>#N/A</v>
      </c>
      <c r="S141" s="345" t="e">
        <f t="shared" si="217"/>
        <v>#N/A</v>
      </c>
      <c r="T141" s="345" t="e">
        <f t="shared" si="217"/>
        <v>#N/A</v>
      </c>
      <c r="U141" s="345" t="e">
        <f t="shared" si="217"/>
        <v>#N/A</v>
      </c>
      <c r="V141" s="345" t="e">
        <f t="shared" si="217"/>
        <v>#N/A</v>
      </c>
      <c r="W141" s="345" t="e">
        <f t="shared" si="217"/>
        <v>#N/A</v>
      </c>
      <c r="X141" s="345" t="e">
        <f t="shared" si="217"/>
        <v>#N/A</v>
      </c>
      <c r="Y141" s="345" t="e">
        <f t="shared" si="217"/>
        <v>#N/A</v>
      </c>
      <c r="Z141" s="345" t="e">
        <f t="shared" si="217"/>
        <v>#N/A</v>
      </c>
      <c r="AA141" s="345" t="e">
        <f t="shared" si="217"/>
        <v>#N/A</v>
      </c>
      <c r="AB141" s="345" t="e">
        <f t="shared" si="217"/>
        <v>#N/A</v>
      </c>
      <c r="AC141" s="345" t="e">
        <f t="shared" si="217"/>
        <v>#N/A</v>
      </c>
      <c r="AD141" s="345" t="e">
        <f t="shared" si="217"/>
        <v>#N/A</v>
      </c>
      <c r="AE141" s="345" t="e">
        <f t="shared" si="217"/>
        <v>#N/A</v>
      </c>
      <c r="AF141" s="345" t="e">
        <f t="shared" si="217"/>
        <v>#N/A</v>
      </c>
      <c r="AG141" s="345" t="e">
        <f t="shared" si="217"/>
        <v>#N/A</v>
      </c>
      <c r="AH141" s="345" t="e">
        <f t="shared" si="217"/>
        <v>#N/A</v>
      </c>
      <c r="AI141" s="345" t="e">
        <f t="shared" si="217"/>
        <v>#N/A</v>
      </c>
      <c r="AJ141" s="345" t="e">
        <f t="shared" si="217"/>
        <v>#N/A</v>
      </c>
      <c r="AK141" s="345" t="e">
        <f t="shared" si="217"/>
        <v>#N/A</v>
      </c>
      <c r="AL141" s="345" t="e">
        <f t="shared" si="217"/>
        <v>#N/A</v>
      </c>
      <c r="AM141" s="345" t="e">
        <f t="shared" si="217"/>
        <v>#N/A</v>
      </c>
      <c r="AN141" s="345" t="e">
        <f t="shared" si="217"/>
        <v>#N/A</v>
      </c>
      <c r="AO141" s="345" t="e">
        <f t="shared" si="217"/>
        <v>#N/A</v>
      </c>
      <c r="AP141" s="345" t="e">
        <f t="shared" si="217"/>
        <v>#N/A</v>
      </c>
      <c r="AQ141" s="345" t="e">
        <f t="shared" si="217"/>
        <v>#N/A</v>
      </c>
    </row>
    <row r="142" spans="1:44" s="315" customFormat="1" ht="14.25" hidden="1">
      <c r="A142" s="346"/>
      <c r="B142" s="620" t="s">
        <v>34</v>
      </c>
      <c r="C142" s="603"/>
      <c r="E142" s="347" t="e">
        <f t="shared" ref="E142:AQ142" si="218">IF(E140="",NA(),ROUND(1443/(1443+E141),4))</f>
        <v>#N/A</v>
      </c>
      <c r="F142" s="347" t="e">
        <f t="shared" si="218"/>
        <v>#N/A</v>
      </c>
      <c r="G142" s="347" t="e">
        <f t="shared" si="218"/>
        <v>#N/A</v>
      </c>
      <c r="H142" s="347" t="e">
        <f t="shared" si="218"/>
        <v>#N/A</v>
      </c>
      <c r="I142" s="347" t="e">
        <f t="shared" si="218"/>
        <v>#N/A</v>
      </c>
      <c r="J142" s="347" t="e">
        <f t="shared" si="218"/>
        <v>#N/A</v>
      </c>
      <c r="K142" s="347" t="e">
        <f t="shared" si="218"/>
        <v>#N/A</v>
      </c>
      <c r="L142" s="347" t="e">
        <f t="shared" si="218"/>
        <v>#N/A</v>
      </c>
      <c r="M142" s="347" t="e">
        <f t="shared" si="218"/>
        <v>#N/A</v>
      </c>
      <c r="N142" s="347" t="e">
        <f t="shared" si="218"/>
        <v>#N/A</v>
      </c>
      <c r="O142" s="347" t="e">
        <f t="shared" si="218"/>
        <v>#N/A</v>
      </c>
      <c r="P142" s="347" t="e">
        <f t="shared" si="218"/>
        <v>#N/A</v>
      </c>
      <c r="Q142" s="347" t="e">
        <f t="shared" si="218"/>
        <v>#N/A</v>
      </c>
      <c r="R142" s="347" t="e">
        <f t="shared" si="218"/>
        <v>#N/A</v>
      </c>
      <c r="S142" s="347" t="e">
        <f t="shared" si="218"/>
        <v>#N/A</v>
      </c>
      <c r="T142" s="347" t="e">
        <f t="shared" si="218"/>
        <v>#N/A</v>
      </c>
      <c r="U142" s="347" t="e">
        <f t="shared" si="218"/>
        <v>#N/A</v>
      </c>
      <c r="V142" s="347" t="e">
        <f t="shared" si="218"/>
        <v>#N/A</v>
      </c>
      <c r="W142" s="347" t="e">
        <f t="shared" si="218"/>
        <v>#N/A</v>
      </c>
      <c r="X142" s="347" t="e">
        <f t="shared" si="218"/>
        <v>#N/A</v>
      </c>
      <c r="Y142" s="347" t="e">
        <f t="shared" si="218"/>
        <v>#N/A</v>
      </c>
      <c r="Z142" s="347" t="e">
        <f t="shared" si="218"/>
        <v>#N/A</v>
      </c>
      <c r="AA142" s="347" t="e">
        <f t="shared" si="218"/>
        <v>#N/A</v>
      </c>
      <c r="AB142" s="347" t="e">
        <f t="shared" si="218"/>
        <v>#N/A</v>
      </c>
      <c r="AC142" s="347" t="e">
        <f t="shared" si="218"/>
        <v>#N/A</v>
      </c>
      <c r="AD142" s="347" t="e">
        <f t="shared" si="218"/>
        <v>#N/A</v>
      </c>
      <c r="AE142" s="347" t="e">
        <f t="shared" si="218"/>
        <v>#N/A</v>
      </c>
      <c r="AF142" s="347" t="e">
        <f t="shared" si="218"/>
        <v>#N/A</v>
      </c>
      <c r="AG142" s="347" t="e">
        <f t="shared" si="218"/>
        <v>#N/A</v>
      </c>
      <c r="AH142" s="347" t="e">
        <f t="shared" si="218"/>
        <v>#N/A</v>
      </c>
      <c r="AI142" s="347" t="e">
        <f t="shared" si="218"/>
        <v>#N/A</v>
      </c>
      <c r="AJ142" s="347" t="e">
        <f t="shared" si="218"/>
        <v>#N/A</v>
      </c>
      <c r="AK142" s="347" t="e">
        <f t="shared" si="218"/>
        <v>#N/A</v>
      </c>
      <c r="AL142" s="347" t="e">
        <f t="shared" si="218"/>
        <v>#N/A</v>
      </c>
      <c r="AM142" s="347" t="e">
        <f t="shared" si="218"/>
        <v>#N/A</v>
      </c>
      <c r="AN142" s="347" t="e">
        <f t="shared" si="218"/>
        <v>#N/A</v>
      </c>
      <c r="AO142" s="347" t="e">
        <f t="shared" si="218"/>
        <v>#N/A</v>
      </c>
      <c r="AP142" s="347" t="e">
        <f t="shared" si="218"/>
        <v>#N/A</v>
      </c>
      <c r="AQ142" s="347" t="e">
        <f t="shared" si="218"/>
        <v>#N/A</v>
      </c>
    </row>
    <row r="143" spans="1:44" s="315" customFormat="1" ht="14.25" hidden="1">
      <c r="A143" s="346"/>
      <c r="B143" s="620" t="s">
        <v>35</v>
      </c>
      <c r="C143" s="603"/>
      <c r="E143" s="347" t="e">
        <f>IF(E124="",NA(),IFERROR(E124*VLOOKUP(E124,'各種計算式等（配付時非表示）'!$E$3:$H$1003,3,TRUE)+VLOOKUP(E124,'各種計算式等（配付時非表示）'!$E$3:$H$1003,4,TRUE)+0.0000000001,"-"))</f>
        <v>#N/A</v>
      </c>
      <c r="F143" s="347" t="e">
        <f>IF(F124="",NA(),IFERROR(F124*VLOOKUP(F124,'各種計算式等（配付時非表示）'!$E$3:$H$1003,3,TRUE)+VLOOKUP(F124,'各種計算式等（配付時非表示）'!$E$3:$H$1003,4,TRUE)+0.0000000001,"-"))</f>
        <v>#N/A</v>
      </c>
      <c r="G143" s="347" t="e">
        <f>IF(G124="",NA(),IFERROR(G124*VLOOKUP(G124,'各種計算式等（配付時非表示）'!$E$3:$H$1003,3,TRUE)+VLOOKUP(G124,'各種計算式等（配付時非表示）'!$E$3:$H$1003,4,TRUE)+0.0000000001,"-"))</f>
        <v>#N/A</v>
      </c>
      <c r="H143" s="347" t="e">
        <f>IF(H124="",NA(),IFERROR(H124*VLOOKUP(H124,'各種計算式等（配付時非表示）'!$E$3:$H$1003,3,TRUE)+VLOOKUP(H124,'各種計算式等（配付時非表示）'!$E$3:$H$1003,4,TRUE)+0.0000000001,"-"))</f>
        <v>#N/A</v>
      </c>
      <c r="I143" s="347" t="e">
        <f>IF(I124="",NA(),IFERROR(I124*VLOOKUP(I124,'各種計算式等（配付時非表示）'!$E$3:$H$1003,3,TRUE)+VLOOKUP(I124,'各種計算式等（配付時非表示）'!$E$3:$H$1003,4,TRUE)+0.0000000001,"-"))</f>
        <v>#N/A</v>
      </c>
      <c r="J143" s="347" t="e">
        <f>IF(J124="",NA(),IFERROR(J124*VLOOKUP(J124,'各種計算式等（配付時非表示）'!$E$3:$H$1003,3,TRUE)+VLOOKUP(J124,'各種計算式等（配付時非表示）'!$E$3:$H$1003,4,TRUE)+0.0000000001,"-"))</f>
        <v>#N/A</v>
      </c>
      <c r="K143" s="347" t="e">
        <f>IF(K124="",NA(),IFERROR(K124*VLOOKUP(K124,'各種計算式等（配付時非表示）'!$E$3:$H$1003,3,TRUE)+VLOOKUP(K124,'各種計算式等（配付時非表示）'!$E$3:$H$1003,4,TRUE)+0.0000000001,"-"))</f>
        <v>#N/A</v>
      </c>
      <c r="L143" s="347" t="e">
        <f>IF(L124="",NA(),IFERROR(L124*VLOOKUP(L124,'各種計算式等（配付時非表示）'!$E$3:$H$1003,3,TRUE)+VLOOKUP(L124,'各種計算式等（配付時非表示）'!$E$3:$H$1003,4,TRUE)+0.0000000001,"-"))</f>
        <v>#N/A</v>
      </c>
      <c r="M143" s="347" t="e">
        <f>IF(M124="",NA(),IFERROR(M124*VLOOKUP(M124,'各種計算式等（配付時非表示）'!$E$3:$H$1003,3,TRUE)+VLOOKUP(M124,'各種計算式等（配付時非表示）'!$E$3:$H$1003,4,TRUE)+0.0000000001,"-"))</f>
        <v>#N/A</v>
      </c>
      <c r="N143" s="347" t="e">
        <f>IF(N124="",NA(),IFERROR(N124*VLOOKUP(N124,'各種計算式等（配付時非表示）'!$E$3:$H$1003,3,TRUE)+VLOOKUP(N124,'各種計算式等（配付時非表示）'!$E$3:$H$1003,4,TRUE)+0.0000000001,"-"))</f>
        <v>#N/A</v>
      </c>
      <c r="O143" s="347" t="e">
        <f>IF(O124="",NA(),IFERROR(O124*VLOOKUP(O124,'各種計算式等（配付時非表示）'!$E$3:$H$1003,3,TRUE)+VLOOKUP(O124,'各種計算式等（配付時非表示）'!$E$3:$H$1003,4,TRUE)+0.0000000001,"-"))</f>
        <v>#N/A</v>
      </c>
      <c r="P143" s="347" t="e">
        <f>IF(P124="",NA(),IFERROR(P124*VLOOKUP(P124,'各種計算式等（配付時非表示）'!$E$3:$H$1003,3,TRUE)+VLOOKUP(P124,'各種計算式等（配付時非表示）'!$E$3:$H$1003,4,TRUE)+0.0000000001,"-"))</f>
        <v>#N/A</v>
      </c>
      <c r="Q143" s="347" t="e">
        <f>IF(Q124="",NA(),IFERROR(Q124*VLOOKUP(Q124,'各種計算式等（配付時非表示）'!$E$3:$H$1003,3,TRUE)+VLOOKUP(Q124,'各種計算式等（配付時非表示）'!$E$3:$H$1003,4,TRUE)+0.0000000001,"-"))</f>
        <v>#N/A</v>
      </c>
      <c r="R143" s="347" t="e">
        <f>IF(R124="",NA(),IFERROR(R124*VLOOKUP(R124,'各種計算式等（配付時非表示）'!$E$3:$H$1003,3,TRUE)+VLOOKUP(R124,'各種計算式等（配付時非表示）'!$E$3:$H$1003,4,TRUE)+0.0000000001,"-"))</f>
        <v>#N/A</v>
      </c>
      <c r="S143" s="347" t="e">
        <f>IF(S124="",NA(),IFERROR(S124*VLOOKUP(S124,'各種計算式等（配付時非表示）'!$E$3:$H$1003,3,TRUE)+VLOOKUP(S124,'各種計算式等（配付時非表示）'!$E$3:$H$1003,4,TRUE)+0.0000000001,"-"))</f>
        <v>#N/A</v>
      </c>
      <c r="T143" s="347" t="e">
        <f>IF(T124="",NA(),IFERROR(T124*VLOOKUP(T124,'各種計算式等（配付時非表示）'!$E$3:$H$1003,3,TRUE)+VLOOKUP(T124,'各種計算式等（配付時非表示）'!$E$3:$H$1003,4,TRUE)+0.0000000001,"-"))</f>
        <v>#N/A</v>
      </c>
      <c r="U143" s="347" t="e">
        <f>IF(U124="",NA(),IFERROR(U124*VLOOKUP(U124,'各種計算式等（配付時非表示）'!$E$3:$H$1003,3,TRUE)+VLOOKUP(U124,'各種計算式等（配付時非表示）'!$E$3:$H$1003,4,TRUE)+0.0000000001,"-"))</f>
        <v>#N/A</v>
      </c>
      <c r="V143" s="347" t="e">
        <f>IF(V124="",NA(),IFERROR(V124*VLOOKUP(V124,'各種計算式等（配付時非表示）'!$E$3:$H$1003,3,TRUE)+VLOOKUP(V124,'各種計算式等（配付時非表示）'!$E$3:$H$1003,4,TRUE)+0.0000000001,"-"))</f>
        <v>#N/A</v>
      </c>
      <c r="W143" s="347" t="e">
        <f>IF(W124="",NA(),IFERROR(W124*VLOOKUP(W124,'各種計算式等（配付時非表示）'!$E$3:$H$1003,3,TRUE)+VLOOKUP(W124,'各種計算式等（配付時非表示）'!$E$3:$H$1003,4,TRUE)+0.0000000001,"-"))</f>
        <v>#N/A</v>
      </c>
      <c r="X143" s="347" t="e">
        <f>IF(X124="",NA(),IFERROR(X124*VLOOKUP(X124,'各種計算式等（配付時非表示）'!$E$3:$H$1003,3,TRUE)+VLOOKUP(X124,'各種計算式等（配付時非表示）'!$E$3:$H$1003,4,TRUE)+0.0000000001,"-"))</f>
        <v>#N/A</v>
      </c>
      <c r="Y143" s="347" t="e">
        <f>IF(Y124="",NA(),IFERROR(Y124*VLOOKUP(Y124,'各種計算式等（配付時非表示）'!$E$3:$H$1003,3,TRUE)+VLOOKUP(Y124,'各種計算式等（配付時非表示）'!$E$3:$H$1003,4,TRUE)+0.0000000001,"-"))</f>
        <v>#N/A</v>
      </c>
      <c r="Z143" s="347" t="e">
        <f>IF(Z124="",NA(),IFERROR(Z124*VLOOKUP(Z124,'各種計算式等（配付時非表示）'!$E$3:$H$1003,3,TRUE)+VLOOKUP(Z124,'各種計算式等（配付時非表示）'!$E$3:$H$1003,4,TRUE)+0.0000000001,"-"))</f>
        <v>#N/A</v>
      </c>
      <c r="AA143" s="347" t="e">
        <f>IF(AA124="",NA(),IFERROR(AA124*VLOOKUP(AA124,'各種計算式等（配付時非表示）'!$E$3:$H$1003,3,TRUE)+VLOOKUP(AA124,'各種計算式等（配付時非表示）'!$E$3:$H$1003,4,TRUE)+0.0000000001,"-"))</f>
        <v>#N/A</v>
      </c>
      <c r="AB143" s="347" t="e">
        <f>IF(AB124="",NA(),IFERROR(AB124*VLOOKUP(AB124,'各種計算式等（配付時非表示）'!$E$3:$H$1003,3,TRUE)+VLOOKUP(AB124,'各種計算式等（配付時非表示）'!$E$3:$H$1003,4,TRUE)+0.0000000001,"-"))</f>
        <v>#N/A</v>
      </c>
      <c r="AC143" s="347" t="e">
        <f>IF(AC124="",NA(),IFERROR(AC124*VLOOKUP(AC124,'各種計算式等（配付時非表示）'!$E$3:$H$1003,3,TRUE)+VLOOKUP(AC124,'各種計算式等（配付時非表示）'!$E$3:$H$1003,4,TRUE)+0.0000000001,"-"))</f>
        <v>#N/A</v>
      </c>
      <c r="AD143" s="347" t="e">
        <f>IF(AD124="",NA(),IFERROR(AD124*VLOOKUP(AD124,'各種計算式等（配付時非表示）'!$E$3:$H$1003,3,TRUE)+VLOOKUP(AD124,'各種計算式等（配付時非表示）'!$E$3:$H$1003,4,TRUE)+0.0000000001,"-"))</f>
        <v>#N/A</v>
      </c>
      <c r="AE143" s="347" t="e">
        <f>IF(AE124="",NA(),IFERROR(AE124*VLOOKUP(AE124,'各種計算式等（配付時非表示）'!$E$3:$H$1003,3,TRUE)+VLOOKUP(AE124,'各種計算式等（配付時非表示）'!$E$3:$H$1003,4,TRUE)+0.0000000001,"-"))</f>
        <v>#N/A</v>
      </c>
      <c r="AF143" s="347" t="e">
        <f>IF(AF124="",NA(),IFERROR(AF124*VLOOKUP(AF124,'各種計算式等（配付時非表示）'!$E$3:$H$1003,3,TRUE)+VLOOKUP(AF124,'各種計算式等（配付時非表示）'!$E$3:$H$1003,4,TRUE)+0.0000000001,"-"))</f>
        <v>#N/A</v>
      </c>
      <c r="AG143" s="347" t="e">
        <f>IF(AG124="",NA(),IFERROR(AG124*VLOOKUP(AG124,'各種計算式等（配付時非表示）'!$E$3:$H$1003,3,TRUE)+VLOOKUP(AG124,'各種計算式等（配付時非表示）'!$E$3:$H$1003,4,TRUE)+0.0000000001,"-"))</f>
        <v>#N/A</v>
      </c>
      <c r="AH143" s="347" t="e">
        <f>IF(AH124="",NA(),IFERROR(AH124*VLOOKUP(AH124,'各種計算式等（配付時非表示）'!$E$3:$H$1003,3,TRUE)+VLOOKUP(AH124,'各種計算式等（配付時非表示）'!$E$3:$H$1003,4,TRUE)+0.0000000001,"-"))</f>
        <v>#N/A</v>
      </c>
      <c r="AI143" s="347" t="e">
        <f>IF(AI124="",NA(),IFERROR(AI124*VLOOKUP(AI124,'各種計算式等（配付時非表示）'!$E$3:$H$1003,3,TRUE)+VLOOKUP(AI124,'各種計算式等（配付時非表示）'!$E$3:$H$1003,4,TRUE)+0.0000000001,"-"))</f>
        <v>#N/A</v>
      </c>
      <c r="AJ143" s="347" t="e">
        <f>IF(AJ124="",NA(),IFERROR(AJ124*VLOOKUP(AJ124,'各種計算式等（配付時非表示）'!$E$3:$H$1003,3,TRUE)+VLOOKUP(AJ124,'各種計算式等（配付時非表示）'!$E$3:$H$1003,4,TRUE)+0.0000000001,"-"))</f>
        <v>#N/A</v>
      </c>
      <c r="AK143" s="347" t="e">
        <f>IF(AK124="",NA(),IFERROR(AK124*VLOOKUP(AK124,'各種計算式等（配付時非表示）'!$E$3:$H$1003,3,TRUE)+VLOOKUP(AK124,'各種計算式等（配付時非表示）'!$E$3:$H$1003,4,TRUE)+0.0000000001,"-"))</f>
        <v>#N/A</v>
      </c>
      <c r="AL143" s="347" t="e">
        <f>IF(AL124="",NA(),IFERROR(AL124*VLOOKUP(AL124,'各種計算式等（配付時非表示）'!$E$3:$H$1003,3,TRUE)+VLOOKUP(AL124,'各種計算式等（配付時非表示）'!$E$3:$H$1003,4,TRUE)+0.0000000001,"-"))</f>
        <v>#N/A</v>
      </c>
      <c r="AM143" s="347" t="e">
        <f>IF(AM124="",NA(),IFERROR(AM124*VLOOKUP(AM124,'各種計算式等（配付時非表示）'!$E$3:$H$1003,3,TRUE)+VLOOKUP(AM124,'各種計算式等（配付時非表示）'!$E$3:$H$1003,4,TRUE)+0.0000000001,"-"))</f>
        <v>#N/A</v>
      </c>
      <c r="AN143" s="347" t="e">
        <f>IF(AN124="",NA(),IFERROR(AN124*VLOOKUP(AN124,'各種計算式等（配付時非表示）'!$E$3:$H$1003,3,TRUE)+VLOOKUP(AN124,'各種計算式等（配付時非表示）'!$E$3:$H$1003,4,TRUE)+0.0000000001,"-"))</f>
        <v>#N/A</v>
      </c>
      <c r="AO143" s="347" t="e">
        <f>IF(AO124="",NA(),IFERROR(AO124*VLOOKUP(AO124,'各種計算式等（配付時非表示）'!$E$3:$H$1003,3,TRUE)+VLOOKUP(AO124,'各種計算式等（配付時非表示）'!$E$3:$H$1003,4,TRUE)+0.0000000001,"-"))</f>
        <v>#N/A</v>
      </c>
      <c r="AP143" s="347" t="e">
        <f>IF(AP124="",NA(),IFERROR(AP124*VLOOKUP(AP124,'各種計算式等（配付時非表示）'!$E$3:$H$1003,3,TRUE)+VLOOKUP(AP124,'各種計算式等（配付時非表示）'!$E$3:$H$1003,4,TRUE)+0.0000000001,"-"))</f>
        <v>#N/A</v>
      </c>
      <c r="AQ143" s="347" t="e">
        <f>IF(AQ124="",NA(),IFERROR(AQ124*VLOOKUP(AQ124,'各種計算式等（配付時非表示）'!$E$3:$H$1003,3,TRUE)+VLOOKUP(AQ124,'各種計算式等（配付時非表示）'!$E$3:$H$1003,4,TRUE)+0.0000000001,"-"))</f>
        <v>#N/A</v>
      </c>
    </row>
    <row r="144" spans="1:44" s="315" customFormat="1" ht="14.25" hidden="1">
      <c r="A144" s="620" t="s">
        <v>3</v>
      </c>
      <c r="B144" s="620"/>
      <c r="C144" s="620"/>
      <c r="E144" s="348" t="e">
        <f t="shared" ref="E144:AQ144" si="219">IFERROR(ROUNDDOWN((E142-E143)*260+0.21,1),NA())</f>
        <v>#N/A</v>
      </c>
      <c r="F144" s="348" t="e">
        <f t="shared" si="219"/>
        <v>#N/A</v>
      </c>
      <c r="G144" s="348" t="e">
        <f t="shared" si="219"/>
        <v>#N/A</v>
      </c>
      <c r="H144" s="348" t="e">
        <f t="shared" si="219"/>
        <v>#N/A</v>
      </c>
      <c r="I144" s="348" t="e">
        <f t="shared" si="219"/>
        <v>#N/A</v>
      </c>
      <c r="J144" s="348" t="e">
        <f t="shared" si="219"/>
        <v>#N/A</v>
      </c>
      <c r="K144" s="348" t="e">
        <f t="shared" si="219"/>
        <v>#N/A</v>
      </c>
      <c r="L144" s="348" t="e">
        <f t="shared" si="219"/>
        <v>#N/A</v>
      </c>
      <c r="M144" s="348" t="e">
        <f t="shared" si="219"/>
        <v>#N/A</v>
      </c>
      <c r="N144" s="348" t="e">
        <f t="shared" si="219"/>
        <v>#N/A</v>
      </c>
      <c r="O144" s="348" t="e">
        <f t="shared" si="219"/>
        <v>#N/A</v>
      </c>
      <c r="P144" s="348" t="e">
        <f t="shared" si="219"/>
        <v>#N/A</v>
      </c>
      <c r="Q144" s="348" t="e">
        <f t="shared" si="219"/>
        <v>#N/A</v>
      </c>
      <c r="R144" s="348" t="e">
        <f t="shared" si="219"/>
        <v>#N/A</v>
      </c>
      <c r="S144" s="348" t="e">
        <f t="shared" si="219"/>
        <v>#N/A</v>
      </c>
      <c r="T144" s="348" t="e">
        <f t="shared" si="219"/>
        <v>#N/A</v>
      </c>
      <c r="U144" s="348" t="e">
        <f t="shared" si="219"/>
        <v>#N/A</v>
      </c>
      <c r="V144" s="348" t="e">
        <f t="shared" si="219"/>
        <v>#N/A</v>
      </c>
      <c r="W144" s="348" t="e">
        <f t="shared" si="219"/>
        <v>#N/A</v>
      </c>
      <c r="X144" s="348" t="e">
        <f t="shared" si="219"/>
        <v>#N/A</v>
      </c>
      <c r="Y144" s="348" t="e">
        <f t="shared" si="219"/>
        <v>#N/A</v>
      </c>
      <c r="Z144" s="348" t="e">
        <f t="shared" si="219"/>
        <v>#N/A</v>
      </c>
      <c r="AA144" s="348" t="e">
        <f t="shared" si="219"/>
        <v>#N/A</v>
      </c>
      <c r="AB144" s="348" t="e">
        <f t="shared" si="219"/>
        <v>#N/A</v>
      </c>
      <c r="AC144" s="348" t="e">
        <f t="shared" si="219"/>
        <v>#N/A</v>
      </c>
      <c r="AD144" s="348" t="e">
        <f t="shared" si="219"/>
        <v>#N/A</v>
      </c>
      <c r="AE144" s="348" t="e">
        <f t="shared" si="219"/>
        <v>#N/A</v>
      </c>
      <c r="AF144" s="348" t="e">
        <f t="shared" si="219"/>
        <v>#N/A</v>
      </c>
      <c r="AG144" s="348" t="e">
        <f t="shared" si="219"/>
        <v>#N/A</v>
      </c>
      <c r="AH144" s="348" t="e">
        <f t="shared" si="219"/>
        <v>#N/A</v>
      </c>
      <c r="AI144" s="348" t="e">
        <f t="shared" si="219"/>
        <v>#N/A</v>
      </c>
      <c r="AJ144" s="348" t="e">
        <f t="shared" si="219"/>
        <v>#N/A</v>
      </c>
      <c r="AK144" s="348" t="e">
        <f t="shared" si="219"/>
        <v>#N/A</v>
      </c>
      <c r="AL144" s="348" t="e">
        <f t="shared" si="219"/>
        <v>#N/A</v>
      </c>
      <c r="AM144" s="348" t="e">
        <f t="shared" si="219"/>
        <v>#N/A</v>
      </c>
      <c r="AN144" s="348" t="e">
        <f t="shared" si="219"/>
        <v>#N/A</v>
      </c>
      <c r="AO144" s="348" t="e">
        <f t="shared" si="219"/>
        <v>#N/A</v>
      </c>
      <c r="AP144" s="348" t="e">
        <f t="shared" si="219"/>
        <v>#N/A</v>
      </c>
      <c r="AQ144" s="348" t="e">
        <f t="shared" si="219"/>
        <v>#N/A</v>
      </c>
    </row>
    <row r="145" spans="1:44" s="315" customFormat="1" ht="14.25" hidden="1">
      <c r="A145" s="620" t="s">
        <v>318</v>
      </c>
      <c r="B145" s="620"/>
      <c r="C145" s="620"/>
      <c r="E145" s="349" t="e">
        <f t="shared" ref="E145:AQ145" si="220">IF(E124="",NA(),ROUNDDOWN(E124*1.5848,1))</f>
        <v>#N/A</v>
      </c>
      <c r="F145" s="349" t="e">
        <f t="shared" si="220"/>
        <v>#N/A</v>
      </c>
      <c r="G145" s="349" t="e">
        <f t="shared" si="220"/>
        <v>#N/A</v>
      </c>
      <c r="H145" s="349" t="e">
        <f t="shared" si="220"/>
        <v>#N/A</v>
      </c>
      <c r="I145" s="349" t="e">
        <f t="shared" si="220"/>
        <v>#N/A</v>
      </c>
      <c r="J145" s="349" t="e">
        <f t="shared" si="220"/>
        <v>#N/A</v>
      </c>
      <c r="K145" s="349" t="e">
        <f t="shared" si="220"/>
        <v>#N/A</v>
      </c>
      <c r="L145" s="349" t="e">
        <f t="shared" si="220"/>
        <v>#N/A</v>
      </c>
      <c r="M145" s="349" t="e">
        <f t="shared" si="220"/>
        <v>#N/A</v>
      </c>
      <c r="N145" s="349" t="e">
        <f t="shared" si="220"/>
        <v>#N/A</v>
      </c>
      <c r="O145" s="349" t="e">
        <f t="shared" si="220"/>
        <v>#N/A</v>
      </c>
      <c r="P145" s="349" t="e">
        <f t="shared" si="220"/>
        <v>#N/A</v>
      </c>
      <c r="Q145" s="349" t="e">
        <f t="shared" si="220"/>
        <v>#N/A</v>
      </c>
      <c r="R145" s="349" t="e">
        <f t="shared" si="220"/>
        <v>#N/A</v>
      </c>
      <c r="S145" s="349" t="e">
        <f t="shared" si="220"/>
        <v>#N/A</v>
      </c>
      <c r="T145" s="349" t="e">
        <f t="shared" si="220"/>
        <v>#N/A</v>
      </c>
      <c r="U145" s="349" t="e">
        <f t="shared" si="220"/>
        <v>#N/A</v>
      </c>
      <c r="V145" s="349" t="e">
        <f t="shared" si="220"/>
        <v>#N/A</v>
      </c>
      <c r="W145" s="349" t="e">
        <f t="shared" si="220"/>
        <v>#N/A</v>
      </c>
      <c r="X145" s="349" t="e">
        <f t="shared" si="220"/>
        <v>#N/A</v>
      </c>
      <c r="Y145" s="349" t="e">
        <f t="shared" si="220"/>
        <v>#N/A</v>
      </c>
      <c r="Z145" s="349" t="e">
        <f t="shared" si="220"/>
        <v>#N/A</v>
      </c>
      <c r="AA145" s="349" t="e">
        <f t="shared" si="220"/>
        <v>#N/A</v>
      </c>
      <c r="AB145" s="349" t="e">
        <f t="shared" si="220"/>
        <v>#N/A</v>
      </c>
      <c r="AC145" s="349" t="e">
        <f t="shared" si="220"/>
        <v>#N/A</v>
      </c>
      <c r="AD145" s="349" t="e">
        <f t="shared" si="220"/>
        <v>#N/A</v>
      </c>
      <c r="AE145" s="349" t="e">
        <f t="shared" si="220"/>
        <v>#N/A</v>
      </c>
      <c r="AF145" s="349" t="e">
        <f t="shared" si="220"/>
        <v>#N/A</v>
      </c>
      <c r="AG145" s="349" t="e">
        <f t="shared" si="220"/>
        <v>#N/A</v>
      </c>
      <c r="AH145" s="349" t="e">
        <f t="shared" si="220"/>
        <v>#N/A</v>
      </c>
      <c r="AI145" s="349" t="e">
        <f t="shared" si="220"/>
        <v>#N/A</v>
      </c>
      <c r="AJ145" s="349" t="e">
        <f t="shared" si="220"/>
        <v>#N/A</v>
      </c>
      <c r="AK145" s="349" t="e">
        <f t="shared" si="220"/>
        <v>#N/A</v>
      </c>
      <c r="AL145" s="349" t="e">
        <f t="shared" si="220"/>
        <v>#N/A</v>
      </c>
      <c r="AM145" s="349" t="e">
        <f t="shared" si="220"/>
        <v>#N/A</v>
      </c>
      <c r="AN145" s="349" t="e">
        <f t="shared" si="220"/>
        <v>#N/A</v>
      </c>
      <c r="AO145" s="349" t="e">
        <f t="shared" si="220"/>
        <v>#N/A</v>
      </c>
      <c r="AP145" s="349" t="e">
        <f t="shared" si="220"/>
        <v>#N/A</v>
      </c>
      <c r="AQ145" s="349" t="e">
        <f t="shared" si="220"/>
        <v>#N/A</v>
      </c>
    </row>
    <row r="146" spans="1:44" s="315" customFormat="1" ht="14.25" hidden="1">
      <c r="A146" s="620" t="s">
        <v>159</v>
      </c>
      <c r="B146" s="620"/>
      <c r="C146" s="620"/>
      <c r="E146" s="349" t="e">
        <f t="shared" ref="E146:AQ146" si="221">IF(E144="",NA(),ROUNDDOWN(E144+E145,1))</f>
        <v>#N/A</v>
      </c>
      <c r="F146" s="349" t="e">
        <f t="shared" si="221"/>
        <v>#N/A</v>
      </c>
      <c r="G146" s="349" t="e">
        <f t="shared" si="221"/>
        <v>#N/A</v>
      </c>
      <c r="H146" s="349" t="e">
        <f t="shared" si="221"/>
        <v>#N/A</v>
      </c>
      <c r="I146" s="349" t="e">
        <f t="shared" si="221"/>
        <v>#N/A</v>
      </c>
      <c r="J146" s="349" t="e">
        <f t="shared" si="221"/>
        <v>#N/A</v>
      </c>
      <c r="K146" s="349" t="e">
        <f t="shared" si="221"/>
        <v>#N/A</v>
      </c>
      <c r="L146" s="349" t="e">
        <f t="shared" si="221"/>
        <v>#N/A</v>
      </c>
      <c r="M146" s="349" t="e">
        <f t="shared" si="221"/>
        <v>#N/A</v>
      </c>
      <c r="N146" s="349" t="e">
        <f t="shared" si="221"/>
        <v>#N/A</v>
      </c>
      <c r="O146" s="349" t="e">
        <f t="shared" si="221"/>
        <v>#N/A</v>
      </c>
      <c r="P146" s="349" t="e">
        <f t="shared" si="221"/>
        <v>#N/A</v>
      </c>
      <c r="Q146" s="349" t="e">
        <f t="shared" si="221"/>
        <v>#N/A</v>
      </c>
      <c r="R146" s="349" t="e">
        <f t="shared" si="221"/>
        <v>#N/A</v>
      </c>
      <c r="S146" s="349" t="e">
        <f t="shared" si="221"/>
        <v>#N/A</v>
      </c>
      <c r="T146" s="349" t="e">
        <f t="shared" si="221"/>
        <v>#N/A</v>
      </c>
      <c r="U146" s="349" t="e">
        <f t="shared" si="221"/>
        <v>#N/A</v>
      </c>
      <c r="V146" s="349" t="e">
        <f t="shared" si="221"/>
        <v>#N/A</v>
      </c>
      <c r="W146" s="349" t="e">
        <f t="shared" si="221"/>
        <v>#N/A</v>
      </c>
      <c r="X146" s="349" t="e">
        <f t="shared" si="221"/>
        <v>#N/A</v>
      </c>
      <c r="Y146" s="349" t="e">
        <f t="shared" si="221"/>
        <v>#N/A</v>
      </c>
      <c r="Z146" s="349" t="e">
        <f t="shared" si="221"/>
        <v>#N/A</v>
      </c>
      <c r="AA146" s="349" t="e">
        <f t="shared" si="221"/>
        <v>#N/A</v>
      </c>
      <c r="AB146" s="349" t="e">
        <f t="shared" si="221"/>
        <v>#N/A</v>
      </c>
      <c r="AC146" s="349" t="e">
        <f t="shared" si="221"/>
        <v>#N/A</v>
      </c>
      <c r="AD146" s="349" t="e">
        <f t="shared" si="221"/>
        <v>#N/A</v>
      </c>
      <c r="AE146" s="349" t="e">
        <f t="shared" si="221"/>
        <v>#N/A</v>
      </c>
      <c r="AF146" s="349" t="e">
        <f t="shared" si="221"/>
        <v>#N/A</v>
      </c>
      <c r="AG146" s="349" t="e">
        <f t="shared" si="221"/>
        <v>#N/A</v>
      </c>
      <c r="AH146" s="349" t="e">
        <f t="shared" si="221"/>
        <v>#N/A</v>
      </c>
      <c r="AI146" s="349" t="e">
        <f t="shared" si="221"/>
        <v>#N/A</v>
      </c>
      <c r="AJ146" s="349" t="e">
        <f t="shared" si="221"/>
        <v>#N/A</v>
      </c>
      <c r="AK146" s="349" t="e">
        <f t="shared" si="221"/>
        <v>#N/A</v>
      </c>
      <c r="AL146" s="349" t="e">
        <f t="shared" si="221"/>
        <v>#N/A</v>
      </c>
      <c r="AM146" s="349" t="e">
        <f t="shared" si="221"/>
        <v>#N/A</v>
      </c>
      <c r="AN146" s="349" t="e">
        <f t="shared" si="221"/>
        <v>#N/A</v>
      </c>
      <c r="AO146" s="349" t="e">
        <f t="shared" si="221"/>
        <v>#N/A</v>
      </c>
      <c r="AP146" s="349" t="e">
        <f t="shared" si="221"/>
        <v>#N/A</v>
      </c>
      <c r="AQ146" s="349" t="e">
        <f t="shared" si="221"/>
        <v>#N/A</v>
      </c>
    </row>
    <row r="147" spans="1:44" s="315" customFormat="1" ht="14.25" hidden="1">
      <c r="A147" s="620" t="s">
        <v>195</v>
      </c>
      <c r="B147" s="620"/>
      <c r="C147" s="620"/>
      <c r="E147" s="350" t="e">
        <f t="shared" ref="E147:AQ147" si="222">IF(E124="",NA(),IF(E120&lt;=$B135,E124*$D138/100,IF(E120&lt;=$C135,E124*$E138/100,IF(E120&lt;=$D135,E124*$F138/100,IF(E120&lt;=$E135,E124*$G138/100,IF(E120&lt;=$F135,E124*$H138/100,IF(E120&lt;=$G135,E124*$I138/100,IF(E120&lt;=$H135,E124*$J138/100,IF(E120&lt;=$I135,E124*$K138/100,IF(E120&lt;=$J135,E124*$L138/100,IF(E120&lt;=$K135,E124*$M138/100,IF(E120&lt;=$L135,E124*$N138/100,IF(E120&lt;=$M135,E124*$O138/100,IF(E120&lt;=$N135,E124*$P138/100,IF(E120&lt;=$O135,E124*$Q138/100,IF(E120&lt;=$P135,E124*$R138/100,IF(E120&lt;=$Q135,E124*$S138/100,IF(E120&lt;=$R135,E124*$T138/100,IF(E120&lt;=$S135,E124*$U138/100,IF(E120&lt;=$T135,E124*$V138/100,IF(E120&lt;=$U135,E124*$W138/100,E124*$X138/100)))))))))))))))))))))</f>
        <v>#N/A</v>
      </c>
      <c r="F147" s="350" t="e">
        <f t="shared" si="222"/>
        <v>#N/A</v>
      </c>
      <c r="G147" s="350" t="e">
        <f t="shared" si="222"/>
        <v>#N/A</v>
      </c>
      <c r="H147" s="350" t="e">
        <f t="shared" si="222"/>
        <v>#N/A</v>
      </c>
      <c r="I147" s="350" t="e">
        <f t="shared" si="222"/>
        <v>#N/A</v>
      </c>
      <c r="J147" s="350" t="e">
        <f t="shared" si="222"/>
        <v>#N/A</v>
      </c>
      <c r="K147" s="350" t="e">
        <f t="shared" si="222"/>
        <v>#N/A</v>
      </c>
      <c r="L147" s="350" t="e">
        <f t="shared" si="222"/>
        <v>#N/A</v>
      </c>
      <c r="M147" s="350" t="e">
        <f t="shared" si="222"/>
        <v>#N/A</v>
      </c>
      <c r="N147" s="350" t="e">
        <f t="shared" si="222"/>
        <v>#N/A</v>
      </c>
      <c r="O147" s="350" t="e">
        <f t="shared" si="222"/>
        <v>#N/A</v>
      </c>
      <c r="P147" s="350" t="e">
        <f t="shared" si="222"/>
        <v>#N/A</v>
      </c>
      <c r="Q147" s="350" t="e">
        <f t="shared" si="222"/>
        <v>#N/A</v>
      </c>
      <c r="R147" s="350" t="e">
        <f t="shared" si="222"/>
        <v>#N/A</v>
      </c>
      <c r="S147" s="350" t="e">
        <f t="shared" si="222"/>
        <v>#N/A</v>
      </c>
      <c r="T147" s="350" t="e">
        <f t="shared" si="222"/>
        <v>#N/A</v>
      </c>
      <c r="U147" s="350" t="e">
        <f t="shared" si="222"/>
        <v>#N/A</v>
      </c>
      <c r="V147" s="350" t="e">
        <f t="shared" si="222"/>
        <v>#N/A</v>
      </c>
      <c r="W147" s="350" t="e">
        <f t="shared" si="222"/>
        <v>#N/A</v>
      </c>
      <c r="X147" s="350" t="e">
        <f t="shared" si="222"/>
        <v>#N/A</v>
      </c>
      <c r="Y147" s="350" t="e">
        <f t="shared" si="222"/>
        <v>#N/A</v>
      </c>
      <c r="Z147" s="350" t="e">
        <f t="shared" si="222"/>
        <v>#N/A</v>
      </c>
      <c r="AA147" s="350" t="e">
        <f t="shared" si="222"/>
        <v>#N/A</v>
      </c>
      <c r="AB147" s="350" t="e">
        <f t="shared" si="222"/>
        <v>#N/A</v>
      </c>
      <c r="AC147" s="350" t="e">
        <f t="shared" si="222"/>
        <v>#N/A</v>
      </c>
      <c r="AD147" s="350" t="e">
        <f t="shared" si="222"/>
        <v>#N/A</v>
      </c>
      <c r="AE147" s="350" t="e">
        <f t="shared" si="222"/>
        <v>#N/A</v>
      </c>
      <c r="AF147" s="350" t="e">
        <f t="shared" si="222"/>
        <v>#N/A</v>
      </c>
      <c r="AG147" s="350" t="e">
        <f t="shared" si="222"/>
        <v>#N/A</v>
      </c>
      <c r="AH147" s="350" t="e">
        <f t="shared" si="222"/>
        <v>#N/A</v>
      </c>
      <c r="AI147" s="350" t="e">
        <f t="shared" si="222"/>
        <v>#N/A</v>
      </c>
      <c r="AJ147" s="350" t="e">
        <f t="shared" si="222"/>
        <v>#N/A</v>
      </c>
      <c r="AK147" s="350" t="e">
        <f t="shared" si="222"/>
        <v>#N/A</v>
      </c>
      <c r="AL147" s="350" t="e">
        <f t="shared" si="222"/>
        <v>#N/A</v>
      </c>
      <c r="AM147" s="350" t="e">
        <f t="shared" si="222"/>
        <v>#N/A</v>
      </c>
      <c r="AN147" s="350" t="e">
        <f t="shared" si="222"/>
        <v>#N/A</v>
      </c>
      <c r="AO147" s="350" t="e">
        <f t="shared" si="222"/>
        <v>#N/A</v>
      </c>
      <c r="AP147" s="350" t="e">
        <f t="shared" si="222"/>
        <v>#N/A</v>
      </c>
      <c r="AQ147" s="350" t="e">
        <f t="shared" si="222"/>
        <v>#N/A</v>
      </c>
    </row>
    <row r="148" spans="1:44" s="315" customFormat="1" ht="14.25" hidden="1">
      <c r="A148" s="547" t="s">
        <v>319</v>
      </c>
      <c r="B148" s="620"/>
      <c r="C148" s="603"/>
      <c r="E148" s="351" t="e">
        <f t="shared" ref="E148:AQ148" si="223">IF(E147="",NA(),ROUND(E147*1.5848,1))</f>
        <v>#N/A</v>
      </c>
      <c r="F148" s="351" t="e">
        <f t="shared" si="223"/>
        <v>#N/A</v>
      </c>
      <c r="G148" s="351" t="e">
        <f t="shared" si="223"/>
        <v>#N/A</v>
      </c>
      <c r="H148" s="351" t="e">
        <f t="shared" si="223"/>
        <v>#N/A</v>
      </c>
      <c r="I148" s="351" t="e">
        <f t="shared" si="223"/>
        <v>#N/A</v>
      </c>
      <c r="J148" s="351" t="e">
        <f t="shared" si="223"/>
        <v>#N/A</v>
      </c>
      <c r="K148" s="351" t="e">
        <f t="shared" si="223"/>
        <v>#N/A</v>
      </c>
      <c r="L148" s="351" t="e">
        <f t="shared" si="223"/>
        <v>#N/A</v>
      </c>
      <c r="M148" s="351" t="e">
        <f t="shared" si="223"/>
        <v>#N/A</v>
      </c>
      <c r="N148" s="351" t="e">
        <f t="shared" si="223"/>
        <v>#N/A</v>
      </c>
      <c r="O148" s="351" t="e">
        <f t="shared" si="223"/>
        <v>#N/A</v>
      </c>
      <c r="P148" s="351" t="e">
        <f t="shared" si="223"/>
        <v>#N/A</v>
      </c>
      <c r="Q148" s="351" t="e">
        <f t="shared" si="223"/>
        <v>#N/A</v>
      </c>
      <c r="R148" s="351" t="e">
        <f t="shared" si="223"/>
        <v>#N/A</v>
      </c>
      <c r="S148" s="351" t="e">
        <f t="shared" si="223"/>
        <v>#N/A</v>
      </c>
      <c r="T148" s="351" t="e">
        <f t="shared" si="223"/>
        <v>#N/A</v>
      </c>
      <c r="U148" s="351" t="e">
        <f t="shared" si="223"/>
        <v>#N/A</v>
      </c>
      <c r="V148" s="351" t="e">
        <f t="shared" si="223"/>
        <v>#N/A</v>
      </c>
      <c r="W148" s="351" t="e">
        <f t="shared" si="223"/>
        <v>#N/A</v>
      </c>
      <c r="X148" s="351" t="e">
        <f t="shared" si="223"/>
        <v>#N/A</v>
      </c>
      <c r="Y148" s="351" t="e">
        <f t="shared" si="223"/>
        <v>#N/A</v>
      </c>
      <c r="Z148" s="351" t="e">
        <f t="shared" si="223"/>
        <v>#N/A</v>
      </c>
      <c r="AA148" s="351" t="e">
        <f t="shared" si="223"/>
        <v>#N/A</v>
      </c>
      <c r="AB148" s="351" t="e">
        <f t="shared" si="223"/>
        <v>#N/A</v>
      </c>
      <c r="AC148" s="351" t="e">
        <f t="shared" si="223"/>
        <v>#N/A</v>
      </c>
      <c r="AD148" s="351" t="e">
        <f t="shared" si="223"/>
        <v>#N/A</v>
      </c>
      <c r="AE148" s="351" t="e">
        <f t="shared" si="223"/>
        <v>#N/A</v>
      </c>
      <c r="AF148" s="351" t="e">
        <f t="shared" si="223"/>
        <v>#N/A</v>
      </c>
      <c r="AG148" s="351" t="e">
        <f t="shared" si="223"/>
        <v>#N/A</v>
      </c>
      <c r="AH148" s="351" t="e">
        <f t="shared" si="223"/>
        <v>#N/A</v>
      </c>
      <c r="AI148" s="351" t="e">
        <f t="shared" si="223"/>
        <v>#N/A</v>
      </c>
      <c r="AJ148" s="351" t="e">
        <f t="shared" si="223"/>
        <v>#N/A</v>
      </c>
      <c r="AK148" s="351" t="e">
        <f t="shared" si="223"/>
        <v>#N/A</v>
      </c>
      <c r="AL148" s="351" t="e">
        <f t="shared" si="223"/>
        <v>#N/A</v>
      </c>
      <c r="AM148" s="351" t="e">
        <f t="shared" si="223"/>
        <v>#N/A</v>
      </c>
      <c r="AN148" s="351" t="e">
        <f t="shared" si="223"/>
        <v>#N/A</v>
      </c>
      <c r="AO148" s="351" t="e">
        <f t="shared" si="223"/>
        <v>#N/A</v>
      </c>
      <c r="AP148" s="351" t="e">
        <f t="shared" si="223"/>
        <v>#N/A</v>
      </c>
      <c r="AQ148" s="351" t="e">
        <f t="shared" si="223"/>
        <v>#N/A</v>
      </c>
    </row>
    <row r="149" spans="1:44" s="315" customFormat="1" ht="14.25" hidden="1">
      <c r="A149" s="547" t="s">
        <v>320</v>
      </c>
      <c r="B149" s="620"/>
      <c r="C149" s="603"/>
      <c r="E149" s="351" t="e">
        <f t="shared" ref="E149:AQ149" si="224">IF(E150="",NA(),ROUND(E150-E148,1))</f>
        <v>#N/A</v>
      </c>
      <c r="F149" s="351" t="e">
        <f t="shared" si="224"/>
        <v>#N/A</v>
      </c>
      <c r="G149" s="351" t="e">
        <f t="shared" si="224"/>
        <v>#N/A</v>
      </c>
      <c r="H149" s="351" t="e">
        <f t="shared" si="224"/>
        <v>#N/A</v>
      </c>
      <c r="I149" s="351" t="e">
        <f t="shared" si="224"/>
        <v>#N/A</v>
      </c>
      <c r="J149" s="351" t="e">
        <f t="shared" si="224"/>
        <v>#N/A</v>
      </c>
      <c r="K149" s="351" t="e">
        <f t="shared" si="224"/>
        <v>#N/A</v>
      </c>
      <c r="L149" s="351" t="e">
        <f t="shared" si="224"/>
        <v>#N/A</v>
      </c>
      <c r="M149" s="351" t="e">
        <f t="shared" si="224"/>
        <v>#N/A</v>
      </c>
      <c r="N149" s="351" t="e">
        <f t="shared" si="224"/>
        <v>#N/A</v>
      </c>
      <c r="O149" s="351" t="e">
        <f t="shared" si="224"/>
        <v>#N/A</v>
      </c>
      <c r="P149" s="351" t="e">
        <f t="shared" si="224"/>
        <v>#N/A</v>
      </c>
      <c r="Q149" s="351" t="e">
        <f t="shared" si="224"/>
        <v>#N/A</v>
      </c>
      <c r="R149" s="351" t="e">
        <f t="shared" si="224"/>
        <v>#N/A</v>
      </c>
      <c r="S149" s="351" t="e">
        <f t="shared" si="224"/>
        <v>#N/A</v>
      </c>
      <c r="T149" s="351" t="e">
        <f t="shared" si="224"/>
        <v>#N/A</v>
      </c>
      <c r="U149" s="351" t="e">
        <f t="shared" si="224"/>
        <v>#N/A</v>
      </c>
      <c r="V149" s="351" t="e">
        <f t="shared" si="224"/>
        <v>#N/A</v>
      </c>
      <c r="W149" s="351" t="e">
        <f t="shared" si="224"/>
        <v>#N/A</v>
      </c>
      <c r="X149" s="351" t="e">
        <f t="shared" si="224"/>
        <v>#N/A</v>
      </c>
      <c r="Y149" s="351" t="e">
        <f t="shared" si="224"/>
        <v>#N/A</v>
      </c>
      <c r="Z149" s="351" t="e">
        <f t="shared" si="224"/>
        <v>#N/A</v>
      </c>
      <c r="AA149" s="351" t="e">
        <f t="shared" si="224"/>
        <v>#N/A</v>
      </c>
      <c r="AB149" s="351" t="e">
        <f t="shared" si="224"/>
        <v>#N/A</v>
      </c>
      <c r="AC149" s="351" t="e">
        <f t="shared" si="224"/>
        <v>#N/A</v>
      </c>
      <c r="AD149" s="351" t="e">
        <f t="shared" si="224"/>
        <v>#N/A</v>
      </c>
      <c r="AE149" s="351" t="e">
        <f t="shared" si="224"/>
        <v>#N/A</v>
      </c>
      <c r="AF149" s="351" t="e">
        <f t="shared" si="224"/>
        <v>#N/A</v>
      </c>
      <c r="AG149" s="351" t="e">
        <f t="shared" si="224"/>
        <v>#N/A</v>
      </c>
      <c r="AH149" s="351" t="e">
        <f t="shared" si="224"/>
        <v>#N/A</v>
      </c>
      <c r="AI149" s="351" t="e">
        <f t="shared" si="224"/>
        <v>#N/A</v>
      </c>
      <c r="AJ149" s="351" t="e">
        <f t="shared" si="224"/>
        <v>#N/A</v>
      </c>
      <c r="AK149" s="351" t="e">
        <f t="shared" si="224"/>
        <v>#N/A</v>
      </c>
      <c r="AL149" s="351" t="e">
        <f t="shared" si="224"/>
        <v>#N/A</v>
      </c>
      <c r="AM149" s="351" t="e">
        <f t="shared" si="224"/>
        <v>#N/A</v>
      </c>
      <c r="AN149" s="351" t="e">
        <f t="shared" si="224"/>
        <v>#N/A</v>
      </c>
      <c r="AO149" s="351" t="e">
        <f t="shared" si="224"/>
        <v>#N/A</v>
      </c>
      <c r="AP149" s="351" t="e">
        <f t="shared" si="224"/>
        <v>#N/A</v>
      </c>
      <c r="AQ149" s="351" t="e">
        <f t="shared" si="224"/>
        <v>#N/A</v>
      </c>
    </row>
    <row r="150" spans="1:44" s="315" customFormat="1" ht="14.25" hidden="1">
      <c r="A150" s="547" t="s">
        <v>321</v>
      </c>
      <c r="B150" s="620"/>
      <c r="C150" s="603"/>
      <c r="E150" s="350" t="e">
        <f t="shared" ref="E150:AQ150" si="225">IF(E146="",NA(),IF(E120&lt;=$B135,E146*$D138/100,IF(E120&lt;=$C135,E146*$E138/100,IF(E120&lt;=$D135,E146*$F138/100,IF(E120&lt;=$E135,E146*$G138/100,IF(E120&lt;=$F135,E146*$H138/100,IF(E120&lt;=$G135,E146*$I138/100,IF(E120&lt;=$H135,E146*$J138/100,IF(E120&lt;=$I135,E146*$K138/100,IF(E120&lt;=$J135,E146*$L138/100,IF(E120&lt;=$K135,E146*$M138/100,IF(E120&lt;=$L135,E146*$N138/100,IF(E120&lt;=$M135,E146*$O138/100,IF(E120&lt;=$N135,E146*$P138/100,IF(E120&lt;=$O135,E146*$Q138/100,IF(E120&lt;=$P135,E146*$R138/100,IF(E120&lt;=$Q135,E146*$S138/100,IF(E120&lt;=$R135,E146*$T138/100,IF(E120&lt;=$S135,E146*$U138/100,IF(E120&lt;=$T135,E146*$V138/100,IF(E120&lt;=$U135,E146*$W138/100,E146*$X138/100)))))))))))))))))))))</f>
        <v>#N/A</v>
      </c>
      <c r="F150" s="350" t="e">
        <f t="shared" si="225"/>
        <v>#N/A</v>
      </c>
      <c r="G150" s="350" t="e">
        <f t="shared" si="225"/>
        <v>#N/A</v>
      </c>
      <c r="H150" s="350" t="e">
        <f t="shared" si="225"/>
        <v>#N/A</v>
      </c>
      <c r="I150" s="350" t="e">
        <f t="shared" si="225"/>
        <v>#N/A</v>
      </c>
      <c r="J150" s="350" t="e">
        <f t="shared" si="225"/>
        <v>#N/A</v>
      </c>
      <c r="K150" s="350" t="e">
        <f t="shared" si="225"/>
        <v>#N/A</v>
      </c>
      <c r="L150" s="350" t="e">
        <f t="shared" si="225"/>
        <v>#N/A</v>
      </c>
      <c r="M150" s="350" t="e">
        <f t="shared" si="225"/>
        <v>#N/A</v>
      </c>
      <c r="N150" s="350" t="e">
        <f t="shared" si="225"/>
        <v>#N/A</v>
      </c>
      <c r="O150" s="350" t="e">
        <f t="shared" si="225"/>
        <v>#N/A</v>
      </c>
      <c r="P150" s="350" t="e">
        <f t="shared" si="225"/>
        <v>#N/A</v>
      </c>
      <c r="Q150" s="350" t="e">
        <f t="shared" si="225"/>
        <v>#N/A</v>
      </c>
      <c r="R150" s="350" t="e">
        <f t="shared" si="225"/>
        <v>#N/A</v>
      </c>
      <c r="S150" s="350" t="e">
        <f t="shared" si="225"/>
        <v>#N/A</v>
      </c>
      <c r="T150" s="350" t="e">
        <f t="shared" si="225"/>
        <v>#N/A</v>
      </c>
      <c r="U150" s="350" t="e">
        <f t="shared" si="225"/>
        <v>#N/A</v>
      </c>
      <c r="V150" s="350" t="e">
        <f t="shared" si="225"/>
        <v>#N/A</v>
      </c>
      <c r="W150" s="350" t="e">
        <f t="shared" si="225"/>
        <v>#N/A</v>
      </c>
      <c r="X150" s="350" t="e">
        <f t="shared" si="225"/>
        <v>#N/A</v>
      </c>
      <c r="Y150" s="350" t="e">
        <f t="shared" si="225"/>
        <v>#N/A</v>
      </c>
      <c r="Z150" s="350" t="e">
        <f t="shared" si="225"/>
        <v>#N/A</v>
      </c>
      <c r="AA150" s="350" t="e">
        <f t="shared" si="225"/>
        <v>#N/A</v>
      </c>
      <c r="AB150" s="350" t="e">
        <f t="shared" si="225"/>
        <v>#N/A</v>
      </c>
      <c r="AC150" s="350" t="e">
        <f t="shared" si="225"/>
        <v>#N/A</v>
      </c>
      <c r="AD150" s="350" t="e">
        <f t="shared" si="225"/>
        <v>#N/A</v>
      </c>
      <c r="AE150" s="350" t="e">
        <f t="shared" si="225"/>
        <v>#N/A</v>
      </c>
      <c r="AF150" s="350" t="e">
        <f t="shared" si="225"/>
        <v>#N/A</v>
      </c>
      <c r="AG150" s="350" t="e">
        <f t="shared" si="225"/>
        <v>#N/A</v>
      </c>
      <c r="AH150" s="350" t="e">
        <f t="shared" si="225"/>
        <v>#N/A</v>
      </c>
      <c r="AI150" s="350" t="e">
        <f t="shared" si="225"/>
        <v>#N/A</v>
      </c>
      <c r="AJ150" s="350" t="e">
        <f t="shared" si="225"/>
        <v>#N/A</v>
      </c>
      <c r="AK150" s="350" t="e">
        <f t="shared" si="225"/>
        <v>#N/A</v>
      </c>
      <c r="AL150" s="350" t="e">
        <f t="shared" si="225"/>
        <v>#N/A</v>
      </c>
      <c r="AM150" s="350" t="e">
        <f t="shared" si="225"/>
        <v>#N/A</v>
      </c>
      <c r="AN150" s="350" t="e">
        <f t="shared" si="225"/>
        <v>#N/A</v>
      </c>
      <c r="AO150" s="350" t="e">
        <f t="shared" si="225"/>
        <v>#N/A</v>
      </c>
      <c r="AP150" s="350" t="e">
        <f t="shared" si="225"/>
        <v>#N/A</v>
      </c>
      <c r="AQ150" s="350" t="e">
        <f t="shared" si="225"/>
        <v>#N/A</v>
      </c>
    </row>
    <row r="151" spans="1:44" s="315" customFormat="1" ht="15" hidden="1" thickBot="1">
      <c r="A151" s="557" t="s">
        <v>322</v>
      </c>
      <c r="B151" s="621"/>
      <c r="C151" s="621"/>
      <c r="E151" s="352" t="e">
        <f t="shared" ref="E151:AQ151" si="226">IF(E150="",NA(),ROUND(E148/E150*100,1))</f>
        <v>#N/A</v>
      </c>
      <c r="F151" s="352" t="e">
        <f t="shared" si="226"/>
        <v>#N/A</v>
      </c>
      <c r="G151" s="352" t="e">
        <f t="shared" si="226"/>
        <v>#N/A</v>
      </c>
      <c r="H151" s="352" t="e">
        <f t="shared" si="226"/>
        <v>#N/A</v>
      </c>
      <c r="I151" s="352" t="e">
        <f t="shared" si="226"/>
        <v>#N/A</v>
      </c>
      <c r="J151" s="352" t="e">
        <f t="shared" si="226"/>
        <v>#N/A</v>
      </c>
      <c r="K151" s="352" t="e">
        <f t="shared" si="226"/>
        <v>#N/A</v>
      </c>
      <c r="L151" s="352" t="e">
        <f t="shared" si="226"/>
        <v>#N/A</v>
      </c>
      <c r="M151" s="352" t="e">
        <f t="shared" si="226"/>
        <v>#N/A</v>
      </c>
      <c r="N151" s="352" t="e">
        <f t="shared" si="226"/>
        <v>#N/A</v>
      </c>
      <c r="O151" s="352" t="e">
        <f t="shared" si="226"/>
        <v>#N/A</v>
      </c>
      <c r="P151" s="352" t="e">
        <f t="shared" si="226"/>
        <v>#N/A</v>
      </c>
      <c r="Q151" s="352" t="e">
        <f t="shared" si="226"/>
        <v>#N/A</v>
      </c>
      <c r="R151" s="352" t="e">
        <f t="shared" si="226"/>
        <v>#N/A</v>
      </c>
      <c r="S151" s="352" t="e">
        <f t="shared" si="226"/>
        <v>#N/A</v>
      </c>
      <c r="T151" s="352" t="e">
        <f t="shared" si="226"/>
        <v>#N/A</v>
      </c>
      <c r="U151" s="352" t="e">
        <f t="shared" si="226"/>
        <v>#N/A</v>
      </c>
      <c r="V151" s="352" t="e">
        <f t="shared" si="226"/>
        <v>#N/A</v>
      </c>
      <c r="W151" s="352" t="e">
        <f t="shared" si="226"/>
        <v>#N/A</v>
      </c>
      <c r="X151" s="352" t="e">
        <f t="shared" si="226"/>
        <v>#N/A</v>
      </c>
      <c r="Y151" s="352" t="e">
        <f t="shared" si="226"/>
        <v>#N/A</v>
      </c>
      <c r="Z151" s="352" t="e">
        <f t="shared" si="226"/>
        <v>#N/A</v>
      </c>
      <c r="AA151" s="352" t="e">
        <f t="shared" si="226"/>
        <v>#N/A</v>
      </c>
      <c r="AB151" s="352" t="e">
        <f t="shared" si="226"/>
        <v>#N/A</v>
      </c>
      <c r="AC151" s="352" t="e">
        <f t="shared" si="226"/>
        <v>#N/A</v>
      </c>
      <c r="AD151" s="352" t="e">
        <f t="shared" si="226"/>
        <v>#N/A</v>
      </c>
      <c r="AE151" s="352" t="e">
        <f t="shared" si="226"/>
        <v>#N/A</v>
      </c>
      <c r="AF151" s="352" t="e">
        <f t="shared" si="226"/>
        <v>#N/A</v>
      </c>
      <c r="AG151" s="352" t="e">
        <f t="shared" si="226"/>
        <v>#N/A</v>
      </c>
      <c r="AH151" s="352" t="e">
        <f t="shared" si="226"/>
        <v>#N/A</v>
      </c>
      <c r="AI151" s="352" t="e">
        <f t="shared" si="226"/>
        <v>#N/A</v>
      </c>
      <c r="AJ151" s="352" t="e">
        <f t="shared" si="226"/>
        <v>#N/A</v>
      </c>
      <c r="AK151" s="352" t="e">
        <f t="shared" si="226"/>
        <v>#N/A</v>
      </c>
      <c r="AL151" s="352" t="e">
        <f t="shared" si="226"/>
        <v>#N/A</v>
      </c>
      <c r="AM151" s="352" t="e">
        <f t="shared" si="226"/>
        <v>#N/A</v>
      </c>
      <c r="AN151" s="352" t="e">
        <f t="shared" si="226"/>
        <v>#N/A</v>
      </c>
      <c r="AO151" s="352" t="e">
        <f t="shared" si="226"/>
        <v>#N/A</v>
      </c>
      <c r="AP151" s="352" t="e">
        <f t="shared" si="226"/>
        <v>#N/A</v>
      </c>
      <c r="AQ151" s="352" t="e">
        <f t="shared" si="226"/>
        <v>#N/A</v>
      </c>
      <c r="AR151" s="352"/>
    </row>
    <row r="152" spans="1:44" s="315" customFormat="1" ht="15" thickBot="1"/>
    <row r="153" spans="1:44" s="315" customFormat="1" ht="14.25">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row>
    <row r="154" spans="1:44" s="315" customFormat="1" ht="14.45" customHeight="1">
      <c r="A154" s="315" t="s">
        <v>447</v>
      </c>
    </row>
    <row r="155" spans="1:44" s="315" customFormat="1" ht="14.45" customHeight="1">
      <c r="A155" s="315" t="s">
        <v>417</v>
      </c>
    </row>
    <row r="156" spans="1:44">
      <c r="C156" t="s">
        <v>416</v>
      </c>
      <c r="E156">
        <v>2</v>
      </c>
      <c r="F156">
        <v>3</v>
      </c>
      <c r="G156">
        <v>4</v>
      </c>
      <c r="H156">
        <v>5</v>
      </c>
      <c r="I156">
        <v>6</v>
      </c>
      <c r="J156">
        <v>7</v>
      </c>
      <c r="K156">
        <v>8</v>
      </c>
      <c r="L156">
        <v>9</v>
      </c>
      <c r="M156">
        <v>10</v>
      </c>
      <c r="N156">
        <v>11</v>
      </c>
      <c r="O156">
        <v>12</v>
      </c>
      <c r="P156">
        <v>13</v>
      </c>
      <c r="Q156">
        <v>14</v>
      </c>
      <c r="R156">
        <v>15</v>
      </c>
      <c r="S156">
        <v>16</v>
      </c>
      <c r="T156">
        <v>17</v>
      </c>
      <c r="U156">
        <v>18</v>
      </c>
      <c r="V156">
        <v>19</v>
      </c>
      <c r="W156">
        <v>20</v>
      </c>
      <c r="X156">
        <v>21</v>
      </c>
      <c r="Y156">
        <v>22</v>
      </c>
      <c r="Z156">
        <v>23</v>
      </c>
      <c r="AA156">
        <v>24</v>
      </c>
      <c r="AB156">
        <v>25</v>
      </c>
      <c r="AC156">
        <v>26</v>
      </c>
      <c r="AD156">
        <v>27</v>
      </c>
      <c r="AE156">
        <v>28</v>
      </c>
      <c r="AF156">
        <v>29</v>
      </c>
      <c r="AG156">
        <v>30</v>
      </c>
    </row>
    <row r="157" spans="1:44">
      <c r="A157" s="86" t="s">
        <v>411</v>
      </c>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row>
    <row r="158" spans="1:44">
      <c r="A158" s="86"/>
      <c r="B158" s="86"/>
      <c r="C158" s="86" t="s">
        <v>412</v>
      </c>
      <c r="D158" s="86"/>
      <c r="E158" s="262"/>
      <c r="F158" s="262">
        <v>7</v>
      </c>
      <c r="G158" s="262">
        <v>9.4</v>
      </c>
      <c r="H158" s="262">
        <v>13.8</v>
      </c>
      <c r="I158" s="262">
        <v>17.100000000000001</v>
      </c>
      <c r="J158" s="262">
        <v>19.3</v>
      </c>
      <c r="K158" s="262">
        <v>21.3</v>
      </c>
      <c r="L158" s="262">
        <v>23.5</v>
      </c>
      <c r="M158" s="262">
        <v>25.4</v>
      </c>
      <c r="N158" s="262">
        <v>27</v>
      </c>
      <c r="O158" s="262">
        <v>28</v>
      </c>
      <c r="P158" s="262">
        <v>29.5</v>
      </c>
      <c r="Q158" s="262">
        <v>31</v>
      </c>
      <c r="R158" s="262">
        <v>32.5</v>
      </c>
      <c r="S158" s="262">
        <v>34.1</v>
      </c>
      <c r="T158" s="262">
        <v>35.1</v>
      </c>
      <c r="U158" s="262">
        <v>35.9</v>
      </c>
      <c r="V158" s="262">
        <v>36.9</v>
      </c>
      <c r="W158" s="262">
        <v>37.799999999999997</v>
      </c>
      <c r="X158" s="262">
        <v>38.5</v>
      </c>
      <c r="Y158" s="262">
        <v>39.4</v>
      </c>
      <c r="Z158" s="262">
        <v>39.799999999999997</v>
      </c>
      <c r="AA158" s="262">
        <v>39.9</v>
      </c>
      <c r="AB158" s="262"/>
      <c r="AC158" s="262"/>
      <c r="AD158" s="262">
        <v>40.6</v>
      </c>
      <c r="AE158" s="262"/>
      <c r="AF158" s="262">
        <v>40.9</v>
      </c>
      <c r="AG158" s="262"/>
    </row>
    <row r="159" spans="1:44">
      <c r="A159" s="86"/>
      <c r="B159" s="86"/>
      <c r="C159" s="86"/>
      <c r="D159" s="86"/>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row>
    <row r="160" spans="1:44">
      <c r="A160" s="86"/>
      <c r="B160" s="86"/>
      <c r="C160" s="86" t="s">
        <v>415</v>
      </c>
      <c r="D160" s="86"/>
      <c r="E160" s="262">
        <v>27.135000000000002</v>
      </c>
      <c r="F160" s="262">
        <v>28.484999999999999</v>
      </c>
      <c r="G160" s="262">
        <v>31.4</v>
      </c>
      <c r="H160" s="262">
        <v>34.299999999999997</v>
      </c>
      <c r="I160" s="262">
        <v>36.5</v>
      </c>
      <c r="J160" s="262">
        <v>38.200000000000003</v>
      </c>
      <c r="K160" s="262">
        <v>39.1</v>
      </c>
      <c r="L160" s="262">
        <v>40.5</v>
      </c>
      <c r="M160" s="262">
        <v>41.2</v>
      </c>
      <c r="N160" s="262">
        <v>42.5</v>
      </c>
      <c r="O160" s="262">
        <v>43.5</v>
      </c>
      <c r="P160" s="262">
        <v>43.9</v>
      </c>
      <c r="Q160" s="262">
        <v>44.9</v>
      </c>
      <c r="R160" s="262">
        <v>45.7</v>
      </c>
      <c r="S160" s="262">
        <v>46.7</v>
      </c>
      <c r="T160" s="262">
        <v>47.3</v>
      </c>
      <c r="U160" s="262">
        <v>47.6</v>
      </c>
      <c r="V160" s="262">
        <v>48.1</v>
      </c>
      <c r="W160" s="262">
        <v>48.704999999999998</v>
      </c>
      <c r="X160" s="262">
        <v>49.1</v>
      </c>
      <c r="Y160" s="262"/>
      <c r="Z160" s="262"/>
      <c r="AA160" s="262">
        <v>49.66</v>
      </c>
      <c r="AB160" s="262"/>
      <c r="AC160" s="262">
        <v>50.1</v>
      </c>
      <c r="AD160" s="262">
        <v>50.357480314960632</v>
      </c>
      <c r="AE160" s="262"/>
      <c r="AF160" s="262">
        <v>51.509448818897638</v>
      </c>
      <c r="AG160" s="262"/>
    </row>
    <row r="161" spans="1:33">
      <c r="A161" s="86"/>
      <c r="B161" s="86"/>
      <c r="C161" s="86" t="s">
        <v>446</v>
      </c>
      <c r="D161" s="86"/>
      <c r="E161" s="262"/>
      <c r="F161" s="262">
        <v>25.4</v>
      </c>
      <c r="G161" s="262">
        <v>33.9</v>
      </c>
      <c r="H161" s="262">
        <v>40.9</v>
      </c>
      <c r="I161" s="262">
        <v>48.5</v>
      </c>
      <c r="J161" s="262">
        <v>53.5</v>
      </c>
      <c r="K161" s="262">
        <v>58.3</v>
      </c>
      <c r="L161" s="262">
        <v>62</v>
      </c>
      <c r="M161" s="262">
        <v>65.8</v>
      </c>
      <c r="N161" s="262">
        <v>68.2</v>
      </c>
      <c r="O161" s="262">
        <v>70.3</v>
      </c>
      <c r="P161" s="262">
        <v>72.5</v>
      </c>
      <c r="Q161" s="262">
        <v>74</v>
      </c>
      <c r="R161" s="262">
        <v>74.7</v>
      </c>
      <c r="S161" s="262">
        <v>76.400000000000006</v>
      </c>
      <c r="T161" s="262">
        <v>77.2</v>
      </c>
      <c r="U161" s="262">
        <v>78.2</v>
      </c>
      <c r="V161" s="262">
        <v>78.8</v>
      </c>
      <c r="W161" s="262">
        <v>79.2</v>
      </c>
      <c r="X161" s="262">
        <v>79.7</v>
      </c>
      <c r="Y161" s="262">
        <v>80.400000000000006</v>
      </c>
      <c r="Z161" s="262">
        <v>80.5</v>
      </c>
      <c r="AA161" s="262">
        <v>80.5</v>
      </c>
      <c r="AB161" s="262"/>
      <c r="AC161" s="262"/>
      <c r="AD161" s="262"/>
      <c r="AE161" s="262"/>
      <c r="AF161" s="262"/>
      <c r="AG161" s="262"/>
    </row>
    <row r="163" spans="1:33">
      <c r="C163" t="s">
        <v>416</v>
      </c>
      <c r="E163">
        <v>2</v>
      </c>
      <c r="F163">
        <v>3</v>
      </c>
      <c r="G163">
        <v>4</v>
      </c>
      <c r="H163">
        <v>5</v>
      </c>
      <c r="I163">
        <v>6</v>
      </c>
      <c r="J163">
        <v>7</v>
      </c>
      <c r="K163">
        <v>8</v>
      </c>
      <c r="L163">
        <v>9</v>
      </c>
      <c r="M163">
        <v>10</v>
      </c>
      <c r="N163">
        <v>11</v>
      </c>
      <c r="O163">
        <v>12</v>
      </c>
      <c r="P163">
        <v>13</v>
      </c>
      <c r="Q163">
        <v>14</v>
      </c>
      <c r="R163">
        <v>15</v>
      </c>
      <c r="S163">
        <v>16</v>
      </c>
      <c r="T163">
        <v>17</v>
      </c>
      <c r="U163">
        <v>18</v>
      </c>
      <c r="V163">
        <v>19</v>
      </c>
      <c r="W163">
        <v>20</v>
      </c>
      <c r="X163">
        <v>21</v>
      </c>
      <c r="Y163">
        <v>22</v>
      </c>
      <c r="Z163">
        <v>23</v>
      </c>
      <c r="AA163">
        <v>24</v>
      </c>
      <c r="AB163">
        <v>25</v>
      </c>
      <c r="AC163">
        <v>26</v>
      </c>
      <c r="AD163">
        <v>27</v>
      </c>
      <c r="AE163">
        <v>28</v>
      </c>
      <c r="AF163">
        <v>29</v>
      </c>
      <c r="AG163">
        <v>30</v>
      </c>
    </row>
    <row r="164" spans="1:33">
      <c r="A164" t="s">
        <v>413</v>
      </c>
    </row>
    <row r="165" spans="1:33">
      <c r="C165" t="s">
        <v>412</v>
      </c>
      <c r="E165" s="262"/>
      <c r="F165" s="262">
        <v>6.0333333333333341</v>
      </c>
      <c r="G165" s="262">
        <v>7.95</v>
      </c>
      <c r="H165" s="262">
        <v>9.8499999999999979</v>
      </c>
      <c r="I165" s="262">
        <v>11.668750000000003</v>
      </c>
      <c r="J165" s="262">
        <v>13.65263157894737</v>
      </c>
      <c r="K165" s="262">
        <v>16.317647058823528</v>
      </c>
      <c r="L165" s="262">
        <v>18.31666666666667</v>
      </c>
      <c r="M165" s="262">
        <v>20.194444444444446</v>
      </c>
      <c r="N165" s="262">
        <v>22.029999999999998</v>
      </c>
      <c r="O165" s="262">
        <v>23.94</v>
      </c>
      <c r="P165" s="262">
        <v>25.704545454545453</v>
      </c>
      <c r="Q165" s="262">
        <v>27.18095238095238</v>
      </c>
      <c r="R165" s="262">
        <v>28.414285714285718</v>
      </c>
      <c r="S165" s="262">
        <v>29.278947368421051</v>
      </c>
      <c r="T165" s="262">
        <v>30.5</v>
      </c>
      <c r="U165" s="262">
        <v>31.519047619047619</v>
      </c>
      <c r="V165" s="262">
        <v>32.427272727272722</v>
      </c>
      <c r="W165" s="262">
        <v>33.280952380952378</v>
      </c>
      <c r="X165" s="262">
        <v>33.863636363636367</v>
      </c>
      <c r="Y165" s="262">
        <v>34.549999999999997</v>
      </c>
      <c r="Z165" s="262">
        <v>34.905000000000001</v>
      </c>
      <c r="AA165" s="262">
        <v>35.31111111111111</v>
      </c>
      <c r="AB165" s="262"/>
      <c r="AC165" s="262">
        <v>36.51764705882352</v>
      </c>
      <c r="AD165" s="262">
        <v>36.653333333333329</v>
      </c>
      <c r="AE165" s="262">
        <v>36.980000000000004</v>
      </c>
      <c r="AF165" s="262">
        <v>37.100000000000009</v>
      </c>
      <c r="AG165" s="262"/>
    </row>
    <row r="166" spans="1:33">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row>
    <row r="167" spans="1:33">
      <c r="C167" t="s">
        <v>415</v>
      </c>
      <c r="E167" s="262"/>
      <c r="F167" s="262">
        <v>24.97</v>
      </c>
      <c r="G167" s="262">
        <v>27.307494444444444</v>
      </c>
      <c r="H167" s="262">
        <v>29.743182205513779</v>
      </c>
      <c r="I167" s="262">
        <v>31.662791587811398</v>
      </c>
      <c r="J167" s="262">
        <v>33.020864129558824</v>
      </c>
      <c r="K167" s="262">
        <v>34.834514930009398</v>
      </c>
      <c r="L167" s="262">
        <v>35.724651175730237</v>
      </c>
      <c r="M167" s="262">
        <v>36.625600528661984</v>
      </c>
      <c r="N167" s="262">
        <v>37.582914118268107</v>
      </c>
      <c r="O167" s="262">
        <v>38.617073395578849</v>
      </c>
      <c r="P167" s="262">
        <v>39.460063145750112</v>
      </c>
      <c r="Q167" s="262">
        <v>40.476775660064312</v>
      </c>
      <c r="R167" s="262">
        <v>40.99421424699495</v>
      </c>
      <c r="S167" s="262">
        <v>41.45538624664173</v>
      </c>
      <c r="T167" s="262">
        <v>42.188824142048034</v>
      </c>
      <c r="U167" s="262">
        <v>42.995974867105019</v>
      </c>
      <c r="V167" s="262">
        <v>43.48771579184308</v>
      </c>
      <c r="W167" s="262">
        <v>44.196344866872565</v>
      </c>
      <c r="X167" s="262">
        <v>44.411181004984655</v>
      </c>
      <c r="Y167" s="262">
        <v>44.957962494420556</v>
      </c>
      <c r="Z167" s="262">
        <v>44.938094052655792</v>
      </c>
      <c r="AA167" s="262">
        <v>45.397418444275409</v>
      </c>
      <c r="AB167" s="262"/>
      <c r="AC167" s="262"/>
      <c r="AD167" s="262">
        <v>46.281574772320127</v>
      </c>
      <c r="AE167" s="262">
        <v>46.564983401449823</v>
      </c>
      <c r="AF167" s="262"/>
      <c r="AG167" s="262"/>
    </row>
    <row r="168" spans="1:33">
      <c r="C168" t="s">
        <v>446</v>
      </c>
      <c r="E168" s="262" t="s">
        <v>337</v>
      </c>
      <c r="F168" s="262">
        <v>24.133333333333336</v>
      </c>
      <c r="G168" s="262">
        <v>29.025000000000002</v>
      </c>
      <c r="H168" s="262">
        <v>32.9</v>
      </c>
      <c r="I168" s="262">
        <v>36.587499999999999</v>
      </c>
      <c r="J168" s="262">
        <v>41.121052631578948</v>
      </c>
      <c r="K168" s="262">
        <v>46.711764705882345</v>
      </c>
      <c r="L168" s="262">
        <v>51.188888888888897</v>
      </c>
      <c r="M168" s="262">
        <v>55.055555555555557</v>
      </c>
      <c r="N168" s="262">
        <v>58.524999999999999</v>
      </c>
      <c r="O168" s="262">
        <v>61.929999999999993</v>
      </c>
      <c r="P168" s="262">
        <v>65.086363636363657</v>
      </c>
      <c r="Q168" s="262">
        <v>67.104761904761901</v>
      </c>
      <c r="R168" s="262">
        <v>69.247619047619025</v>
      </c>
      <c r="S168" s="262">
        <v>70.60526315789474</v>
      </c>
      <c r="T168" s="262">
        <v>72.257142857142838</v>
      </c>
      <c r="U168" s="262">
        <v>73.257142857142853</v>
      </c>
      <c r="V168" s="262">
        <v>74.536363636363632</v>
      </c>
      <c r="W168" s="262">
        <v>75.271428571428572</v>
      </c>
      <c r="X168" s="262">
        <v>76.218181818181833</v>
      </c>
      <c r="Y168" s="262">
        <v>76.825000000000017</v>
      </c>
      <c r="Z168" s="262">
        <v>77.650000000000006</v>
      </c>
      <c r="AA168" s="262">
        <v>77.772222222222226</v>
      </c>
      <c r="AB168" s="262">
        <v>78.158823529411762</v>
      </c>
      <c r="AC168" s="262">
        <v>78.67647058823529</v>
      </c>
      <c r="AD168" s="262">
        <v>79.2</v>
      </c>
      <c r="AE168" s="262">
        <v>79.899999999999991</v>
      </c>
      <c r="AF168" s="262">
        <v>80.142857142857139</v>
      </c>
      <c r="AG168" s="262">
        <v>80.7</v>
      </c>
    </row>
    <row r="170" spans="1:33">
      <c r="C170" t="s">
        <v>416</v>
      </c>
      <c r="E170">
        <v>2</v>
      </c>
      <c r="F170">
        <v>3</v>
      </c>
      <c r="G170">
        <v>4</v>
      </c>
      <c r="H170">
        <v>5</v>
      </c>
      <c r="I170">
        <v>6</v>
      </c>
      <c r="J170">
        <v>7</v>
      </c>
      <c r="K170">
        <v>8</v>
      </c>
      <c r="L170">
        <v>9</v>
      </c>
      <c r="M170">
        <v>10</v>
      </c>
      <c r="N170">
        <v>11</v>
      </c>
      <c r="O170">
        <v>12</v>
      </c>
      <c r="P170">
        <v>13</v>
      </c>
      <c r="Q170">
        <v>14</v>
      </c>
      <c r="R170">
        <v>15</v>
      </c>
      <c r="S170">
        <v>16</v>
      </c>
      <c r="T170">
        <v>17</v>
      </c>
      <c r="U170">
        <v>18</v>
      </c>
      <c r="V170">
        <v>19</v>
      </c>
      <c r="W170">
        <v>20</v>
      </c>
      <c r="X170">
        <v>21</v>
      </c>
      <c r="Y170">
        <v>22</v>
      </c>
      <c r="Z170">
        <v>23</v>
      </c>
      <c r="AA170">
        <v>24</v>
      </c>
      <c r="AB170">
        <v>25</v>
      </c>
      <c r="AC170">
        <v>26</v>
      </c>
      <c r="AD170">
        <v>27</v>
      </c>
      <c r="AE170">
        <v>28</v>
      </c>
      <c r="AF170">
        <v>29</v>
      </c>
      <c r="AG170">
        <v>30</v>
      </c>
    </row>
    <row r="171" spans="1:33">
      <c r="A171" t="s">
        <v>414</v>
      </c>
    </row>
    <row r="172" spans="1:33">
      <c r="C172" t="s">
        <v>412</v>
      </c>
      <c r="E172" s="262"/>
      <c r="F172" s="262">
        <v>5.3</v>
      </c>
      <c r="G172" s="262"/>
      <c r="H172" s="262">
        <v>6</v>
      </c>
      <c r="I172" s="262">
        <v>6.8</v>
      </c>
      <c r="J172" s="262">
        <v>8.1999999999999993</v>
      </c>
      <c r="K172" s="262">
        <v>11.9</v>
      </c>
      <c r="L172" s="262"/>
      <c r="M172" s="262">
        <v>15.8</v>
      </c>
      <c r="N172" s="262">
        <v>18.600000000000001</v>
      </c>
      <c r="O172" s="262">
        <v>20</v>
      </c>
      <c r="P172" s="262">
        <v>21.9</v>
      </c>
      <c r="Q172" s="262">
        <v>23.8</v>
      </c>
      <c r="R172" s="262">
        <v>24.8</v>
      </c>
      <c r="S172" s="262">
        <v>25.9</v>
      </c>
      <c r="T172" s="262">
        <v>27.1</v>
      </c>
      <c r="U172" s="262">
        <v>28</v>
      </c>
      <c r="V172" s="262">
        <v>28.9</v>
      </c>
      <c r="W172" s="262">
        <v>29.7</v>
      </c>
      <c r="X172" s="262">
        <v>30.2</v>
      </c>
      <c r="Y172" s="262">
        <v>30.8</v>
      </c>
      <c r="Z172" s="262">
        <v>31.3</v>
      </c>
      <c r="AA172" s="262">
        <v>31.7</v>
      </c>
      <c r="AB172" s="262">
        <v>32.1</v>
      </c>
      <c r="AC172" s="262">
        <v>32.6</v>
      </c>
      <c r="AD172" s="262">
        <v>33</v>
      </c>
      <c r="AE172" s="262">
        <v>33.5</v>
      </c>
      <c r="AF172" s="262">
        <v>34.1</v>
      </c>
      <c r="AG172" s="262">
        <v>34.5</v>
      </c>
    </row>
    <row r="173" spans="1:33">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row>
    <row r="174" spans="1:33">
      <c r="C174" t="s">
        <v>415</v>
      </c>
      <c r="E174" s="262"/>
      <c r="F174" s="262">
        <v>22.8</v>
      </c>
      <c r="G174" s="262">
        <v>24.113066666666668</v>
      </c>
      <c r="H174" s="262">
        <v>25.603199999999998</v>
      </c>
      <c r="I174" s="262"/>
      <c r="J174" s="262">
        <v>28.572916666666675</v>
      </c>
      <c r="K174" s="262"/>
      <c r="L174" s="262">
        <v>31.687500000000004</v>
      </c>
      <c r="M174" s="262">
        <v>33.041666666666671</v>
      </c>
      <c r="N174" s="262"/>
      <c r="O174" s="262">
        <v>34.531250000000007</v>
      </c>
      <c r="P174" s="262">
        <v>35.343750000000007</v>
      </c>
      <c r="Q174" s="262">
        <v>35.885416666666671</v>
      </c>
      <c r="R174" s="262">
        <v>36.697916666666671</v>
      </c>
      <c r="S174" s="262">
        <v>37.645833333333343</v>
      </c>
      <c r="T174" s="262">
        <v>38.052083333333343</v>
      </c>
      <c r="U174" s="262">
        <v>38.357380952380957</v>
      </c>
      <c r="V174" s="262">
        <v>38.771309523809528</v>
      </c>
      <c r="W174" s="262">
        <v>39.323214285714286</v>
      </c>
      <c r="X174" s="262">
        <v>39.323214285714286</v>
      </c>
      <c r="Y174" s="262">
        <v>39.875119047619044</v>
      </c>
      <c r="Z174" s="262">
        <v>40.013095238095239</v>
      </c>
      <c r="AA174" s="262">
        <v>40.289047619047622</v>
      </c>
      <c r="AB174" s="262">
        <v>40.289047619047622</v>
      </c>
      <c r="AC174" s="262">
        <v>40.840952380952388</v>
      </c>
      <c r="AD174" s="262">
        <v>41.116904761904763</v>
      </c>
      <c r="AE174" s="262">
        <v>41.254880952380951</v>
      </c>
      <c r="AF174" s="262">
        <v>41.806785714285716</v>
      </c>
      <c r="AG174" s="262">
        <v>42.082738095238099</v>
      </c>
    </row>
    <row r="175" spans="1:33">
      <c r="C175" t="s">
        <v>446</v>
      </c>
      <c r="E175" s="262"/>
      <c r="F175" s="262"/>
      <c r="G175" s="262">
        <v>21.6</v>
      </c>
      <c r="H175" s="262">
        <v>23.4</v>
      </c>
      <c r="I175" s="262">
        <v>23.3</v>
      </c>
      <c r="J175" s="262">
        <v>27.4</v>
      </c>
      <c r="K175" s="262">
        <v>35.700000000000003</v>
      </c>
      <c r="L175" s="262">
        <v>43.2</v>
      </c>
      <c r="M175" s="262">
        <v>45.6</v>
      </c>
      <c r="N175" s="262">
        <v>50.4</v>
      </c>
      <c r="O175" s="262">
        <v>54.2</v>
      </c>
      <c r="P175" s="262">
        <v>58.6</v>
      </c>
      <c r="Q175" s="262">
        <v>61.8</v>
      </c>
      <c r="R175" s="262">
        <v>63.3</v>
      </c>
      <c r="S175" s="262">
        <v>65.5</v>
      </c>
      <c r="T175" s="262">
        <v>66.7</v>
      </c>
      <c r="U175" s="262">
        <v>68.400000000000006</v>
      </c>
      <c r="V175" s="262">
        <v>69.599999999999994</v>
      </c>
      <c r="W175" s="262">
        <v>71</v>
      </c>
      <c r="X175" s="262">
        <v>72.099999999999994</v>
      </c>
      <c r="Y175" s="262">
        <v>72.900000000000006</v>
      </c>
      <c r="Z175" s="262">
        <v>73.099999999999994</v>
      </c>
      <c r="AA175" s="262">
        <v>74.3</v>
      </c>
      <c r="AB175" s="262">
        <v>74.900000000000006</v>
      </c>
      <c r="AC175" s="262">
        <v>75</v>
      </c>
      <c r="AD175" s="262"/>
      <c r="AE175" s="262"/>
      <c r="AF175" s="262"/>
      <c r="AG175" s="262"/>
    </row>
    <row r="176" spans="1:33">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row>
    <row r="177" spans="1:33">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row>
    <row r="178" spans="1:33">
      <c r="A178" s="86"/>
      <c r="B178" s="86"/>
      <c r="C178" s="86"/>
      <c r="D178" s="86"/>
      <c r="E178" s="86"/>
      <c r="F178" s="86"/>
      <c r="G178" s="86"/>
      <c r="H178" s="86"/>
      <c r="I178" s="86"/>
      <c r="J178" s="86"/>
      <c r="K178" s="86"/>
      <c r="L178" s="86"/>
      <c r="M178" s="86"/>
      <c r="N178" s="86"/>
    </row>
    <row r="179" spans="1:33" s="118" customFormat="1" ht="31.7" customHeight="1" thickBot="1">
      <c r="A179" s="470" t="s">
        <v>452</v>
      </c>
      <c r="B179" s="470"/>
      <c r="C179" s="470"/>
      <c r="D179" s="470"/>
      <c r="E179" s="470"/>
      <c r="F179" s="470"/>
      <c r="G179" s="470"/>
      <c r="H179" s="470"/>
      <c r="I179" s="470"/>
      <c r="J179" s="470"/>
      <c r="K179" s="470"/>
      <c r="L179" s="470"/>
      <c r="M179" s="470"/>
      <c r="N179" s="470"/>
    </row>
    <row r="180" spans="1:33" ht="17.100000000000001" customHeight="1">
      <c r="A180" s="645" t="s">
        <v>140</v>
      </c>
      <c r="B180" s="646"/>
      <c r="C180" s="647"/>
      <c r="D180" s="648"/>
      <c r="E180" s="122">
        <v>1</v>
      </c>
      <c r="F180" s="209">
        <v>2</v>
      </c>
      <c r="G180" s="122">
        <v>3</v>
      </c>
      <c r="H180" s="209">
        <v>4</v>
      </c>
      <c r="I180" s="122">
        <v>5</v>
      </c>
      <c r="J180" s="209">
        <v>6</v>
      </c>
      <c r="K180" s="122">
        <v>7</v>
      </c>
      <c r="L180" s="209">
        <v>8</v>
      </c>
      <c r="M180" s="122">
        <v>9</v>
      </c>
      <c r="N180" s="210">
        <v>10</v>
      </c>
    </row>
    <row r="181" spans="1:33" ht="16.5" customHeight="1" thickBot="1">
      <c r="A181" s="641" t="s">
        <v>141</v>
      </c>
      <c r="B181" s="642"/>
      <c r="C181" s="643"/>
      <c r="D181" s="644"/>
      <c r="E181" s="267" t="s">
        <v>152</v>
      </c>
      <c r="F181" s="268"/>
      <c r="G181" s="269"/>
      <c r="H181" s="268"/>
      <c r="I181" s="269"/>
      <c r="J181" s="268"/>
      <c r="K181" s="269"/>
      <c r="L181" s="268"/>
      <c r="M181" s="269"/>
      <c r="N181" s="270"/>
    </row>
    <row r="182" spans="1:33" ht="17.100000000000001" customHeight="1">
      <c r="A182" s="638" t="s">
        <v>148</v>
      </c>
      <c r="B182" s="630" t="s">
        <v>144</v>
      </c>
      <c r="C182" s="653" t="s">
        <v>142</v>
      </c>
      <c r="D182" s="654"/>
      <c r="E182" s="271">
        <v>10.9</v>
      </c>
      <c r="F182" s="272"/>
      <c r="G182" s="271"/>
      <c r="H182" s="272"/>
      <c r="I182" s="271"/>
      <c r="J182" s="272"/>
      <c r="K182" s="271"/>
      <c r="L182" s="272"/>
      <c r="M182" s="271"/>
      <c r="N182" s="273"/>
    </row>
    <row r="183" spans="1:33" ht="17.100000000000001" customHeight="1">
      <c r="A183" s="639"/>
      <c r="B183" s="631"/>
      <c r="C183" s="655" t="s">
        <v>7</v>
      </c>
      <c r="D183" s="656"/>
      <c r="E183" s="274">
        <v>12</v>
      </c>
      <c r="F183" s="275"/>
      <c r="G183" s="274"/>
      <c r="H183" s="275"/>
      <c r="I183" s="274"/>
      <c r="J183" s="275"/>
      <c r="K183" s="274"/>
      <c r="L183" s="275"/>
      <c r="M183" s="274"/>
      <c r="N183" s="276"/>
    </row>
    <row r="184" spans="1:33" ht="17.100000000000001" customHeight="1" thickBot="1">
      <c r="A184" s="639"/>
      <c r="B184" s="632"/>
      <c r="C184" s="657" t="s">
        <v>6</v>
      </c>
      <c r="D184" s="658"/>
      <c r="E184" s="277">
        <v>45.3</v>
      </c>
      <c r="F184" s="278"/>
      <c r="G184" s="277"/>
      <c r="H184" s="278"/>
      <c r="I184" s="277"/>
      <c r="J184" s="278"/>
      <c r="K184" s="277"/>
      <c r="L184" s="278"/>
      <c r="M184" s="277"/>
      <c r="N184" s="279"/>
    </row>
    <row r="185" spans="1:33" ht="17.100000000000001" customHeight="1">
      <c r="A185" s="639"/>
      <c r="B185" s="630" t="s">
        <v>147</v>
      </c>
      <c r="C185" s="653" t="s">
        <v>27</v>
      </c>
      <c r="D185" s="654"/>
      <c r="E185" s="271">
        <v>15.6</v>
      </c>
      <c r="F185" s="272"/>
      <c r="G185" s="271"/>
      <c r="H185" s="272"/>
      <c r="I185" s="271"/>
      <c r="J185" s="272"/>
      <c r="K185" s="271"/>
      <c r="L185" s="272"/>
      <c r="M185" s="271"/>
      <c r="N185" s="273"/>
    </row>
    <row r="186" spans="1:33" ht="17.100000000000001" customHeight="1">
      <c r="A186" s="639"/>
      <c r="B186" s="636"/>
      <c r="C186" s="655" t="s">
        <v>2</v>
      </c>
      <c r="D186" s="656"/>
      <c r="E186" s="274">
        <v>-5.8</v>
      </c>
      <c r="F186" s="275"/>
      <c r="G186" s="274"/>
      <c r="H186" s="275"/>
      <c r="I186" s="274"/>
      <c r="J186" s="275"/>
      <c r="K186" s="274"/>
      <c r="L186" s="275"/>
      <c r="M186" s="274"/>
      <c r="N186" s="276"/>
    </row>
    <row r="187" spans="1:33" ht="17.100000000000001" customHeight="1">
      <c r="A187" s="639"/>
      <c r="B187" s="636"/>
      <c r="C187" s="655" t="s">
        <v>155</v>
      </c>
      <c r="D187" s="656"/>
      <c r="E187" s="274">
        <v>1.4</v>
      </c>
      <c r="F187" s="275"/>
      <c r="G187" s="274"/>
      <c r="H187" s="275"/>
      <c r="I187" s="274"/>
      <c r="J187" s="275"/>
      <c r="K187" s="274"/>
      <c r="L187" s="275"/>
      <c r="M187" s="274"/>
      <c r="N187" s="276"/>
    </row>
    <row r="188" spans="1:33" ht="17.100000000000001" customHeight="1">
      <c r="A188" s="639"/>
      <c r="B188" s="636"/>
      <c r="C188" s="655" t="s">
        <v>154</v>
      </c>
      <c r="D188" s="656"/>
      <c r="E188" s="274">
        <v>0.8</v>
      </c>
      <c r="F188" s="275"/>
      <c r="G188" s="274"/>
      <c r="H188" s="275"/>
      <c r="I188" s="274"/>
      <c r="J188" s="275"/>
      <c r="K188" s="274"/>
      <c r="L188" s="275"/>
      <c r="M188" s="274"/>
      <c r="N188" s="276"/>
    </row>
    <row r="189" spans="1:33" ht="17.100000000000001" customHeight="1">
      <c r="A189" s="639"/>
      <c r="B189" s="636"/>
      <c r="C189" s="655" t="s">
        <v>153</v>
      </c>
      <c r="D189" s="656"/>
      <c r="E189" s="274">
        <v>3.1</v>
      </c>
      <c r="F189" s="275"/>
      <c r="G189" s="274"/>
      <c r="H189" s="275"/>
      <c r="I189" s="274"/>
      <c r="J189" s="275"/>
      <c r="K189" s="274"/>
      <c r="L189" s="275"/>
      <c r="M189" s="274"/>
      <c r="N189" s="276"/>
    </row>
    <row r="190" spans="1:33" ht="17.100000000000001" customHeight="1">
      <c r="A190" s="639"/>
      <c r="B190" s="636"/>
      <c r="C190" s="655" t="s">
        <v>210</v>
      </c>
      <c r="D190" s="656"/>
      <c r="E190" s="123">
        <f>IF(E185="","",IF(E186="","",ROUNDDOWN((ROUND(1443/(1443+E186),4)-IFERROR(E185*VLOOKUP(E185,'各種計算式等（配付時非表示）'!$E$3:$H$1003,3,TRUE)+VLOOKUP(E185,'各種計算式等（配付時非表示）'!$E$3:$H$1003,4,TRUE)+0.0000000001,"-"))*260+0.21,1)))</f>
        <v>6.3</v>
      </c>
      <c r="F190" s="124" t="str">
        <f>IF(F185="","",IF(F186="","",ROUNDDOWN((ROUND(1443/(1443+F186),4)-IFERROR(F185*VLOOKUP(F185,'各種計算式等（配付時非表示）'!$E$3:$H$1003,3,TRUE)+VLOOKUP(F185,'各種計算式等（配付時非表示）'!$E$3:$H$1003,4,TRUE)+0.0000000001,"-"))*260+0.21,1)))</f>
        <v/>
      </c>
      <c r="G190" s="123" t="str">
        <f>IF(G185="","",IF(G186="","",ROUNDDOWN((ROUND(1443/(1443+G186),4)-IFERROR(G185*VLOOKUP(G185,'各種計算式等（配付時非表示）'!$E$3:$H$1003,3,TRUE)+VLOOKUP(G185,'各種計算式等（配付時非表示）'!$E$3:$H$1003,4,TRUE)+0.0000000001,"-"))*260+0.21,1)))</f>
        <v/>
      </c>
      <c r="H190" s="124" t="str">
        <f>IF(H185="","",IF(H186="","",ROUNDDOWN((ROUND(1443/(1443+H186),4)-IFERROR(H185*VLOOKUP(H185,'各種計算式等（配付時非表示）'!$E$3:$H$1003,3,TRUE)+VLOOKUP(H185,'各種計算式等（配付時非表示）'!$E$3:$H$1003,4,TRUE)+0.0000000001,"-"))*260+0.21,1)))</f>
        <v/>
      </c>
      <c r="I190" s="123" t="str">
        <f>IF(I185="","",IF(I186="","",ROUNDDOWN((ROUND(1443/(1443+I186),4)-IFERROR(I185*VLOOKUP(I185,'各種計算式等（配付時非表示）'!$E$3:$H$1003,3,TRUE)+VLOOKUP(I185,'各種計算式等（配付時非表示）'!$E$3:$H$1003,4,TRUE)+0.0000000001,"-"))*260+0.21,1)))</f>
        <v/>
      </c>
      <c r="J190" s="124" t="str">
        <f>IF(J185="","",IF(J186="","",ROUNDDOWN((ROUND(1443/(1443+J186),4)-IFERROR(J185*VLOOKUP(J185,'各種計算式等（配付時非表示）'!$E$3:$H$1003,3,TRUE)+VLOOKUP(J185,'各種計算式等（配付時非表示）'!$E$3:$H$1003,4,TRUE)+0.0000000001,"-"))*260+0.21,1)))</f>
        <v/>
      </c>
      <c r="K190" s="123" t="str">
        <f>IF(K185="","",IF(K186="","",ROUNDDOWN((ROUND(1443/(1443+K186),4)-IFERROR(K185*VLOOKUP(K185,'各種計算式等（配付時非表示）'!$E$3:$H$1003,3,TRUE)+VLOOKUP(K185,'各種計算式等（配付時非表示）'!$E$3:$H$1003,4,TRUE)+0.0000000001,"-"))*260+0.21,1)))</f>
        <v/>
      </c>
      <c r="L190" s="124" t="str">
        <f>IF(L185="","",IF(L186="","",ROUNDDOWN((ROUND(1443/(1443+L186),4)-IFERROR(L185*VLOOKUP(L185,'各種計算式等（配付時非表示）'!$E$3:$H$1003,3,TRUE)+VLOOKUP(L185,'各種計算式等（配付時非表示）'!$E$3:$H$1003,4,TRUE)+0.0000000001,"-"))*260+0.21,1)))</f>
        <v/>
      </c>
      <c r="M190" s="123" t="str">
        <f>IF(M185="","",IF(M186="","",ROUNDDOWN((ROUND(1443/(1443+M186),4)-IFERROR(M185*VLOOKUP(M185,'各種計算式等（配付時非表示）'!$E$3:$H$1003,3,TRUE)+VLOOKUP(M185,'各種計算式等（配付時非表示）'!$E$3:$H$1003,4,TRUE)+0.0000000001,"-"))*260+0.21,1)))</f>
        <v/>
      </c>
      <c r="N190" s="125" t="str">
        <f>IF(N185="","",IF(N186="","",ROUNDDOWN((ROUND(1443/(1443+N186),4)-IFERROR(N185*VLOOKUP(N185,'各種計算式等（配付時非表示）'!$E$3:$H$1003,3,TRUE)+VLOOKUP(N185,'各種計算式等（配付時非表示）'!$E$3:$H$1003,4,TRUE)+0.0000000001,"-"))*260+0.21,1)))</f>
        <v/>
      </c>
    </row>
    <row r="191" spans="1:33" ht="17.100000000000001" customHeight="1">
      <c r="A191" s="639"/>
      <c r="B191" s="636"/>
      <c r="C191" s="655" t="s">
        <v>211</v>
      </c>
      <c r="D191" s="656"/>
      <c r="E191" s="123">
        <f>IF(E190="","",ROUNDDOWN(E190+E185*1.5848,1))</f>
        <v>31</v>
      </c>
      <c r="F191" s="124" t="str">
        <f t="shared" ref="F191:N191" si="227">IF(F190="","",ROUNDDOWN(F190+F185*1.5848,1))</f>
        <v/>
      </c>
      <c r="G191" s="123" t="str">
        <f>IF(G190="","",ROUNDDOWN(G190+G185*1.5848,1))</f>
        <v/>
      </c>
      <c r="H191" s="124" t="str">
        <f t="shared" si="227"/>
        <v/>
      </c>
      <c r="I191" s="123" t="str">
        <f t="shared" si="227"/>
        <v/>
      </c>
      <c r="J191" s="124" t="str">
        <f t="shared" si="227"/>
        <v/>
      </c>
      <c r="K191" s="123" t="str">
        <f t="shared" si="227"/>
        <v/>
      </c>
      <c r="L191" s="124" t="str">
        <f t="shared" si="227"/>
        <v/>
      </c>
      <c r="M191" s="123" t="str">
        <f t="shared" si="227"/>
        <v/>
      </c>
      <c r="N191" s="125" t="str">
        <f t="shared" si="227"/>
        <v/>
      </c>
    </row>
    <row r="192" spans="1:33" ht="17.100000000000001" customHeight="1">
      <c r="A192" s="639"/>
      <c r="B192" s="636"/>
      <c r="C192" s="659" t="s">
        <v>4</v>
      </c>
      <c r="D192" s="660"/>
      <c r="E192" s="123">
        <f>IF(E187="","",IF(E189="","",E189-E187))</f>
        <v>1.7000000000000002</v>
      </c>
      <c r="F192" s="124" t="str">
        <f t="shared" ref="F192:N192" si="228">IF(F187="","",IF(F189="","",F189-F187))</f>
        <v/>
      </c>
      <c r="G192" s="123" t="str">
        <f>IF(G187="","",IF(G189="","",G189-G187))</f>
        <v/>
      </c>
      <c r="H192" s="124" t="str">
        <f t="shared" si="228"/>
        <v/>
      </c>
      <c r="I192" s="123" t="str">
        <f t="shared" si="228"/>
        <v/>
      </c>
      <c r="J192" s="124" t="str">
        <f t="shared" si="228"/>
        <v/>
      </c>
      <c r="K192" s="123" t="str">
        <f t="shared" si="228"/>
        <v/>
      </c>
      <c r="L192" s="124" t="str">
        <f t="shared" si="228"/>
        <v/>
      </c>
      <c r="M192" s="123" t="str">
        <f t="shared" si="228"/>
        <v/>
      </c>
      <c r="N192" s="125" t="str">
        <f t="shared" si="228"/>
        <v/>
      </c>
    </row>
    <row r="193" spans="1:14" ht="17.100000000000001" customHeight="1">
      <c r="A193" s="639"/>
      <c r="B193" s="636"/>
      <c r="C193" s="661"/>
      <c r="D193" s="662"/>
      <c r="E193" s="183" t="str">
        <f>IF(E192="","",IF(E192&gt;=1.9,"甘口",IF(E192&gt;=1.1,"やや甘口",IF(E192&gt;=0.3,"やや辛口","辛口"))))</f>
        <v>やや甘口</v>
      </c>
      <c r="F193" s="184" t="str">
        <f t="shared" ref="F193:N193" si="229">IF(F192="","",IF(F192&gt;=1.9,"甘口",IF(F192&gt;=1.1,"やや甘口",IF(F192&gt;=0.3,"やや辛口","辛口"))))</f>
        <v/>
      </c>
      <c r="G193" s="183" t="str">
        <f>IF(G192="","",IF(G192&gt;=1.9,"甘口",IF(G192&gt;=1.1,"やや甘口",IF(G192&gt;=0.3,"やや辛口","辛口"))))</f>
        <v/>
      </c>
      <c r="H193" s="184" t="str">
        <f t="shared" si="229"/>
        <v/>
      </c>
      <c r="I193" s="183" t="str">
        <f t="shared" si="229"/>
        <v/>
      </c>
      <c r="J193" s="184" t="str">
        <f t="shared" si="229"/>
        <v/>
      </c>
      <c r="K193" s="183" t="str">
        <f t="shared" si="229"/>
        <v/>
      </c>
      <c r="L193" s="184" t="str">
        <f t="shared" si="229"/>
        <v/>
      </c>
      <c r="M193" s="183" t="str">
        <f t="shared" si="229"/>
        <v/>
      </c>
      <c r="N193" s="185" t="str">
        <f t="shared" si="229"/>
        <v/>
      </c>
    </row>
    <row r="194" spans="1:14" ht="17.100000000000001" customHeight="1">
      <c r="A194" s="639"/>
      <c r="B194" s="636"/>
      <c r="C194" s="659" t="s">
        <v>143</v>
      </c>
      <c r="D194" s="660"/>
      <c r="E194" s="123">
        <f>IF(COUNTA(E187:E189)&lt;&gt;3,"",IF(E185="","",(E187+E188+E189)*E185/10))</f>
        <v>8.2680000000000007</v>
      </c>
      <c r="F194" s="124" t="str">
        <f t="shared" ref="F194:N194" si="230">IF(COUNTA(F187:F189)&lt;&gt;3,"",IF(F185="","",(F187+F188+F189)*F185/10))</f>
        <v/>
      </c>
      <c r="G194" s="123" t="str">
        <f>IF(COUNTA(G187:G189)&lt;&gt;3,"",IF(G185="","",(G187+G188+G189)*G185/10))</f>
        <v/>
      </c>
      <c r="H194" s="124" t="str">
        <f t="shared" si="230"/>
        <v/>
      </c>
      <c r="I194" s="123" t="str">
        <f t="shared" si="230"/>
        <v/>
      </c>
      <c r="J194" s="124" t="str">
        <f t="shared" si="230"/>
        <v/>
      </c>
      <c r="K194" s="123" t="str">
        <f t="shared" si="230"/>
        <v/>
      </c>
      <c r="L194" s="124" t="str">
        <f t="shared" si="230"/>
        <v/>
      </c>
      <c r="M194" s="123" t="str">
        <f t="shared" si="230"/>
        <v/>
      </c>
      <c r="N194" s="125" t="str">
        <f t="shared" si="230"/>
        <v/>
      </c>
    </row>
    <row r="195" spans="1:14" ht="17.100000000000001" customHeight="1">
      <c r="A195" s="639"/>
      <c r="B195" s="636"/>
      <c r="C195" s="661"/>
      <c r="D195" s="662"/>
      <c r="E195" s="183" t="str">
        <f>IF(E194="","",IF(E194&gt;8,"濃醇", IF(E194&gt;6.5,"やや濃醇", IF(E194&gt;5,"やや軽快","軽快"))))</f>
        <v>濃醇</v>
      </c>
      <c r="F195" s="184" t="str">
        <f t="shared" ref="F195:N195" si="231">IF(F194="","",IF(F194&gt;8,"濃醇", IF(F194&gt;6.5,"やや濃醇", IF(F194&gt;5,"やや軽快","軽快"))))</f>
        <v/>
      </c>
      <c r="G195" s="183" t="str">
        <f>IF(G194="","",IF(G194&gt;8,"濃醇", IF(G194&gt;6.5,"やや濃醇", IF(G194&gt;5,"やや軽快","軽快"))))</f>
        <v/>
      </c>
      <c r="H195" s="184" t="str">
        <f t="shared" si="231"/>
        <v/>
      </c>
      <c r="I195" s="183" t="str">
        <f t="shared" si="231"/>
        <v/>
      </c>
      <c r="J195" s="184" t="str">
        <f t="shared" si="231"/>
        <v/>
      </c>
      <c r="K195" s="183" t="str">
        <f t="shared" si="231"/>
        <v/>
      </c>
      <c r="L195" s="184" t="str">
        <f t="shared" si="231"/>
        <v/>
      </c>
      <c r="M195" s="183" t="str">
        <f t="shared" si="231"/>
        <v/>
      </c>
      <c r="N195" s="185" t="str">
        <f t="shared" si="231"/>
        <v/>
      </c>
    </row>
    <row r="196" spans="1:14" ht="17.100000000000001" customHeight="1">
      <c r="A196" s="639"/>
      <c r="B196" s="636"/>
      <c r="C196" s="659" t="s">
        <v>114</v>
      </c>
      <c r="D196" s="660"/>
      <c r="E196" s="123">
        <f>IF(COUNTA(E187:E189)&lt;&gt;3,"",(E188+E189-E187)/E187)</f>
        <v>1.7857142857142863</v>
      </c>
      <c r="F196" s="124" t="str">
        <f t="shared" ref="F196:N196" si="232">IF(COUNTA(F187:F189)&lt;&gt;3,"",(F188+F189-F187)/F187)</f>
        <v/>
      </c>
      <c r="G196" s="123" t="str">
        <f>IF(COUNTA(G187:G189)&lt;&gt;3,"",(G188+G189-G187)/G187)</f>
        <v/>
      </c>
      <c r="H196" s="124" t="str">
        <f t="shared" si="232"/>
        <v/>
      </c>
      <c r="I196" s="123" t="str">
        <f t="shared" si="232"/>
        <v/>
      </c>
      <c r="J196" s="124" t="str">
        <f t="shared" si="232"/>
        <v/>
      </c>
      <c r="K196" s="123" t="str">
        <f t="shared" si="232"/>
        <v/>
      </c>
      <c r="L196" s="124" t="str">
        <f t="shared" si="232"/>
        <v/>
      </c>
      <c r="M196" s="123" t="str">
        <f t="shared" si="232"/>
        <v/>
      </c>
      <c r="N196" s="125" t="str">
        <f t="shared" si="232"/>
        <v/>
      </c>
    </row>
    <row r="197" spans="1:14" ht="17.100000000000001" customHeight="1">
      <c r="A197" s="639"/>
      <c r="B197" s="636"/>
      <c r="C197" s="661"/>
      <c r="D197" s="662"/>
      <c r="E197" s="183" t="str">
        <f>IF(E196="","",IF(E196&gt;1.5,"やわらかい", IF(E196&gt;1,"やややわらかい", IF(E196&gt;0.5,"ややキレがある","キレがある"))))</f>
        <v>やわらかい</v>
      </c>
      <c r="F197" s="184" t="str">
        <f t="shared" ref="F197:N197" si="233">IF(F196="","",IF(F196&gt;1.5,"やわらかい", IF(F196&gt;1,"やややわらかい", IF(F196&gt;0.5,"ややキレがある","キレがある"))))</f>
        <v/>
      </c>
      <c r="G197" s="183" t="str">
        <f>IF(G196="","",IF(G196&gt;1.5,"やわらかい", IF(G196&gt;1,"やややわらかい", IF(G196&gt;0.5,"ややキレがある","キレがある"))))</f>
        <v/>
      </c>
      <c r="H197" s="184" t="str">
        <f t="shared" si="233"/>
        <v/>
      </c>
      <c r="I197" s="183" t="str">
        <f t="shared" si="233"/>
        <v/>
      </c>
      <c r="J197" s="184" t="str">
        <f t="shared" si="233"/>
        <v/>
      </c>
      <c r="K197" s="183" t="str">
        <f t="shared" si="233"/>
        <v/>
      </c>
      <c r="L197" s="184" t="str">
        <f t="shared" si="233"/>
        <v/>
      </c>
      <c r="M197" s="183" t="str">
        <f t="shared" si="233"/>
        <v/>
      </c>
      <c r="N197" s="185" t="str">
        <f t="shared" si="233"/>
        <v/>
      </c>
    </row>
    <row r="198" spans="1:14" ht="17.100000000000001" customHeight="1">
      <c r="A198" s="639"/>
      <c r="B198" s="636"/>
      <c r="C198" s="659" t="s">
        <v>145</v>
      </c>
      <c r="D198" s="660"/>
      <c r="E198" s="123">
        <f>IF(COUNTA(E187:E188)&lt;&gt;2,"",E188/E187)</f>
        <v>0.57142857142857151</v>
      </c>
      <c r="F198" s="124" t="str">
        <f t="shared" ref="F198:N198" si="234">IF(COUNTA(F187:F188)&lt;&gt;2,"",F188/F187)</f>
        <v/>
      </c>
      <c r="G198" s="123" t="str">
        <f>IF(COUNTA(G187:G188)&lt;&gt;2,"",G188/G187)</f>
        <v/>
      </c>
      <c r="H198" s="124" t="str">
        <f t="shared" si="234"/>
        <v/>
      </c>
      <c r="I198" s="123" t="str">
        <f t="shared" si="234"/>
        <v/>
      </c>
      <c r="J198" s="124" t="str">
        <f t="shared" si="234"/>
        <v/>
      </c>
      <c r="K198" s="123" t="str">
        <f t="shared" si="234"/>
        <v/>
      </c>
      <c r="L198" s="124" t="str">
        <f t="shared" si="234"/>
        <v/>
      </c>
      <c r="M198" s="123" t="str">
        <f t="shared" si="234"/>
        <v/>
      </c>
      <c r="N198" s="125" t="str">
        <f t="shared" si="234"/>
        <v/>
      </c>
    </row>
    <row r="199" spans="1:14" ht="17.100000000000001" customHeight="1">
      <c r="A199" s="639"/>
      <c r="B199" s="636"/>
      <c r="C199" s="661"/>
      <c r="D199" s="662"/>
      <c r="E199" s="183" t="str">
        <f>IF(E198="","",IF(E198&lt;1,"冷やに適する傾向",IF(E198&gt;1,"燗に適する傾向","－")))</f>
        <v>冷やに適する傾向</v>
      </c>
      <c r="F199" s="184" t="str">
        <f t="shared" ref="F199:N199" si="235">IF(F198="","",IF(F198&lt;1,"冷やに適する傾向",IF(F198&gt;1,"燗に適する傾向","－")))</f>
        <v/>
      </c>
      <c r="G199" s="183" t="str">
        <f>IF(G198="","",IF(G198&lt;1,"冷やに適する傾向",IF(G198&gt;1,"燗に適する傾向","－")))</f>
        <v/>
      </c>
      <c r="H199" s="184" t="str">
        <f t="shared" si="235"/>
        <v/>
      </c>
      <c r="I199" s="183" t="str">
        <f t="shared" si="235"/>
        <v/>
      </c>
      <c r="J199" s="184" t="str">
        <f t="shared" si="235"/>
        <v/>
      </c>
      <c r="K199" s="183" t="str">
        <f t="shared" si="235"/>
        <v/>
      </c>
      <c r="L199" s="184" t="str">
        <f t="shared" si="235"/>
        <v/>
      </c>
      <c r="M199" s="183" t="str">
        <f t="shared" si="235"/>
        <v/>
      </c>
      <c r="N199" s="185" t="str">
        <f t="shared" si="235"/>
        <v/>
      </c>
    </row>
    <row r="200" spans="1:14" ht="17.100000000000001" customHeight="1">
      <c r="A200" s="639"/>
      <c r="B200" s="636"/>
      <c r="C200" s="659" t="s">
        <v>146</v>
      </c>
      <c r="D200" s="660"/>
      <c r="E200" s="123">
        <f>IF(E187="","",IF(E189="","",E189/E187))</f>
        <v>2.2142857142857144</v>
      </c>
      <c r="F200" s="124" t="str">
        <f t="shared" ref="F200:N200" si="236">IF(F187="","",IF(F189="","",F189/F187))</f>
        <v/>
      </c>
      <c r="G200" s="123" t="str">
        <f>IF(G187="","",IF(G189="","",G189/G187))</f>
        <v/>
      </c>
      <c r="H200" s="124" t="str">
        <f t="shared" si="236"/>
        <v/>
      </c>
      <c r="I200" s="123" t="str">
        <f t="shared" si="236"/>
        <v/>
      </c>
      <c r="J200" s="124" t="str">
        <f t="shared" si="236"/>
        <v/>
      </c>
      <c r="K200" s="123" t="str">
        <f t="shared" si="236"/>
        <v/>
      </c>
      <c r="L200" s="124" t="str">
        <f t="shared" si="236"/>
        <v/>
      </c>
      <c r="M200" s="123" t="str">
        <f t="shared" si="236"/>
        <v/>
      </c>
      <c r="N200" s="125" t="str">
        <f t="shared" si="236"/>
        <v/>
      </c>
    </row>
    <row r="201" spans="1:14" ht="17.100000000000001" customHeight="1" thickBot="1">
      <c r="A201" s="640"/>
      <c r="B201" s="637"/>
      <c r="C201" s="663"/>
      <c r="D201" s="664"/>
      <c r="E201" s="225" t="str">
        <f>IF(E200="","",IF(E200&lt;1,"燗に適する傾向",IF(E200&gt;1,"冷やに適する傾向","－")))</f>
        <v>冷やに適する傾向</v>
      </c>
      <c r="F201" s="226" t="str">
        <f t="shared" ref="F201:N201" si="237">IF(F200="","",IF(F200&lt;1,"燗に適する傾向",IF(F200&gt;1,"冷やに適する傾向","－")))</f>
        <v/>
      </c>
      <c r="G201" s="225" t="str">
        <f>IF(G200="","",IF(G200&lt;1,"燗に適する傾向",IF(G200&gt;1,"冷やに適する傾向","－")))</f>
        <v/>
      </c>
      <c r="H201" s="226" t="str">
        <f t="shared" si="237"/>
        <v/>
      </c>
      <c r="I201" s="225" t="str">
        <f t="shared" si="237"/>
        <v/>
      </c>
      <c r="J201" s="226" t="str">
        <f t="shared" si="237"/>
        <v/>
      </c>
      <c r="K201" s="225" t="str">
        <f t="shared" si="237"/>
        <v/>
      </c>
      <c r="L201" s="226" t="str">
        <f t="shared" si="237"/>
        <v/>
      </c>
      <c r="M201" s="225" t="str">
        <f t="shared" si="237"/>
        <v/>
      </c>
      <c r="N201" s="227" t="str">
        <f t="shared" si="237"/>
        <v/>
      </c>
    </row>
    <row r="202" spans="1:14" ht="17.100000000000001" customHeight="1">
      <c r="A202" s="639" t="s">
        <v>149</v>
      </c>
      <c r="B202" s="630" t="s">
        <v>150</v>
      </c>
      <c r="C202" s="649">
        <v>1</v>
      </c>
      <c r="D202" s="228" t="s">
        <v>260</v>
      </c>
      <c r="E202" s="280"/>
      <c r="F202" s="281"/>
      <c r="G202" s="280"/>
      <c r="H202" s="281"/>
      <c r="I202" s="280"/>
      <c r="J202" s="281"/>
      <c r="K202" s="280"/>
      <c r="L202" s="281"/>
      <c r="M202" s="280"/>
      <c r="N202" s="282"/>
    </row>
    <row r="203" spans="1:14" ht="17.100000000000001" customHeight="1">
      <c r="A203" s="639"/>
      <c r="B203" s="631"/>
      <c r="C203" s="650"/>
      <c r="D203" s="211" t="s">
        <v>1</v>
      </c>
      <c r="E203" s="283">
        <v>7.6</v>
      </c>
      <c r="F203" s="284"/>
      <c r="G203" s="283"/>
      <c r="H203" s="284"/>
      <c r="I203" s="283"/>
      <c r="J203" s="284"/>
      <c r="K203" s="283"/>
      <c r="L203" s="284"/>
      <c r="M203" s="283"/>
      <c r="N203" s="285"/>
    </row>
    <row r="204" spans="1:14" ht="17.100000000000001" customHeight="1">
      <c r="A204" s="639"/>
      <c r="B204" s="631"/>
      <c r="C204" s="650"/>
      <c r="D204" s="211" t="s">
        <v>261</v>
      </c>
      <c r="E204" s="283">
        <v>5.3</v>
      </c>
      <c r="F204" s="284"/>
      <c r="G204" s="283"/>
      <c r="H204" s="284"/>
      <c r="I204" s="283"/>
      <c r="J204" s="284"/>
      <c r="K204" s="283"/>
      <c r="L204" s="284"/>
      <c r="M204" s="283"/>
      <c r="N204" s="285"/>
    </row>
    <row r="205" spans="1:14" ht="17.100000000000001" customHeight="1">
      <c r="A205" s="639"/>
      <c r="B205" s="631"/>
      <c r="C205" s="650">
        <v>2</v>
      </c>
      <c r="D205" s="211" t="s">
        <v>260</v>
      </c>
      <c r="E205" s="286"/>
      <c r="F205" s="287"/>
      <c r="G205" s="286"/>
      <c r="H205" s="287"/>
      <c r="I205" s="286"/>
      <c r="J205" s="287"/>
      <c r="K205" s="286"/>
      <c r="L205" s="287"/>
      <c r="M205" s="286"/>
      <c r="N205" s="288"/>
    </row>
    <row r="206" spans="1:14" ht="17.100000000000001" customHeight="1">
      <c r="A206" s="639"/>
      <c r="B206" s="631"/>
      <c r="C206" s="650"/>
      <c r="D206" s="211" t="s">
        <v>1</v>
      </c>
      <c r="E206" s="283">
        <v>6.2</v>
      </c>
      <c r="F206" s="284"/>
      <c r="G206" s="283"/>
      <c r="H206" s="284"/>
      <c r="I206" s="283"/>
      <c r="J206" s="284"/>
      <c r="K206" s="283"/>
      <c r="L206" s="284"/>
      <c r="M206" s="283"/>
      <c r="N206" s="285"/>
    </row>
    <row r="207" spans="1:14" ht="17.100000000000001" customHeight="1">
      <c r="A207" s="639"/>
      <c r="B207" s="631"/>
      <c r="C207" s="650"/>
      <c r="D207" s="211" t="s">
        <v>261</v>
      </c>
      <c r="E207" s="283">
        <v>7.9</v>
      </c>
      <c r="F207" s="284"/>
      <c r="G207" s="283"/>
      <c r="H207" s="284"/>
      <c r="I207" s="283"/>
      <c r="J207" s="284"/>
      <c r="K207" s="283"/>
      <c r="L207" s="284"/>
      <c r="M207" s="283"/>
      <c r="N207" s="285"/>
    </row>
    <row r="208" spans="1:14" ht="17.100000000000001" customHeight="1">
      <c r="A208" s="639"/>
      <c r="B208" s="631"/>
      <c r="C208" s="650">
        <v>3</v>
      </c>
      <c r="D208" s="211" t="s">
        <v>260</v>
      </c>
      <c r="E208" s="286"/>
      <c r="F208" s="287"/>
      <c r="G208" s="286"/>
      <c r="H208" s="287"/>
      <c r="I208" s="286"/>
      <c r="J208" s="287"/>
      <c r="K208" s="286"/>
      <c r="L208" s="287"/>
      <c r="M208" s="286"/>
      <c r="N208" s="288"/>
    </row>
    <row r="209" spans="1:14" ht="17.100000000000001" customHeight="1">
      <c r="A209" s="639"/>
      <c r="B209" s="631"/>
      <c r="C209" s="650"/>
      <c r="D209" s="211" t="s">
        <v>1</v>
      </c>
      <c r="E209" s="283">
        <v>3.8</v>
      </c>
      <c r="F209" s="284"/>
      <c r="G209" s="283"/>
      <c r="H209" s="284"/>
      <c r="I209" s="283"/>
      <c r="J209" s="284"/>
      <c r="K209" s="283"/>
      <c r="L209" s="284"/>
      <c r="M209" s="283"/>
      <c r="N209" s="285"/>
    </row>
    <row r="210" spans="1:14" ht="17.100000000000001" customHeight="1">
      <c r="A210" s="639"/>
      <c r="B210" s="631"/>
      <c r="C210" s="650"/>
      <c r="D210" s="211" t="s">
        <v>261</v>
      </c>
      <c r="E210" s="283">
        <v>11.4</v>
      </c>
      <c r="F210" s="284"/>
      <c r="G210" s="283"/>
      <c r="H210" s="284"/>
      <c r="I210" s="283"/>
      <c r="J210" s="284"/>
      <c r="K210" s="283"/>
      <c r="L210" s="284"/>
      <c r="M210" s="283"/>
      <c r="N210" s="285"/>
    </row>
    <row r="211" spans="1:14" ht="17.100000000000001" customHeight="1">
      <c r="A211" s="639"/>
      <c r="B211" s="631"/>
      <c r="C211" s="650">
        <v>4</v>
      </c>
      <c r="D211" s="211" t="s">
        <v>260</v>
      </c>
      <c r="E211" s="286"/>
      <c r="F211" s="287"/>
      <c r="G211" s="286"/>
      <c r="H211" s="287"/>
      <c r="I211" s="286"/>
      <c r="J211" s="287"/>
      <c r="K211" s="286"/>
      <c r="L211" s="287"/>
      <c r="M211" s="286"/>
      <c r="N211" s="288"/>
    </row>
    <row r="212" spans="1:14" ht="17.100000000000001" customHeight="1">
      <c r="A212" s="639"/>
      <c r="B212" s="631"/>
      <c r="C212" s="650"/>
      <c r="D212" s="211" t="s">
        <v>1</v>
      </c>
      <c r="E212" s="283">
        <v>2.2999999999999998</v>
      </c>
      <c r="F212" s="284"/>
      <c r="G212" s="283"/>
      <c r="H212" s="284"/>
      <c r="I212" s="283"/>
      <c r="J212" s="284"/>
      <c r="K212" s="283"/>
      <c r="L212" s="284"/>
      <c r="M212" s="283"/>
      <c r="N212" s="285"/>
    </row>
    <row r="213" spans="1:14" ht="17.100000000000001" customHeight="1">
      <c r="A213" s="639"/>
      <c r="B213" s="631"/>
      <c r="C213" s="650"/>
      <c r="D213" s="211" t="s">
        <v>261</v>
      </c>
      <c r="E213" s="283">
        <v>13.6</v>
      </c>
      <c r="F213" s="284"/>
      <c r="G213" s="283"/>
      <c r="H213" s="284"/>
      <c r="I213" s="283"/>
      <c r="J213" s="284"/>
      <c r="K213" s="283"/>
      <c r="L213" s="284"/>
      <c r="M213" s="283"/>
      <c r="N213" s="285"/>
    </row>
    <row r="214" spans="1:14" ht="17.100000000000001" customHeight="1">
      <c r="A214" s="639"/>
      <c r="B214" s="631"/>
      <c r="C214" s="650">
        <v>5</v>
      </c>
      <c r="D214" s="211" t="s">
        <v>260</v>
      </c>
      <c r="E214" s="286"/>
      <c r="F214" s="287"/>
      <c r="G214" s="286"/>
      <c r="H214" s="287"/>
      <c r="I214" s="286"/>
      <c r="J214" s="287"/>
      <c r="K214" s="286"/>
      <c r="L214" s="287"/>
      <c r="M214" s="286"/>
      <c r="N214" s="288"/>
    </row>
    <row r="215" spans="1:14" ht="17.100000000000001" customHeight="1">
      <c r="A215" s="639"/>
      <c r="B215" s="631"/>
      <c r="C215" s="650"/>
      <c r="D215" s="211" t="s">
        <v>1</v>
      </c>
      <c r="E215" s="283">
        <v>0.83</v>
      </c>
      <c r="F215" s="284"/>
      <c r="G215" s="283"/>
      <c r="H215" s="284"/>
      <c r="I215" s="283"/>
      <c r="J215" s="284"/>
      <c r="K215" s="283"/>
      <c r="L215" s="284"/>
      <c r="M215" s="283"/>
      <c r="N215" s="285"/>
    </row>
    <row r="216" spans="1:14" ht="17.100000000000001" customHeight="1" thickBot="1">
      <c r="A216" s="639"/>
      <c r="B216" s="632"/>
      <c r="C216" s="651"/>
      <c r="D216" s="212" t="s">
        <v>261</v>
      </c>
      <c r="E216" s="289">
        <v>16</v>
      </c>
      <c r="F216" s="290"/>
      <c r="G216" s="289"/>
      <c r="H216" s="290"/>
      <c r="I216" s="289"/>
      <c r="J216" s="290"/>
      <c r="K216" s="289"/>
      <c r="L216" s="290"/>
      <c r="M216" s="289"/>
      <c r="N216" s="291"/>
    </row>
    <row r="217" spans="1:14" ht="17.100000000000001" customHeight="1">
      <c r="A217" s="639"/>
      <c r="B217" s="630" t="s">
        <v>151</v>
      </c>
      <c r="C217" s="649">
        <v>1</v>
      </c>
      <c r="D217" s="228" t="s">
        <v>260</v>
      </c>
      <c r="E217" s="280"/>
      <c r="F217" s="281"/>
      <c r="G217" s="280"/>
      <c r="H217" s="281"/>
      <c r="I217" s="280"/>
      <c r="J217" s="281"/>
      <c r="K217" s="280"/>
      <c r="L217" s="281"/>
      <c r="M217" s="280"/>
      <c r="N217" s="282"/>
    </row>
    <row r="218" spans="1:14" ht="17.100000000000001" customHeight="1">
      <c r="A218" s="639"/>
      <c r="B218" s="631"/>
      <c r="C218" s="650"/>
      <c r="D218" s="211" t="s">
        <v>1</v>
      </c>
      <c r="E218" s="283">
        <v>5.4</v>
      </c>
      <c r="F218" s="284"/>
      <c r="G218" s="283"/>
      <c r="H218" s="284"/>
      <c r="I218" s="283"/>
      <c r="J218" s="284"/>
      <c r="K218" s="283"/>
      <c r="L218" s="284"/>
      <c r="M218" s="283"/>
      <c r="N218" s="285"/>
    </row>
    <row r="219" spans="1:14" ht="17.100000000000001" customHeight="1">
      <c r="A219" s="639"/>
      <c r="B219" s="631"/>
      <c r="C219" s="650"/>
      <c r="D219" s="211" t="s">
        <v>261</v>
      </c>
      <c r="E219" s="283">
        <v>3.8</v>
      </c>
      <c r="F219" s="284"/>
      <c r="G219" s="283"/>
      <c r="H219" s="284"/>
      <c r="I219" s="283"/>
      <c r="J219" s="284"/>
      <c r="K219" s="283"/>
      <c r="L219" s="284"/>
      <c r="M219" s="283"/>
      <c r="N219" s="285"/>
    </row>
    <row r="220" spans="1:14" ht="17.100000000000001" customHeight="1">
      <c r="A220" s="639"/>
      <c r="B220" s="631"/>
      <c r="C220" s="650">
        <v>2</v>
      </c>
      <c r="D220" s="211" t="s">
        <v>260</v>
      </c>
      <c r="E220" s="286"/>
      <c r="F220" s="287"/>
      <c r="G220" s="286"/>
      <c r="H220" s="287"/>
      <c r="I220" s="286"/>
      <c r="J220" s="287"/>
      <c r="K220" s="286"/>
      <c r="L220" s="287"/>
      <c r="M220" s="286"/>
      <c r="N220" s="288"/>
    </row>
    <row r="221" spans="1:14" ht="17.100000000000001" customHeight="1">
      <c r="A221" s="639"/>
      <c r="B221" s="631"/>
      <c r="C221" s="650"/>
      <c r="D221" s="211" t="s">
        <v>1</v>
      </c>
      <c r="E221" s="283">
        <v>5.2</v>
      </c>
      <c r="F221" s="284"/>
      <c r="G221" s="283"/>
      <c r="H221" s="284"/>
      <c r="I221" s="283"/>
      <c r="J221" s="284"/>
      <c r="K221" s="283"/>
      <c r="L221" s="284"/>
      <c r="M221" s="283"/>
      <c r="N221" s="285"/>
    </row>
    <row r="222" spans="1:14" ht="17.100000000000001" customHeight="1">
      <c r="A222" s="639"/>
      <c r="B222" s="631"/>
      <c r="C222" s="650"/>
      <c r="D222" s="211" t="s">
        <v>261</v>
      </c>
      <c r="E222" s="283">
        <v>5.5</v>
      </c>
      <c r="F222" s="284"/>
      <c r="G222" s="283"/>
      <c r="H222" s="284"/>
      <c r="I222" s="283"/>
      <c r="J222" s="284"/>
      <c r="K222" s="283"/>
      <c r="L222" s="284"/>
      <c r="M222" s="283"/>
      <c r="N222" s="285"/>
    </row>
    <row r="223" spans="1:14" ht="17.100000000000001" customHeight="1">
      <c r="A223" s="639"/>
      <c r="B223" s="631"/>
      <c r="C223" s="650">
        <v>3</v>
      </c>
      <c r="D223" s="211" t="s">
        <v>260</v>
      </c>
      <c r="E223" s="286"/>
      <c r="F223" s="287"/>
      <c r="G223" s="286"/>
      <c r="H223" s="287"/>
      <c r="I223" s="286"/>
      <c r="J223" s="287"/>
      <c r="K223" s="286"/>
      <c r="L223" s="287"/>
      <c r="M223" s="286"/>
      <c r="N223" s="288"/>
    </row>
    <row r="224" spans="1:14" ht="17.100000000000001" customHeight="1">
      <c r="A224" s="639"/>
      <c r="B224" s="631"/>
      <c r="C224" s="650"/>
      <c r="D224" s="211" t="s">
        <v>1</v>
      </c>
      <c r="E224" s="283">
        <v>3.4</v>
      </c>
      <c r="F224" s="284"/>
      <c r="G224" s="283"/>
      <c r="H224" s="284"/>
      <c r="I224" s="283"/>
      <c r="J224" s="284"/>
      <c r="K224" s="283"/>
      <c r="L224" s="284"/>
      <c r="M224" s="283"/>
      <c r="N224" s="285"/>
    </row>
    <row r="225" spans="1:14" ht="17.100000000000001" customHeight="1">
      <c r="A225" s="639"/>
      <c r="B225" s="631"/>
      <c r="C225" s="650"/>
      <c r="D225" s="211" t="s">
        <v>261</v>
      </c>
      <c r="E225" s="283">
        <v>9</v>
      </c>
      <c r="F225" s="284"/>
      <c r="G225" s="283"/>
      <c r="H225" s="284"/>
      <c r="I225" s="283"/>
      <c r="J225" s="284"/>
      <c r="K225" s="283"/>
      <c r="L225" s="284"/>
      <c r="M225" s="283"/>
      <c r="N225" s="285"/>
    </row>
    <row r="226" spans="1:14" ht="17.100000000000001" customHeight="1">
      <c r="A226" s="639"/>
      <c r="B226" s="631"/>
      <c r="C226" s="650">
        <v>4</v>
      </c>
      <c r="D226" s="211" t="s">
        <v>260</v>
      </c>
      <c r="E226" s="286"/>
      <c r="F226" s="287"/>
      <c r="G226" s="286"/>
      <c r="H226" s="287"/>
      <c r="I226" s="286"/>
      <c r="J226" s="287"/>
      <c r="K226" s="286"/>
      <c r="L226" s="287"/>
      <c r="M226" s="286"/>
      <c r="N226" s="288"/>
    </row>
    <row r="227" spans="1:14" ht="17.100000000000001" customHeight="1">
      <c r="A227" s="639"/>
      <c r="B227" s="631"/>
      <c r="C227" s="650"/>
      <c r="D227" s="211" t="s">
        <v>1</v>
      </c>
      <c r="E227" s="283">
        <v>0.97</v>
      </c>
      <c r="F227" s="284"/>
      <c r="G227" s="283"/>
      <c r="H227" s="284"/>
      <c r="I227" s="283"/>
      <c r="J227" s="284"/>
      <c r="K227" s="283"/>
      <c r="L227" s="284"/>
      <c r="M227" s="283"/>
      <c r="N227" s="285"/>
    </row>
    <row r="228" spans="1:14" ht="17.100000000000001" customHeight="1">
      <c r="A228" s="639"/>
      <c r="B228" s="631"/>
      <c r="C228" s="650"/>
      <c r="D228" s="211" t="s">
        <v>261</v>
      </c>
      <c r="E228" s="283">
        <v>14.1</v>
      </c>
      <c r="F228" s="284"/>
      <c r="G228" s="283"/>
      <c r="H228" s="284"/>
      <c r="I228" s="283"/>
      <c r="J228" s="284"/>
      <c r="K228" s="283"/>
      <c r="L228" s="284"/>
      <c r="M228" s="283"/>
      <c r="N228" s="285"/>
    </row>
    <row r="229" spans="1:14" ht="17.100000000000001" customHeight="1">
      <c r="A229" s="639"/>
      <c r="B229" s="631"/>
      <c r="C229" s="650">
        <v>5</v>
      </c>
      <c r="D229" s="211" t="s">
        <v>260</v>
      </c>
      <c r="E229" s="286"/>
      <c r="F229" s="287"/>
      <c r="G229" s="286"/>
      <c r="H229" s="287"/>
      <c r="I229" s="286"/>
      <c r="J229" s="287"/>
      <c r="K229" s="286"/>
      <c r="L229" s="287"/>
      <c r="M229" s="286"/>
      <c r="N229" s="288"/>
    </row>
    <row r="230" spans="1:14" ht="17.100000000000001" customHeight="1">
      <c r="A230" s="639"/>
      <c r="B230" s="631"/>
      <c r="C230" s="650"/>
      <c r="D230" s="211" t="s">
        <v>1</v>
      </c>
      <c r="E230" s="308">
        <v>0.1</v>
      </c>
      <c r="F230" s="284"/>
      <c r="G230" s="308"/>
      <c r="H230" s="284"/>
      <c r="I230" s="283"/>
      <c r="J230" s="284"/>
      <c r="K230" s="283"/>
      <c r="L230" s="284"/>
      <c r="M230" s="283"/>
      <c r="N230" s="285"/>
    </row>
    <row r="231" spans="1:14" ht="17.100000000000001" customHeight="1" thickBot="1">
      <c r="A231" s="652"/>
      <c r="B231" s="632"/>
      <c r="C231" s="651"/>
      <c r="D231" s="212" t="s">
        <v>261</v>
      </c>
      <c r="E231" s="289">
        <v>15.8</v>
      </c>
      <c r="F231" s="290"/>
      <c r="G231" s="289"/>
      <c r="H231" s="290"/>
      <c r="I231" s="289"/>
      <c r="J231" s="290"/>
      <c r="K231" s="289"/>
      <c r="L231" s="290"/>
      <c r="M231" s="289"/>
      <c r="N231" s="291"/>
    </row>
    <row r="232" spans="1:14" s="4" customFormat="1" ht="17.100000000000001" customHeight="1">
      <c r="A232" s="452"/>
      <c r="B232" s="452"/>
      <c r="C232" s="453"/>
      <c r="D232" s="454"/>
      <c r="E232" s="455"/>
      <c r="F232" s="455"/>
      <c r="G232" s="455"/>
      <c r="H232" s="455"/>
      <c r="I232" s="455"/>
      <c r="J232" s="455"/>
      <c r="K232" s="455"/>
      <c r="L232" s="455"/>
      <c r="M232" s="455"/>
      <c r="N232" s="455"/>
    </row>
  </sheetData>
  <sheetProtection algorithmName="SHA-512" hashValue="eLK2kbLPjixaG/oSgCX2kHSuou5vVIO/kJB3QC5a3GF/7ReyCECZGIBWireS41RPqzAI/mwbkzcLIQRa9v/6ZQ==" saltValue="pI6T9jOazMPRzhR7PLvPRA==" spinCount="100000" sheet="1" formatCells="0"/>
  <protectedRanges>
    <protectedRange sqref="B135:U135 A136:U136 B93:U93 A94:U94 B51:U51 A52:U52" name="範囲1_21_21_22_22_21_21_21_21"/>
    <protectedRange sqref="A51 D96:E96 H96 A93 A135 D134:U134 D137:X137 D92:U92 D95:X95 D50:U50 D53:X53 D54:E54 H54 D138:E138 H138" name="範囲1_21_21_22_22_87"/>
    <protectedRange sqref="F96:G96 F54:G54 F138:G138" name="範囲1_21_21_22_22_1_1_3"/>
  </protectedRanges>
  <mergeCells count="170">
    <mergeCell ref="A148:C148"/>
    <mergeCell ref="A149:C149"/>
    <mergeCell ref="A150:C150"/>
    <mergeCell ref="A151:C151"/>
    <mergeCell ref="B142:C142"/>
    <mergeCell ref="B143:C143"/>
    <mergeCell ref="A144:C144"/>
    <mergeCell ref="A145:C145"/>
    <mergeCell ref="A146:C146"/>
    <mergeCell ref="A147:C147"/>
    <mergeCell ref="C187:D187"/>
    <mergeCell ref="C188:D188"/>
    <mergeCell ref="C196:D197"/>
    <mergeCell ref="C198:D199"/>
    <mergeCell ref="C200:D201"/>
    <mergeCell ref="C189:D189"/>
    <mergeCell ref="C190:D190"/>
    <mergeCell ref="C191:D191"/>
    <mergeCell ref="C192:D193"/>
    <mergeCell ref="C194:D195"/>
    <mergeCell ref="B202:B216"/>
    <mergeCell ref="A1:N1"/>
    <mergeCell ref="B185:B201"/>
    <mergeCell ref="A182:A201"/>
    <mergeCell ref="A181:D181"/>
    <mergeCell ref="A180:D180"/>
    <mergeCell ref="B182:B184"/>
    <mergeCell ref="C202:C204"/>
    <mergeCell ref="C205:C207"/>
    <mergeCell ref="C208:C210"/>
    <mergeCell ref="C211:C213"/>
    <mergeCell ref="C214:C216"/>
    <mergeCell ref="A202:A231"/>
    <mergeCell ref="C182:D182"/>
    <mergeCell ref="C183:D183"/>
    <mergeCell ref="B217:B231"/>
    <mergeCell ref="C217:C219"/>
    <mergeCell ref="C220:C222"/>
    <mergeCell ref="C223:C225"/>
    <mergeCell ref="C226:C228"/>
    <mergeCell ref="C229:C231"/>
    <mergeCell ref="C184:D184"/>
    <mergeCell ref="C185:D185"/>
    <mergeCell ref="C186:D186"/>
    <mergeCell ref="Y116:AA116"/>
    <mergeCell ref="A117:C117"/>
    <mergeCell ref="Y117:AA117"/>
    <mergeCell ref="A118:C118"/>
    <mergeCell ref="Y118:AA118"/>
    <mergeCell ref="A141:C141"/>
    <mergeCell ref="A121:C121"/>
    <mergeCell ref="A122:B122"/>
    <mergeCell ref="C122:C123"/>
    <mergeCell ref="A123:B123"/>
    <mergeCell ref="A124:C124"/>
    <mergeCell ref="A125:C125"/>
    <mergeCell ref="A129:C129"/>
    <mergeCell ref="A130:C130"/>
    <mergeCell ref="A131:C131"/>
    <mergeCell ref="A132:C132"/>
    <mergeCell ref="A126:C126"/>
    <mergeCell ref="A127:C127"/>
    <mergeCell ref="A128:C128"/>
    <mergeCell ref="A137:C138"/>
    <mergeCell ref="A140:C140"/>
    <mergeCell ref="L113:T118"/>
    <mergeCell ref="A106:C106"/>
    <mergeCell ref="A107:C107"/>
    <mergeCell ref="A108:C108"/>
    <mergeCell ref="A109:C109"/>
    <mergeCell ref="A112:C112"/>
    <mergeCell ref="A120:C120"/>
    <mergeCell ref="I112:J112"/>
    <mergeCell ref="A114:C114"/>
    <mergeCell ref="A115:C115"/>
    <mergeCell ref="A116:C116"/>
    <mergeCell ref="D112:F112"/>
    <mergeCell ref="A90:C90"/>
    <mergeCell ref="A79:C79"/>
    <mergeCell ref="A80:B80"/>
    <mergeCell ref="C80:C81"/>
    <mergeCell ref="A81:B81"/>
    <mergeCell ref="A82:C82"/>
    <mergeCell ref="A105:C105"/>
    <mergeCell ref="A84:C84"/>
    <mergeCell ref="A85:C85"/>
    <mergeCell ref="A86:C86"/>
    <mergeCell ref="A95:C96"/>
    <mergeCell ref="A98:C98"/>
    <mergeCell ref="A99:C99"/>
    <mergeCell ref="B100:C100"/>
    <mergeCell ref="B101:C101"/>
    <mergeCell ref="A102:C102"/>
    <mergeCell ref="A103:C103"/>
    <mergeCell ref="A104:C104"/>
    <mergeCell ref="Y74:AA74"/>
    <mergeCell ref="A75:C75"/>
    <mergeCell ref="Y75:AA75"/>
    <mergeCell ref="A76:C76"/>
    <mergeCell ref="Y76:AA76"/>
    <mergeCell ref="A83:C83"/>
    <mergeCell ref="A87:C87"/>
    <mergeCell ref="A88:C88"/>
    <mergeCell ref="A89:C89"/>
    <mergeCell ref="L71:T76"/>
    <mergeCell ref="A64:C64"/>
    <mergeCell ref="A65:C65"/>
    <mergeCell ref="A66:C66"/>
    <mergeCell ref="A67:C67"/>
    <mergeCell ref="A70:C70"/>
    <mergeCell ref="A78:C78"/>
    <mergeCell ref="I70:J70"/>
    <mergeCell ref="A72:C72"/>
    <mergeCell ref="A73:C73"/>
    <mergeCell ref="A74:C74"/>
    <mergeCell ref="D70:F70"/>
    <mergeCell ref="A63:C63"/>
    <mergeCell ref="A53:C54"/>
    <mergeCell ref="A56:C56"/>
    <mergeCell ref="A57:C57"/>
    <mergeCell ref="B58:C58"/>
    <mergeCell ref="B59:C59"/>
    <mergeCell ref="A60:C60"/>
    <mergeCell ref="A61:C61"/>
    <mergeCell ref="A62:C62"/>
    <mergeCell ref="Y34:AA34"/>
    <mergeCell ref="A41:C41"/>
    <mergeCell ref="A42:C42"/>
    <mergeCell ref="A43:C43"/>
    <mergeCell ref="A44:C44"/>
    <mergeCell ref="A37:C37"/>
    <mergeCell ref="A38:B38"/>
    <mergeCell ref="C38:C39"/>
    <mergeCell ref="A39:B39"/>
    <mergeCell ref="A40:C40"/>
    <mergeCell ref="L29:T34"/>
    <mergeCell ref="I28:J28"/>
    <mergeCell ref="A30:C30"/>
    <mergeCell ref="A31:C31"/>
    <mergeCell ref="A32:C32"/>
    <mergeCell ref="A28:C28"/>
    <mergeCell ref="D28:F28"/>
    <mergeCell ref="Y32:AA32"/>
    <mergeCell ref="A33:C33"/>
    <mergeCell ref="Y33:AA33"/>
    <mergeCell ref="F15:H15"/>
    <mergeCell ref="F16:H16"/>
    <mergeCell ref="F20:H20"/>
    <mergeCell ref="A48:C48"/>
    <mergeCell ref="A47:C47"/>
    <mergeCell ref="A46:C46"/>
    <mergeCell ref="A45:C45"/>
    <mergeCell ref="A36:C36"/>
    <mergeCell ref="A34:C34"/>
    <mergeCell ref="B20:D20"/>
    <mergeCell ref="B21:D21"/>
    <mergeCell ref="B22:D22"/>
    <mergeCell ref="A20:A22"/>
    <mergeCell ref="A4:C4"/>
    <mergeCell ref="A5:C5"/>
    <mergeCell ref="A6:C6"/>
    <mergeCell ref="A7:C7"/>
    <mergeCell ref="A8:C8"/>
    <mergeCell ref="A9:C9"/>
    <mergeCell ref="A10:C10"/>
    <mergeCell ref="F13:H13"/>
    <mergeCell ref="F14:H14"/>
    <mergeCell ref="A13:A14"/>
    <mergeCell ref="B13:D13"/>
    <mergeCell ref="B14:D14"/>
  </mergeCells>
  <phoneticPr fontId="1"/>
  <conditionalFormatting sqref="D40">
    <cfRule type="expression" priority="45" stopIfTrue="1">
      <formula>D40=""</formula>
    </cfRule>
  </conditionalFormatting>
  <conditionalFormatting sqref="E80:AQ80">
    <cfRule type="expression" dxfId="252" priority="39" stopIfTrue="1">
      <formula>IF(NOT(E$81=""),TRUE,FALSE)</formula>
    </cfRule>
  </conditionalFormatting>
  <conditionalFormatting sqref="D124:AQ124">
    <cfRule type="expression" priority="35" stopIfTrue="1">
      <formula>D124=""</formula>
    </cfRule>
  </conditionalFormatting>
  <conditionalFormatting sqref="E81:AQ81">
    <cfRule type="expression" dxfId="251" priority="40" stopIfTrue="1">
      <formula>IF(NOT(E$80=""),TRUE,FALSE)</formula>
    </cfRule>
  </conditionalFormatting>
  <conditionalFormatting sqref="E38:AQ38">
    <cfRule type="expression" dxfId="250" priority="37" stopIfTrue="1">
      <formula>IF(NOT(E$39=""),TRUE,FALSE)</formula>
    </cfRule>
  </conditionalFormatting>
  <conditionalFormatting sqref="E39:AQ39">
    <cfRule type="expression" dxfId="249" priority="38" stopIfTrue="1">
      <formula>IF(NOT(E$38=""),TRUE,FALSE)</formula>
    </cfRule>
  </conditionalFormatting>
  <conditionalFormatting sqref="E40:AQ40">
    <cfRule type="expression" priority="36" stopIfTrue="1">
      <formula>E40=""</formula>
    </cfRule>
  </conditionalFormatting>
  <conditionalFormatting sqref="E122:AQ122">
    <cfRule type="expression" dxfId="248" priority="33" stopIfTrue="1">
      <formula>IF(NOT(E$123=""),TRUE,FALSE)</formula>
    </cfRule>
  </conditionalFormatting>
  <conditionalFormatting sqref="E123:AQ123">
    <cfRule type="expression" dxfId="247" priority="34" stopIfTrue="1">
      <formula>IF(NOT(E$122=""),TRUE,FALSE)</formula>
    </cfRule>
  </conditionalFormatting>
  <conditionalFormatting sqref="D31:H31">
    <cfRule type="expression" dxfId="246" priority="32">
      <formula>IF($U$1="カラー","TRUE","FALSE")</formula>
    </cfRule>
  </conditionalFormatting>
  <conditionalFormatting sqref="J31:J34">
    <cfRule type="expression" dxfId="245" priority="31">
      <formula>IF($U$1="カラー","TRUE","FALSE")</formula>
    </cfRule>
  </conditionalFormatting>
  <conditionalFormatting sqref="I34">
    <cfRule type="expression" dxfId="244" priority="30">
      <formula>IF($U$1="カラー","TRUE","FALSE")</formula>
    </cfRule>
  </conditionalFormatting>
  <conditionalFormatting sqref="D73:H73">
    <cfRule type="expression" dxfId="243" priority="29">
      <formula>IF($U$1="カラー","TRUE","FALSE")</formula>
    </cfRule>
  </conditionalFormatting>
  <conditionalFormatting sqref="J73:J76">
    <cfRule type="expression" dxfId="242" priority="28">
      <formula>IF($U$1="カラー","TRUE","FALSE")</formula>
    </cfRule>
  </conditionalFormatting>
  <conditionalFormatting sqref="I76">
    <cfRule type="expression" dxfId="241" priority="27">
      <formula>IF($U$1="カラー","TRUE","FALSE")</formula>
    </cfRule>
  </conditionalFormatting>
  <conditionalFormatting sqref="D115:H115">
    <cfRule type="expression" dxfId="240" priority="26">
      <formula>IF($U$1="カラー","TRUE","FALSE")</formula>
    </cfRule>
  </conditionalFormatting>
  <conditionalFormatting sqref="J115:J118">
    <cfRule type="expression" dxfId="239" priority="25">
      <formula>IF($U$1="カラー","TRUE","FALSE")</formula>
    </cfRule>
  </conditionalFormatting>
  <conditionalFormatting sqref="I118">
    <cfRule type="expression" dxfId="238" priority="24">
      <formula>IF($U$1="カラー","TRUE","FALSE")</formula>
    </cfRule>
  </conditionalFormatting>
  <conditionalFormatting sqref="E41:AQ48">
    <cfRule type="cellIs" dxfId="237" priority="23" operator="equal">
      <formula>0</formula>
    </cfRule>
  </conditionalFormatting>
  <conditionalFormatting sqref="E41:AQ48">
    <cfRule type="expression" dxfId="236" priority="22">
      <formula>IF($U$1="カラー","TRUE","FALSE")</formula>
    </cfRule>
  </conditionalFormatting>
  <conditionalFormatting sqref="E83:AQ89">
    <cfRule type="cellIs" dxfId="235" priority="21" operator="equal">
      <formula>0</formula>
    </cfRule>
  </conditionalFormatting>
  <conditionalFormatting sqref="E83:AQ89">
    <cfRule type="expression" dxfId="234" priority="20">
      <formula>IF($U$1="カラー","TRUE","FALSE")</formula>
    </cfRule>
  </conditionalFormatting>
  <conditionalFormatting sqref="E125:AQ131">
    <cfRule type="expression" dxfId="233" priority="19">
      <formula>IF($U$1="カラー","TRUE","FALSE")</formula>
    </cfRule>
  </conditionalFormatting>
  <conditionalFormatting sqref="E46:AQ46">
    <cfRule type="cellIs" dxfId="232" priority="18" operator="equal">
      <formula>0</formula>
    </cfRule>
  </conditionalFormatting>
  <conditionalFormatting sqref="E45:AQ45">
    <cfRule type="cellIs" dxfId="231" priority="17" operator="equal">
      <formula>0</formula>
    </cfRule>
  </conditionalFormatting>
  <conditionalFormatting sqref="E45:AQ45">
    <cfRule type="expression" dxfId="230" priority="16">
      <formula>IF($U$1="カラー","TRUE","FALSE")</formula>
    </cfRule>
  </conditionalFormatting>
  <conditionalFormatting sqref="D48:AQ48">
    <cfRule type="expression" dxfId="229" priority="14">
      <formula>IF($U$1="カラー","TRUE","FALSE")</formula>
    </cfRule>
  </conditionalFormatting>
  <conditionalFormatting sqref="D48:AQ48">
    <cfRule type="cellIs" dxfId="228" priority="15" operator="equal">
      <formula>0</formula>
    </cfRule>
  </conditionalFormatting>
  <conditionalFormatting sqref="E88:AQ88">
    <cfRule type="cellIs" dxfId="227" priority="13" operator="equal">
      <formula>0</formula>
    </cfRule>
  </conditionalFormatting>
  <conditionalFormatting sqref="E87:AQ87">
    <cfRule type="cellIs" dxfId="226" priority="12" operator="equal">
      <formula>0</formula>
    </cfRule>
  </conditionalFormatting>
  <conditionalFormatting sqref="E87:AQ87">
    <cfRule type="expression" dxfId="225" priority="11">
      <formula>IF($U$1="カラー","TRUE","FALSE")</formula>
    </cfRule>
  </conditionalFormatting>
  <conditionalFormatting sqref="E130:AQ130">
    <cfRule type="cellIs" dxfId="224" priority="10" operator="equal">
      <formula>0</formula>
    </cfRule>
  </conditionalFormatting>
  <conditionalFormatting sqref="E129:AQ129">
    <cfRule type="cellIs" dxfId="223" priority="9" operator="equal">
      <formula>0</formula>
    </cfRule>
  </conditionalFormatting>
  <conditionalFormatting sqref="E129:AQ129">
    <cfRule type="expression" dxfId="222" priority="8">
      <formula>IF($U$1="カラー","TRUE","FALSE")</formula>
    </cfRule>
  </conditionalFormatting>
  <conditionalFormatting sqref="D90:AQ90">
    <cfRule type="expression" dxfId="221" priority="6">
      <formula>IF($U$1="カラー","TRUE","FALSE")</formula>
    </cfRule>
  </conditionalFormatting>
  <conditionalFormatting sqref="D90:AQ90">
    <cfRule type="cellIs" dxfId="220" priority="7" operator="equal">
      <formula>0</formula>
    </cfRule>
  </conditionalFormatting>
  <conditionalFormatting sqref="D132:AQ132">
    <cfRule type="expression" dxfId="219" priority="5">
      <formula>IF($U$1="カラー","TRUE","FALSE")</formula>
    </cfRule>
  </conditionalFormatting>
  <conditionalFormatting sqref="D38">
    <cfRule type="expression" dxfId="218" priority="783" stopIfTrue="1">
      <formula>IF(NOT(D$190=""),TRUE,FALSE)</formula>
    </cfRule>
    <cfRule type="expression" priority="784" stopIfTrue="1">
      <formula>D$189=""</formula>
    </cfRule>
  </conditionalFormatting>
  <conditionalFormatting sqref="D39:D47 D49:D53 D77:D81 D123 D55:D69 D71:D72">
    <cfRule type="expression" dxfId="217" priority="785" stopIfTrue="1">
      <formula>IF(NOT(D$189=""),TRUE,FALSE)</formula>
    </cfRule>
    <cfRule type="expression" priority="786" stopIfTrue="1">
      <formula>D$190=""</formula>
    </cfRule>
  </conditionalFormatting>
  <conditionalFormatting sqref="D122">
    <cfRule type="expression" dxfId="216" priority="797" stopIfTrue="1">
      <formula>IF(NOT(D$72=""),TRUE,FALSE)</formula>
    </cfRule>
    <cfRule type="expression" priority="798" stopIfTrue="1">
      <formula>D$189=""</formula>
    </cfRule>
  </conditionalFormatting>
  <conditionalFormatting sqref="D5:H5">
    <cfRule type="expression" dxfId="215" priority="3">
      <formula>IF($U$1="カラー","TRUE","FALSE")</formula>
    </cfRule>
  </conditionalFormatting>
  <conditionalFormatting sqref="K5:K10">
    <cfRule type="expression" dxfId="214" priority="2">
      <formula>IF($U$1="カラー","TRUE","FALSE")</formula>
    </cfRule>
  </conditionalFormatting>
  <dataValidations count="14">
    <dataValidation type="decimal" allowBlank="1" showInputMessage="1" showErrorMessage="1" sqref="E182:N182" xr:uid="{9AFE227C-BCDA-4AAE-9C9C-6BE34ED490F4}">
      <formula1>0</formula1>
      <formula2>30</formula2>
    </dataValidation>
    <dataValidation type="decimal" allowBlank="1" showInputMessage="1" showErrorMessage="1" sqref="E187:N189" xr:uid="{A464BE78-4AC5-4744-B6EC-15285D6B02F2}">
      <formula1>0</formula1>
      <formula2>10</formula2>
    </dataValidation>
    <dataValidation type="decimal" allowBlank="1" showInputMessage="1" showErrorMessage="1" sqref="E184:N184" xr:uid="{F8A2F0D4-FD35-4530-B716-8178E745FEB6}">
      <formula1>0</formula1>
      <formula2>100</formula2>
    </dataValidation>
    <dataValidation type="decimal" allowBlank="1" showInputMessage="1" showErrorMessage="1" sqref="E185:N185 E225:N225 E207:N207 E210:N210 E213:N213 E216:N216 E219:N219 E222:N222 E228:N228 E231:N232 E204:N204" xr:uid="{62587C3E-9C50-4313-B33D-8E47E501A553}">
      <formula1>0</formula1>
      <formula2>22</formula2>
    </dataValidation>
    <dataValidation type="decimal" allowBlank="1" showInputMessage="1" showErrorMessage="1" sqref="E186:N186" xr:uid="{D86BFDD4-FCE5-42A3-9645-20D4530674BA}">
      <formula1>-100</formula1>
      <formula2>30</formula2>
    </dataValidation>
    <dataValidation type="whole" allowBlank="1" showInputMessage="1" showErrorMessage="1" sqref="E229:N229 E217:N217 E220:N220 E223:N223 E226:N226 E202:N202 E205:N205 E208:N208 E211:N211 E214:N214" xr:uid="{B68B675A-81F0-4484-8B2F-68854682E2DE}">
      <formula1>1</formula1>
      <formula2>100</formula2>
    </dataValidation>
    <dataValidation allowBlank="1" showInputMessage="1" showErrorMessage="1" error="入力できる数字は0～10000までです。" sqref="I34 I76 I118" xr:uid="{C0ACD682-6EF1-436C-B0D7-BE27D0B3789C}"/>
    <dataValidation type="decimal" allowBlank="1" showInputMessage="1" showErrorMessage="1" error="入力できる数字は0～10000までです。" sqref="D74:H76 D32:H34 D116:H118 D6:H10 I8:I10" xr:uid="{AB6F023F-CFEE-43AD-9EAB-614A6B13AA11}">
      <formula1>0</formula1>
      <formula2>10000</formula2>
    </dataValidation>
    <dataValidation type="decimal" allowBlank="1" showInputMessage="1" showErrorMessage="1" error="入力できる数字は-30～30までです（-30以下の場合は、ボーメのほうに記入してください）。" sqref="H81:AO81 AP38:AQ38 D39:AO39 AP80:AQ80 D123:AO123 AP122:AQ122 G82 D81:F81" xr:uid="{1D6DBD05-2B7B-4412-B130-96919EDD568B}">
      <formula1>-30</formula1>
      <formula2>30</formula2>
    </dataValidation>
    <dataValidation type="decimal" allowBlank="1" showInputMessage="1" showErrorMessage="1" error="入力できる数字は0～22までです。" sqref="D82:AQ82 D124:AQ124 D40:AQ40" xr:uid="{790B249B-737C-4402-B5B1-574F95A591BF}">
      <formula1>0</formula1>
      <formula2>22</formula2>
    </dataValidation>
    <dataValidation type="decimal" allowBlank="1" showInputMessage="1" showErrorMessage="1" error="入力できる数字は3～20までです（３以下の場合は日本酒度のほうに記入してください）。" sqref="D38:AQ38 D80:AQ80 D122:AQ122" xr:uid="{9A60C32E-C1D1-4111-8275-A35AC1991677}">
      <formula1>3</formula1>
      <formula2>20</formula2>
    </dataValidation>
    <dataValidation type="decimal" allowBlank="1" showInputMessage="1" showErrorMessage="1" sqref="D47:AQ47 E88:AQ88 D131:AQ131 E37:AQ37 E46:AQ46 E79:AQ79 D89:AQ89 E121:AQ121 E130:AQ130" xr:uid="{6DB16167-E4BB-4008-8022-04AB70771FFA}">
      <formula1>0</formula1>
      <formula2>10000000000</formula2>
    </dataValidation>
    <dataValidation type="decimal" allowBlank="1" showInputMessage="1" showErrorMessage="1" sqref="E183:N183" xr:uid="{51EBC97C-3822-47D9-91CF-952A9FBC43BF}">
      <formula1>0</formula1>
      <formula2>13</formula2>
    </dataValidation>
    <dataValidation type="decimal" allowBlank="1" showInputMessage="1" showErrorMessage="1" sqref="E203:N203 E206:N206 E209:N209 E212:N212 E215:N215 E218:N218 E221:N221 E224:N224 E227:N227 E230:N230" xr:uid="{441566BB-B8D7-42A3-9596-DD333CEF3DEC}">
      <formula1>-4</formula1>
      <formula2>13</formula2>
    </dataValidation>
  </dataValidations>
  <pageMargins left="0.7" right="0.7" top="0.75" bottom="0.75" header="0.3" footer="0.3"/>
  <pageSetup paperSize="9" scale="20" fitToWidth="0" orientation="landscape" r:id="rId1"/>
  <rowBreaks count="1" manualBreakCount="1">
    <brk id="201"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9ADF-C8AC-4E04-83FB-819E8BEE9FBA}">
  <sheetPr codeName="Sheet5">
    <pageSetUpPr fitToPage="1"/>
  </sheetPr>
  <dimension ref="B1:V35"/>
  <sheetViews>
    <sheetView zoomScale="60" zoomScaleNormal="60" workbookViewId="0">
      <pane ySplit="1" topLeftCell="A2" activePane="bottomLeft" state="frozen"/>
      <selection pane="bottomLeft" activeCell="U20" sqref="U20"/>
    </sheetView>
  </sheetViews>
  <sheetFormatPr defaultColWidth="9" defaultRowHeight="13.5"/>
  <cols>
    <col min="1" max="16" width="9" style="358"/>
    <col min="17" max="17" width="4" style="358" customWidth="1"/>
    <col min="18" max="18" width="8" style="358" customWidth="1"/>
    <col min="19" max="19" width="7.375" style="358" customWidth="1"/>
    <col min="20" max="20" width="5.125" style="358" customWidth="1"/>
    <col min="21" max="21" width="12.5" style="358" customWidth="1"/>
    <col min="22" max="22" width="7.5" style="358" customWidth="1"/>
    <col min="23" max="16384" width="9" style="358"/>
  </cols>
  <sheetData>
    <row r="1" spans="2:22" ht="31.35" customHeight="1">
      <c r="B1" s="666" t="s">
        <v>341</v>
      </c>
      <c r="C1" s="666"/>
      <c r="D1" s="667" t="str">
        <f ca="1">〇号!D66</f>
        <v>〇号</v>
      </c>
      <c r="E1" s="667"/>
      <c r="F1" s="667"/>
    </row>
    <row r="2" spans="2:22">
      <c r="R2" s="459"/>
      <c r="S2" s="459"/>
      <c r="T2" s="460"/>
      <c r="U2" s="460"/>
      <c r="V2" s="460"/>
    </row>
    <row r="6" spans="2:22">
      <c r="R6" s="665" t="s">
        <v>330</v>
      </c>
      <c r="S6" s="665"/>
      <c r="T6" s="665"/>
      <c r="U6" s="665"/>
      <c r="V6" s="665"/>
    </row>
    <row r="7" spans="2:22">
      <c r="R7" s="665" t="s">
        <v>433</v>
      </c>
      <c r="S7" s="665"/>
      <c r="T7" s="359"/>
      <c r="U7" s="361" t="s">
        <v>331</v>
      </c>
      <c r="V7" s="360" t="e">
        <f>V10*T8/100/1.5848</f>
        <v>#DIV/0!</v>
      </c>
    </row>
    <row r="8" spans="2:22">
      <c r="R8" s="665" t="s">
        <v>451</v>
      </c>
      <c r="S8" s="665"/>
      <c r="T8" s="359"/>
      <c r="U8" s="361" t="s">
        <v>332</v>
      </c>
      <c r="V8" s="360" t="e">
        <f>1443/((V9-0.21)/260+V35)-1443</f>
        <v>#DIV/0!</v>
      </c>
    </row>
    <row r="9" spans="2:22">
      <c r="R9" s="665" t="s">
        <v>333</v>
      </c>
      <c r="S9" s="665"/>
      <c r="T9" s="359"/>
      <c r="U9" s="361" t="s">
        <v>334</v>
      </c>
      <c r="V9" s="360" t="e">
        <f>V10*(100-T8)/100</f>
        <v>#DIV/0!</v>
      </c>
    </row>
    <row r="10" spans="2:22">
      <c r="U10" s="361" t="s">
        <v>335</v>
      </c>
      <c r="V10" s="360" t="e">
        <f>T7/T9*100</f>
        <v>#DIV/0!</v>
      </c>
    </row>
    <row r="16" spans="2:22">
      <c r="U16" s="476" t="e">
        <f>V7</f>
        <v>#DIV/0!</v>
      </c>
    </row>
    <row r="31" ht="6.75" customHeight="1"/>
    <row r="35" spans="22:22" hidden="1">
      <c r="V35" s="358" t="e">
        <f>IF(U16="",NA(),IFERROR(U16*VLOOKUP(U16,'各種計算式等（配付時非表示）'!$E$3:$H$1003,3,TRUE)+VLOOKUP(U16,'各種計算式等（配付時非表示）'!$E$3:$H$1003,4,TRUE)+0.0000000001,"-"))</f>
        <v>#DIV/0!</v>
      </c>
    </row>
  </sheetData>
  <sheetProtection algorithmName="SHA-512" hashValue="PASrmoU1vM82GoT1hhr+I99Pk0Bvf/00Vgzrsgy3laeka6BjciuT54DFbaKIgIzzBTSKaPlEa3+On1FXyycwDg==" saltValue="oTG8y+8RLbzcsfX3m1GSyQ==" spinCount="100000" sheet="1" formatCells="0"/>
  <mergeCells count="6">
    <mergeCell ref="R9:S9"/>
    <mergeCell ref="B1:C1"/>
    <mergeCell ref="D1:F1"/>
    <mergeCell ref="R6:V6"/>
    <mergeCell ref="R7:S7"/>
    <mergeCell ref="R8:S8"/>
  </mergeCells>
  <phoneticPr fontId="1"/>
  <conditionalFormatting sqref="V7:V10">
    <cfRule type="containsErrors" dxfId="213" priority="1">
      <formula>ISERROR(V7)</formula>
    </cfRule>
  </conditionalFormatting>
  <pageMargins left="0.31496062992125984" right="0.31496062992125984" top="0.35433070866141736" bottom="0.35433070866141736" header="0.31496062992125984" footer="0.31496062992125984"/>
  <pageSetup paperSize="9" scale="4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A381"/>
  <sheetViews>
    <sheetView view="pageBreakPreview" zoomScale="50" zoomScaleNormal="50" zoomScaleSheetLayoutView="50" workbookViewId="0">
      <selection activeCell="AU108" sqref="AU108"/>
    </sheetView>
  </sheetViews>
  <sheetFormatPr defaultRowHeight="13.5"/>
  <cols>
    <col min="2" max="2" width="5" style="2" customWidth="1"/>
    <col min="3" max="3" width="9.875" style="2" customWidth="1"/>
    <col min="4" max="7" width="5.5" style="2" customWidth="1"/>
    <col min="8" max="8" width="5.375" style="2" customWidth="1"/>
    <col min="9" max="48" width="5.5" style="2" customWidth="1"/>
    <col min="49" max="49" width="5.375" style="2" customWidth="1"/>
    <col min="50" max="57" width="5.5" style="2" customWidth="1"/>
    <col min="58" max="58" width="3.625" customWidth="1"/>
    <col min="59" max="60" width="9" hidden="1" customWidth="1"/>
    <col min="61" max="63" width="9" customWidth="1"/>
    <col min="64" max="64" width="8.875" customWidth="1"/>
  </cols>
  <sheetData>
    <row r="1" spans="1:57" ht="24" customHeight="1" thickBot="1">
      <c r="A1" s="60" t="s">
        <v>383</v>
      </c>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row>
    <row r="2" spans="1:57" ht="27.75" customHeight="1" thickBot="1">
      <c r="A2" s="1025" t="s">
        <v>12</v>
      </c>
      <c r="B2" s="1026"/>
      <c r="C2" s="1026"/>
      <c r="D2" s="1027" t="str">
        <f ca="1">RIGHT(CELL("filename",D2),LEN(CELL("filename",D2))-FIND("]",CELL("filename",D2)))</f>
        <v>〇号</v>
      </c>
      <c r="E2" s="1028"/>
      <c r="F2" s="1028"/>
      <c r="G2" s="1028"/>
      <c r="H2" s="1029"/>
      <c r="I2" s="1025" t="s">
        <v>141</v>
      </c>
      <c r="J2" s="1026"/>
      <c r="K2" s="1026"/>
      <c r="L2" s="1112">
        <v>1</v>
      </c>
      <c r="M2" s="1113"/>
      <c r="N2" s="1027" t="str">
        <f>IF(L2="","",INDEX(目標値!E181:N181,MATCH(L2,目標値!E180:N180,0)))</f>
        <v>吟醸１</v>
      </c>
      <c r="O2" s="1028"/>
      <c r="P2" s="1028"/>
      <c r="Q2" s="1028"/>
      <c r="R2" s="1028"/>
      <c r="S2" s="1101" t="s">
        <v>283</v>
      </c>
      <c r="T2" s="1102"/>
      <c r="U2" s="1102"/>
      <c r="V2" s="1103" t="s">
        <v>284</v>
      </c>
      <c r="W2" s="1104"/>
      <c r="X2" s="1104"/>
      <c r="Y2" s="1105"/>
      <c r="BC2" s="2" t="str">
        <f>はじめに!F1</f>
        <v>Ver4.3</v>
      </c>
    </row>
    <row r="3" spans="1:57" ht="18" customHeight="1" thickBot="1">
      <c r="A3" s="1114" t="s">
        <v>16</v>
      </c>
      <c r="B3" s="1115"/>
      <c r="C3" s="1116"/>
      <c r="D3" s="1015" t="s">
        <v>13</v>
      </c>
      <c r="E3" s="1016"/>
      <c r="F3" s="1016"/>
      <c r="G3" s="1117"/>
      <c r="H3" s="146" t="s">
        <v>14</v>
      </c>
      <c r="I3" s="1015" t="s">
        <v>15</v>
      </c>
      <c r="J3" s="1016"/>
      <c r="K3" s="1016"/>
      <c r="L3" s="1016"/>
      <c r="M3" s="1118"/>
      <c r="N3" s="1015" t="s">
        <v>20</v>
      </c>
      <c r="O3" s="1016"/>
      <c r="P3" s="1016"/>
      <c r="Q3" s="1016"/>
      <c r="R3" s="1117"/>
      <c r="S3" s="298">
        <v>2</v>
      </c>
      <c r="T3" s="299">
        <v>3</v>
      </c>
      <c r="U3" s="299">
        <v>4</v>
      </c>
      <c r="V3" s="300">
        <v>5</v>
      </c>
      <c r="W3" s="300">
        <v>6</v>
      </c>
      <c r="X3" s="300">
        <v>7</v>
      </c>
      <c r="Y3" s="300">
        <v>8</v>
      </c>
      <c r="Z3" s="238">
        <v>9</v>
      </c>
      <c r="AA3" s="238">
        <v>10</v>
      </c>
      <c r="AB3" s="238">
        <v>11</v>
      </c>
      <c r="AC3" s="238">
        <v>12</v>
      </c>
      <c r="AD3" s="238">
        <v>13</v>
      </c>
      <c r="AE3" s="238">
        <v>14</v>
      </c>
      <c r="AF3" s="238">
        <v>15</v>
      </c>
      <c r="AG3" s="238">
        <v>16</v>
      </c>
      <c r="AH3" s="238">
        <v>17</v>
      </c>
      <c r="AI3" s="238">
        <v>18</v>
      </c>
      <c r="AJ3" s="238">
        <v>19</v>
      </c>
      <c r="AK3" s="238">
        <v>20</v>
      </c>
      <c r="AL3" s="238">
        <v>21</v>
      </c>
      <c r="AM3" s="238">
        <v>22</v>
      </c>
      <c r="AN3" s="238">
        <v>23</v>
      </c>
      <c r="AO3" s="238">
        <v>24</v>
      </c>
      <c r="AP3" s="238">
        <v>25</v>
      </c>
      <c r="AQ3" s="238">
        <v>26</v>
      </c>
      <c r="AR3" s="238">
        <v>27</v>
      </c>
      <c r="AS3" s="238">
        <v>28</v>
      </c>
      <c r="AT3" s="238">
        <v>29</v>
      </c>
      <c r="AU3" s="238">
        <v>30</v>
      </c>
      <c r="AV3" s="238">
        <v>31</v>
      </c>
      <c r="AW3" s="238">
        <v>32</v>
      </c>
      <c r="AX3" s="238">
        <v>33</v>
      </c>
      <c r="AY3" s="238">
        <v>34</v>
      </c>
      <c r="AZ3" s="238">
        <v>35</v>
      </c>
      <c r="BA3" s="238">
        <v>36</v>
      </c>
      <c r="BB3" s="238">
        <v>37</v>
      </c>
      <c r="BC3" s="238">
        <v>38</v>
      </c>
      <c r="BD3" s="238">
        <v>39</v>
      </c>
      <c r="BE3" s="239">
        <v>40</v>
      </c>
    </row>
    <row r="4" spans="1:57" ht="18" customHeight="1">
      <c r="A4" s="1030" t="s">
        <v>18</v>
      </c>
      <c r="B4" s="1031"/>
      <c r="C4" s="1061"/>
      <c r="D4" s="1106"/>
      <c r="E4" s="1107"/>
      <c r="F4" s="1107"/>
      <c r="G4" s="1108"/>
      <c r="H4" s="301">
        <f>D4+1</f>
        <v>1</v>
      </c>
      <c r="I4" s="1109">
        <f>H4+1</f>
        <v>2</v>
      </c>
      <c r="J4" s="1110"/>
      <c r="K4" s="1110"/>
      <c r="L4" s="1110"/>
      <c r="M4" s="1111"/>
      <c r="N4" s="1109">
        <f>I4+1</f>
        <v>3</v>
      </c>
      <c r="O4" s="1110"/>
      <c r="P4" s="1110"/>
      <c r="Q4" s="1110"/>
      <c r="R4" s="1111"/>
      <c r="S4" s="301">
        <f>N4+1</f>
        <v>4</v>
      </c>
      <c r="T4" s="301">
        <f>S4+1</f>
        <v>5</v>
      </c>
      <c r="U4" s="301">
        <f>T4+1</f>
        <v>6</v>
      </c>
      <c r="V4" s="301">
        <f t="shared" ref="V4:BE4" si="0">U4+1</f>
        <v>7</v>
      </c>
      <c r="W4" s="301">
        <f t="shared" si="0"/>
        <v>8</v>
      </c>
      <c r="X4" s="301">
        <f t="shared" si="0"/>
        <v>9</v>
      </c>
      <c r="Y4" s="301">
        <f t="shared" si="0"/>
        <v>10</v>
      </c>
      <c r="Z4" s="301">
        <f t="shared" si="0"/>
        <v>11</v>
      </c>
      <c r="AA4" s="301">
        <f t="shared" si="0"/>
        <v>12</v>
      </c>
      <c r="AB4" s="301">
        <f t="shared" si="0"/>
        <v>13</v>
      </c>
      <c r="AC4" s="301">
        <f t="shared" si="0"/>
        <v>14</v>
      </c>
      <c r="AD4" s="301">
        <f t="shared" si="0"/>
        <v>15</v>
      </c>
      <c r="AE4" s="301">
        <f t="shared" si="0"/>
        <v>16</v>
      </c>
      <c r="AF4" s="301">
        <f t="shared" si="0"/>
        <v>17</v>
      </c>
      <c r="AG4" s="301">
        <f t="shared" si="0"/>
        <v>18</v>
      </c>
      <c r="AH4" s="301">
        <f t="shared" si="0"/>
        <v>19</v>
      </c>
      <c r="AI4" s="301">
        <f t="shared" si="0"/>
        <v>20</v>
      </c>
      <c r="AJ4" s="301">
        <f t="shared" si="0"/>
        <v>21</v>
      </c>
      <c r="AK4" s="301">
        <f t="shared" si="0"/>
        <v>22</v>
      </c>
      <c r="AL4" s="301">
        <f t="shared" si="0"/>
        <v>23</v>
      </c>
      <c r="AM4" s="301">
        <f t="shared" si="0"/>
        <v>24</v>
      </c>
      <c r="AN4" s="301">
        <f t="shared" si="0"/>
        <v>25</v>
      </c>
      <c r="AO4" s="301">
        <f t="shared" si="0"/>
        <v>26</v>
      </c>
      <c r="AP4" s="301">
        <f t="shared" si="0"/>
        <v>27</v>
      </c>
      <c r="AQ4" s="301">
        <f t="shared" si="0"/>
        <v>28</v>
      </c>
      <c r="AR4" s="301">
        <f t="shared" si="0"/>
        <v>29</v>
      </c>
      <c r="AS4" s="301">
        <f t="shared" si="0"/>
        <v>30</v>
      </c>
      <c r="AT4" s="301">
        <f t="shared" si="0"/>
        <v>31</v>
      </c>
      <c r="AU4" s="301">
        <f t="shared" si="0"/>
        <v>32</v>
      </c>
      <c r="AV4" s="301">
        <f t="shared" si="0"/>
        <v>33</v>
      </c>
      <c r="AW4" s="301">
        <f t="shared" si="0"/>
        <v>34</v>
      </c>
      <c r="AX4" s="301">
        <f t="shared" si="0"/>
        <v>35</v>
      </c>
      <c r="AY4" s="301">
        <f t="shared" si="0"/>
        <v>36</v>
      </c>
      <c r="AZ4" s="301">
        <f t="shared" si="0"/>
        <v>37</v>
      </c>
      <c r="BA4" s="301">
        <f t="shared" si="0"/>
        <v>38</v>
      </c>
      <c r="BB4" s="301">
        <f t="shared" si="0"/>
        <v>39</v>
      </c>
      <c r="BC4" s="301">
        <f t="shared" si="0"/>
        <v>40</v>
      </c>
      <c r="BD4" s="301">
        <f t="shared" si="0"/>
        <v>41</v>
      </c>
      <c r="BE4" s="301">
        <f t="shared" si="0"/>
        <v>42</v>
      </c>
    </row>
    <row r="5" spans="1:57" ht="18" customHeight="1">
      <c r="A5" s="670" t="s">
        <v>19</v>
      </c>
      <c r="B5" s="671"/>
      <c r="C5" s="672"/>
      <c r="D5" s="143"/>
      <c r="E5" s="137"/>
      <c r="F5" s="137"/>
      <c r="G5" s="138"/>
      <c r="H5" s="144"/>
      <c r="I5" s="143"/>
      <c r="J5" s="137"/>
      <c r="K5" s="137"/>
      <c r="L5" s="137"/>
      <c r="M5" s="175"/>
      <c r="N5" s="143"/>
      <c r="O5" s="137"/>
      <c r="P5" s="137"/>
      <c r="Q5" s="137"/>
      <c r="R5" s="138"/>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7"/>
      <c r="AW5" s="137"/>
      <c r="AX5" s="137"/>
      <c r="AY5" s="137"/>
      <c r="AZ5" s="137"/>
      <c r="BA5" s="137"/>
      <c r="BB5" s="137"/>
      <c r="BC5" s="137"/>
      <c r="BD5" s="137"/>
      <c r="BE5" s="138"/>
    </row>
    <row r="6" spans="1:57" ht="18" customHeight="1">
      <c r="A6" s="670" t="s">
        <v>17</v>
      </c>
      <c r="B6" s="671"/>
      <c r="C6" s="672"/>
      <c r="D6" s="93" t="s">
        <v>21</v>
      </c>
      <c r="E6" s="246" t="s">
        <v>22</v>
      </c>
      <c r="F6" s="246" t="s">
        <v>23</v>
      </c>
      <c r="G6" s="94" t="s">
        <v>24</v>
      </c>
      <c r="H6" s="92" t="s">
        <v>255</v>
      </c>
      <c r="I6" s="93" t="s">
        <v>25</v>
      </c>
      <c r="J6" s="246" t="s">
        <v>21</v>
      </c>
      <c r="K6" s="246" t="s">
        <v>22</v>
      </c>
      <c r="L6" s="246" t="s">
        <v>23</v>
      </c>
      <c r="M6" s="177" t="s">
        <v>24</v>
      </c>
      <c r="N6" s="93" t="s">
        <v>25</v>
      </c>
      <c r="O6" s="246" t="s">
        <v>21</v>
      </c>
      <c r="P6" s="246" t="s">
        <v>22</v>
      </c>
      <c r="Q6" s="246" t="s">
        <v>23</v>
      </c>
      <c r="R6" s="94" t="s">
        <v>24</v>
      </c>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246"/>
      <c r="AW6" s="246"/>
      <c r="AX6" s="246"/>
      <c r="AY6" s="246"/>
      <c r="AZ6" s="246"/>
      <c r="BA6" s="246"/>
      <c r="BB6" s="246"/>
      <c r="BC6" s="246"/>
      <c r="BD6" s="246"/>
      <c r="BE6" s="94"/>
    </row>
    <row r="7" spans="1:57" ht="18" customHeight="1">
      <c r="A7" s="670" t="s">
        <v>206</v>
      </c>
      <c r="B7" s="671"/>
      <c r="C7" s="672"/>
      <c r="D7" s="93"/>
      <c r="E7" s="246"/>
      <c r="F7" s="246"/>
      <c r="G7" s="94"/>
      <c r="H7" s="92"/>
      <c r="I7" s="93"/>
      <c r="J7" s="246"/>
      <c r="K7" s="246"/>
      <c r="L7" s="246"/>
      <c r="M7" s="177"/>
      <c r="N7" s="93"/>
      <c r="O7" s="246"/>
      <c r="P7" s="246"/>
      <c r="Q7" s="246"/>
      <c r="R7" s="94"/>
      <c r="S7" s="133"/>
      <c r="T7" s="294"/>
      <c r="U7" s="294"/>
      <c r="V7" s="294"/>
      <c r="W7" s="294"/>
      <c r="X7" s="294"/>
      <c r="Y7" s="294"/>
      <c r="Z7" s="294"/>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94"/>
    </row>
    <row r="8" spans="1:57" ht="18" customHeight="1">
      <c r="A8" s="670" t="s">
        <v>26</v>
      </c>
      <c r="B8" s="671"/>
      <c r="C8" s="672"/>
      <c r="D8" s="93"/>
      <c r="E8" s="471"/>
      <c r="F8" s="471"/>
      <c r="G8" s="94"/>
      <c r="H8" s="92"/>
      <c r="I8" s="93"/>
      <c r="J8" s="471"/>
      <c r="K8" s="471"/>
      <c r="L8" s="471"/>
      <c r="M8" s="177"/>
      <c r="N8" s="93"/>
      <c r="O8" s="471"/>
      <c r="P8" s="471"/>
      <c r="Q8" s="471"/>
      <c r="R8" s="94"/>
      <c r="S8" s="133"/>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94"/>
    </row>
    <row r="9" spans="1:57" ht="60" customHeight="1">
      <c r="A9" s="670" t="s">
        <v>450</v>
      </c>
      <c r="B9" s="671"/>
      <c r="C9" s="672"/>
      <c r="D9" s="93"/>
      <c r="E9" s="246"/>
      <c r="F9" s="246"/>
      <c r="G9" s="94"/>
      <c r="H9" s="92"/>
      <c r="I9" s="93"/>
      <c r="J9" s="246"/>
      <c r="K9" s="246"/>
      <c r="L9" s="246"/>
      <c r="M9" s="177"/>
      <c r="N9" s="93"/>
      <c r="O9" s="246"/>
      <c r="P9" s="246"/>
      <c r="Q9" s="246"/>
      <c r="R9" s="94"/>
      <c r="S9" s="133"/>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94"/>
    </row>
    <row r="10" spans="1:57" ht="240.75" customHeight="1">
      <c r="A10" s="670" t="s">
        <v>60</v>
      </c>
      <c r="B10" s="671"/>
      <c r="C10" s="672"/>
      <c r="D10" s="64"/>
      <c r="E10" s="127"/>
      <c r="F10" s="127"/>
      <c r="G10" s="65"/>
      <c r="H10" s="145"/>
      <c r="I10" s="64"/>
      <c r="J10" s="127"/>
      <c r="K10" s="127"/>
      <c r="L10" s="127"/>
      <c r="M10" s="176"/>
      <c r="N10" s="64"/>
      <c r="O10" s="127"/>
      <c r="P10" s="127"/>
      <c r="Q10" s="127"/>
      <c r="R10" s="65"/>
      <c r="S10" s="140"/>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65"/>
    </row>
    <row r="11" spans="1:57" ht="18" customHeight="1">
      <c r="A11" s="670" t="s">
        <v>273</v>
      </c>
      <c r="B11" s="671"/>
      <c r="C11" s="672"/>
      <c r="D11" s="95"/>
      <c r="E11" s="96"/>
      <c r="F11" s="96"/>
      <c r="G11" s="97"/>
      <c r="H11" s="98"/>
      <c r="I11" s="95"/>
      <c r="J11" s="96"/>
      <c r="K11" s="96"/>
      <c r="L11" s="96"/>
      <c r="M11" s="178"/>
      <c r="N11" s="95"/>
      <c r="O11" s="96"/>
      <c r="P11" s="96"/>
      <c r="Q11" s="96"/>
      <c r="R11" s="97"/>
      <c r="S11" s="142"/>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670" t="s">
        <v>440</v>
      </c>
      <c r="B12" s="671"/>
      <c r="C12" s="672"/>
      <c r="D12" s="95"/>
      <c r="E12" s="96"/>
      <c r="F12" s="96"/>
      <c r="G12" s="97"/>
      <c r="H12" s="98"/>
      <c r="I12" s="95"/>
      <c r="J12" s="96"/>
      <c r="K12" s="96"/>
      <c r="L12" s="96"/>
      <c r="M12" s="178"/>
      <c r="N12" s="95"/>
      <c r="O12" s="96"/>
      <c r="P12" s="96"/>
      <c r="Q12" s="96"/>
      <c r="R12" s="97"/>
      <c r="S12" s="142"/>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670" t="s">
        <v>435</v>
      </c>
      <c r="B13" s="671"/>
      <c r="C13" s="672"/>
      <c r="D13" s="95"/>
      <c r="E13" s="96"/>
      <c r="F13" s="96"/>
      <c r="G13" s="97"/>
      <c r="H13" s="98"/>
      <c r="I13" s="95"/>
      <c r="J13" s="96"/>
      <c r="K13" s="96"/>
      <c r="L13" s="96"/>
      <c r="M13" s="178"/>
      <c r="N13" s="95"/>
      <c r="O13" s="96"/>
      <c r="P13" s="96"/>
      <c r="Q13" s="96"/>
      <c r="R13" s="97"/>
      <c r="S13" s="142"/>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1060" t="s">
        <v>1</v>
      </c>
      <c r="B14" s="772"/>
      <c r="C14" s="1119" t="s">
        <v>63</v>
      </c>
      <c r="D14" s="95"/>
      <c r="E14" s="96"/>
      <c r="F14" s="96"/>
      <c r="G14" s="97"/>
      <c r="H14" s="98"/>
      <c r="I14" s="95"/>
      <c r="J14" s="96"/>
      <c r="K14" s="96"/>
      <c r="L14" s="96"/>
      <c r="M14" s="178"/>
      <c r="N14" s="95"/>
      <c r="O14" s="96"/>
      <c r="P14" s="96"/>
      <c r="Q14" s="96"/>
      <c r="R14" s="97"/>
      <c r="S14" s="142"/>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65"/>
      <c r="BB14" s="265"/>
      <c r="BC14" s="265"/>
      <c r="BD14" s="165"/>
      <c r="BE14" s="166"/>
    </row>
    <row r="15" spans="1:57" s="4" customFormat="1" ht="18" customHeight="1">
      <c r="A15" s="1060" t="s">
        <v>2</v>
      </c>
      <c r="B15" s="772"/>
      <c r="C15" s="1119"/>
      <c r="D15" s="196"/>
      <c r="E15" s="197"/>
      <c r="F15" s="197"/>
      <c r="G15" s="198"/>
      <c r="H15" s="199"/>
      <c r="I15" s="196"/>
      <c r="J15" s="197"/>
      <c r="K15" s="197"/>
      <c r="L15" s="197"/>
      <c r="M15" s="200"/>
      <c r="N15" s="196"/>
      <c r="O15" s="197"/>
      <c r="P15" s="197"/>
      <c r="Q15" s="197"/>
      <c r="R15" s="198"/>
      <c r="S15" s="142"/>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5"/>
      <c r="BE15" s="266"/>
    </row>
    <row r="16" spans="1:57" ht="18" customHeight="1">
      <c r="A16" s="670" t="s">
        <v>27</v>
      </c>
      <c r="B16" s="671"/>
      <c r="C16" s="672"/>
      <c r="D16" s="111"/>
      <c r="E16" s="112"/>
      <c r="F16" s="112"/>
      <c r="G16" s="113"/>
      <c r="H16" s="114"/>
      <c r="I16" s="111"/>
      <c r="J16" s="112"/>
      <c r="K16" s="112"/>
      <c r="L16" s="112"/>
      <c r="M16" s="179"/>
      <c r="N16" s="111"/>
      <c r="O16" s="112"/>
      <c r="P16" s="112"/>
      <c r="Q16" s="112"/>
      <c r="R16" s="113"/>
      <c r="S16" s="141"/>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65"/>
      <c r="BB16" s="265"/>
      <c r="BC16" s="265"/>
      <c r="BD16" s="112"/>
      <c r="BE16" s="113"/>
    </row>
    <row r="17" spans="1:58" ht="18" customHeight="1">
      <c r="A17" s="670" t="s">
        <v>155</v>
      </c>
      <c r="B17" s="671"/>
      <c r="C17" s="672"/>
      <c r="D17" s="201"/>
      <c r="E17" s="202"/>
      <c r="F17" s="202"/>
      <c r="G17" s="203"/>
      <c r="H17" s="204"/>
      <c r="I17" s="201"/>
      <c r="J17" s="202"/>
      <c r="K17" s="202"/>
      <c r="L17" s="202"/>
      <c r="M17" s="205"/>
      <c r="N17" s="201"/>
      <c r="O17" s="202"/>
      <c r="P17" s="202"/>
      <c r="Q17" s="202"/>
      <c r="R17" s="203"/>
      <c r="S17" s="206"/>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3"/>
    </row>
    <row r="18" spans="1:58" ht="18" customHeight="1">
      <c r="A18" s="670" t="s">
        <v>157</v>
      </c>
      <c r="B18" s="671"/>
      <c r="C18" s="672"/>
      <c r="D18" s="201"/>
      <c r="E18" s="202"/>
      <c r="F18" s="202"/>
      <c r="G18" s="203"/>
      <c r="H18" s="204"/>
      <c r="I18" s="201"/>
      <c r="J18" s="202"/>
      <c r="K18" s="202"/>
      <c r="L18" s="202"/>
      <c r="M18" s="205"/>
      <c r="N18" s="201"/>
      <c r="O18" s="202"/>
      <c r="P18" s="202"/>
      <c r="Q18" s="202"/>
      <c r="R18" s="203"/>
      <c r="S18" s="206"/>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3"/>
    </row>
    <row r="19" spans="1:58" ht="18" customHeight="1">
      <c r="A19" s="670" t="s">
        <v>153</v>
      </c>
      <c r="B19" s="671"/>
      <c r="C19" s="672"/>
      <c r="D19" s="201"/>
      <c r="E19" s="202"/>
      <c r="F19" s="202"/>
      <c r="G19" s="203"/>
      <c r="H19" s="204"/>
      <c r="I19" s="201"/>
      <c r="J19" s="202"/>
      <c r="K19" s="202"/>
      <c r="L19" s="202"/>
      <c r="M19" s="205"/>
      <c r="N19" s="201"/>
      <c r="O19" s="202"/>
      <c r="P19" s="202"/>
      <c r="Q19" s="202"/>
      <c r="R19" s="203"/>
      <c r="S19" s="206"/>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3"/>
    </row>
    <row r="20" spans="1:58" s="4" customFormat="1" ht="18" customHeight="1">
      <c r="A20" s="670" t="s">
        <v>158</v>
      </c>
      <c r="B20" s="671"/>
      <c r="C20" s="672"/>
      <c r="D20" s="129"/>
      <c r="E20" s="130"/>
      <c r="F20" s="130"/>
      <c r="G20" s="131"/>
      <c r="H20" s="132"/>
      <c r="I20" s="129"/>
      <c r="J20" s="130"/>
      <c r="K20" s="130"/>
      <c r="L20" s="130"/>
      <c r="M20" s="180"/>
      <c r="N20" s="129"/>
      <c r="O20" s="130"/>
      <c r="P20" s="130"/>
      <c r="Q20" s="130"/>
      <c r="R20" s="131"/>
      <c r="S20" s="302" t="str">
        <f>IF(IFERROR(S129,"")="","",S129)</f>
        <v/>
      </c>
      <c r="T20" s="302" t="str">
        <f>IF(IFERROR(T129,"")="","",T129)</f>
        <v/>
      </c>
      <c r="U20" s="302" t="str">
        <f t="shared" ref="S20:BE22" si="1">IF(IFERROR(U129,"")="","",U129)</f>
        <v/>
      </c>
      <c r="V20" s="302" t="str">
        <f t="shared" si="1"/>
        <v/>
      </c>
      <c r="W20" s="302" t="str">
        <f t="shared" si="1"/>
        <v/>
      </c>
      <c r="X20" s="302" t="str">
        <f t="shared" si="1"/>
        <v/>
      </c>
      <c r="Y20" s="302" t="str">
        <f t="shared" si="1"/>
        <v/>
      </c>
      <c r="Z20" s="302" t="str">
        <f t="shared" si="1"/>
        <v/>
      </c>
      <c r="AA20" s="302" t="str">
        <f t="shared" si="1"/>
        <v/>
      </c>
      <c r="AB20" s="302" t="str">
        <f t="shared" si="1"/>
        <v/>
      </c>
      <c r="AC20" s="302" t="str">
        <f t="shared" si="1"/>
        <v/>
      </c>
      <c r="AD20" s="302" t="str">
        <f t="shared" si="1"/>
        <v/>
      </c>
      <c r="AE20" s="302" t="str">
        <f t="shared" si="1"/>
        <v/>
      </c>
      <c r="AF20" s="302" t="str">
        <f>IF(IFERROR(AF129,"")="","",AF129)</f>
        <v/>
      </c>
      <c r="AG20" s="302" t="str">
        <f t="shared" si="1"/>
        <v/>
      </c>
      <c r="AH20" s="302" t="str">
        <f t="shared" si="1"/>
        <v/>
      </c>
      <c r="AI20" s="302" t="str">
        <f t="shared" si="1"/>
        <v/>
      </c>
      <c r="AJ20" s="302" t="str">
        <f t="shared" si="1"/>
        <v/>
      </c>
      <c r="AK20" s="302" t="str">
        <f t="shared" si="1"/>
        <v/>
      </c>
      <c r="AL20" s="302" t="str">
        <f t="shared" si="1"/>
        <v/>
      </c>
      <c r="AM20" s="302" t="str">
        <f t="shared" si="1"/>
        <v/>
      </c>
      <c r="AN20" s="302" t="str">
        <f t="shared" si="1"/>
        <v/>
      </c>
      <c r="AO20" s="302" t="str">
        <f t="shared" si="1"/>
        <v/>
      </c>
      <c r="AP20" s="302" t="str">
        <f t="shared" si="1"/>
        <v/>
      </c>
      <c r="AQ20" s="302" t="str">
        <f t="shared" si="1"/>
        <v/>
      </c>
      <c r="AR20" s="302" t="str">
        <f t="shared" si="1"/>
        <v/>
      </c>
      <c r="AS20" s="302" t="str">
        <f t="shared" si="1"/>
        <v/>
      </c>
      <c r="AT20" s="302" t="str">
        <f t="shared" si="1"/>
        <v/>
      </c>
      <c r="AU20" s="302" t="str">
        <f t="shared" si="1"/>
        <v/>
      </c>
      <c r="AV20" s="302" t="str">
        <f t="shared" si="1"/>
        <v/>
      </c>
      <c r="AW20" s="302" t="str">
        <f t="shared" si="1"/>
        <v/>
      </c>
      <c r="AX20" s="302" t="str">
        <f t="shared" si="1"/>
        <v/>
      </c>
      <c r="AY20" s="302" t="str">
        <f t="shared" si="1"/>
        <v/>
      </c>
      <c r="AZ20" s="302" t="str">
        <f t="shared" si="1"/>
        <v/>
      </c>
      <c r="BA20" s="302" t="str">
        <f t="shared" si="1"/>
        <v/>
      </c>
      <c r="BB20" s="302" t="str">
        <f t="shared" si="1"/>
        <v/>
      </c>
      <c r="BC20" s="302" t="str">
        <f t="shared" si="1"/>
        <v/>
      </c>
      <c r="BD20" s="302" t="str">
        <f t="shared" si="1"/>
        <v/>
      </c>
      <c r="BE20" s="302" t="str">
        <f t="shared" si="1"/>
        <v/>
      </c>
    </row>
    <row r="21" spans="1:58" s="4" customFormat="1" ht="18" customHeight="1">
      <c r="A21" s="670" t="s">
        <v>210</v>
      </c>
      <c r="B21" s="671"/>
      <c r="C21" s="672"/>
      <c r="D21" s="129"/>
      <c r="E21" s="130"/>
      <c r="F21" s="130"/>
      <c r="G21" s="131"/>
      <c r="H21" s="132"/>
      <c r="I21" s="129"/>
      <c r="J21" s="130"/>
      <c r="K21" s="130"/>
      <c r="L21" s="130"/>
      <c r="M21" s="180"/>
      <c r="N21" s="129"/>
      <c r="O21" s="130"/>
      <c r="P21" s="130"/>
      <c r="Q21" s="130"/>
      <c r="R21" s="131"/>
      <c r="S21" s="302" t="str">
        <f t="shared" si="1"/>
        <v/>
      </c>
      <c r="T21" s="303" t="str">
        <f>IF(IFERROR(T130,"")="","",T130)</f>
        <v/>
      </c>
      <c r="U21" s="303" t="str">
        <f t="shared" si="1"/>
        <v/>
      </c>
      <c r="V21" s="303" t="str">
        <f t="shared" si="1"/>
        <v/>
      </c>
      <c r="W21" s="303" t="str">
        <f t="shared" si="1"/>
        <v/>
      </c>
      <c r="X21" s="303" t="str">
        <f t="shared" si="1"/>
        <v/>
      </c>
      <c r="Y21" s="303" t="str">
        <f t="shared" si="1"/>
        <v/>
      </c>
      <c r="Z21" s="303" t="str">
        <f t="shared" si="1"/>
        <v/>
      </c>
      <c r="AA21" s="303" t="str">
        <f>IF(IFERROR(AA130,"")="","",AA130)</f>
        <v/>
      </c>
      <c r="AB21" s="303" t="str">
        <f>IF(IFERROR(AB130,"")="","",AB130)</f>
        <v/>
      </c>
      <c r="AC21" s="303" t="str">
        <f t="shared" si="1"/>
        <v/>
      </c>
      <c r="AD21" s="303" t="str">
        <f t="shared" si="1"/>
        <v/>
      </c>
      <c r="AE21" s="303" t="str">
        <f t="shared" si="1"/>
        <v/>
      </c>
      <c r="AF21" s="303" t="str">
        <f t="shared" si="1"/>
        <v/>
      </c>
      <c r="AG21" s="303" t="str">
        <f t="shared" si="1"/>
        <v/>
      </c>
      <c r="AH21" s="303" t="str">
        <f t="shared" si="1"/>
        <v/>
      </c>
      <c r="AI21" s="303" t="str">
        <f t="shared" si="1"/>
        <v/>
      </c>
      <c r="AJ21" s="303" t="str">
        <f t="shared" si="1"/>
        <v/>
      </c>
      <c r="AK21" s="303" t="str">
        <f t="shared" si="1"/>
        <v/>
      </c>
      <c r="AL21" s="303" t="str">
        <f t="shared" si="1"/>
        <v/>
      </c>
      <c r="AM21" s="303" t="str">
        <f t="shared" si="1"/>
        <v/>
      </c>
      <c r="AN21" s="303" t="str">
        <f t="shared" si="1"/>
        <v/>
      </c>
      <c r="AO21" s="303" t="str">
        <f t="shared" si="1"/>
        <v/>
      </c>
      <c r="AP21" s="303" t="str">
        <f t="shared" si="1"/>
        <v/>
      </c>
      <c r="AQ21" s="303" t="str">
        <f t="shared" si="1"/>
        <v/>
      </c>
      <c r="AR21" s="303" t="str">
        <f t="shared" si="1"/>
        <v/>
      </c>
      <c r="AS21" s="303" t="str">
        <f t="shared" si="1"/>
        <v/>
      </c>
      <c r="AT21" s="303" t="str">
        <f t="shared" si="1"/>
        <v/>
      </c>
      <c r="AU21" s="303" t="str">
        <f t="shared" si="1"/>
        <v/>
      </c>
      <c r="AV21" s="303" t="str">
        <f t="shared" si="1"/>
        <v/>
      </c>
      <c r="AW21" s="303" t="str">
        <f t="shared" si="1"/>
        <v/>
      </c>
      <c r="AX21" s="303" t="str">
        <f t="shared" si="1"/>
        <v/>
      </c>
      <c r="AY21" s="303" t="str">
        <f t="shared" si="1"/>
        <v/>
      </c>
      <c r="AZ21" s="303" t="str">
        <f t="shared" si="1"/>
        <v/>
      </c>
      <c r="BA21" s="303" t="str">
        <f t="shared" si="1"/>
        <v/>
      </c>
      <c r="BB21" s="303" t="str">
        <f t="shared" si="1"/>
        <v/>
      </c>
      <c r="BC21" s="303" t="str">
        <f t="shared" si="1"/>
        <v/>
      </c>
      <c r="BD21" s="303" t="str">
        <f t="shared" si="1"/>
        <v/>
      </c>
      <c r="BE21" s="304" t="str">
        <f t="shared" si="1"/>
        <v/>
      </c>
    </row>
    <row r="22" spans="1:58" ht="18" hidden="1" customHeight="1">
      <c r="A22" s="670" t="s">
        <v>212</v>
      </c>
      <c r="B22" s="671"/>
      <c r="C22" s="672"/>
      <c r="D22" s="129"/>
      <c r="E22" s="130"/>
      <c r="F22" s="130"/>
      <c r="G22" s="131"/>
      <c r="H22" s="132"/>
      <c r="I22" s="129"/>
      <c r="J22" s="130"/>
      <c r="K22" s="130"/>
      <c r="L22" s="130"/>
      <c r="M22" s="180"/>
      <c r="N22" s="129"/>
      <c r="O22" s="130"/>
      <c r="P22" s="130"/>
      <c r="Q22" s="130"/>
      <c r="R22" s="131"/>
      <c r="S22" s="302" t="str">
        <f t="shared" si="1"/>
        <v/>
      </c>
      <c r="T22" s="303" t="str">
        <f t="shared" si="1"/>
        <v/>
      </c>
      <c r="U22" s="303" t="str">
        <f t="shared" si="1"/>
        <v/>
      </c>
      <c r="V22" s="303" t="str">
        <f t="shared" si="1"/>
        <v/>
      </c>
      <c r="W22" s="303" t="str">
        <f t="shared" si="1"/>
        <v/>
      </c>
      <c r="X22" s="303" t="str">
        <f t="shared" si="1"/>
        <v/>
      </c>
      <c r="Y22" s="303" t="str">
        <f t="shared" si="1"/>
        <v/>
      </c>
      <c r="Z22" s="303" t="str">
        <f t="shared" si="1"/>
        <v/>
      </c>
      <c r="AA22" s="303" t="str">
        <f t="shared" si="1"/>
        <v/>
      </c>
      <c r="AB22" s="303" t="str">
        <f t="shared" si="1"/>
        <v/>
      </c>
      <c r="AC22" s="303" t="str">
        <f t="shared" si="1"/>
        <v/>
      </c>
      <c r="AD22" s="303" t="str">
        <f t="shared" si="1"/>
        <v/>
      </c>
      <c r="AE22" s="303" t="str">
        <f t="shared" si="1"/>
        <v/>
      </c>
      <c r="AF22" s="303" t="str">
        <f t="shared" si="1"/>
        <v/>
      </c>
      <c r="AG22" s="303" t="str">
        <f t="shared" si="1"/>
        <v/>
      </c>
      <c r="AH22" s="303" t="str">
        <f t="shared" si="1"/>
        <v/>
      </c>
      <c r="AI22" s="303" t="str">
        <f t="shared" si="1"/>
        <v/>
      </c>
      <c r="AJ22" s="303" t="str">
        <f t="shared" si="1"/>
        <v/>
      </c>
      <c r="AK22" s="303" t="str">
        <f t="shared" si="1"/>
        <v/>
      </c>
      <c r="AL22" s="303" t="str">
        <f t="shared" si="1"/>
        <v/>
      </c>
      <c r="AM22" s="303" t="str">
        <f t="shared" si="1"/>
        <v/>
      </c>
      <c r="AN22" s="303" t="str">
        <f t="shared" si="1"/>
        <v/>
      </c>
      <c r="AO22" s="303" t="str">
        <f t="shared" si="1"/>
        <v/>
      </c>
      <c r="AP22" s="303" t="str">
        <f t="shared" si="1"/>
        <v/>
      </c>
      <c r="AQ22" s="303" t="str">
        <f t="shared" si="1"/>
        <v/>
      </c>
      <c r="AR22" s="303" t="str">
        <f t="shared" si="1"/>
        <v/>
      </c>
      <c r="AS22" s="303" t="str">
        <f t="shared" si="1"/>
        <v/>
      </c>
      <c r="AT22" s="303" t="str">
        <f t="shared" si="1"/>
        <v/>
      </c>
      <c r="AU22" s="303" t="str">
        <f t="shared" si="1"/>
        <v/>
      </c>
      <c r="AV22" s="303" t="str">
        <f t="shared" si="1"/>
        <v/>
      </c>
      <c r="AW22" s="303" t="str">
        <f t="shared" si="1"/>
        <v/>
      </c>
      <c r="AX22" s="303" t="str">
        <f t="shared" si="1"/>
        <v/>
      </c>
      <c r="AY22" s="303" t="str">
        <f t="shared" si="1"/>
        <v/>
      </c>
      <c r="AZ22" s="303" t="str">
        <f t="shared" si="1"/>
        <v/>
      </c>
      <c r="BA22" s="303" t="str">
        <f t="shared" si="1"/>
        <v/>
      </c>
      <c r="BB22" s="303" t="str">
        <f t="shared" si="1"/>
        <v/>
      </c>
      <c r="BC22" s="303" t="str">
        <f t="shared" si="1"/>
        <v/>
      </c>
      <c r="BD22" s="303" t="str">
        <f t="shared" si="1"/>
        <v/>
      </c>
      <c r="BE22" s="304" t="str">
        <f t="shared" si="1"/>
        <v/>
      </c>
    </row>
    <row r="23" spans="1:58" s="4" customFormat="1" ht="18" customHeight="1">
      <c r="A23" s="670" t="s">
        <v>211</v>
      </c>
      <c r="B23" s="671"/>
      <c r="C23" s="672"/>
      <c r="D23" s="231"/>
      <c r="E23" s="236"/>
      <c r="F23" s="236"/>
      <c r="G23" s="247"/>
      <c r="H23" s="230"/>
      <c r="I23" s="231"/>
      <c r="J23" s="236"/>
      <c r="K23" s="236"/>
      <c r="L23" s="236"/>
      <c r="M23" s="237"/>
      <c r="N23" s="231"/>
      <c r="O23" s="236"/>
      <c r="P23" s="236"/>
      <c r="Q23" s="236"/>
      <c r="R23" s="247"/>
      <c r="S23" s="303" t="str">
        <f t="shared" ref="S23:BE23" si="2">IF($I$29="しない",IF(IFERROR(S132,"")="","",S132),IF(IFERROR(S145,"")="","",S145))</f>
        <v/>
      </c>
      <c r="T23" s="303" t="str">
        <f t="shared" si="2"/>
        <v/>
      </c>
      <c r="U23" s="303" t="str">
        <f t="shared" si="2"/>
        <v/>
      </c>
      <c r="V23" s="303" t="str">
        <f t="shared" si="2"/>
        <v/>
      </c>
      <c r="W23" s="303" t="str">
        <f t="shared" si="2"/>
        <v/>
      </c>
      <c r="X23" s="303" t="str">
        <f t="shared" si="2"/>
        <v/>
      </c>
      <c r="Y23" s="303" t="str">
        <f t="shared" si="2"/>
        <v/>
      </c>
      <c r="Z23" s="303" t="str">
        <f t="shared" si="2"/>
        <v/>
      </c>
      <c r="AA23" s="303" t="str">
        <f t="shared" si="2"/>
        <v/>
      </c>
      <c r="AB23" s="303" t="str">
        <f t="shared" si="2"/>
        <v/>
      </c>
      <c r="AC23" s="303" t="str">
        <f t="shared" si="2"/>
        <v/>
      </c>
      <c r="AD23" s="303" t="str">
        <f t="shared" si="2"/>
        <v/>
      </c>
      <c r="AE23" s="303" t="str">
        <f t="shared" si="2"/>
        <v/>
      </c>
      <c r="AF23" s="303" t="str">
        <f t="shared" si="2"/>
        <v/>
      </c>
      <c r="AG23" s="303" t="str">
        <f t="shared" si="2"/>
        <v/>
      </c>
      <c r="AH23" s="303" t="str">
        <f t="shared" si="2"/>
        <v/>
      </c>
      <c r="AI23" s="303" t="str">
        <f t="shared" si="2"/>
        <v/>
      </c>
      <c r="AJ23" s="303" t="str">
        <f t="shared" si="2"/>
        <v/>
      </c>
      <c r="AK23" s="303" t="str">
        <f t="shared" si="2"/>
        <v/>
      </c>
      <c r="AL23" s="303" t="str">
        <f t="shared" si="2"/>
        <v/>
      </c>
      <c r="AM23" s="303" t="str">
        <f t="shared" si="2"/>
        <v/>
      </c>
      <c r="AN23" s="303" t="str">
        <f t="shared" si="2"/>
        <v/>
      </c>
      <c r="AO23" s="303" t="str">
        <f t="shared" si="2"/>
        <v/>
      </c>
      <c r="AP23" s="303" t="str">
        <f t="shared" si="2"/>
        <v/>
      </c>
      <c r="AQ23" s="303" t="str">
        <f t="shared" si="2"/>
        <v/>
      </c>
      <c r="AR23" s="303" t="str">
        <f t="shared" si="2"/>
        <v/>
      </c>
      <c r="AS23" s="303" t="str">
        <f t="shared" si="2"/>
        <v/>
      </c>
      <c r="AT23" s="303" t="str">
        <f t="shared" si="2"/>
        <v/>
      </c>
      <c r="AU23" s="303" t="str">
        <f t="shared" si="2"/>
        <v/>
      </c>
      <c r="AV23" s="303" t="str">
        <f t="shared" si="2"/>
        <v/>
      </c>
      <c r="AW23" s="303" t="str">
        <f t="shared" si="2"/>
        <v/>
      </c>
      <c r="AX23" s="303" t="str">
        <f t="shared" si="2"/>
        <v/>
      </c>
      <c r="AY23" s="303" t="str">
        <f t="shared" si="2"/>
        <v/>
      </c>
      <c r="AZ23" s="303" t="str">
        <f t="shared" si="2"/>
        <v/>
      </c>
      <c r="BA23" s="303" t="str">
        <f t="shared" si="2"/>
        <v/>
      </c>
      <c r="BB23" s="303" t="str">
        <f t="shared" si="2"/>
        <v/>
      </c>
      <c r="BC23" s="303" t="str">
        <f t="shared" si="2"/>
        <v/>
      </c>
      <c r="BD23" s="303" t="str">
        <f t="shared" si="2"/>
        <v/>
      </c>
      <c r="BE23" s="304" t="str">
        <f t="shared" si="2"/>
        <v/>
      </c>
    </row>
    <row r="24" spans="1:58" ht="18" hidden="1" customHeight="1">
      <c r="A24" s="1062" t="s">
        <v>209</v>
      </c>
      <c r="B24" s="1063"/>
      <c r="C24" s="1064"/>
      <c r="D24" s="231"/>
      <c r="E24" s="236"/>
      <c r="F24" s="236"/>
      <c r="G24" s="247"/>
      <c r="H24" s="230"/>
      <c r="I24" s="231"/>
      <c r="J24" s="236"/>
      <c r="K24" s="236"/>
      <c r="L24" s="236"/>
      <c r="M24" s="237"/>
      <c r="N24" s="231"/>
      <c r="O24" s="236"/>
      <c r="P24" s="236"/>
      <c r="Q24" s="236"/>
      <c r="R24" s="247"/>
      <c r="S24" s="302" t="str">
        <f t="shared" ref="S24:BE24" ca="1" si="3">IF($I$28="しない",IF(IFERROR(S146,"")="","",S146),IF(IFERROR(S142,"")="","",S142))</f>
        <v/>
      </c>
      <c r="T24" s="303" t="str">
        <f t="shared" ca="1" si="3"/>
        <v/>
      </c>
      <c r="U24" s="303" t="str">
        <f t="shared" ca="1" si="3"/>
        <v/>
      </c>
      <c r="V24" s="303" t="str">
        <f t="shared" ca="1" si="3"/>
        <v/>
      </c>
      <c r="W24" s="303" t="str">
        <f t="shared" ca="1" si="3"/>
        <v/>
      </c>
      <c r="X24" s="303" t="str">
        <f t="shared" ca="1" si="3"/>
        <v/>
      </c>
      <c r="Y24" s="303" t="str">
        <f t="shared" ca="1" si="3"/>
        <v/>
      </c>
      <c r="Z24" s="303" t="str">
        <f t="shared" ca="1" si="3"/>
        <v/>
      </c>
      <c r="AA24" s="303" t="str">
        <f t="shared" ca="1" si="3"/>
        <v/>
      </c>
      <c r="AB24" s="303" t="str">
        <f t="shared" ca="1" si="3"/>
        <v/>
      </c>
      <c r="AC24" s="303" t="str">
        <f t="shared" ca="1" si="3"/>
        <v/>
      </c>
      <c r="AD24" s="303" t="str">
        <f t="shared" ca="1" si="3"/>
        <v/>
      </c>
      <c r="AE24" s="303" t="str">
        <f t="shared" ca="1" si="3"/>
        <v/>
      </c>
      <c r="AF24" s="303" t="str">
        <f t="shared" ca="1" si="3"/>
        <v/>
      </c>
      <c r="AG24" s="303" t="str">
        <f t="shared" ca="1" si="3"/>
        <v/>
      </c>
      <c r="AH24" s="303" t="str">
        <f t="shared" ca="1" si="3"/>
        <v/>
      </c>
      <c r="AI24" s="303" t="str">
        <f t="shared" ca="1" si="3"/>
        <v/>
      </c>
      <c r="AJ24" s="303" t="str">
        <f t="shared" ca="1" si="3"/>
        <v/>
      </c>
      <c r="AK24" s="303" t="str">
        <f t="shared" ca="1" si="3"/>
        <v/>
      </c>
      <c r="AL24" s="303" t="str">
        <f t="shared" ca="1" si="3"/>
        <v/>
      </c>
      <c r="AM24" s="303" t="str">
        <f t="shared" ca="1" si="3"/>
        <v/>
      </c>
      <c r="AN24" s="303" t="str">
        <f t="shared" ca="1" si="3"/>
        <v/>
      </c>
      <c r="AO24" s="303" t="str">
        <f t="shared" ca="1" si="3"/>
        <v/>
      </c>
      <c r="AP24" s="303" t="str">
        <f t="shared" ca="1" si="3"/>
        <v/>
      </c>
      <c r="AQ24" s="303" t="str">
        <f t="shared" ca="1" si="3"/>
        <v/>
      </c>
      <c r="AR24" s="303" t="str">
        <f t="shared" ca="1" si="3"/>
        <v/>
      </c>
      <c r="AS24" s="303" t="str">
        <f t="shared" ca="1" si="3"/>
        <v/>
      </c>
      <c r="AT24" s="303" t="str">
        <f t="shared" ca="1" si="3"/>
        <v/>
      </c>
      <c r="AU24" s="303" t="str">
        <f t="shared" ca="1" si="3"/>
        <v/>
      </c>
      <c r="AV24" s="303" t="str">
        <f t="shared" ca="1" si="3"/>
        <v/>
      </c>
      <c r="AW24" s="303" t="str">
        <f t="shared" ca="1" si="3"/>
        <v/>
      </c>
      <c r="AX24" s="303" t="str">
        <f t="shared" ca="1" si="3"/>
        <v/>
      </c>
      <c r="AY24" s="303" t="str">
        <f t="shared" ca="1" si="3"/>
        <v/>
      </c>
      <c r="AZ24" s="303" t="str">
        <f t="shared" ca="1" si="3"/>
        <v/>
      </c>
      <c r="BA24" s="303" t="str">
        <f t="shared" ca="1" si="3"/>
        <v/>
      </c>
      <c r="BB24" s="303" t="str">
        <f t="shared" ca="1" si="3"/>
        <v/>
      </c>
      <c r="BC24" s="303" t="str">
        <f t="shared" ca="1" si="3"/>
        <v/>
      </c>
      <c r="BD24" s="303" t="str">
        <f t="shared" ca="1" si="3"/>
        <v/>
      </c>
      <c r="BE24" s="304" t="str">
        <f t="shared" ca="1" si="3"/>
        <v/>
      </c>
    </row>
    <row r="25" spans="1:58" ht="18" hidden="1" customHeight="1">
      <c r="A25" s="565" t="s">
        <v>213</v>
      </c>
      <c r="B25" s="566"/>
      <c r="C25" s="1065"/>
      <c r="D25" s="231"/>
      <c r="E25" s="236"/>
      <c r="F25" s="236"/>
      <c r="G25" s="247"/>
      <c r="H25" s="230"/>
      <c r="I25" s="231"/>
      <c r="J25" s="236"/>
      <c r="K25" s="236"/>
      <c r="L25" s="236"/>
      <c r="M25" s="237"/>
      <c r="N25" s="231"/>
      <c r="O25" s="236"/>
      <c r="P25" s="236"/>
      <c r="Q25" s="236"/>
      <c r="R25" s="247"/>
      <c r="S25" s="302" t="str">
        <f t="shared" ref="S25:BE25" ca="1" si="4">IF($I$28="しない",IF(IFERROR(S147,"")="","",S147),IF(IFERROR(S143,"")="","",S143))</f>
        <v/>
      </c>
      <c r="T25" s="303" t="str">
        <f t="shared" ca="1" si="4"/>
        <v/>
      </c>
      <c r="U25" s="303" t="str">
        <f t="shared" ca="1" si="4"/>
        <v/>
      </c>
      <c r="V25" s="303" t="str">
        <f t="shared" ca="1" si="4"/>
        <v/>
      </c>
      <c r="W25" s="303" t="str">
        <f t="shared" ca="1" si="4"/>
        <v/>
      </c>
      <c r="X25" s="303" t="str">
        <f t="shared" ca="1" si="4"/>
        <v/>
      </c>
      <c r="Y25" s="303" t="str">
        <f t="shared" ca="1" si="4"/>
        <v/>
      </c>
      <c r="Z25" s="303" t="str">
        <f t="shared" ca="1" si="4"/>
        <v/>
      </c>
      <c r="AA25" s="303" t="str">
        <f t="shared" ca="1" si="4"/>
        <v/>
      </c>
      <c r="AB25" s="303" t="str">
        <f t="shared" ca="1" si="4"/>
        <v/>
      </c>
      <c r="AC25" s="303" t="str">
        <f t="shared" ca="1" si="4"/>
        <v/>
      </c>
      <c r="AD25" s="303" t="str">
        <f t="shared" ca="1" si="4"/>
        <v/>
      </c>
      <c r="AE25" s="303" t="str">
        <f t="shared" ca="1" si="4"/>
        <v/>
      </c>
      <c r="AF25" s="303" t="str">
        <f t="shared" ca="1" si="4"/>
        <v/>
      </c>
      <c r="AG25" s="303" t="str">
        <f t="shared" ca="1" si="4"/>
        <v/>
      </c>
      <c r="AH25" s="303" t="str">
        <f t="shared" ca="1" si="4"/>
        <v/>
      </c>
      <c r="AI25" s="303" t="str">
        <f t="shared" ca="1" si="4"/>
        <v/>
      </c>
      <c r="AJ25" s="303" t="str">
        <f t="shared" ca="1" si="4"/>
        <v/>
      </c>
      <c r="AK25" s="303" t="str">
        <f t="shared" ca="1" si="4"/>
        <v/>
      </c>
      <c r="AL25" s="303" t="str">
        <f t="shared" ca="1" si="4"/>
        <v/>
      </c>
      <c r="AM25" s="303" t="str">
        <f t="shared" ca="1" si="4"/>
        <v/>
      </c>
      <c r="AN25" s="303" t="str">
        <f t="shared" ca="1" si="4"/>
        <v/>
      </c>
      <c r="AO25" s="303" t="str">
        <f t="shared" ca="1" si="4"/>
        <v/>
      </c>
      <c r="AP25" s="303" t="str">
        <f t="shared" ca="1" si="4"/>
        <v/>
      </c>
      <c r="AQ25" s="303" t="str">
        <f t="shared" ca="1" si="4"/>
        <v/>
      </c>
      <c r="AR25" s="303" t="str">
        <f t="shared" ca="1" si="4"/>
        <v/>
      </c>
      <c r="AS25" s="303" t="str">
        <f t="shared" ca="1" si="4"/>
        <v/>
      </c>
      <c r="AT25" s="303" t="str">
        <f t="shared" ca="1" si="4"/>
        <v/>
      </c>
      <c r="AU25" s="303" t="str">
        <f t="shared" ca="1" si="4"/>
        <v/>
      </c>
      <c r="AV25" s="303" t="str">
        <f t="shared" ca="1" si="4"/>
        <v/>
      </c>
      <c r="AW25" s="303" t="str">
        <f t="shared" ca="1" si="4"/>
        <v/>
      </c>
      <c r="AX25" s="303" t="str">
        <f t="shared" ca="1" si="4"/>
        <v/>
      </c>
      <c r="AY25" s="303" t="str">
        <f t="shared" ca="1" si="4"/>
        <v/>
      </c>
      <c r="AZ25" s="303" t="str">
        <f t="shared" ca="1" si="4"/>
        <v/>
      </c>
      <c r="BA25" s="303" t="str">
        <f t="shared" ca="1" si="4"/>
        <v/>
      </c>
      <c r="BB25" s="303" t="str">
        <f t="shared" ca="1" si="4"/>
        <v/>
      </c>
      <c r="BC25" s="303" t="str">
        <f t="shared" ca="1" si="4"/>
        <v/>
      </c>
      <c r="BD25" s="303" t="str">
        <f t="shared" ca="1" si="4"/>
        <v/>
      </c>
      <c r="BE25" s="304" t="str">
        <f t="shared" ca="1" si="4"/>
        <v/>
      </c>
      <c r="BF25" s="224"/>
    </row>
    <row r="26" spans="1:58" ht="18" hidden="1" customHeight="1" thickBot="1">
      <c r="A26" s="1066" t="s">
        <v>214</v>
      </c>
      <c r="B26" s="1067"/>
      <c r="C26" s="1068"/>
      <c r="D26" s="235"/>
      <c r="E26" s="248"/>
      <c r="F26" s="248"/>
      <c r="G26" s="134"/>
      <c r="H26" s="234"/>
      <c r="I26" s="231"/>
      <c r="J26" s="236"/>
      <c r="K26" s="236"/>
      <c r="L26" s="236"/>
      <c r="M26" s="237"/>
      <c r="N26" s="235"/>
      <c r="O26" s="248"/>
      <c r="P26" s="248"/>
      <c r="Q26" s="248"/>
      <c r="R26" s="134"/>
      <c r="S26" s="305" t="str">
        <f t="shared" ref="S26:BE26" ca="1" si="5">IF($I$28="しない",IF(IFERROR(S148,"")="","",S148),IF(IFERROR(S144,"")="","",S144))</f>
        <v/>
      </c>
      <c r="T26" s="306" t="str">
        <f t="shared" ca="1" si="5"/>
        <v/>
      </c>
      <c r="U26" s="306" t="str">
        <f t="shared" ca="1" si="5"/>
        <v/>
      </c>
      <c r="V26" s="306" t="str">
        <f t="shared" ca="1" si="5"/>
        <v/>
      </c>
      <c r="W26" s="306" t="str">
        <f t="shared" ca="1" si="5"/>
        <v/>
      </c>
      <c r="X26" s="306" t="str">
        <f t="shared" ca="1" si="5"/>
        <v/>
      </c>
      <c r="Y26" s="306" t="str">
        <f t="shared" ca="1" si="5"/>
        <v/>
      </c>
      <c r="Z26" s="306" t="str">
        <f t="shared" ca="1" si="5"/>
        <v/>
      </c>
      <c r="AA26" s="306" t="str">
        <f t="shared" ca="1" si="5"/>
        <v/>
      </c>
      <c r="AB26" s="306" t="str">
        <f t="shared" ca="1" si="5"/>
        <v/>
      </c>
      <c r="AC26" s="306" t="str">
        <f t="shared" ca="1" si="5"/>
        <v/>
      </c>
      <c r="AD26" s="306" t="str">
        <f t="shared" ca="1" si="5"/>
        <v/>
      </c>
      <c r="AE26" s="306" t="str">
        <f t="shared" ca="1" si="5"/>
        <v/>
      </c>
      <c r="AF26" s="306" t="str">
        <f t="shared" ca="1" si="5"/>
        <v/>
      </c>
      <c r="AG26" s="306" t="str">
        <f t="shared" ca="1" si="5"/>
        <v/>
      </c>
      <c r="AH26" s="306" t="str">
        <f t="shared" ca="1" si="5"/>
        <v/>
      </c>
      <c r="AI26" s="306" t="str">
        <f t="shared" ca="1" si="5"/>
        <v/>
      </c>
      <c r="AJ26" s="306" t="str">
        <f t="shared" ca="1" si="5"/>
        <v/>
      </c>
      <c r="AK26" s="306" t="str">
        <f t="shared" ca="1" si="5"/>
        <v/>
      </c>
      <c r="AL26" s="306" t="str">
        <f t="shared" ca="1" si="5"/>
        <v/>
      </c>
      <c r="AM26" s="306" t="str">
        <f t="shared" ca="1" si="5"/>
        <v/>
      </c>
      <c r="AN26" s="306" t="str">
        <f t="shared" ca="1" si="5"/>
        <v/>
      </c>
      <c r="AO26" s="306" t="str">
        <f t="shared" ca="1" si="5"/>
        <v/>
      </c>
      <c r="AP26" s="306" t="str">
        <f t="shared" ca="1" si="5"/>
        <v/>
      </c>
      <c r="AQ26" s="306" t="str">
        <f t="shared" ca="1" si="5"/>
        <v/>
      </c>
      <c r="AR26" s="306" t="str">
        <f t="shared" ca="1" si="5"/>
        <v/>
      </c>
      <c r="AS26" s="306" t="str">
        <f t="shared" ca="1" si="5"/>
        <v/>
      </c>
      <c r="AT26" s="306" t="str">
        <f t="shared" ca="1" si="5"/>
        <v/>
      </c>
      <c r="AU26" s="306" t="str">
        <f t="shared" ca="1" si="5"/>
        <v/>
      </c>
      <c r="AV26" s="306" t="str">
        <f t="shared" ca="1" si="5"/>
        <v/>
      </c>
      <c r="AW26" s="306" t="str">
        <f t="shared" ca="1" si="5"/>
        <v/>
      </c>
      <c r="AX26" s="306" t="str">
        <f t="shared" ca="1" si="5"/>
        <v/>
      </c>
      <c r="AY26" s="306" t="str">
        <f t="shared" ca="1" si="5"/>
        <v/>
      </c>
      <c r="AZ26" s="306" t="str">
        <f t="shared" ca="1" si="5"/>
        <v/>
      </c>
      <c r="BA26" s="306" t="str">
        <f t="shared" ca="1" si="5"/>
        <v/>
      </c>
      <c r="BB26" s="306" t="str">
        <f t="shared" ca="1" si="5"/>
        <v/>
      </c>
      <c r="BC26" s="306" t="str">
        <f t="shared" ca="1" si="5"/>
        <v/>
      </c>
      <c r="BD26" s="306" t="str">
        <f t="shared" ca="1" si="5"/>
        <v/>
      </c>
      <c r="BE26" s="307" t="str">
        <f t="shared" ca="1" si="5"/>
        <v/>
      </c>
    </row>
    <row r="27" spans="1:58" ht="18" hidden="1" customHeight="1" thickBot="1">
      <c r="A27" s="811" t="s">
        <v>203</v>
      </c>
      <c r="B27" s="812"/>
      <c r="C27" s="812"/>
      <c r="D27" s="812"/>
      <c r="E27" s="812"/>
      <c r="F27" s="812"/>
      <c r="G27" s="812"/>
      <c r="H27" s="1069"/>
      <c r="I27" s="1081">
        <v>1</v>
      </c>
      <c r="J27" s="1081"/>
      <c r="K27" s="1081"/>
      <c r="L27" s="1081"/>
      <c r="M27" s="264" t="s">
        <v>204</v>
      </c>
      <c r="N27" s="1042" t="s">
        <v>221</v>
      </c>
      <c r="O27" s="1043"/>
      <c r="P27" s="1043"/>
      <c r="Q27" s="1043"/>
      <c r="R27" s="1043"/>
      <c r="S27" s="1082">
        <f>IF(L2="","",E213)</f>
        <v>12</v>
      </c>
      <c r="T27" s="1082"/>
      <c r="U27" s="1082"/>
      <c r="V27" s="1083" t="str">
        <f>IF(S28="","",IF(S27-S28&gt;2,"目標よりも最高ボーメが相当低い。",IF(S27-S28&gt;1,"目標より最高ボーメが低い。",IF(S27-S28&lt;-2,"目標より最高ボーメが相当高い。",IF(S27-S28&lt;-1,"目標より最高ボーメが高い。",""))))&amp;IF(S28&gt;7,"絶対的に最高ボーメが高いので、濃糖圧迫に注意すること（酸が高くなり、後半の切れが悪くなる）。",IF(S28&lt;4,"絶対的に最高ボーメが低いので、溶け具合や発酵具合を確認すること（身ウスになったり、香りが低くなる）。",""))&amp;IF(F156&gt;6,"最高ボーメが来るのが遅れ気味である。",""))</f>
        <v/>
      </c>
      <c r="W27" s="1083"/>
      <c r="X27" s="1083"/>
      <c r="Y27" s="1083"/>
      <c r="Z27" s="1083"/>
      <c r="AA27" s="1084"/>
      <c r="AB27" s="1042" t="s">
        <v>222</v>
      </c>
      <c r="AC27" s="1043"/>
      <c r="AD27" s="1043"/>
      <c r="AE27" s="1043"/>
      <c r="AF27" s="1043"/>
      <c r="AG27" s="1089">
        <f>IF(L2="","",E214)</f>
        <v>45.3</v>
      </c>
      <c r="AH27" s="1089"/>
      <c r="AI27" s="1089"/>
      <c r="AJ27" s="1083" t="str">
        <f>IF(AG28="","",IF(AG27-AG28&gt;10,"目標よりも最高BMDが相当低い。",IF(AG27-AG28&gt;5,"目標より最高BMDが低い。",IF(AG27-AG28&lt;-10,"目標より最高BMDが相当高い。",IF(AG27-AG28&lt;-5,"目標より最高BMDが高い。",""))))&amp;IF(AG28&gt;60,"絶対的に最高BMDが高いので、濃糖圧迫に注意すること（酸が高くなり、後半の切れが悪くなる）。",IF(AG28&lt;50,"絶対的に最高BMDが低いので、溶け具合や発酵具合を確認すること（身ウスになったり、香りが低くなる）。",""))&amp;IF(F159&gt;14,"最高BMDが来るのが遅れ気味である。",IF(F159&lt;7,"最高BMDが来るのが早めである。","")))</f>
        <v/>
      </c>
      <c r="AK27" s="1083"/>
      <c r="AL27" s="1083"/>
      <c r="AM27" s="1083"/>
      <c r="AN27" s="1083"/>
      <c r="AO27" s="1084"/>
      <c r="AP27" s="1093" t="str">
        <f>"目標アルコール分（"&amp;E215&amp;"度）の時の予測日本酒度"</f>
        <v>目標アルコール分（15.6度）の時の予測日本酒度</v>
      </c>
      <c r="AQ27" s="1094"/>
      <c r="AR27" s="1094"/>
      <c r="AS27" s="1094"/>
      <c r="AT27" s="1094"/>
      <c r="AU27" s="1094"/>
      <c r="AV27" s="1094"/>
      <c r="AW27" s="1094"/>
      <c r="AX27" s="1041" t="str">
        <f>IF(COUNTA(S15:BE15)=0,"",IF(H152=0,"",H151+(E215-H152)/1.8*10))</f>
        <v/>
      </c>
      <c r="AY27" s="1041"/>
      <c r="AZ27" s="1041"/>
      <c r="BA27" s="1070" t="str">
        <f>IF(AX27="","",IF(AX29="","",IF(AX27+10&lt;E216,"原エキスが目標よりも相当多く、相当甘くなる、ないしは高いアルコール分になる。早めかつ多めの追水が望ましい。",IF(AX27+5&lt;E216,"原エキスが目標よりも多めのため、甘めないしは高めのアルコール分になる。追水で調整。",IF(AX27&gt;E216+10,"原エキスが目標よりも相当低く、相当辛い、ないしは低いアルコール分になる。早めの酵素添加等の対応が必要。追水は厳禁。",IF(AX27&gt;E216+5,"原エキスが目標よりも低めのため、辛めないしは低めのアルコール分になる。必要に応じ酵素剤を打つとともに、追水量は控えめにする。",""))))))</f>
        <v/>
      </c>
      <c r="BB27" s="1071"/>
      <c r="BC27" s="1071"/>
      <c r="BD27" s="1071"/>
      <c r="BE27" s="1072"/>
    </row>
    <row r="28" spans="1:58" ht="18" hidden="1" customHeight="1" thickBot="1">
      <c r="A28" s="1045" t="s">
        <v>215</v>
      </c>
      <c r="B28" s="1046"/>
      <c r="C28" s="1046"/>
      <c r="D28" s="1046"/>
      <c r="E28" s="1046"/>
      <c r="F28" s="1046"/>
      <c r="G28" s="1046"/>
      <c r="H28" s="1047"/>
      <c r="I28" s="1049" t="s">
        <v>281</v>
      </c>
      <c r="J28" s="1049"/>
      <c r="K28" s="1049"/>
      <c r="L28" s="1049"/>
      <c r="M28" s="1049"/>
      <c r="N28" s="1079" t="s">
        <v>220</v>
      </c>
      <c r="O28" s="827"/>
      <c r="P28" s="827"/>
      <c r="Q28" s="827"/>
      <c r="R28" s="827"/>
      <c r="S28" s="1080" t="str">
        <f>IF(F155="","",IF(COUNTA(S14:BE14)=0,"",F155))</f>
        <v/>
      </c>
      <c r="T28" s="1080"/>
      <c r="U28" s="1080"/>
      <c r="V28" s="1085"/>
      <c r="W28" s="1085"/>
      <c r="X28" s="1085"/>
      <c r="Y28" s="1085"/>
      <c r="Z28" s="1085"/>
      <c r="AA28" s="1086"/>
      <c r="AB28" s="1079" t="s">
        <v>223</v>
      </c>
      <c r="AC28" s="827"/>
      <c r="AD28" s="827"/>
      <c r="AE28" s="827"/>
      <c r="AF28" s="827"/>
      <c r="AG28" s="1080" t="str">
        <f>IF(F158="","",IF(COUNTA(S14:BE14)=0,"",F158))</f>
        <v/>
      </c>
      <c r="AH28" s="1080"/>
      <c r="AI28" s="1080"/>
      <c r="AJ28" s="1085"/>
      <c r="AK28" s="1085"/>
      <c r="AL28" s="1085"/>
      <c r="AM28" s="1085"/>
      <c r="AN28" s="1085"/>
      <c r="AO28" s="1086"/>
      <c r="AP28" s="181"/>
      <c r="AQ28" s="182"/>
      <c r="AR28" s="182"/>
      <c r="AS28" s="182"/>
      <c r="AT28" s="182"/>
      <c r="AU28" s="182"/>
      <c r="AV28" s="182"/>
      <c r="AW28" s="182"/>
      <c r="AX28" s="182"/>
      <c r="AY28" s="182"/>
      <c r="AZ28" s="182"/>
      <c r="BA28" s="1073"/>
      <c r="BB28" s="1074"/>
      <c r="BC28" s="1074"/>
      <c r="BD28" s="1074"/>
      <c r="BE28" s="1075"/>
    </row>
    <row r="29" spans="1:58" ht="18" hidden="1" customHeight="1" thickBot="1">
      <c r="A29" s="1045" t="s">
        <v>280</v>
      </c>
      <c r="B29" s="1046"/>
      <c r="C29" s="1046"/>
      <c r="D29" s="1046"/>
      <c r="E29" s="1046"/>
      <c r="F29" s="1046"/>
      <c r="G29" s="1046"/>
      <c r="H29" s="1047"/>
      <c r="I29" s="1048" t="s">
        <v>288</v>
      </c>
      <c r="J29" s="1049"/>
      <c r="K29" s="1049"/>
      <c r="L29" s="1049"/>
      <c r="M29" s="1050"/>
      <c r="N29" s="1051" t="s">
        <v>205</v>
      </c>
      <c r="O29" s="1052"/>
      <c r="P29" s="1052"/>
      <c r="Q29" s="1052"/>
      <c r="R29" s="1052"/>
      <c r="S29" s="779" t="str">
        <f>IF(S28="","",IF(F156="","",F156&amp;"日"))</f>
        <v/>
      </c>
      <c r="T29" s="779"/>
      <c r="U29" s="779"/>
      <c r="V29" s="1087"/>
      <c r="W29" s="1087"/>
      <c r="X29" s="1087"/>
      <c r="Y29" s="1087"/>
      <c r="Z29" s="1087"/>
      <c r="AA29" s="1088"/>
      <c r="AB29" s="1051" t="s">
        <v>164</v>
      </c>
      <c r="AC29" s="1052"/>
      <c r="AD29" s="1052"/>
      <c r="AE29" s="1052"/>
      <c r="AF29" s="1052"/>
      <c r="AG29" s="779" t="str">
        <f>IF(AG28="","",IF(F159="","",F159&amp;"日"))</f>
        <v/>
      </c>
      <c r="AH29" s="779"/>
      <c r="AI29" s="779"/>
      <c r="AJ29" s="1087"/>
      <c r="AK29" s="1087"/>
      <c r="AL29" s="1087"/>
      <c r="AM29" s="1087"/>
      <c r="AN29" s="1087"/>
      <c r="AO29" s="1088"/>
      <c r="AP29" s="1090" t="str">
        <f>"目標日本酒度（"&amp;IF(E216&lt;0,E216,IF(E216&gt;0,"+"&amp;E216,"±"&amp;E216))&amp;"）の時の予測アルコール分（度）"</f>
        <v>目標日本酒度（-5.8）の時の予測アルコール分（度）</v>
      </c>
      <c r="AQ29" s="1091"/>
      <c r="AR29" s="1091"/>
      <c r="AS29" s="1091"/>
      <c r="AT29" s="1091"/>
      <c r="AU29" s="1091"/>
      <c r="AV29" s="1091"/>
      <c r="AW29" s="1091"/>
      <c r="AX29" s="1092" t="str">
        <f>IF(COUNTA(S15:BE15)=0,"",IF(AX27="","",ROUND((E216-H151)/10*1.8+H152,1)&amp;"度"))</f>
        <v/>
      </c>
      <c r="AY29" s="1092"/>
      <c r="AZ29" s="1092"/>
      <c r="BA29" s="1076"/>
      <c r="BB29" s="1077"/>
      <c r="BC29" s="1077"/>
      <c r="BD29" s="1077"/>
      <c r="BE29" s="1078"/>
    </row>
    <row r="30" spans="1:58" s="4" customFormat="1" ht="19.5" customHeight="1" thickBot="1">
      <c r="B30" s="42"/>
      <c r="C30" s="229"/>
      <c r="D30" s="229"/>
      <c r="E30" s="42"/>
      <c r="F30" s="42"/>
      <c r="G30" s="42"/>
      <c r="H30" s="42"/>
      <c r="I30" s="42"/>
      <c r="J30" s="42"/>
      <c r="K30" s="42"/>
      <c r="L30" s="42"/>
      <c r="M30" s="42"/>
      <c r="N30" s="42"/>
      <c r="O30" s="42"/>
      <c r="P30" s="42"/>
      <c r="Q30" s="42"/>
      <c r="R30" s="42"/>
      <c r="T30" s="42"/>
      <c r="U30" s="42"/>
      <c r="V30" s="42"/>
      <c r="W30" s="42"/>
      <c r="X30" s="42"/>
      <c r="Y30" s="42"/>
      <c r="Z30" s="42"/>
      <c r="AB30" s="42"/>
      <c r="AC30" s="42"/>
      <c r="AD30" s="42"/>
      <c r="AE30" s="42"/>
      <c r="AF30" s="42"/>
      <c r="AG30" s="42"/>
      <c r="AH30" s="42"/>
      <c r="AI30" s="42"/>
      <c r="AT30" s="42"/>
      <c r="AU30" s="42"/>
      <c r="AV30" s="42"/>
      <c r="AW30" s="42"/>
      <c r="AX30" s="42"/>
      <c r="AY30" s="42"/>
      <c r="AZ30" s="42"/>
      <c r="BA30" s="42"/>
      <c r="BB30" s="42"/>
      <c r="BC30" s="42"/>
      <c r="BD30" s="42"/>
      <c r="BF30" s="223"/>
    </row>
    <row r="31" spans="1:58" s="52" customFormat="1" ht="19.5" customHeight="1">
      <c r="A31" s="1042" t="s">
        <v>43</v>
      </c>
      <c r="B31" s="1043"/>
      <c r="C31" s="245" t="s">
        <v>45</v>
      </c>
      <c r="D31" s="99"/>
      <c r="E31" s="100"/>
      <c r="F31" s="100"/>
      <c r="G31" s="101"/>
      <c r="H31" s="148"/>
      <c r="I31" s="99"/>
      <c r="J31" s="100"/>
      <c r="K31" s="100"/>
      <c r="L31" s="100"/>
      <c r="M31" s="101"/>
      <c r="N31" s="99"/>
      <c r="O31" s="100"/>
      <c r="P31" s="100"/>
      <c r="Q31" s="100"/>
      <c r="R31" s="101"/>
      <c r="S31" s="102"/>
      <c r="T31" s="100"/>
      <c r="U31" s="100"/>
      <c r="V31" s="100"/>
      <c r="W31" s="100"/>
      <c r="X31" s="100"/>
      <c r="Y31" s="100"/>
      <c r="Z31" s="100"/>
      <c r="AA31" s="103"/>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4"/>
    </row>
    <row r="32" spans="1:58" s="52" customFormat="1" ht="20.100000000000001" customHeight="1" thickBot="1">
      <c r="A32" s="186"/>
      <c r="B32" s="242" t="s">
        <v>44</v>
      </c>
      <c r="C32" s="244" t="s">
        <v>160</v>
      </c>
      <c r="D32" s="1044"/>
      <c r="E32" s="937"/>
      <c r="F32" s="937"/>
      <c r="G32" s="938"/>
      <c r="H32" s="243"/>
      <c r="I32" s="1044"/>
      <c r="J32" s="937"/>
      <c r="K32" s="937"/>
      <c r="L32" s="937"/>
      <c r="M32" s="938"/>
      <c r="N32" s="1044"/>
      <c r="O32" s="937"/>
      <c r="P32" s="937"/>
      <c r="Q32" s="937"/>
      <c r="R32" s="938"/>
      <c r="S32" s="108"/>
      <c r="T32" s="241"/>
      <c r="U32" s="241"/>
      <c r="V32" s="241"/>
      <c r="W32" s="241"/>
      <c r="X32" s="241"/>
      <c r="Y32" s="241"/>
      <c r="Z32" s="241"/>
      <c r="AA32" s="109"/>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110"/>
    </row>
    <row r="33" spans="1:57" s="52" customFormat="1" ht="20.100000000000001" customHeight="1">
      <c r="A33" s="1042" t="s">
        <v>46</v>
      </c>
      <c r="B33" s="1043"/>
      <c r="C33" s="245" t="s">
        <v>97</v>
      </c>
      <c r="D33" s="99"/>
      <c r="E33" s="100"/>
      <c r="F33" s="100"/>
      <c r="G33" s="101"/>
      <c r="H33" s="148"/>
      <c r="I33" s="99"/>
      <c r="J33" s="100"/>
      <c r="K33" s="100"/>
      <c r="L33" s="100"/>
      <c r="M33" s="101"/>
      <c r="N33" s="99"/>
      <c r="O33" s="100"/>
      <c r="P33" s="100"/>
      <c r="Q33" s="100"/>
      <c r="R33" s="101"/>
      <c r="S33" s="102"/>
      <c r="T33" s="100"/>
      <c r="U33" s="100"/>
      <c r="V33" s="100"/>
      <c r="W33" s="100"/>
      <c r="X33" s="100"/>
      <c r="Y33" s="100"/>
      <c r="Z33" s="100"/>
      <c r="AA33" s="103"/>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4"/>
    </row>
    <row r="34" spans="1:57" s="52" customFormat="1" ht="20.100000000000001" customHeight="1">
      <c r="A34" s="1053"/>
      <c r="B34" s="1055" t="s">
        <v>44</v>
      </c>
      <c r="C34" s="247" t="s">
        <v>45</v>
      </c>
      <c r="D34" s="233"/>
      <c r="E34" s="217"/>
      <c r="F34" s="217"/>
      <c r="G34" s="232"/>
      <c r="H34" s="149"/>
      <c r="I34" s="233"/>
      <c r="J34" s="217"/>
      <c r="K34" s="217"/>
      <c r="L34" s="217"/>
      <c r="M34" s="232"/>
      <c r="N34" s="233"/>
      <c r="O34" s="217"/>
      <c r="P34" s="217"/>
      <c r="Q34" s="217"/>
      <c r="R34" s="232"/>
      <c r="S34" s="105"/>
      <c r="T34" s="217"/>
      <c r="U34" s="217"/>
      <c r="V34" s="217"/>
      <c r="W34" s="217"/>
      <c r="X34" s="217"/>
      <c r="Y34" s="217"/>
      <c r="Z34" s="217"/>
      <c r="AA34" s="106"/>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107"/>
    </row>
    <row r="35" spans="1:57" s="52" customFormat="1" ht="20.100000000000001" customHeight="1" thickBot="1">
      <c r="A35" s="1054"/>
      <c r="B35" s="1056"/>
      <c r="C35" s="244" t="s">
        <v>160</v>
      </c>
      <c r="D35" s="1057"/>
      <c r="E35" s="1058"/>
      <c r="F35" s="1058"/>
      <c r="G35" s="1059"/>
      <c r="H35" s="243"/>
      <c r="I35" s="1057"/>
      <c r="J35" s="1058"/>
      <c r="K35" s="1058"/>
      <c r="L35" s="1058"/>
      <c r="M35" s="1059"/>
      <c r="N35" s="1057"/>
      <c r="O35" s="1058"/>
      <c r="P35" s="1058"/>
      <c r="Q35" s="1058"/>
      <c r="R35" s="1059"/>
      <c r="S35" s="108"/>
      <c r="T35" s="241"/>
      <c r="U35" s="241"/>
      <c r="V35" s="241"/>
      <c r="W35" s="241"/>
      <c r="X35" s="241"/>
      <c r="Y35" s="241"/>
      <c r="Z35" s="241"/>
      <c r="AA35" s="109"/>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110"/>
    </row>
    <row r="36" spans="1:57" s="52" customFormat="1" ht="20.100000000000001" customHeight="1">
      <c r="A36" s="1042" t="s">
        <v>46</v>
      </c>
      <c r="B36" s="1043"/>
      <c r="C36" s="245" t="s">
        <v>97</v>
      </c>
      <c r="D36" s="187"/>
      <c r="E36" s="188"/>
      <c r="F36" s="188"/>
      <c r="G36" s="189"/>
      <c r="H36" s="190"/>
      <c r="I36" s="187"/>
      <c r="J36" s="188"/>
      <c r="K36" s="188"/>
      <c r="L36" s="188"/>
      <c r="M36" s="189"/>
      <c r="N36" s="187"/>
      <c r="O36" s="188"/>
      <c r="P36" s="188"/>
      <c r="Q36" s="188"/>
      <c r="R36" s="189"/>
      <c r="S36" s="191"/>
      <c r="T36" s="188"/>
      <c r="U36" s="188"/>
      <c r="V36" s="188"/>
      <c r="W36" s="188"/>
      <c r="X36" s="188"/>
      <c r="Y36" s="188"/>
      <c r="Z36" s="188"/>
      <c r="AA36" s="192"/>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93"/>
    </row>
    <row r="37" spans="1:57" s="52" customFormat="1" ht="20.100000000000001" customHeight="1">
      <c r="A37" s="1053"/>
      <c r="B37" s="1055" t="s">
        <v>44</v>
      </c>
      <c r="C37" s="247" t="s">
        <v>45</v>
      </c>
      <c r="D37" s="233"/>
      <c r="E37" s="217"/>
      <c r="F37" s="217"/>
      <c r="G37" s="232"/>
      <c r="H37" s="149"/>
      <c r="I37" s="233"/>
      <c r="J37" s="217"/>
      <c r="K37" s="217"/>
      <c r="L37" s="217"/>
      <c r="M37" s="232"/>
      <c r="N37" s="233"/>
      <c r="O37" s="217"/>
      <c r="P37" s="217"/>
      <c r="Q37" s="217"/>
      <c r="R37" s="232"/>
      <c r="S37" s="105"/>
      <c r="T37" s="217"/>
      <c r="U37" s="217"/>
      <c r="V37" s="217"/>
      <c r="W37" s="217"/>
      <c r="X37" s="217"/>
      <c r="Y37" s="217"/>
      <c r="Z37" s="217"/>
      <c r="AA37" s="106"/>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107"/>
    </row>
    <row r="38" spans="1:57" s="52" customFormat="1" ht="20.100000000000001" customHeight="1" thickBot="1">
      <c r="A38" s="1054"/>
      <c r="B38" s="1056"/>
      <c r="C38" s="244" t="s">
        <v>160</v>
      </c>
      <c r="D38" s="1057"/>
      <c r="E38" s="1058"/>
      <c r="F38" s="1058"/>
      <c r="G38" s="1059"/>
      <c r="H38" s="243"/>
      <c r="I38" s="1057"/>
      <c r="J38" s="1058"/>
      <c r="K38" s="1058"/>
      <c r="L38" s="1058"/>
      <c r="M38" s="1059"/>
      <c r="N38" s="1057"/>
      <c r="O38" s="1058"/>
      <c r="P38" s="1058"/>
      <c r="Q38" s="1058"/>
      <c r="R38" s="1059"/>
      <c r="S38" s="108"/>
      <c r="T38" s="241"/>
      <c r="U38" s="241"/>
      <c r="V38" s="241"/>
      <c r="W38" s="241"/>
      <c r="X38" s="241"/>
      <c r="Y38" s="241"/>
      <c r="Z38" s="241"/>
      <c r="AA38" s="109"/>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110"/>
    </row>
    <row r="39" spans="1:57" s="52" customFormat="1" ht="20.100000000000001" customHeight="1" thickBot="1">
      <c r="A39" s="1037" t="s">
        <v>161</v>
      </c>
      <c r="B39" s="782"/>
      <c r="C39" s="925"/>
      <c r="D39" s="1038" t="str">
        <f>IF(SUM(D32,D35,D38)=0,"",IF(SUM(D70:I70)=0,"",ROUND(SUM(D32,D35,D38)/SUM(D70:I70),3)))</f>
        <v/>
      </c>
      <c r="E39" s="1039"/>
      <c r="F39" s="1039"/>
      <c r="G39" s="1040"/>
      <c r="H39" s="194"/>
      <c r="I39" s="1038" t="str">
        <f>IF(SUM(I32,I35,I38)=0,"",IF(SUM(D70:L70)=0,"",ROUND(SUM(I32,I35,I38)/SUM(D70:L70),3)))</f>
        <v/>
      </c>
      <c r="J39" s="1039"/>
      <c r="K39" s="1039"/>
      <c r="L39" s="1039"/>
      <c r="M39" s="1040"/>
      <c r="N39" s="1038" t="str">
        <f>IF(N32="","",IF(SUM(D70:O70)=0,"",ROUND(SUM(N32,N35,N38)/SUM(D70:O70),3)))</f>
        <v/>
      </c>
      <c r="O39" s="1039"/>
      <c r="P39" s="1039"/>
      <c r="Q39" s="1039"/>
      <c r="R39" s="1040"/>
      <c r="S39" s="1015" t="s">
        <v>233</v>
      </c>
      <c r="T39" s="1016"/>
      <c r="U39" s="1016"/>
      <c r="V39" s="1016"/>
      <c r="W39" s="1017" t="str">
        <f>IF(D70="","",IF(Y70="","",ROUND(D70/Y70,3)))</f>
        <v/>
      </c>
      <c r="X39" s="1017"/>
      <c r="Y39" s="1018"/>
      <c r="Z39" s="1015" t="s">
        <v>4</v>
      </c>
      <c r="AA39" s="1016"/>
      <c r="AB39" s="1016"/>
      <c r="AC39" s="1016"/>
      <c r="AD39" s="1019" t="str">
        <f>IF(IFERROR(Q188,"")="","",Q188)</f>
        <v/>
      </c>
      <c r="AE39" s="1019"/>
      <c r="AF39" s="1019"/>
      <c r="AG39" s="1020" t="str">
        <f>IF(IFERROR(R188,"")="","",R188)</f>
        <v/>
      </c>
      <c r="AH39" s="1021"/>
      <c r="AI39" s="1021"/>
      <c r="AJ39" s="1021"/>
      <c r="AK39" s="1020" t="str">
        <f>IF(IFERROR(T188,"")="","",T188)</f>
        <v/>
      </c>
      <c r="AL39" s="1021"/>
      <c r="AM39" s="1021"/>
      <c r="AN39" s="1022"/>
      <c r="AO39" s="1015" t="s">
        <v>145</v>
      </c>
      <c r="AP39" s="1016"/>
      <c r="AQ39" s="1016"/>
      <c r="AR39" s="1016"/>
      <c r="AS39" s="1019" t="str">
        <f>IF(IFERROR(AA188,"")="","",AA188)</f>
        <v/>
      </c>
      <c r="AT39" s="1019"/>
      <c r="AU39" s="1019"/>
      <c r="AV39" s="1020" t="str">
        <f>IF(IFERROR(AB188,"")="","",AB188)</f>
        <v/>
      </c>
      <c r="AW39" s="1021"/>
      <c r="AX39" s="1021"/>
      <c r="AY39" s="1022"/>
      <c r="BD39" s="53"/>
    </row>
    <row r="40" spans="1:57" s="52" customFormat="1" ht="20.100000000000001" customHeight="1" thickBot="1">
      <c r="A40" s="974" t="s">
        <v>242</v>
      </c>
      <c r="B40" s="778"/>
      <c r="C40" s="1033"/>
      <c r="D40" s="1034" t="str">
        <f>IF(SUM(D73:I73)=0,"",IF(SUM(D70:I70)=0,"",ROUND(SUM(D73:I73)/SUM(D70:I70),3)))</f>
        <v/>
      </c>
      <c r="E40" s="1035"/>
      <c r="F40" s="1035"/>
      <c r="G40" s="1036"/>
      <c r="H40" s="252"/>
      <c r="I40" s="1034" t="str">
        <f>IF(SUM(D73:L73)=0,"",IF(SUM(D70:L70)=0,"",ROUND(SUM(D73:L73)/SUM(D70:L70),3)))</f>
        <v/>
      </c>
      <c r="J40" s="1035"/>
      <c r="K40" s="1035"/>
      <c r="L40" s="1035"/>
      <c r="M40" s="1036"/>
      <c r="N40" s="1034" t="str">
        <f>IF(SUM(D73:O73)=0,"",IF(SUM(D70:O70)=0,"",ROUND(SUM(D73:O73)/SUM(D70:O70),3)))</f>
        <v/>
      </c>
      <c r="O40" s="1035"/>
      <c r="P40" s="1035"/>
      <c r="Q40" s="1035"/>
      <c r="R40" s="1036"/>
      <c r="S40" s="1015" t="s">
        <v>234</v>
      </c>
      <c r="T40" s="1016"/>
      <c r="U40" s="1016"/>
      <c r="V40" s="1016"/>
      <c r="W40" s="1017" t="str">
        <f>IF(Y72="","",Y72/Y70)</f>
        <v/>
      </c>
      <c r="X40" s="1017"/>
      <c r="Y40" s="1018"/>
      <c r="Z40" s="1015" t="s">
        <v>143</v>
      </c>
      <c r="AA40" s="1016"/>
      <c r="AB40" s="1016"/>
      <c r="AC40" s="1016"/>
      <c r="AD40" s="1019" t="str">
        <f>IF(IFERROR(Q189,"")="","",Q189)</f>
        <v/>
      </c>
      <c r="AE40" s="1019"/>
      <c r="AF40" s="1019"/>
      <c r="AG40" s="1020" t="str">
        <f>IF(IFERROR(R189,"")="","",R189)</f>
        <v/>
      </c>
      <c r="AH40" s="1021"/>
      <c r="AI40" s="1021"/>
      <c r="AJ40" s="1021"/>
      <c r="AK40" s="1020" t="str">
        <f>IF(IFERROR(T189,"")="","",T189)</f>
        <v/>
      </c>
      <c r="AL40" s="1021"/>
      <c r="AM40" s="1021"/>
      <c r="AN40" s="1022"/>
      <c r="AO40" s="1015" t="s">
        <v>146</v>
      </c>
      <c r="AP40" s="1016"/>
      <c r="AQ40" s="1016"/>
      <c r="AR40" s="1016"/>
      <c r="AS40" s="1019" t="str">
        <f>IF(IFERROR(AA189,"")="","",AA189)</f>
        <v/>
      </c>
      <c r="AT40" s="1019"/>
      <c r="AU40" s="1019"/>
      <c r="AV40" s="1020" t="str">
        <f>IF(IFERROR(AB189,"")="","",AB189)</f>
        <v/>
      </c>
      <c r="AW40" s="1021"/>
      <c r="AX40" s="1021"/>
      <c r="AY40" s="1022"/>
      <c r="BD40" s="53"/>
    </row>
    <row r="41" spans="1:57" s="52" customFormat="1" ht="20.25" customHeight="1" thickBot="1">
      <c r="B41" s="53"/>
      <c r="C41" s="53"/>
      <c r="D41" s="56"/>
      <c r="E41" s="56"/>
      <c r="F41" s="56"/>
      <c r="G41" s="56"/>
      <c r="H41" s="53"/>
      <c r="I41" s="56"/>
      <c r="J41" s="56"/>
      <c r="K41" s="56"/>
      <c r="L41" s="56"/>
      <c r="M41" s="56"/>
      <c r="N41" s="56"/>
      <c r="O41" s="56"/>
      <c r="P41" s="56"/>
      <c r="Q41" s="56"/>
      <c r="R41" s="56"/>
      <c r="S41" s="1015" t="s">
        <v>243</v>
      </c>
      <c r="T41" s="1016"/>
      <c r="U41" s="1016"/>
      <c r="V41" s="1016"/>
      <c r="W41" s="1017" t="str">
        <f>IF(SUM(D70:O70)=0,"",IF(SUM(D73:O73)+S73=0,"",ROUND((SUM(D73:O73)+S73)/SUM(D70:O70),3)))</f>
        <v/>
      </c>
      <c r="X41" s="1017"/>
      <c r="Y41" s="1018"/>
      <c r="Z41" s="1015" t="s">
        <v>114</v>
      </c>
      <c r="AA41" s="1016"/>
      <c r="AB41" s="1016"/>
      <c r="AC41" s="1016"/>
      <c r="AD41" s="1019" t="str">
        <f>IF(IFERROR(Q190,"")="","",Q190)</f>
        <v/>
      </c>
      <c r="AE41" s="1019"/>
      <c r="AF41" s="1019"/>
      <c r="AG41" s="1020" t="str">
        <f>IF(IFERROR(R190,"")="","",R190)</f>
        <v/>
      </c>
      <c r="AH41" s="1021"/>
      <c r="AI41" s="1021"/>
      <c r="AJ41" s="1021"/>
      <c r="AK41" s="1020" t="str">
        <f>IF(IFERROR(T190,"")="","",T190)</f>
        <v/>
      </c>
      <c r="AL41" s="1021"/>
      <c r="AM41" s="1021"/>
      <c r="AN41" s="1022"/>
      <c r="AO41" s="1023" t="s">
        <v>249</v>
      </c>
      <c r="AP41" s="1024"/>
      <c r="AQ41" s="1024"/>
      <c r="AR41" s="1024"/>
      <c r="BC41" s="53"/>
    </row>
    <row r="42" spans="1:57" s="52" customFormat="1" ht="20.25" customHeight="1" thickBot="1">
      <c r="D42" s="53"/>
      <c r="E42" s="53"/>
      <c r="F42" s="53"/>
      <c r="G42" s="53"/>
      <c r="H42" s="53"/>
      <c r="I42" s="53"/>
      <c r="J42" s="53"/>
      <c r="K42" s="53"/>
      <c r="L42" s="53"/>
      <c r="M42" s="53"/>
      <c r="N42" s="53"/>
      <c r="O42" s="53"/>
      <c r="P42" s="53"/>
      <c r="Q42" s="53"/>
      <c r="R42" s="53"/>
      <c r="T42" s="53"/>
      <c r="U42" s="53"/>
      <c r="V42" s="53"/>
      <c r="W42" s="53"/>
      <c r="X42" s="53"/>
      <c r="Y42" s="53"/>
      <c r="Z42" s="174"/>
      <c r="AB42" s="53"/>
      <c r="AC42" s="53"/>
      <c r="AD42" s="53"/>
      <c r="AE42" s="53"/>
      <c r="AF42" s="53"/>
      <c r="BC42" s="53"/>
    </row>
    <row r="43" spans="1:57" ht="20.25" customHeight="1" thickBot="1">
      <c r="A43" s="837" t="s">
        <v>64</v>
      </c>
      <c r="B43" s="838"/>
      <c r="C43" s="839"/>
      <c r="AH43" s="53"/>
      <c r="AK43" s="182"/>
      <c r="AL43" s="182"/>
      <c r="AM43" s="182"/>
      <c r="AN43" s="182"/>
      <c r="AO43" s="182"/>
      <c r="AP43" s="311"/>
      <c r="AQ43" s="86"/>
      <c r="AR43" s="86"/>
      <c r="AS43" s="86"/>
      <c r="AT43" s="86"/>
      <c r="AU43" s="86"/>
      <c r="AV43" s="86"/>
      <c r="AW43" s="86"/>
      <c r="AX43" s="86"/>
      <c r="AY43" s="86"/>
      <c r="AZ43" s="86"/>
      <c r="BA43" s="86"/>
      <c r="BB43" s="86"/>
      <c r="BC43" s="182"/>
      <c r="BD43" s="182"/>
    </row>
    <row r="44" spans="1:57" ht="20.25" customHeight="1">
      <c r="A44" s="843"/>
      <c r="B44" s="844"/>
      <c r="C44" s="844"/>
      <c r="D44" s="844"/>
      <c r="E44" s="844"/>
      <c r="F44" s="844"/>
      <c r="G44" s="844"/>
      <c r="H44" s="844"/>
      <c r="I44" s="844"/>
      <c r="J44" s="844"/>
      <c r="K44" s="844"/>
      <c r="L44" s="844"/>
      <c r="M44" s="844"/>
      <c r="N44" s="844"/>
      <c r="O44" s="844"/>
      <c r="P44" s="844"/>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844"/>
      <c r="AT44" s="844"/>
      <c r="AU44" s="844"/>
      <c r="AV44" s="844"/>
      <c r="AW44" s="844"/>
      <c r="AX44" s="844"/>
      <c r="AY44" s="844"/>
      <c r="AZ44" s="844"/>
      <c r="BA44" s="844"/>
      <c r="BB44" s="844"/>
      <c r="BC44" s="844"/>
      <c r="BD44" s="844"/>
      <c r="BE44" s="845"/>
    </row>
    <row r="45" spans="1:57" ht="20.25" customHeight="1">
      <c r="A45" s="846"/>
      <c r="B45" s="847"/>
      <c r="C45" s="847"/>
      <c r="D45" s="847"/>
      <c r="E45" s="847"/>
      <c r="F45" s="847"/>
      <c r="G45" s="847"/>
      <c r="H45" s="847"/>
      <c r="I45" s="847"/>
      <c r="J45" s="847"/>
      <c r="K45" s="847"/>
      <c r="L45" s="847"/>
      <c r="M45" s="847"/>
      <c r="N45" s="847"/>
      <c r="O45" s="847"/>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8"/>
    </row>
    <row r="46" spans="1:57" ht="20.25" customHeight="1">
      <c r="A46" s="846"/>
      <c r="B46" s="847"/>
      <c r="C46" s="847"/>
      <c r="D46" s="847"/>
      <c r="E46" s="847"/>
      <c r="F46" s="847"/>
      <c r="G46" s="847"/>
      <c r="H46" s="847"/>
      <c r="I46" s="847"/>
      <c r="J46" s="847"/>
      <c r="K46" s="847"/>
      <c r="L46" s="847"/>
      <c r="M46" s="847"/>
      <c r="N46" s="847"/>
      <c r="O46" s="847"/>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7"/>
      <c r="AZ46" s="847"/>
      <c r="BA46" s="847"/>
      <c r="BB46" s="847"/>
      <c r="BC46" s="847"/>
      <c r="BD46" s="847"/>
      <c r="BE46" s="848"/>
    </row>
    <row r="47" spans="1:57" ht="20.25" customHeight="1">
      <c r="A47" s="846"/>
      <c r="B47" s="847"/>
      <c r="C47" s="847"/>
      <c r="D47" s="847"/>
      <c r="E47" s="847"/>
      <c r="F47" s="847"/>
      <c r="G47" s="847"/>
      <c r="H47" s="847"/>
      <c r="I47" s="847"/>
      <c r="J47" s="847"/>
      <c r="K47" s="847"/>
      <c r="L47" s="847"/>
      <c r="M47" s="847"/>
      <c r="N47" s="847"/>
      <c r="O47" s="847"/>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7"/>
      <c r="AZ47" s="847"/>
      <c r="BA47" s="847"/>
      <c r="BB47" s="847"/>
      <c r="BC47" s="847"/>
      <c r="BD47" s="847"/>
      <c r="BE47" s="848"/>
    </row>
    <row r="48" spans="1:57" ht="20.25" customHeight="1">
      <c r="A48" s="846"/>
      <c r="B48" s="847"/>
      <c r="C48" s="847"/>
      <c r="D48" s="847"/>
      <c r="E48" s="847"/>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7"/>
      <c r="AZ48" s="847"/>
      <c r="BA48" s="847"/>
      <c r="BB48" s="847"/>
      <c r="BC48" s="847"/>
      <c r="BD48" s="847"/>
      <c r="BE48" s="848"/>
    </row>
    <row r="49" spans="1:57" ht="20.25" customHeight="1">
      <c r="A49" s="846"/>
      <c r="B49" s="847"/>
      <c r="C49" s="847"/>
      <c r="D49" s="847"/>
      <c r="E49" s="847"/>
      <c r="F49" s="847"/>
      <c r="G49" s="847"/>
      <c r="H49" s="847"/>
      <c r="I49" s="847"/>
      <c r="J49" s="847"/>
      <c r="K49" s="847"/>
      <c r="L49" s="847"/>
      <c r="M49" s="847"/>
      <c r="N49" s="847"/>
      <c r="O49" s="847"/>
      <c r="P49" s="847"/>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847"/>
      <c r="AZ49" s="847"/>
      <c r="BA49" s="847"/>
      <c r="BB49" s="847"/>
      <c r="BC49" s="847"/>
      <c r="BD49" s="847"/>
      <c r="BE49" s="848"/>
    </row>
    <row r="50" spans="1:57" ht="20.25" customHeight="1">
      <c r="A50" s="846"/>
      <c r="B50" s="847"/>
      <c r="C50" s="847"/>
      <c r="D50" s="847"/>
      <c r="E50" s="847"/>
      <c r="F50" s="847"/>
      <c r="G50" s="847"/>
      <c r="H50" s="847"/>
      <c r="I50" s="847"/>
      <c r="J50" s="847"/>
      <c r="K50" s="847"/>
      <c r="L50" s="847"/>
      <c r="M50" s="847"/>
      <c r="N50" s="847"/>
      <c r="O50" s="847"/>
      <c r="P50" s="847"/>
      <c r="Q50" s="847"/>
      <c r="R50" s="847"/>
      <c r="S50" s="847"/>
      <c r="T50" s="847"/>
      <c r="U50" s="847"/>
      <c r="V50" s="847"/>
      <c r="W50" s="847"/>
      <c r="X50" s="847"/>
      <c r="Y50" s="847"/>
      <c r="Z50" s="847"/>
      <c r="AA50" s="847"/>
      <c r="AB50" s="847"/>
      <c r="AC50" s="847"/>
      <c r="AD50" s="847"/>
      <c r="AE50" s="847"/>
      <c r="AF50" s="847"/>
      <c r="AG50" s="847"/>
      <c r="AH50" s="847"/>
      <c r="AI50" s="847"/>
      <c r="AJ50" s="847"/>
      <c r="AK50" s="847"/>
      <c r="AL50" s="847"/>
      <c r="AM50" s="847"/>
      <c r="AN50" s="847"/>
      <c r="AO50" s="847"/>
      <c r="AP50" s="847"/>
      <c r="AQ50" s="847"/>
      <c r="AR50" s="847"/>
      <c r="AS50" s="847"/>
      <c r="AT50" s="847"/>
      <c r="AU50" s="847"/>
      <c r="AV50" s="847"/>
      <c r="AW50" s="847"/>
      <c r="AX50" s="847"/>
      <c r="AY50" s="847"/>
      <c r="AZ50" s="847"/>
      <c r="BA50" s="847"/>
      <c r="BB50" s="847"/>
      <c r="BC50" s="847"/>
      <c r="BD50" s="847"/>
      <c r="BE50" s="848"/>
    </row>
    <row r="51" spans="1:57" ht="20.25" customHeight="1">
      <c r="A51" s="846"/>
      <c r="B51" s="847"/>
      <c r="C51" s="847"/>
      <c r="D51" s="847"/>
      <c r="E51" s="847"/>
      <c r="F51" s="847"/>
      <c r="G51" s="847"/>
      <c r="H51" s="847"/>
      <c r="I51" s="847"/>
      <c r="J51" s="847"/>
      <c r="K51" s="847"/>
      <c r="L51" s="847"/>
      <c r="M51" s="847"/>
      <c r="N51" s="847"/>
      <c r="O51" s="847"/>
      <c r="P51" s="847"/>
      <c r="Q51" s="847"/>
      <c r="R51" s="847"/>
      <c r="S51" s="847"/>
      <c r="T51" s="847"/>
      <c r="U51" s="847"/>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848"/>
    </row>
    <row r="52" spans="1:57" ht="20.25" customHeight="1">
      <c r="A52" s="846"/>
      <c r="B52" s="847"/>
      <c r="C52" s="847"/>
      <c r="D52" s="847"/>
      <c r="E52" s="847"/>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7"/>
      <c r="AI52" s="847"/>
      <c r="AJ52" s="847"/>
      <c r="AK52" s="847"/>
      <c r="AL52" s="847"/>
      <c r="AM52" s="847"/>
      <c r="AN52" s="847"/>
      <c r="AO52" s="847"/>
      <c r="AP52" s="847"/>
      <c r="AQ52" s="847"/>
      <c r="AR52" s="847"/>
      <c r="AS52" s="847"/>
      <c r="AT52" s="847"/>
      <c r="AU52" s="847"/>
      <c r="AV52" s="847"/>
      <c r="AW52" s="847"/>
      <c r="AX52" s="847"/>
      <c r="AY52" s="847"/>
      <c r="AZ52" s="847"/>
      <c r="BA52" s="847"/>
      <c r="BB52" s="847"/>
      <c r="BC52" s="847"/>
      <c r="BD52" s="847"/>
      <c r="BE52" s="848"/>
    </row>
    <row r="53" spans="1:57" ht="20.25" customHeight="1">
      <c r="A53" s="846"/>
      <c r="B53" s="847"/>
      <c r="C53" s="847"/>
      <c r="D53" s="847"/>
      <c r="E53" s="847"/>
      <c r="F53" s="847"/>
      <c r="G53" s="847"/>
      <c r="H53" s="847"/>
      <c r="I53" s="847"/>
      <c r="J53" s="847"/>
      <c r="K53" s="847"/>
      <c r="L53" s="847"/>
      <c r="M53" s="847"/>
      <c r="N53" s="847"/>
      <c r="O53" s="847"/>
      <c r="P53" s="847"/>
      <c r="Q53" s="847"/>
      <c r="R53" s="847"/>
      <c r="S53" s="847"/>
      <c r="T53" s="847"/>
      <c r="U53" s="847"/>
      <c r="V53" s="847"/>
      <c r="W53" s="847"/>
      <c r="X53" s="847"/>
      <c r="Y53" s="847"/>
      <c r="Z53" s="847"/>
      <c r="AA53" s="847"/>
      <c r="AB53" s="847"/>
      <c r="AC53" s="847"/>
      <c r="AD53" s="847"/>
      <c r="AE53" s="847"/>
      <c r="AF53" s="847"/>
      <c r="AG53" s="847"/>
      <c r="AH53" s="847"/>
      <c r="AI53" s="847"/>
      <c r="AJ53" s="847"/>
      <c r="AK53" s="847"/>
      <c r="AL53" s="847"/>
      <c r="AM53" s="847"/>
      <c r="AN53" s="847"/>
      <c r="AO53" s="847"/>
      <c r="AP53" s="847"/>
      <c r="AQ53" s="847"/>
      <c r="AR53" s="847"/>
      <c r="AS53" s="847"/>
      <c r="AT53" s="847"/>
      <c r="AU53" s="847"/>
      <c r="AV53" s="847"/>
      <c r="AW53" s="847"/>
      <c r="AX53" s="847"/>
      <c r="AY53" s="847"/>
      <c r="AZ53" s="847"/>
      <c r="BA53" s="847"/>
      <c r="BB53" s="847"/>
      <c r="BC53" s="847"/>
      <c r="BD53" s="847"/>
      <c r="BE53" s="848"/>
    </row>
    <row r="54" spans="1:57" ht="20.25" customHeight="1">
      <c r="A54" s="846"/>
      <c r="B54" s="847"/>
      <c r="C54" s="847"/>
      <c r="D54" s="847"/>
      <c r="E54" s="847"/>
      <c r="F54" s="847"/>
      <c r="G54" s="847"/>
      <c r="H54" s="847"/>
      <c r="I54" s="847"/>
      <c r="J54" s="847"/>
      <c r="K54" s="847"/>
      <c r="L54" s="847"/>
      <c r="M54" s="847"/>
      <c r="N54" s="847"/>
      <c r="O54" s="847"/>
      <c r="P54" s="847"/>
      <c r="Q54" s="847"/>
      <c r="R54" s="847"/>
      <c r="S54" s="847"/>
      <c r="T54" s="847"/>
      <c r="U54" s="847"/>
      <c r="V54" s="847"/>
      <c r="W54" s="847"/>
      <c r="X54" s="847"/>
      <c r="Y54" s="847"/>
      <c r="Z54" s="847"/>
      <c r="AA54" s="847"/>
      <c r="AB54" s="847"/>
      <c r="AC54" s="847"/>
      <c r="AD54" s="847"/>
      <c r="AE54" s="847"/>
      <c r="AF54" s="847"/>
      <c r="AG54" s="847"/>
      <c r="AH54" s="847"/>
      <c r="AI54" s="847"/>
      <c r="AJ54" s="847"/>
      <c r="AK54" s="847"/>
      <c r="AL54" s="847"/>
      <c r="AM54" s="847"/>
      <c r="AN54" s="847"/>
      <c r="AO54" s="847"/>
      <c r="AP54" s="847"/>
      <c r="AQ54" s="847"/>
      <c r="AR54" s="847"/>
      <c r="AS54" s="847"/>
      <c r="AT54" s="847"/>
      <c r="AU54" s="847"/>
      <c r="AV54" s="847"/>
      <c r="AW54" s="847"/>
      <c r="AX54" s="847"/>
      <c r="AY54" s="847"/>
      <c r="AZ54" s="847"/>
      <c r="BA54" s="847"/>
      <c r="BB54" s="847"/>
      <c r="BC54" s="847"/>
      <c r="BD54" s="847"/>
      <c r="BE54" s="848"/>
    </row>
    <row r="55" spans="1:57" ht="12.95" customHeight="1">
      <c r="A55" s="846"/>
      <c r="B55" s="847"/>
      <c r="C55" s="847"/>
      <c r="D55" s="847"/>
      <c r="E55" s="847"/>
      <c r="F55" s="847"/>
      <c r="G55" s="847"/>
      <c r="H55" s="847"/>
      <c r="I55" s="847"/>
      <c r="J55" s="847"/>
      <c r="K55" s="847"/>
      <c r="L55" s="847"/>
      <c r="M55" s="847"/>
      <c r="N55" s="847"/>
      <c r="O55" s="847"/>
      <c r="P55" s="847"/>
      <c r="Q55" s="847"/>
      <c r="R55" s="847"/>
      <c r="S55" s="847"/>
      <c r="T55" s="847"/>
      <c r="U55" s="847"/>
      <c r="V55" s="847"/>
      <c r="W55" s="847"/>
      <c r="X55" s="847"/>
      <c r="Y55" s="847"/>
      <c r="Z55" s="847"/>
      <c r="AA55" s="847"/>
      <c r="AB55" s="847"/>
      <c r="AC55" s="847"/>
      <c r="AD55" s="847"/>
      <c r="AE55" s="847"/>
      <c r="AF55" s="847"/>
      <c r="AG55" s="847"/>
      <c r="AH55" s="847"/>
      <c r="AI55" s="847"/>
      <c r="AJ55" s="847"/>
      <c r="AK55" s="847"/>
      <c r="AL55" s="847"/>
      <c r="AM55" s="847"/>
      <c r="AN55" s="847"/>
      <c r="AO55" s="847"/>
      <c r="AP55" s="847"/>
      <c r="AQ55" s="847"/>
      <c r="AR55" s="847"/>
      <c r="AS55" s="847"/>
      <c r="AT55" s="847"/>
      <c r="AU55" s="847"/>
      <c r="AV55" s="847"/>
      <c r="AW55" s="847"/>
      <c r="AX55" s="847"/>
      <c r="AY55" s="847"/>
      <c r="AZ55" s="847"/>
      <c r="BA55" s="847"/>
      <c r="BB55" s="847"/>
      <c r="BC55" s="847"/>
      <c r="BD55" s="847"/>
      <c r="BE55" s="848"/>
    </row>
    <row r="56" spans="1:57" ht="9.9499999999999993" customHeight="1">
      <c r="A56" s="846"/>
      <c r="B56" s="847"/>
      <c r="C56" s="847"/>
      <c r="D56" s="847"/>
      <c r="E56" s="847"/>
      <c r="F56" s="847"/>
      <c r="G56" s="847"/>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7"/>
      <c r="AK56" s="847"/>
      <c r="AL56" s="847"/>
      <c r="AM56" s="847"/>
      <c r="AN56" s="847"/>
      <c r="AO56" s="847"/>
      <c r="AP56" s="847"/>
      <c r="AQ56" s="847"/>
      <c r="AR56" s="847"/>
      <c r="AS56" s="847"/>
      <c r="AT56" s="847"/>
      <c r="AU56" s="847"/>
      <c r="AV56" s="847"/>
      <c r="AW56" s="847"/>
      <c r="AX56" s="847"/>
      <c r="AY56" s="847"/>
      <c r="AZ56" s="847"/>
      <c r="BA56" s="847"/>
      <c r="BB56" s="847"/>
      <c r="BC56" s="847"/>
      <c r="BD56" s="847"/>
      <c r="BE56" s="848"/>
    </row>
    <row r="57" spans="1:57" ht="20.100000000000001" customHeight="1">
      <c r="A57" s="846"/>
      <c r="B57" s="847"/>
      <c r="C57" s="847"/>
      <c r="D57" s="847"/>
      <c r="E57" s="847"/>
      <c r="F57" s="847"/>
      <c r="G57" s="847"/>
      <c r="H57" s="847"/>
      <c r="I57" s="847"/>
      <c r="J57" s="847"/>
      <c r="K57" s="847"/>
      <c r="L57" s="847"/>
      <c r="M57" s="847"/>
      <c r="N57" s="847"/>
      <c r="O57" s="847"/>
      <c r="P57" s="847"/>
      <c r="Q57" s="847"/>
      <c r="R57" s="847"/>
      <c r="S57" s="847"/>
      <c r="T57" s="847"/>
      <c r="U57" s="847"/>
      <c r="V57" s="847"/>
      <c r="W57" s="847"/>
      <c r="X57" s="847"/>
      <c r="Y57" s="847"/>
      <c r="Z57" s="847"/>
      <c r="AA57" s="847"/>
      <c r="AB57" s="847"/>
      <c r="AC57" s="847"/>
      <c r="AD57" s="847"/>
      <c r="AE57" s="847"/>
      <c r="AF57" s="847"/>
      <c r="AG57" s="847"/>
      <c r="AH57" s="847"/>
      <c r="AI57" s="847"/>
      <c r="AJ57" s="847"/>
      <c r="AK57" s="847"/>
      <c r="AL57" s="847"/>
      <c r="AM57" s="847"/>
      <c r="AN57" s="847"/>
      <c r="AO57" s="847"/>
      <c r="AP57" s="847"/>
      <c r="AQ57" s="847"/>
      <c r="AR57" s="847"/>
      <c r="AS57" s="847"/>
      <c r="AT57" s="847"/>
      <c r="AU57" s="847"/>
      <c r="AV57" s="847"/>
      <c r="AW57" s="847"/>
      <c r="AX57" s="847"/>
      <c r="AY57" s="847"/>
      <c r="AZ57" s="847"/>
      <c r="BA57" s="847"/>
      <c r="BB57" s="847"/>
      <c r="BC57" s="847"/>
      <c r="BD57" s="847"/>
      <c r="BE57" s="848"/>
    </row>
    <row r="58" spans="1:57" ht="18" customHeight="1">
      <c r="A58" s="846"/>
      <c r="B58" s="847"/>
      <c r="C58" s="847"/>
      <c r="D58" s="847"/>
      <c r="E58" s="847"/>
      <c r="F58" s="847"/>
      <c r="G58" s="847"/>
      <c r="H58" s="847"/>
      <c r="I58" s="847"/>
      <c r="J58" s="847"/>
      <c r="K58" s="847"/>
      <c r="L58" s="847"/>
      <c r="M58" s="847"/>
      <c r="N58" s="847"/>
      <c r="O58" s="847"/>
      <c r="P58" s="847"/>
      <c r="Q58" s="847"/>
      <c r="R58" s="847"/>
      <c r="S58" s="847"/>
      <c r="T58" s="847"/>
      <c r="U58" s="847"/>
      <c r="V58" s="847"/>
      <c r="W58" s="847"/>
      <c r="X58" s="847"/>
      <c r="Y58" s="847"/>
      <c r="Z58" s="847"/>
      <c r="AA58" s="847"/>
      <c r="AB58" s="847"/>
      <c r="AC58" s="847"/>
      <c r="AD58" s="847"/>
      <c r="AE58" s="847"/>
      <c r="AF58" s="847"/>
      <c r="AG58" s="847"/>
      <c r="AH58" s="847"/>
      <c r="AI58" s="847"/>
      <c r="AJ58" s="847"/>
      <c r="AK58" s="847"/>
      <c r="AL58" s="847"/>
      <c r="AM58" s="847"/>
      <c r="AN58" s="847"/>
      <c r="AO58" s="847"/>
      <c r="AP58" s="847"/>
      <c r="AQ58" s="847"/>
      <c r="AR58" s="847"/>
      <c r="AS58" s="847"/>
      <c r="AT58" s="847"/>
      <c r="AU58" s="847"/>
      <c r="AV58" s="847"/>
      <c r="AW58" s="847"/>
      <c r="AX58" s="847"/>
      <c r="AY58" s="847"/>
      <c r="AZ58" s="847"/>
      <c r="BA58" s="847"/>
      <c r="BB58" s="847"/>
      <c r="BC58" s="847"/>
      <c r="BD58" s="847"/>
      <c r="BE58" s="848"/>
    </row>
    <row r="59" spans="1:57" ht="20.25" customHeight="1">
      <c r="A59" s="846"/>
      <c r="B59" s="847"/>
      <c r="C59" s="847"/>
      <c r="D59" s="847"/>
      <c r="E59" s="847"/>
      <c r="F59" s="847"/>
      <c r="G59" s="847"/>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847"/>
      <c r="AM59" s="847"/>
      <c r="AN59" s="847"/>
      <c r="AO59" s="847"/>
      <c r="AP59" s="847"/>
      <c r="AQ59" s="847"/>
      <c r="AR59" s="847"/>
      <c r="AS59" s="847"/>
      <c r="AT59" s="847"/>
      <c r="AU59" s="847"/>
      <c r="AV59" s="847"/>
      <c r="AW59" s="847"/>
      <c r="AX59" s="847"/>
      <c r="AY59" s="847"/>
      <c r="AZ59" s="847"/>
      <c r="BA59" s="847"/>
      <c r="BB59" s="847"/>
      <c r="BC59" s="847"/>
      <c r="BD59" s="847"/>
      <c r="BE59" s="848"/>
    </row>
    <row r="60" spans="1:57" ht="14.1" customHeight="1">
      <c r="A60" s="846"/>
      <c r="B60" s="847"/>
      <c r="C60" s="847"/>
      <c r="D60" s="847"/>
      <c r="E60" s="847"/>
      <c r="F60" s="847"/>
      <c r="G60" s="847"/>
      <c r="H60" s="847"/>
      <c r="I60" s="847"/>
      <c r="J60" s="847"/>
      <c r="K60" s="847"/>
      <c r="L60" s="847"/>
      <c r="M60" s="847"/>
      <c r="N60" s="847"/>
      <c r="O60" s="847"/>
      <c r="P60" s="847"/>
      <c r="Q60" s="847"/>
      <c r="R60" s="847"/>
      <c r="S60" s="847"/>
      <c r="T60" s="847"/>
      <c r="U60" s="847"/>
      <c r="V60" s="847"/>
      <c r="W60" s="847"/>
      <c r="X60" s="847"/>
      <c r="Y60" s="847"/>
      <c r="Z60" s="847"/>
      <c r="AA60" s="847"/>
      <c r="AB60" s="847"/>
      <c r="AC60" s="847"/>
      <c r="AD60" s="847"/>
      <c r="AE60" s="847"/>
      <c r="AF60" s="847"/>
      <c r="AG60" s="847"/>
      <c r="AH60" s="847"/>
      <c r="AI60" s="847"/>
      <c r="AJ60" s="847"/>
      <c r="AK60" s="847"/>
      <c r="AL60" s="847"/>
      <c r="AM60" s="847"/>
      <c r="AN60" s="847"/>
      <c r="AO60" s="847"/>
      <c r="AP60" s="847"/>
      <c r="AQ60" s="847"/>
      <c r="AR60" s="847"/>
      <c r="AS60" s="847"/>
      <c r="AT60" s="847"/>
      <c r="AU60" s="847"/>
      <c r="AV60" s="847"/>
      <c r="AW60" s="847"/>
      <c r="AX60" s="847"/>
      <c r="AY60" s="847"/>
      <c r="AZ60" s="847"/>
      <c r="BA60" s="847"/>
      <c r="BB60" s="847"/>
      <c r="BC60" s="847"/>
      <c r="BD60" s="847"/>
      <c r="BE60" s="848"/>
    </row>
    <row r="61" spans="1:57" ht="14.1" customHeight="1">
      <c r="A61" s="846"/>
      <c r="B61" s="847"/>
      <c r="C61" s="847"/>
      <c r="D61" s="847"/>
      <c r="E61" s="847"/>
      <c r="F61" s="847"/>
      <c r="G61" s="847"/>
      <c r="H61" s="847"/>
      <c r="I61" s="847"/>
      <c r="J61" s="847"/>
      <c r="K61" s="847"/>
      <c r="L61" s="847"/>
      <c r="M61" s="847"/>
      <c r="N61" s="847"/>
      <c r="O61" s="847"/>
      <c r="P61" s="847"/>
      <c r="Q61" s="847"/>
      <c r="R61" s="847"/>
      <c r="S61" s="847"/>
      <c r="T61" s="847"/>
      <c r="U61" s="847"/>
      <c r="V61" s="847"/>
      <c r="W61" s="847"/>
      <c r="X61" s="847"/>
      <c r="Y61" s="847"/>
      <c r="Z61" s="847"/>
      <c r="AA61" s="847"/>
      <c r="AB61" s="847"/>
      <c r="AC61" s="847"/>
      <c r="AD61" s="847"/>
      <c r="AE61" s="847"/>
      <c r="AF61" s="847"/>
      <c r="AG61" s="847"/>
      <c r="AH61" s="847"/>
      <c r="AI61" s="847"/>
      <c r="AJ61" s="847"/>
      <c r="AK61" s="847"/>
      <c r="AL61" s="847"/>
      <c r="AM61" s="847"/>
      <c r="AN61" s="847"/>
      <c r="AO61" s="847"/>
      <c r="AP61" s="847"/>
      <c r="AQ61" s="847"/>
      <c r="AR61" s="847"/>
      <c r="AS61" s="847"/>
      <c r="AT61" s="847"/>
      <c r="AU61" s="847"/>
      <c r="AV61" s="847"/>
      <c r="AW61" s="847"/>
      <c r="AX61" s="847"/>
      <c r="AY61" s="847"/>
      <c r="AZ61" s="847"/>
      <c r="BA61" s="847"/>
      <c r="BB61" s="847"/>
      <c r="BC61" s="847"/>
      <c r="BD61" s="847"/>
      <c r="BE61" s="848"/>
    </row>
    <row r="62" spans="1:57" ht="15" customHeight="1">
      <c r="A62" s="846"/>
      <c r="B62" s="847"/>
      <c r="C62" s="847"/>
      <c r="D62" s="847"/>
      <c r="E62" s="847"/>
      <c r="F62" s="847"/>
      <c r="G62" s="847"/>
      <c r="H62" s="847"/>
      <c r="I62" s="847"/>
      <c r="J62" s="847"/>
      <c r="K62" s="847"/>
      <c r="L62" s="847"/>
      <c r="M62" s="847"/>
      <c r="N62" s="847"/>
      <c r="O62" s="847"/>
      <c r="P62" s="847"/>
      <c r="Q62" s="847"/>
      <c r="R62" s="847"/>
      <c r="S62" s="847"/>
      <c r="T62" s="847"/>
      <c r="U62" s="847"/>
      <c r="V62" s="847"/>
      <c r="W62" s="847"/>
      <c r="X62" s="847"/>
      <c r="Y62" s="847"/>
      <c r="Z62" s="847"/>
      <c r="AA62" s="847"/>
      <c r="AB62" s="847"/>
      <c r="AC62" s="847"/>
      <c r="AD62" s="847"/>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8"/>
    </row>
    <row r="63" spans="1:57" ht="11.1" customHeight="1" thickBot="1">
      <c r="A63" s="849"/>
      <c r="B63" s="850"/>
      <c r="C63" s="850"/>
      <c r="D63" s="850"/>
      <c r="E63" s="850"/>
      <c r="F63" s="850"/>
      <c r="G63" s="850"/>
      <c r="H63" s="850"/>
      <c r="I63" s="850"/>
      <c r="J63" s="850"/>
      <c r="K63" s="850"/>
      <c r="L63" s="850"/>
      <c r="M63" s="850"/>
      <c r="N63" s="850"/>
      <c r="O63" s="850"/>
      <c r="P63" s="850"/>
      <c r="Q63" s="850"/>
      <c r="R63" s="850"/>
      <c r="S63" s="850"/>
      <c r="T63" s="850"/>
      <c r="U63" s="850"/>
      <c r="V63" s="850"/>
      <c r="W63" s="850"/>
      <c r="X63" s="850"/>
      <c r="Y63" s="850"/>
      <c r="Z63" s="850"/>
      <c r="AA63" s="850"/>
      <c r="AB63" s="850"/>
      <c r="AC63" s="850"/>
      <c r="AD63" s="850"/>
      <c r="AE63" s="850"/>
      <c r="AF63" s="850"/>
      <c r="AG63" s="850"/>
      <c r="AH63" s="850"/>
      <c r="AI63" s="850"/>
      <c r="AJ63" s="850"/>
      <c r="AK63" s="850"/>
      <c r="AL63" s="850"/>
      <c r="AM63" s="850"/>
      <c r="AN63" s="850"/>
      <c r="AO63" s="850"/>
      <c r="AP63" s="850"/>
      <c r="AQ63" s="850"/>
      <c r="AR63" s="850"/>
      <c r="AS63" s="850"/>
      <c r="AT63" s="850"/>
      <c r="AU63" s="850"/>
      <c r="AV63" s="850"/>
      <c r="AW63" s="850"/>
      <c r="AX63" s="850"/>
      <c r="AY63" s="850"/>
      <c r="AZ63" s="850"/>
      <c r="BA63" s="850"/>
      <c r="BB63" s="850"/>
      <c r="BC63" s="850"/>
      <c r="BD63" s="850"/>
      <c r="BE63" s="851"/>
    </row>
    <row r="64" spans="1:57" s="52" customFormat="1" ht="20.25" customHeight="1">
      <c r="D64" s="53"/>
      <c r="E64" s="53"/>
      <c r="F64" s="53"/>
      <c r="G64" s="53"/>
      <c r="H64" s="53"/>
      <c r="I64" s="53"/>
      <c r="J64" s="53"/>
      <c r="K64" s="53"/>
      <c r="L64" s="53"/>
      <c r="M64" s="53"/>
      <c r="N64" s="53"/>
      <c r="O64" s="53"/>
      <c r="P64" s="53"/>
      <c r="Q64" s="53"/>
      <c r="R64" s="53"/>
      <c r="T64" s="53"/>
      <c r="U64" s="53"/>
      <c r="V64" s="53"/>
      <c r="W64" s="53"/>
      <c r="X64" s="53"/>
      <c r="Y64" s="53"/>
      <c r="Z64" s="174"/>
      <c r="AB64" s="53"/>
      <c r="AC64" s="53"/>
      <c r="AD64" s="53"/>
      <c r="AE64" s="53"/>
      <c r="AF64" s="53"/>
      <c r="BC64" s="53"/>
    </row>
    <row r="65" spans="1:105" ht="12" customHeight="1" thickBot="1">
      <c r="AN65" s="85"/>
      <c r="AO65" s="85"/>
      <c r="AP65" s="85"/>
      <c r="AQ65" s="85"/>
      <c r="AR65" s="85"/>
      <c r="AS65" s="85"/>
      <c r="AT65" s="85"/>
      <c r="AU65" s="85"/>
      <c r="AV65" s="85"/>
      <c r="AW65" s="85"/>
      <c r="AX65" s="85"/>
      <c r="AY65" s="85"/>
      <c r="AZ65" s="85"/>
      <c r="BA65" s="85"/>
      <c r="BB65" s="85"/>
      <c r="BC65" s="85"/>
      <c r="BD65" s="85"/>
      <c r="BE65" s="85"/>
      <c r="BF65" s="86"/>
      <c r="BH65" s="86"/>
    </row>
    <row r="66" spans="1:105" ht="27.75" customHeight="1" thickBot="1">
      <c r="A66" s="1025" t="s">
        <v>12</v>
      </c>
      <c r="B66" s="1026"/>
      <c r="C66" s="1026"/>
      <c r="D66" s="1027" t="str">
        <f ca="1">D2</f>
        <v>〇号</v>
      </c>
      <c r="E66" s="1028"/>
      <c r="F66" s="1028"/>
      <c r="G66" s="1028"/>
      <c r="H66" s="1029"/>
      <c r="AN66" s="61"/>
      <c r="AO66" s="61"/>
      <c r="AP66" s="61"/>
      <c r="AQ66" s="61"/>
      <c r="AR66" s="61"/>
      <c r="AS66" s="61"/>
      <c r="AT66" s="61"/>
      <c r="AU66" s="61"/>
      <c r="AV66" s="61"/>
      <c r="AW66" s="61"/>
      <c r="AX66" s="61"/>
      <c r="AY66" s="61"/>
      <c r="AZ66" s="61"/>
      <c r="BA66" s="61"/>
      <c r="BB66" s="61"/>
      <c r="BC66" s="61"/>
      <c r="BD66" s="61"/>
      <c r="BE66" s="61"/>
    </row>
    <row r="67" spans="1:105" ht="20.25" customHeight="1">
      <c r="A67" s="60" t="s">
        <v>272</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row>
    <row r="68" spans="1:105" ht="12" customHeight="1" thickBot="1">
      <c r="A68" s="312"/>
      <c r="B68" s="313"/>
      <c r="C68" s="313"/>
      <c r="D68" s="313"/>
      <c r="E68" s="313"/>
      <c r="F68" s="313"/>
      <c r="G68" s="313"/>
      <c r="H68" s="313"/>
      <c r="I68" s="313"/>
      <c r="J68" s="313"/>
      <c r="K68" s="313"/>
      <c r="L68" s="313"/>
      <c r="M68" s="313"/>
      <c r="N68" s="313"/>
      <c r="O68" s="313"/>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s="52" customFormat="1" ht="20.25" customHeight="1" thickBot="1">
      <c r="A69" s="1030" t="s">
        <v>61</v>
      </c>
      <c r="B69" s="1031"/>
      <c r="C69" s="1031"/>
      <c r="D69" s="1031" t="s">
        <v>47</v>
      </c>
      <c r="E69" s="1031"/>
      <c r="F69" s="1031"/>
      <c r="G69" s="1031" t="s">
        <v>13</v>
      </c>
      <c r="H69" s="1031"/>
      <c r="I69" s="1031"/>
      <c r="J69" s="1031" t="s">
        <v>15</v>
      </c>
      <c r="K69" s="1031"/>
      <c r="L69" s="1031"/>
      <c r="M69" s="1031" t="s">
        <v>48</v>
      </c>
      <c r="N69" s="1031"/>
      <c r="O69" s="1031"/>
      <c r="P69" s="782" t="s">
        <v>49</v>
      </c>
      <c r="Q69" s="782"/>
      <c r="R69" s="782"/>
      <c r="S69" s="995" t="s">
        <v>52</v>
      </c>
      <c r="T69" s="995"/>
      <c r="U69" s="995"/>
      <c r="V69" s="995" t="s">
        <v>53</v>
      </c>
      <c r="W69" s="995"/>
      <c r="X69" s="995"/>
      <c r="Y69" s="995" t="s">
        <v>51</v>
      </c>
      <c r="Z69" s="995"/>
      <c r="AA69" s="996"/>
      <c r="AB69" s="220"/>
      <c r="AC69" s="997" t="s">
        <v>57</v>
      </c>
      <c r="AD69" s="997"/>
      <c r="AE69" s="997"/>
      <c r="AF69" s="997"/>
      <c r="AG69" s="998"/>
      <c r="AH69" s="999" t="s">
        <v>166</v>
      </c>
      <c r="AI69" s="1000"/>
      <c r="AJ69" s="1000"/>
      <c r="AK69" s="1000"/>
      <c r="AM69" s="1003" t="s">
        <v>47</v>
      </c>
      <c r="AN69" s="668" t="s">
        <v>65</v>
      </c>
      <c r="AO69" s="745"/>
      <c r="AP69" s="904"/>
      <c r="AQ69" s="863"/>
      <c r="AR69" s="863"/>
      <c r="AS69" s="1032"/>
      <c r="AV69" s="955" t="s">
        <v>22</v>
      </c>
      <c r="AW69" s="668" t="s">
        <v>110</v>
      </c>
      <c r="AX69" s="745"/>
      <c r="AY69" s="904"/>
      <c r="AZ69" s="958"/>
      <c r="BA69" s="959"/>
      <c r="BB69" s="960"/>
    </row>
    <row r="70" spans="1:105" s="52" customFormat="1" ht="20.25" customHeight="1">
      <c r="A70" s="670" t="s">
        <v>163</v>
      </c>
      <c r="B70" s="671"/>
      <c r="C70" s="671"/>
      <c r="D70" s="994" t="str">
        <f>IF(D71+D72=0,"",D71+D72)</f>
        <v/>
      </c>
      <c r="E70" s="994"/>
      <c r="F70" s="994"/>
      <c r="G70" s="994" t="str">
        <f>IF(G71+G72=0,"",G71+G72)</f>
        <v/>
      </c>
      <c r="H70" s="994"/>
      <c r="I70" s="994"/>
      <c r="J70" s="994" t="str">
        <f>IF(J71+J72=0,"",J71+J72)</f>
        <v/>
      </c>
      <c r="K70" s="994"/>
      <c r="L70" s="994"/>
      <c r="M70" s="994" t="str">
        <f>IF(M71+M72=0,"",M71+M72)</f>
        <v/>
      </c>
      <c r="N70" s="994"/>
      <c r="O70" s="994"/>
      <c r="P70" s="994" t="str">
        <f>IF(P71+P72=0,"",P71+P72)</f>
        <v/>
      </c>
      <c r="Q70" s="994"/>
      <c r="R70" s="994"/>
      <c r="S70" s="932"/>
      <c r="T70" s="932"/>
      <c r="U70" s="932"/>
      <c r="V70" s="932"/>
      <c r="W70" s="932"/>
      <c r="X70" s="932"/>
      <c r="Y70" s="953" t="str">
        <f>IF(SUM(D70:X70)=0,"",SUM(D70:X70))</f>
        <v/>
      </c>
      <c r="Z70" s="953"/>
      <c r="AA70" s="954"/>
      <c r="AB70" s="220"/>
      <c r="AC70" s="1010" t="s">
        <v>54</v>
      </c>
      <c r="AD70" s="1011"/>
      <c r="AE70" s="1012"/>
      <c r="AF70" s="1013"/>
      <c r="AG70" s="1014"/>
      <c r="AH70" s="1001"/>
      <c r="AI70" s="1002"/>
      <c r="AJ70" s="1002"/>
      <c r="AK70" s="1002"/>
      <c r="AM70" s="1004"/>
      <c r="AN70" s="680" t="s">
        <v>66</v>
      </c>
      <c r="AO70" s="681"/>
      <c r="AP70" s="757"/>
      <c r="AQ70" s="742"/>
      <c r="AR70" s="742"/>
      <c r="AS70" s="749"/>
      <c r="AV70" s="956"/>
      <c r="AW70" s="797" t="s">
        <v>88</v>
      </c>
      <c r="AX70" s="798"/>
      <c r="AY70" s="799"/>
      <c r="AZ70" s="909"/>
      <c r="BA70" s="910"/>
      <c r="BB70" s="912"/>
    </row>
    <row r="71" spans="1:105" s="52" customFormat="1" ht="20.25" customHeight="1" thickBot="1">
      <c r="A71" s="670" t="s">
        <v>93</v>
      </c>
      <c r="B71" s="671"/>
      <c r="C71" s="671"/>
      <c r="D71" s="982"/>
      <c r="E71" s="982"/>
      <c r="F71" s="982"/>
      <c r="G71" s="982"/>
      <c r="H71" s="982"/>
      <c r="I71" s="982"/>
      <c r="J71" s="982"/>
      <c r="K71" s="982"/>
      <c r="L71" s="982"/>
      <c r="M71" s="982"/>
      <c r="N71" s="982"/>
      <c r="O71" s="982"/>
      <c r="P71" s="982"/>
      <c r="Q71" s="982"/>
      <c r="R71" s="982"/>
      <c r="S71" s="932"/>
      <c r="T71" s="932"/>
      <c r="U71" s="932"/>
      <c r="V71" s="932"/>
      <c r="W71" s="932"/>
      <c r="X71" s="932"/>
      <c r="Y71" s="953" t="str">
        <f>IF(SUM(D71:X71)=0,"",SUM(D71:X71))</f>
        <v/>
      </c>
      <c r="Z71" s="953"/>
      <c r="AA71" s="954"/>
      <c r="AB71" s="220"/>
      <c r="AC71" s="1007" t="s">
        <v>55</v>
      </c>
      <c r="AD71" s="670"/>
      <c r="AE71" s="936"/>
      <c r="AF71" s="1008"/>
      <c r="AG71" s="1009"/>
      <c r="AH71" s="938"/>
      <c r="AI71" s="988"/>
      <c r="AJ71" s="988"/>
      <c r="AK71" s="988"/>
      <c r="AM71" s="1004"/>
      <c r="AN71" s="680" t="s">
        <v>67</v>
      </c>
      <c r="AO71" s="681"/>
      <c r="AP71" s="757"/>
      <c r="AQ71" s="742"/>
      <c r="AR71" s="742"/>
      <c r="AS71" s="749"/>
      <c r="AV71" s="956"/>
      <c r="AW71" s="797" t="s">
        <v>267</v>
      </c>
      <c r="AX71" s="798"/>
      <c r="AY71" s="799"/>
      <c r="AZ71" s="909"/>
      <c r="BA71" s="910"/>
      <c r="BB71" s="912"/>
    </row>
    <row r="72" spans="1:105" s="52" customFormat="1" ht="20.25" customHeight="1" thickBot="1">
      <c r="A72" s="670" t="s">
        <v>50</v>
      </c>
      <c r="B72" s="671"/>
      <c r="C72" s="671"/>
      <c r="D72" s="982"/>
      <c r="E72" s="982"/>
      <c r="F72" s="982"/>
      <c r="G72" s="982"/>
      <c r="H72" s="982"/>
      <c r="I72" s="982"/>
      <c r="J72" s="982"/>
      <c r="K72" s="982"/>
      <c r="L72" s="982"/>
      <c r="M72" s="982"/>
      <c r="N72" s="982"/>
      <c r="O72" s="982"/>
      <c r="P72" s="982"/>
      <c r="Q72" s="982"/>
      <c r="R72" s="982"/>
      <c r="S72" s="932"/>
      <c r="T72" s="932"/>
      <c r="U72" s="932"/>
      <c r="V72" s="932"/>
      <c r="W72" s="932"/>
      <c r="X72" s="932"/>
      <c r="Y72" s="953" t="str">
        <f>IF(SUM(D72:X72)=0,"",SUM(D72:X72))</f>
        <v/>
      </c>
      <c r="Z72" s="953"/>
      <c r="AA72" s="954"/>
      <c r="AB72" s="54"/>
      <c r="AC72" s="983" t="s">
        <v>56</v>
      </c>
      <c r="AD72" s="984"/>
      <c r="AE72" s="985"/>
      <c r="AF72" s="986"/>
      <c r="AG72" s="987"/>
      <c r="AH72" s="989"/>
      <c r="AI72" s="990"/>
      <c r="AJ72" s="990"/>
      <c r="AK72" s="990"/>
      <c r="AM72" s="1004"/>
      <c r="AN72" s="680" t="s">
        <v>68</v>
      </c>
      <c r="AO72" s="681"/>
      <c r="AP72" s="757"/>
      <c r="AQ72" s="742"/>
      <c r="AR72" s="742"/>
      <c r="AS72" s="749"/>
      <c r="AV72" s="956"/>
      <c r="AW72" s="797" t="s">
        <v>87</v>
      </c>
      <c r="AX72" s="798"/>
      <c r="AY72" s="799"/>
      <c r="AZ72" s="909"/>
      <c r="BA72" s="910"/>
      <c r="BB72" s="912"/>
    </row>
    <row r="73" spans="1:105" s="52" customFormat="1" ht="20.25" customHeight="1" thickBot="1">
      <c r="A73" s="670" t="s">
        <v>162</v>
      </c>
      <c r="B73" s="671"/>
      <c r="C73" s="671"/>
      <c r="D73" s="982"/>
      <c r="E73" s="982"/>
      <c r="F73" s="982"/>
      <c r="G73" s="982"/>
      <c r="H73" s="982"/>
      <c r="I73" s="982"/>
      <c r="J73" s="982"/>
      <c r="K73" s="982"/>
      <c r="L73" s="982"/>
      <c r="M73" s="982"/>
      <c r="N73" s="982"/>
      <c r="O73" s="982"/>
      <c r="P73" s="982"/>
      <c r="Q73" s="982"/>
      <c r="R73" s="982"/>
      <c r="S73" s="953">
        <f>IF(SUM(D7:BE7)=0,0,SUM(D7:BE7))</f>
        <v>0</v>
      </c>
      <c r="T73" s="953"/>
      <c r="U73" s="953"/>
      <c r="V73" s="932"/>
      <c r="W73" s="932"/>
      <c r="X73" s="932"/>
      <c r="Y73" s="953" t="str">
        <f>IF(SUM(D73:X73)=0,"",SUM(D73:X73))</f>
        <v/>
      </c>
      <c r="Z73" s="953"/>
      <c r="AA73" s="954"/>
      <c r="AB73" s="221"/>
      <c r="AC73" s="961" t="s">
        <v>80</v>
      </c>
      <c r="AD73" s="961"/>
      <c r="AE73" s="961"/>
      <c r="AF73" s="961"/>
      <c r="AG73" s="962"/>
      <c r="AH73" s="989"/>
      <c r="AI73" s="990"/>
      <c r="AJ73" s="990"/>
      <c r="AK73" s="990"/>
      <c r="AM73" s="1004"/>
      <c r="AN73" s="680" t="s">
        <v>160</v>
      </c>
      <c r="AO73" s="681"/>
      <c r="AP73" s="757"/>
      <c r="AQ73" s="742"/>
      <c r="AR73" s="742"/>
      <c r="AS73" s="749"/>
      <c r="AV73" s="956"/>
      <c r="AW73" s="991" t="s">
        <v>89</v>
      </c>
      <c r="AX73" s="992"/>
      <c r="AY73" s="993"/>
      <c r="AZ73" s="909"/>
      <c r="BA73" s="910"/>
      <c r="BB73" s="912"/>
    </row>
    <row r="74" spans="1:105" s="52" customFormat="1" ht="20.25" customHeight="1" thickBot="1">
      <c r="A74" s="565" t="s">
        <v>234</v>
      </c>
      <c r="B74" s="566"/>
      <c r="C74" s="567"/>
      <c r="D74" s="929" t="str">
        <f>IF(D72=0,"",D72/D70)</f>
        <v/>
      </c>
      <c r="E74" s="930"/>
      <c r="F74" s="963"/>
      <c r="G74" s="929" t="str">
        <f>IF(G72=0,"",G72/G70)</f>
        <v/>
      </c>
      <c r="H74" s="930"/>
      <c r="I74" s="963"/>
      <c r="J74" s="929" t="str">
        <f>IF(J72=0,"",J72/J70)</f>
        <v/>
      </c>
      <c r="K74" s="930"/>
      <c r="L74" s="963"/>
      <c r="M74" s="929" t="str">
        <f>IF(M72=0,"",M72/M70)</f>
        <v/>
      </c>
      <c r="N74" s="930"/>
      <c r="O74" s="963"/>
      <c r="P74" s="929" t="str">
        <f>IF(P72=0,"",P72/P70)</f>
        <v/>
      </c>
      <c r="Q74" s="930"/>
      <c r="R74" s="963"/>
      <c r="S74" s="926"/>
      <c r="T74" s="927"/>
      <c r="U74" s="928"/>
      <c r="V74" s="926"/>
      <c r="W74" s="927"/>
      <c r="X74" s="928"/>
      <c r="Y74" s="929" t="str">
        <f>IF(Y72="","",Y72/Y70)</f>
        <v/>
      </c>
      <c r="Z74" s="930"/>
      <c r="AA74" s="931"/>
      <c r="AB74" s="221"/>
      <c r="AC74" s="964"/>
      <c r="AD74" s="964"/>
      <c r="AE74" s="964"/>
      <c r="AF74" s="964"/>
      <c r="AG74" s="965"/>
      <c r="AH74" s="989"/>
      <c r="AI74" s="990"/>
      <c r="AJ74" s="990"/>
      <c r="AK74" s="990"/>
      <c r="AM74" s="1005"/>
      <c r="AN74" s="877" t="s">
        <v>59</v>
      </c>
      <c r="AO74" s="878"/>
      <c r="AP74" s="879"/>
      <c r="AQ74" s="939"/>
      <c r="AR74" s="940"/>
      <c r="AS74" s="941"/>
      <c r="AV74" s="957"/>
      <c r="AW74" s="948" t="s">
        <v>165</v>
      </c>
      <c r="AX74" s="563"/>
      <c r="AY74" s="564"/>
      <c r="AZ74" s="949" t="str">
        <f>IF(AZ70="","",IF(AZ71="","",ROUND(AZ70/AZ71,2)))</f>
        <v/>
      </c>
      <c r="BA74" s="950"/>
      <c r="BB74" s="951"/>
    </row>
    <row r="75" spans="1:105" s="52" customFormat="1" ht="20.25" customHeight="1" thickBot="1">
      <c r="A75" s="565" t="s">
        <v>242</v>
      </c>
      <c r="B75" s="566"/>
      <c r="C75" s="567"/>
      <c r="D75" s="929" t="str">
        <f>IF(D70="","",IF(D73=0,"",D73/D70))</f>
        <v/>
      </c>
      <c r="E75" s="930"/>
      <c r="F75" s="963"/>
      <c r="G75" s="929" t="str">
        <f>IF(G70="","",IF(G73=0,"",G73/G70))</f>
        <v/>
      </c>
      <c r="H75" s="930"/>
      <c r="I75" s="963"/>
      <c r="J75" s="929" t="str">
        <f>IF(J70="","",IF(J73=0,"",J73/J70))</f>
        <v/>
      </c>
      <c r="K75" s="930"/>
      <c r="L75" s="963"/>
      <c r="M75" s="929" t="str">
        <f>IF(M70="","",IF(M73=0,"",M73/M70))</f>
        <v/>
      </c>
      <c r="N75" s="930"/>
      <c r="O75" s="963"/>
      <c r="P75" s="929" t="str">
        <f>IF(P70="","",IF(P73=0,"",P73/P70))</f>
        <v/>
      </c>
      <c r="Q75" s="930"/>
      <c r="R75" s="963"/>
      <c r="S75" s="926"/>
      <c r="T75" s="927"/>
      <c r="U75" s="928"/>
      <c r="V75" s="926"/>
      <c r="W75" s="927"/>
      <c r="X75" s="928"/>
      <c r="Y75" s="929" t="str">
        <f>IF(Y70="","",IF(Y73="","",Y73/Y70))</f>
        <v/>
      </c>
      <c r="Z75" s="930"/>
      <c r="AA75" s="931"/>
      <c r="AB75" s="219"/>
      <c r="AC75" s="966"/>
      <c r="AD75" s="966"/>
      <c r="AE75" s="966"/>
      <c r="AF75" s="966"/>
      <c r="AG75" s="967"/>
      <c r="AH75" s="989"/>
      <c r="AI75" s="990"/>
      <c r="AJ75" s="990"/>
      <c r="AK75" s="990"/>
      <c r="AM75" s="1005"/>
      <c r="AN75" s="968"/>
      <c r="AO75" s="969"/>
      <c r="AP75" s="970"/>
      <c r="AQ75" s="942"/>
      <c r="AR75" s="943"/>
      <c r="AS75" s="944"/>
    </row>
    <row r="76" spans="1:105" s="52" customFormat="1" ht="20.25" customHeight="1" thickBot="1">
      <c r="A76" s="670" t="s">
        <v>244</v>
      </c>
      <c r="B76" s="671"/>
      <c r="C76" s="671"/>
      <c r="D76" s="926"/>
      <c r="E76" s="927"/>
      <c r="F76" s="928"/>
      <c r="G76" s="926"/>
      <c r="H76" s="927"/>
      <c r="I76" s="928"/>
      <c r="J76" s="926"/>
      <c r="K76" s="927"/>
      <c r="L76" s="928"/>
      <c r="M76" s="926"/>
      <c r="N76" s="927"/>
      <c r="O76" s="928"/>
      <c r="P76" s="926"/>
      <c r="Q76" s="927"/>
      <c r="R76" s="928"/>
      <c r="S76" s="932"/>
      <c r="T76" s="932"/>
      <c r="U76" s="932"/>
      <c r="V76" s="953">
        <f>IF(AB93="",0,IF(AB94="",0,ROUND(AB93*AB94/30,1)))</f>
        <v>0</v>
      </c>
      <c r="W76" s="953"/>
      <c r="X76" s="953"/>
      <c r="Y76" s="953">
        <f>V76</f>
        <v>0</v>
      </c>
      <c r="Z76" s="953"/>
      <c r="AA76" s="954"/>
      <c r="AB76" s="219"/>
      <c r="AC76" s="966"/>
      <c r="AD76" s="966"/>
      <c r="AE76" s="966"/>
      <c r="AF76" s="966"/>
      <c r="AG76" s="967"/>
      <c r="AH76" s="989"/>
      <c r="AI76" s="990"/>
      <c r="AJ76" s="990"/>
      <c r="AK76" s="990"/>
      <c r="AM76" s="1006"/>
      <c r="AN76" s="971"/>
      <c r="AO76" s="972"/>
      <c r="AP76" s="973"/>
      <c r="AQ76" s="945"/>
      <c r="AR76" s="946"/>
      <c r="AS76" s="947"/>
      <c r="AV76" s="922" t="s">
        <v>245</v>
      </c>
      <c r="AW76" s="782" t="s">
        <v>71</v>
      </c>
      <c r="AX76" s="782"/>
      <c r="AY76" s="782"/>
      <c r="AZ76" s="782" t="s">
        <v>246</v>
      </c>
      <c r="BA76" s="782"/>
      <c r="BB76" s="782"/>
      <c r="BC76" s="782" t="s">
        <v>247</v>
      </c>
      <c r="BD76" s="782"/>
      <c r="BE76" s="925"/>
    </row>
    <row r="77" spans="1:105" s="52" customFormat="1" ht="20.25" customHeight="1" thickBot="1">
      <c r="A77" s="670" t="s">
        <v>236</v>
      </c>
      <c r="B77" s="671"/>
      <c r="C77" s="671"/>
      <c r="D77" s="979" t="str">
        <f>IF(D70="","",D70/$D$70)</f>
        <v/>
      </c>
      <c r="E77" s="980"/>
      <c r="F77" s="981"/>
      <c r="G77" s="979" t="str">
        <f>IF($D$70="","",IF(G70="","",G70/$D$70))</f>
        <v/>
      </c>
      <c r="H77" s="980"/>
      <c r="I77" s="981"/>
      <c r="J77" s="979" t="str">
        <f>IF($D$70="","",IF(J70="","",J70/$D$70))</f>
        <v/>
      </c>
      <c r="K77" s="980"/>
      <c r="L77" s="981"/>
      <c r="M77" s="979" t="str">
        <f>IF($D$70="","",IF(M70="","",M70/$D$70))</f>
        <v/>
      </c>
      <c r="N77" s="980"/>
      <c r="O77" s="981"/>
      <c r="P77" s="979" t="str">
        <f>IF($D$70="","",IF(P70="","",P70/$D$70))</f>
        <v/>
      </c>
      <c r="Q77" s="980"/>
      <c r="R77" s="981"/>
      <c r="S77" s="932"/>
      <c r="T77" s="932"/>
      <c r="U77" s="932"/>
      <c r="V77" s="932"/>
      <c r="W77" s="932"/>
      <c r="X77" s="932"/>
      <c r="Y77" s="932"/>
      <c r="Z77" s="932"/>
      <c r="AA77" s="933"/>
      <c r="AB77" s="219"/>
      <c r="AC77" s="966"/>
      <c r="AD77" s="966"/>
      <c r="AE77" s="966"/>
      <c r="AF77" s="966"/>
      <c r="AG77" s="967"/>
      <c r="AH77" s="989"/>
      <c r="AI77" s="990"/>
      <c r="AJ77" s="990"/>
      <c r="AK77" s="990"/>
      <c r="AV77" s="923"/>
      <c r="AW77" s="934"/>
      <c r="AX77" s="934"/>
      <c r="AY77" s="934"/>
      <c r="AZ77" s="935"/>
      <c r="BA77" s="934"/>
      <c r="BB77" s="934"/>
      <c r="BC77" s="934"/>
      <c r="BD77" s="934"/>
      <c r="BE77" s="936"/>
    </row>
    <row r="78" spans="1:105" s="52" customFormat="1" ht="20.25" customHeight="1" thickBot="1">
      <c r="A78" s="974" t="s">
        <v>235</v>
      </c>
      <c r="B78" s="778"/>
      <c r="C78" s="778"/>
      <c r="D78" s="975"/>
      <c r="E78" s="975"/>
      <c r="F78" s="975"/>
      <c r="G78" s="976" t="str">
        <f>IF($G$70="","",G70/$G$70)</f>
        <v/>
      </c>
      <c r="H78" s="977"/>
      <c r="I78" s="978"/>
      <c r="J78" s="976" t="str">
        <f>IF($G$70="","",IF(J70="","",J70/$G$70))</f>
        <v/>
      </c>
      <c r="K78" s="977"/>
      <c r="L78" s="978"/>
      <c r="M78" s="976" t="str">
        <f>IF($G$70="","",IF(M70="","",M70/$G$70))</f>
        <v/>
      </c>
      <c r="N78" s="977"/>
      <c r="O78" s="978"/>
      <c r="P78" s="976" t="str">
        <f>IF($G$70="","",IF(P70="","",P70/$G$70))</f>
        <v/>
      </c>
      <c r="Q78" s="977"/>
      <c r="R78" s="978"/>
      <c r="S78" s="898"/>
      <c r="T78" s="899"/>
      <c r="U78" s="900"/>
      <c r="V78" s="898"/>
      <c r="W78" s="899"/>
      <c r="X78" s="900"/>
      <c r="Y78" s="898"/>
      <c r="Z78" s="899"/>
      <c r="AA78" s="952"/>
      <c r="AB78" s="222"/>
      <c r="AC78" s="966"/>
      <c r="AD78" s="966"/>
      <c r="AE78" s="966"/>
      <c r="AF78" s="966"/>
      <c r="AG78" s="967"/>
      <c r="AH78" s="989"/>
      <c r="AI78" s="990"/>
      <c r="AJ78" s="990"/>
      <c r="AK78" s="990"/>
      <c r="AV78" s="924"/>
      <c r="AW78" s="937"/>
      <c r="AX78" s="937"/>
      <c r="AY78" s="937"/>
      <c r="AZ78" s="937"/>
      <c r="BA78" s="937"/>
      <c r="BB78" s="937"/>
      <c r="BC78" s="937"/>
      <c r="BD78" s="937"/>
      <c r="BE78" s="938"/>
    </row>
    <row r="79" spans="1:105" ht="20.25" customHeight="1" thickBot="1">
      <c r="CV79" s="2"/>
      <c r="CW79" s="2"/>
      <c r="CX79" s="2"/>
      <c r="CY79" s="2"/>
      <c r="CZ79" s="2"/>
      <c r="DA79" s="2"/>
    </row>
    <row r="80" spans="1:105" ht="20.25" customHeight="1">
      <c r="A80" s="901" t="s">
        <v>56</v>
      </c>
      <c r="B80" s="896" t="s">
        <v>72</v>
      </c>
      <c r="C80" s="896"/>
      <c r="D80" s="896" t="s">
        <v>13</v>
      </c>
      <c r="E80" s="896"/>
      <c r="F80" s="896"/>
      <c r="G80" s="668" t="s">
        <v>15</v>
      </c>
      <c r="H80" s="745"/>
      <c r="I80" s="904"/>
      <c r="J80" s="668" t="s">
        <v>48</v>
      </c>
      <c r="K80" s="745"/>
      <c r="L80" s="905"/>
      <c r="O80" s="906" t="s">
        <v>454</v>
      </c>
      <c r="P80" s="893" t="s">
        <v>72</v>
      </c>
      <c r="Q80" s="893"/>
      <c r="R80" s="894" t="s">
        <v>279</v>
      </c>
      <c r="S80" s="895"/>
      <c r="T80" s="894" t="s">
        <v>94</v>
      </c>
      <c r="U80" s="896"/>
      <c r="V80" s="896" t="s">
        <v>76</v>
      </c>
      <c r="W80" s="896"/>
      <c r="X80" s="896"/>
      <c r="Y80" s="896"/>
      <c r="Z80" s="896" t="s">
        <v>77</v>
      </c>
      <c r="AA80" s="896"/>
      <c r="AB80" s="896"/>
      <c r="AC80" s="896"/>
      <c r="AD80" s="896"/>
      <c r="AE80" s="896"/>
      <c r="AF80" s="896"/>
      <c r="AG80" s="896"/>
      <c r="AH80" s="896"/>
      <c r="AI80" s="896"/>
      <c r="AJ80" s="896"/>
      <c r="AK80" s="896" t="s">
        <v>78</v>
      </c>
      <c r="AL80" s="896"/>
      <c r="AM80" s="896"/>
      <c r="AN80" s="896"/>
      <c r="AO80" s="896"/>
      <c r="AP80" s="896"/>
      <c r="AQ80" s="896"/>
      <c r="AR80" s="896"/>
      <c r="AS80" s="896"/>
      <c r="AT80" s="896"/>
      <c r="AU80" s="896"/>
      <c r="AV80" s="896"/>
      <c r="AW80" s="896"/>
      <c r="AX80" s="896"/>
      <c r="AY80" s="896"/>
      <c r="AZ80" s="896"/>
      <c r="BA80" s="896"/>
      <c r="BB80" s="896"/>
      <c r="BC80" s="896"/>
      <c r="BD80" s="897"/>
      <c r="CV80" s="2"/>
      <c r="CW80" s="2"/>
      <c r="CX80" s="2"/>
      <c r="CY80" s="2"/>
      <c r="CZ80" s="2"/>
      <c r="DA80" s="2"/>
    </row>
    <row r="81" spans="1:105" ht="20.25" customHeight="1">
      <c r="A81" s="902"/>
      <c r="B81" s="743" t="s">
        <v>73</v>
      </c>
      <c r="C81" s="743"/>
      <c r="D81" s="742"/>
      <c r="E81" s="742"/>
      <c r="F81" s="742"/>
      <c r="G81" s="909"/>
      <c r="H81" s="910"/>
      <c r="I81" s="911"/>
      <c r="J81" s="909"/>
      <c r="K81" s="910"/>
      <c r="L81" s="912"/>
      <c r="O81" s="907"/>
      <c r="P81" s="871"/>
      <c r="Q81" s="871"/>
      <c r="R81" s="821"/>
      <c r="S81" s="821"/>
      <c r="T81" s="743"/>
      <c r="U81" s="743"/>
      <c r="V81" s="743" t="s">
        <v>274</v>
      </c>
      <c r="W81" s="743"/>
      <c r="X81" s="743" t="s">
        <v>79</v>
      </c>
      <c r="Y81" s="743"/>
      <c r="Z81" s="743" t="s">
        <v>79</v>
      </c>
      <c r="AA81" s="743"/>
      <c r="AB81" s="891" t="s">
        <v>278</v>
      </c>
      <c r="AC81" s="821"/>
      <c r="AD81" s="821"/>
      <c r="AE81" s="820" t="s">
        <v>270</v>
      </c>
      <c r="AF81" s="820"/>
      <c r="AG81" s="820"/>
      <c r="AH81" s="820" t="s">
        <v>275</v>
      </c>
      <c r="AI81" s="820"/>
      <c r="AJ81" s="820"/>
      <c r="AK81" s="743" t="s">
        <v>79</v>
      </c>
      <c r="AL81" s="743"/>
      <c r="AM81" s="891" t="s">
        <v>91</v>
      </c>
      <c r="AN81" s="821"/>
      <c r="AO81" s="821"/>
      <c r="AP81" s="820" t="s">
        <v>167</v>
      </c>
      <c r="AQ81" s="820"/>
      <c r="AR81" s="820"/>
      <c r="AS81" s="820" t="s">
        <v>276</v>
      </c>
      <c r="AT81" s="820"/>
      <c r="AU81" s="820"/>
      <c r="AV81" s="891" t="s">
        <v>95</v>
      </c>
      <c r="AW81" s="821"/>
      <c r="AX81" s="821"/>
      <c r="AY81" s="820" t="s">
        <v>168</v>
      </c>
      <c r="AZ81" s="820"/>
      <c r="BA81" s="820"/>
      <c r="BB81" s="820" t="s">
        <v>277</v>
      </c>
      <c r="BC81" s="820"/>
      <c r="BD81" s="892"/>
      <c r="CV81" s="2"/>
      <c r="CW81" s="2"/>
      <c r="CX81" s="2"/>
      <c r="CY81" s="2"/>
      <c r="CZ81" s="2"/>
      <c r="DA81" s="2"/>
    </row>
    <row r="82" spans="1:105" ht="20.25" customHeight="1">
      <c r="A82" s="902"/>
      <c r="B82" s="743" t="s">
        <v>74</v>
      </c>
      <c r="C82" s="743"/>
      <c r="D82" s="742"/>
      <c r="E82" s="742"/>
      <c r="F82" s="742"/>
      <c r="G82" s="742"/>
      <c r="H82" s="742"/>
      <c r="I82" s="742"/>
      <c r="J82" s="742"/>
      <c r="K82" s="742"/>
      <c r="L82" s="749"/>
      <c r="O82" s="907"/>
      <c r="P82" s="871"/>
      <c r="Q82" s="871"/>
      <c r="R82" s="821"/>
      <c r="S82" s="821"/>
      <c r="T82" s="743"/>
      <c r="U82" s="743"/>
      <c r="V82" s="743"/>
      <c r="W82" s="743"/>
      <c r="X82" s="743"/>
      <c r="Y82" s="743"/>
      <c r="Z82" s="743"/>
      <c r="AA82" s="743"/>
      <c r="AB82" s="821"/>
      <c r="AC82" s="821"/>
      <c r="AD82" s="821"/>
      <c r="AE82" s="820"/>
      <c r="AF82" s="820"/>
      <c r="AG82" s="820"/>
      <c r="AH82" s="820"/>
      <c r="AI82" s="820"/>
      <c r="AJ82" s="820"/>
      <c r="AK82" s="743"/>
      <c r="AL82" s="743"/>
      <c r="AM82" s="821"/>
      <c r="AN82" s="821"/>
      <c r="AO82" s="821"/>
      <c r="AP82" s="820"/>
      <c r="AQ82" s="820"/>
      <c r="AR82" s="820"/>
      <c r="AS82" s="820"/>
      <c r="AT82" s="820"/>
      <c r="AU82" s="820"/>
      <c r="AV82" s="821"/>
      <c r="AW82" s="821"/>
      <c r="AX82" s="821"/>
      <c r="AY82" s="820"/>
      <c r="AZ82" s="820"/>
      <c r="BA82" s="820"/>
      <c r="BB82" s="820"/>
      <c r="BC82" s="820"/>
      <c r="BD82" s="892"/>
      <c r="CV82" s="2"/>
      <c r="CW82" s="2"/>
      <c r="CX82" s="2"/>
      <c r="CY82" s="2"/>
      <c r="CZ82" s="2"/>
      <c r="DA82" s="2"/>
    </row>
    <row r="83" spans="1:105" ht="20.25" customHeight="1" thickBot="1">
      <c r="A83" s="903"/>
      <c r="B83" s="752" t="s">
        <v>75</v>
      </c>
      <c r="C83" s="752"/>
      <c r="D83" s="751"/>
      <c r="E83" s="751"/>
      <c r="F83" s="751"/>
      <c r="G83" s="913"/>
      <c r="H83" s="914"/>
      <c r="I83" s="915"/>
      <c r="J83" s="913"/>
      <c r="K83" s="914"/>
      <c r="L83" s="916"/>
      <c r="O83" s="907"/>
      <c r="P83" s="871" t="s">
        <v>269</v>
      </c>
      <c r="Q83" s="871"/>
      <c r="R83" s="764" t="str">
        <f>IF(E371=0,"",E371)</f>
        <v/>
      </c>
      <c r="S83" s="764"/>
      <c r="T83" s="764" t="str">
        <f t="shared" ref="T83:T90" si="6">IF(G371=0,"",G371)</f>
        <v/>
      </c>
      <c r="U83" s="764"/>
      <c r="V83" s="764" t="str">
        <f t="shared" ref="V83:V90" si="7">IF(I371=0,"",I371)</f>
        <v/>
      </c>
      <c r="W83" s="764"/>
      <c r="X83" s="764" t="str">
        <f t="shared" ref="X83:X90" si="8">IF(K371=0,"",K371)</f>
        <v/>
      </c>
      <c r="Y83" s="764"/>
      <c r="Z83" s="764" t="str">
        <f t="shared" ref="Z83:Z90" si="9">IF(M371=0,"",M371)</f>
        <v/>
      </c>
      <c r="AA83" s="764"/>
      <c r="AB83" s="872" t="str">
        <f>IF(O371=0,"",O371)</f>
        <v/>
      </c>
      <c r="AC83" s="872"/>
      <c r="AD83" s="872"/>
      <c r="AE83" s="872" t="str">
        <f t="shared" ref="AE83:AE90" si="10">IF(R371=0,"",R371)</f>
        <v/>
      </c>
      <c r="AF83" s="872"/>
      <c r="AG83" s="872"/>
      <c r="AH83" s="872" t="str">
        <f t="shared" ref="AH83:AH90" si="11">IF(U371=0,"",U371)</f>
        <v/>
      </c>
      <c r="AI83" s="872"/>
      <c r="AJ83" s="872"/>
      <c r="AK83" s="872" t="str">
        <f>IF(X371=0,"",X371)</f>
        <v/>
      </c>
      <c r="AL83" s="872"/>
      <c r="AM83" s="872" t="str">
        <f>IF(Z371=0,"",Z371)</f>
        <v/>
      </c>
      <c r="AN83" s="872"/>
      <c r="AO83" s="872"/>
      <c r="AP83" s="872" t="str">
        <f t="shared" ref="AP83:AP90" si="12">IF(AC371=0,"",AC371)</f>
        <v/>
      </c>
      <c r="AQ83" s="872"/>
      <c r="AR83" s="872"/>
      <c r="AS83" s="872" t="str">
        <f t="shared" ref="AS83:AS90" si="13">IF(AF371=0,"",AF371)</f>
        <v/>
      </c>
      <c r="AT83" s="872"/>
      <c r="AU83" s="872"/>
      <c r="AV83" s="872" t="str">
        <f t="shared" ref="AV83:AV90" si="14">IF(AL371=0,"",AL371)</f>
        <v/>
      </c>
      <c r="AW83" s="872"/>
      <c r="AX83" s="872"/>
      <c r="AY83" s="872" t="str">
        <f t="shared" ref="AY83:AY90" si="15">IF(AO371=0,"",AO371)</f>
        <v/>
      </c>
      <c r="AZ83" s="872"/>
      <c r="BA83" s="872"/>
      <c r="BB83" s="872" t="str">
        <f t="shared" ref="BB83:BB90" si="16">IF(AR371=0,"",AR371)</f>
        <v/>
      </c>
      <c r="BC83" s="872"/>
      <c r="BD83" s="873"/>
      <c r="CV83" s="2"/>
      <c r="CW83" s="2"/>
      <c r="CX83" s="2"/>
      <c r="CY83" s="2"/>
      <c r="CZ83" s="2"/>
      <c r="DA83" s="2"/>
    </row>
    <row r="84" spans="1:105" ht="20.25" customHeight="1" thickBot="1">
      <c r="O84" s="907"/>
      <c r="P84" s="889" t="s">
        <v>13</v>
      </c>
      <c r="Q84" s="890"/>
      <c r="R84" s="764" t="str">
        <f t="shared" ref="R84:R90" si="17">IF(E372=0,"",E372)</f>
        <v/>
      </c>
      <c r="S84" s="764"/>
      <c r="T84" s="764" t="str">
        <f t="shared" si="6"/>
        <v/>
      </c>
      <c r="U84" s="764"/>
      <c r="V84" s="764" t="str">
        <f t="shared" si="7"/>
        <v/>
      </c>
      <c r="W84" s="764"/>
      <c r="X84" s="764" t="str">
        <f t="shared" si="8"/>
        <v/>
      </c>
      <c r="Y84" s="764"/>
      <c r="Z84" s="764" t="str">
        <f t="shared" si="9"/>
        <v/>
      </c>
      <c r="AA84" s="764"/>
      <c r="AB84" s="872" t="str">
        <f t="shared" ref="AB84:AB90" si="18">IF(O372=0,"",O372)</f>
        <v/>
      </c>
      <c r="AC84" s="872"/>
      <c r="AD84" s="872"/>
      <c r="AE84" s="872" t="str">
        <f t="shared" si="10"/>
        <v/>
      </c>
      <c r="AF84" s="872"/>
      <c r="AG84" s="872"/>
      <c r="AH84" s="872" t="str">
        <f t="shared" si="11"/>
        <v/>
      </c>
      <c r="AI84" s="872"/>
      <c r="AJ84" s="872"/>
      <c r="AK84" s="872" t="str">
        <f t="shared" ref="AK84:AK90" si="19">IF(X372=0,"",X372)</f>
        <v/>
      </c>
      <c r="AL84" s="872"/>
      <c r="AM84" s="872" t="str">
        <f t="shared" ref="AM84:AM90" si="20">IF(Z372=0,"",Z372)</f>
        <v/>
      </c>
      <c r="AN84" s="872"/>
      <c r="AO84" s="872"/>
      <c r="AP84" s="872" t="str">
        <f t="shared" si="12"/>
        <v/>
      </c>
      <c r="AQ84" s="872"/>
      <c r="AR84" s="872"/>
      <c r="AS84" s="872" t="str">
        <f t="shared" si="13"/>
        <v/>
      </c>
      <c r="AT84" s="872"/>
      <c r="AU84" s="872"/>
      <c r="AV84" s="872" t="str">
        <f t="shared" si="14"/>
        <v/>
      </c>
      <c r="AW84" s="872"/>
      <c r="AX84" s="872"/>
      <c r="AY84" s="872" t="str">
        <f t="shared" si="15"/>
        <v/>
      </c>
      <c r="AZ84" s="872"/>
      <c r="BA84" s="872"/>
      <c r="BB84" s="872" t="str">
        <f t="shared" si="16"/>
        <v/>
      </c>
      <c r="BC84" s="872"/>
      <c r="BD84" s="873"/>
      <c r="CV84" s="2"/>
      <c r="CW84" s="2"/>
      <c r="CX84" s="2"/>
      <c r="CY84" s="2"/>
      <c r="CZ84" s="2"/>
      <c r="DA84" s="2"/>
    </row>
    <row r="85" spans="1:105" ht="20.25" customHeight="1">
      <c r="A85" s="919" t="s">
        <v>69</v>
      </c>
      <c r="B85" s="896" t="s">
        <v>70</v>
      </c>
      <c r="C85" s="896"/>
      <c r="D85" s="896"/>
      <c r="E85" s="896"/>
      <c r="F85" s="896"/>
      <c r="G85" s="896"/>
      <c r="H85" s="896"/>
      <c r="I85" s="896"/>
      <c r="J85" s="897"/>
      <c r="O85" s="907"/>
      <c r="P85" s="889" t="s">
        <v>15</v>
      </c>
      <c r="Q85" s="890"/>
      <c r="R85" s="764" t="str">
        <f t="shared" si="17"/>
        <v/>
      </c>
      <c r="S85" s="764"/>
      <c r="T85" s="764" t="str">
        <f t="shared" si="6"/>
        <v/>
      </c>
      <c r="U85" s="764"/>
      <c r="V85" s="764" t="str">
        <f t="shared" si="7"/>
        <v/>
      </c>
      <c r="W85" s="764"/>
      <c r="X85" s="764" t="str">
        <f t="shared" si="8"/>
        <v/>
      </c>
      <c r="Y85" s="764"/>
      <c r="Z85" s="764" t="str">
        <f t="shared" si="9"/>
        <v/>
      </c>
      <c r="AA85" s="764"/>
      <c r="AB85" s="872" t="str">
        <f t="shared" si="18"/>
        <v/>
      </c>
      <c r="AC85" s="872"/>
      <c r="AD85" s="872"/>
      <c r="AE85" s="872" t="str">
        <f t="shared" si="10"/>
        <v/>
      </c>
      <c r="AF85" s="872"/>
      <c r="AG85" s="872"/>
      <c r="AH85" s="872" t="str">
        <f t="shared" si="11"/>
        <v/>
      </c>
      <c r="AI85" s="872"/>
      <c r="AJ85" s="872"/>
      <c r="AK85" s="872" t="str">
        <f t="shared" si="19"/>
        <v/>
      </c>
      <c r="AL85" s="872"/>
      <c r="AM85" s="872" t="str">
        <f t="shared" si="20"/>
        <v/>
      </c>
      <c r="AN85" s="872"/>
      <c r="AO85" s="872"/>
      <c r="AP85" s="872" t="str">
        <f t="shared" si="12"/>
        <v/>
      </c>
      <c r="AQ85" s="872"/>
      <c r="AR85" s="872"/>
      <c r="AS85" s="872" t="str">
        <f t="shared" si="13"/>
        <v/>
      </c>
      <c r="AT85" s="872"/>
      <c r="AU85" s="872"/>
      <c r="AV85" s="872" t="str">
        <f t="shared" si="14"/>
        <v/>
      </c>
      <c r="AW85" s="872"/>
      <c r="AX85" s="872"/>
      <c r="AY85" s="872" t="str">
        <f t="shared" si="15"/>
        <v/>
      </c>
      <c r="AZ85" s="872"/>
      <c r="BA85" s="872"/>
      <c r="BB85" s="872" t="str">
        <f t="shared" si="16"/>
        <v/>
      </c>
      <c r="BC85" s="872"/>
      <c r="BD85" s="873"/>
      <c r="CV85" s="2"/>
      <c r="CW85" s="2"/>
      <c r="CX85" s="2"/>
      <c r="CY85" s="2"/>
      <c r="CZ85" s="2"/>
      <c r="DA85" s="2"/>
    </row>
    <row r="86" spans="1:105" ht="20.25" customHeight="1">
      <c r="A86" s="920"/>
      <c r="B86" s="877" t="s">
        <v>71</v>
      </c>
      <c r="C86" s="878"/>
      <c r="D86" s="879"/>
      <c r="E86" s="877" t="s">
        <v>90</v>
      </c>
      <c r="F86" s="878"/>
      <c r="G86" s="879"/>
      <c r="H86" s="883" t="s">
        <v>268</v>
      </c>
      <c r="I86" s="884"/>
      <c r="J86" s="885"/>
      <c r="M86" s="49"/>
      <c r="N86" s="49"/>
      <c r="O86" s="907"/>
      <c r="P86" s="889" t="s">
        <v>48</v>
      </c>
      <c r="Q86" s="890"/>
      <c r="R86" s="764" t="str">
        <f t="shared" si="17"/>
        <v/>
      </c>
      <c r="S86" s="764"/>
      <c r="T86" s="764" t="str">
        <f t="shared" si="6"/>
        <v/>
      </c>
      <c r="U86" s="764"/>
      <c r="V86" s="764" t="str">
        <f t="shared" si="7"/>
        <v/>
      </c>
      <c r="W86" s="764"/>
      <c r="X86" s="764" t="str">
        <f t="shared" si="8"/>
        <v/>
      </c>
      <c r="Y86" s="764"/>
      <c r="Z86" s="764" t="str">
        <f t="shared" si="9"/>
        <v/>
      </c>
      <c r="AA86" s="764"/>
      <c r="AB86" s="872" t="str">
        <f t="shared" si="18"/>
        <v/>
      </c>
      <c r="AC86" s="872"/>
      <c r="AD86" s="872"/>
      <c r="AE86" s="872" t="str">
        <f t="shared" si="10"/>
        <v/>
      </c>
      <c r="AF86" s="872"/>
      <c r="AG86" s="872"/>
      <c r="AH86" s="872" t="str">
        <f t="shared" si="11"/>
        <v/>
      </c>
      <c r="AI86" s="872"/>
      <c r="AJ86" s="872"/>
      <c r="AK86" s="872" t="str">
        <f t="shared" si="19"/>
        <v/>
      </c>
      <c r="AL86" s="872"/>
      <c r="AM86" s="872" t="str">
        <f t="shared" si="20"/>
        <v/>
      </c>
      <c r="AN86" s="872"/>
      <c r="AO86" s="872"/>
      <c r="AP86" s="872" t="str">
        <f t="shared" si="12"/>
        <v/>
      </c>
      <c r="AQ86" s="872"/>
      <c r="AR86" s="872"/>
      <c r="AS86" s="872" t="str">
        <f t="shared" si="13"/>
        <v/>
      </c>
      <c r="AT86" s="872"/>
      <c r="AU86" s="872"/>
      <c r="AV86" s="872" t="str">
        <f t="shared" si="14"/>
        <v/>
      </c>
      <c r="AW86" s="872"/>
      <c r="AX86" s="872"/>
      <c r="AY86" s="872" t="str">
        <f t="shared" si="15"/>
        <v/>
      </c>
      <c r="AZ86" s="872"/>
      <c r="BA86" s="872"/>
      <c r="BB86" s="872" t="str">
        <f t="shared" si="16"/>
        <v/>
      </c>
      <c r="BC86" s="872"/>
      <c r="BD86" s="873"/>
      <c r="CV86" s="2"/>
      <c r="CW86" s="2"/>
      <c r="CX86" s="2"/>
      <c r="CY86" s="2"/>
      <c r="CZ86" s="2"/>
      <c r="DA86" s="2"/>
    </row>
    <row r="87" spans="1:105" ht="20.25" customHeight="1">
      <c r="A87" s="920"/>
      <c r="B87" s="880"/>
      <c r="C87" s="881"/>
      <c r="D87" s="882"/>
      <c r="E87" s="880"/>
      <c r="F87" s="881"/>
      <c r="G87" s="882"/>
      <c r="H87" s="886"/>
      <c r="I87" s="887"/>
      <c r="J87" s="888"/>
      <c r="O87" s="907"/>
      <c r="P87" s="871" t="s">
        <v>256</v>
      </c>
      <c r="Q87" s="871"/>
      <c r="R87" s="764" t="str">
        <f t="shared" si="17"/>
        <v/>
      </c>
      <c r="S87" s="764"/>
      <c r="T87" s="764" t="str">
        <f t="shared" si="6"/>
        <v/>
      </c>
      <c r="U87" s="764"/>
      <c r="V87" s="764" t="str">
        <f t="shared" si="7"/>
        <v/>
      </c>
      <c r="W87" s="764"/>
      <c r="X87" s="764" t="str">
        <f t="shared" si="8"/>
        <v/>
      </c>
      <c r="Y87" s="764"/>
      <c r="Z87" s="764" t="str">
        <f t="shared" si="9"/>
        <v/>
      </c>
      <c r="AA87" s="764"/>
      <c r="AB87" s="872" t="str">
        <f t="shared" si="18"/>
        <v/>
      </c>
      <c r="AC87" s="872"/>
      <c r="AD87" s="872"/>
      <c r="AE87" s="872" t="str">
        <f t="shared" si="10"/>
        <v/>
      </c>
      <c r="AF87" s="872"/>
      <c r="AG87" s="872"/>
      <c r="AH87" s="872" t="str">
        <f t="shared" si="11"/>
        <v/>
      </c>
      <c r="AI87" s="872"/>
      <c r="AJ87" s="872"/>
      <c r="AK87" s="872" t="str">
        <f t="shared" si="19"/>
        <v/>
      </c>
      <c r="AL87" s="872"/>
      <c r="AM87" s="872" t="str">
        <f t="shared" si="20"/>
        <v/>
      </c>
      <c r="AN87" s="872"/>
      <c r="AO87" s="872"/>
      <c r="AP87" s="872" t="str">
        <f t="shared" si="12"/>
        <v/>
      </c>
      <c r="AQ87" s="872"/>
      <c r="AR87" s="872"/>
      <c r="AS87" s="872" t="str">
        <f t="shared" si="13"/>
        <v/>
      </c>
      <c r="AT87" s="872"/>
      <c r="AU87" s="872"/>
      <c r="AV87" s="872" t="str">
        <f t="shared" si="14"/>
        <v/>
      </c>
      <c r="AW87" s="872"/>
      <c r="AX87" s="872"/>
      <c r="AY87" s="872" t="str">
        <f t="shared" si="15"/>
        <v/>
      </c>
      <c r="AZ87" s="872"/>
      <c r="BA87" s="872"/>
      <c r="BB87" s="872" t="str">
        <f t="shared" si="16"/>
        <v/>
      </c>
      <c r="BC87" s="872"/>
      <c r="BD87" s="873"/>
    </row>
    <row r="88" spans="1:105" ht="20.25" customHeight="1">
      <c r="A88" s="920"/>
      <c r="B88" s="741"/>
      <c r="C88" s="741"/>
      <c r="D88" s="741"/>
      <c r="E88" s="741"/>
      <c r="F88" s="741"/>
      <c r="G88" s="741"/>
      <c r="H88" s="756" t="str">
        <f>IF(E88="","",IF($Y$73="","",E88/$Y$73*1000))</f>
        <v/>
      </c>
      <c r="I88" s="756"/>
      <c r="J88" s="876"/>
      <c r="O88" s="907"/>
      <c r="P88" s="871" t="s">
        <v>257</v>
      </c>
      <c r="Q88" s="871"/>
      <c r="R88" s="764" t="str">
        <f t="shared" si="17"/>
        <v/>
      </c>
      <c r="S88" s="764"/>
      <c r="T88" s="764" t="str">
        <f t="shared" si="6"/>
        <v/>
      </c>
      <c r="U88" s="764"/>
      <c r="V88" s="764" t="str">
        <f t="shared" si="7"/>
        <v/>
      </c>
      <c r="W88" s="764"/>
      <c r="X88" s="764" t="str">
        <f t="shared" si="8"/>
        <v/>
      </c>
      <c r="Y88" s="764"/>
      <c r="Z88" s="764" t="str">
        <f t="shared" si="9"/>
        <v/>
      </c>
      <c r="AA88" s="764"/>
      <c r="AB88" s="872" t="str">
        <f t="shared" si="18"/>
        <v/>
      </c>
      <c r="AC88" s="872"/>
      <c r="AD88" s="872"/>
      <c r="AE88" s="872" t="str">
        <f t="shared" si="10"/>
        <v/>
      </c>
      <c r="AF88" s="872"/>
      <c r="AG88" s="872"/>
      <c r="AH88" s="872" t="str">
        <f t="shared" si="11"/>
        <v/>
      </c>
      <c r="AI88" s="872"/>
      <c r="AJ88" s="872"/>
      <c r="AK88" s="872" t="str">
        <f t="shared" si="19"/>
        <v/>
      </c>
      <c r="AL88" s="872"/>
      <c r="AM88" s="872" t="str">
        <f t="shared" si="20"/>
        <v/>
      </c>
      <c r="AN88" s="872"/>
      <c r="AO88" s="872"/>
      <c r="AP88" s="872" t="str">
        <f t="shared" si="12"/>
        <v/>
      </c>
      <c r="AQ88" s="872"/>
      <c r="AR88" s="872"/>
      <c r="AS88" s="872" t="str">
        <f t="shared" si="13"/>
        <v/>
      </c>
      <c r="AT88" s="872"/>
      <c r="AU88" s="872"/>
      <c r="AV88" s="872" t="str">
        <f t="shared" si="14"/>
        <v/>
      </c>
      <c r="AW88" s="872"/>
      <c r="AX88" s="872"/>
      <c r="AY88" s="872" t="str">
        <f t="shared" si="15"/>
        <v/>
      </c>
      <c r="AZ88" s="872"/>
      <c r="BA88" s="872"/>
      <c r="BB88" s="872" t="str">
        <f t="shared" si="16"/>
        <v/>
      </c>
      <c r="BC88" s="872"/>
      <c r="BD88" s="873"/>
      <c r="CV88" s="2"/>
      <c r="CW88" s="2"/>
      <c r="CX88" s="2"/>
      <c r="CY88" s="2"/>
      <c r="CZ88" s="2"/>
      <c r="DA88" s="2"/>
    </row>
    <row r="89" spans="1:105" ht="20.25" customHeight="1">
      <c r="A89" s="920"/>
      <c r="B89" s="710"/>
      <c r="C89" s="917"/>
      <c r="D89" s="918"/>
      <c r="E89" s="710"/>
      <c r="F89" s="917"/>
      <c r="G89" s="918"/>
      <c r="H89" s="756" t="str">
        <f t="shared" ref="H89:H90" si="21">IF(E89="","",IF($Y$73="","",E89/$Y$73*1000))</f>
        <v/>
      </c>
      <c r="I89" s="756"/>
      <c r="J89" s="876"/>
      <c r="O89" s="907"/>
      <c r="P89" s="871" t="s">
        <v>258</v>
      </c>
      <c r="Q89" s="871"/>
      <c r="R89" s="764" t="str">
        <f t="shared" si="17"/>
        <v/>
      </c>
      <c r="S89" s="764"/>
      <c r="T89" s="764" t="str">
        <f t="shared" si="6"/>
        <v/>
      </c>
      <c r="U89" s="764"/>
      <c r="V89" s="764" t="str">
        <f t="shared" si="7"/>
        <v/>
      </c>
      <c r="W89" s="764"/>
      <c r="X89" s="764" t="str">
        <f t="shared" si="8"/>
        <v/>
      </c>
      <c r="Y89" s="764"/>
      <c r="Z89" s="764" t="str">
        <f t="shared" si="9"/>
        <v/>
      </c>
      <c r="AA89" s="764"/>
      <c r="AB89" s="872" t="str">
        <f t="shared" si="18"/>
        <v/>
      </c>
      <c r="AC89" s="872"/>
      <c r="AD89" s="872"/>
      <c r="AE89" s="872" t="str">
        <f t="shared" si="10"/>
        <v/>
      </c>
      <c r="AF89" s="872"/>
      <c r="AG89" s="872"/>
      <c r="AH89" s="872" t="str">
        <f t="shared" si="11"/>
        <v/>
      </c>
      <c r="AI89" s="872"/>
      <c r="AJ89" s="872"/>
      <c r="AK89" s="872" t="str">
        <f t="shared" si="19"/>
        <v/>
      </c>
      <c r="AL89" s="872"/>
      <c r="AM89" s="872" t="str">
        <f t="shared" si="20"/>
        <v/>
      </c>
      <c r="AN89" s="872"/>
      <c r="AO89" s="872"/>
      <c r="AP89" s="872" t="str">
        <f t="shared" si="12"/>
        <v/>
      </c>
      <c r="AQ89" s="872"/>
      <c r="AR89" s="872"/>
      <c r="AS89" s="872" t="str">
        <f t="shared" si="13"/>
        <v/>
      </c>
      <c r="AT89" s="872"/>
      <c r="AU89" s="872"/>
      <c r="AV89" s="872" t="str">
        <f t="shared" si="14"/>
        <v/>
      </c>
      <c r="AW89" s="872"/>
      <c r="AX89" s="872"/>
      <c r="AY89" s="872" t="str">
        <f t="shared" si="15"/>
        <v/>
      </c>
      <c r="AZ89" s="872"/>
      <c r="BA89" s="872"/>
      <c r="BB89" s="872" t="str">
        <f t="shared" si="16"/>
        <v/>
      </c>
      <c r="BC89" s="872"/>
      <c r="BD89" s="873"/>
      <c r="CV89" s="2"/>
      <c r="CW89" s="2"/>
    </row>
    <row r="90" spans="1:105" ht="20.25" customHeight="1" thickBot="1">
      <c r="A90" s="921"/>
      <c r="B90" s="829"/>
      <c r="C90" s="830"/>
      <c r="D90" s="831"/>
      <c r="E90" s="829"/>
      <c r="F90" s="830"/>
      <c r="G90" s="831"/>
      <c r="H90" s="832" t="str">
        <f t="shared" si="21"/>
        <v/>
      </c>
      <c r="I90" s="832"/>
      <c r="J90" s="833"/>
      <c r="O90" s="908"/>
      <c r="P90" s="874" t="s">
        <v>259</v>
      </c>
      <c r="Q90" s="874"/>
      <c r="R90" s="875" t="str">
        <f t="shared" si="17"/>
        <v/>
      </c>
      <c r="S90" s="875"/>
      <c r="T90" s="875" t="str">
        <f t="shared" si="6"/>
        <v/>
      </c>
      <c r="U90" s="875"/>
      <c r="V90" s="875" t="str">
        <f t="shared" si="7"/>
        <v/>
      </c>
      <c r="W90" s="875"/>
      <c r="X90" s="875" t="str">
        <f t="shared" si="8"/>
        <v/>
      </c>
      <c r="Y90" s="875"/>
      <c r="Z90" s="875" t="str">
        <f t="shared" si="9"/>
        <v/>
      </c>
      <c r="AA90" s="875"/>
      <c r="AB90" s="869" t="str">
        <f t="shared" si="18"/>
        <v/>
      </c>
      <c r="AC90" s="869"/>
      <c r="AD90" s="869"/>
      <c r="AE90" s="869" t="str">
        <f t="shared" si="10"/>
        <v/>
      </c>
      <c r="AF90" s="869"/>
      <c r="AG90" s="869"/>
      <c r="AH90" s="869" t="str">
        <f t="shared" si="11"/>
        <v/>
      </c>
      <c r="AI90" s="869"/>
      <c r="AJ90" s="869"/>
      <c r="AK90" s="869" t="str">
        <f t="shared" si="19"/>
        <v/>
      </c>
      <c r="AL90" s="869"/>
      <c r="AM90" s="869" t="str">
        <f t="shared" si="20"/>
        <v/>
      </c>
      <c r="AN90" s="869"/>
      <c r="AO90" s="869"/>
      <c r="AP90" s="869" t="str">
        <f t="shared" si="12"/>
        <v/>
      </c>
      <c r="AQ90" s="869"/>
      <c r="AR90" s="869"/>
      <c r="AS90" s="869" t="str">
        <f t="shared" si="13"/>
        <v/>
      </c>
      <c r="AT90" s="869"/>
      <c r="AU90" s="869"/>
      <c r="AV90" s="869" t="str">
        <f t="shared" si="14"/>
        <v/>
      </c>
      <c r="AW90" s="869"/>
      <c r="AX90" s="869"/>
      <c r="AY90" s="869" t="str">
        <f t="shared" si="15"/>
        <v/>
      </c>
      <c r="AZ90" s="869"/>
      <c r="BA90" s="869"/>
      <c r="BB90" s="869" t="str">
        <f t="shared" si="16"/>
        <v/>
      </c>
      <c r="BC90" s="869"/>
      <c r="BD90" s="870"/>
      <c r="CV90" s="2"/>
      <c r="CW90" s="2"/>
      <c r="CX90" s="2"/>
      <c r="CY90" s="2"/>
      <c r="CZ90" s="2"/>
      <c r="DA90" s="2"/>
    </row>
    <row r="91" spans="1:105" ht="20.25" customHeight="1" thickBot="1">
      <c r="O91" s="62"/>
      <c r="BD91" s="49"/>
      <c r="BE91" s="49"/>
      <c r="CV91" s="2"/>
      <c r="CW91" s="2"/>
      <c r="CX91" s="2"/>
      <c r="CY91" s="2"/>
      <c r="CZ91" s="2"/>
      <c r="DA91" s="2"/>
    </row>
    <row r="92" spans="1:105" ht="20.25" customHeight="1">
      <c r="A92" s="840" t="s">
        <v>344</v>
      </c>
      <c r="B92" s="1120" t="s">
        <v>354</v>
      </c>
      <c r="C92" s="553"/>
      <c r="D92" s="1126"/>
      <c r="E92" s="1126"/>
      <c r="F92" s="1127"/>
      <c r="G92" s="398" t="s">
        <v>355</v>
      </c>
      <c r="H92" s="1128"/>
      <c r="I92" s="1126"/>
      <c r="J92" s="1127"/>
      <c r="K92" s="551" t="s">
        <v>356</v>
      </c>
      <c r="L92" s="1124"/>
      <c r="M92" s="1125"/>
      <c r="N92" s="1129"/>
      <c r="O92" s="1130"/>
      <c r="P92" s="1130"/>
      <c r="Q92" s="1130"/>
      <c r="R92" s="1131"/>
      <c r="S92"/>
      <c r="T92"/>
      <c r="U92" s="1135" t="s">
        <v>370</v>
      </c>
      <c r="V92" s="668" t="s">
        <v>82</v>
      </c>
      <c r="W92" s="745"/>
      <c r="X92" s="745"/>
      <c r="Y92" s="745"/>
      <c r="Z92" s="552"/>
      <c r="AA92" s="552"/>
      <c r="AB92" s="711"/>
      <c r="AC92" s="712"/>
      <c r="AD92" s="712"/>
      <c r="AE92" s="713"/>
      <c r="AF92" s="711"/>
      <c r="AG92" s="712"/>
      <c r="AH92" s="712"/>
      <c r="AI92" s="713"/>
      <c r="AJ92" s="711"/>
      <c r="AK92" s="712"/>
      <c r="AL92" s="712"/>
      <c r="AM92" s="713"/>
      <c r="AN92" s="711"/>
      <c r="AO92" s="712"/>
      <c r="AP92" s="712"/>
      <c r="AQ92" s="713"/>
      <c r="AR92" s="711"/>
      <c r="AS92" s="712"/>
      <c r="AT92" s="712"/>
      <c r="AU92" s="713"/>
      <c r="AV92" s="711"/>
      <c r="AW92" s="712"/>
      <c r="AX92" s="712"/>
      <c r="AY92" s="713"/>
      <c r="AZ92" s="1147" t="s">
        <v>374</v>
      </c>
      <c r="BA92" s="1124"/>
      <c r="BB92" s="1124"/>
      <c r="BC92" s="1125"/>
      <c r="BF92" s="2"/>
      <c r="BG92" s="703"/>
      <c r="BH92" s="704"/>
      <c r="BI92" s="704"/>
      <c r="BJ92" s="704"/>
    </row>
    <row r="93" spans="1:105" ht="20.25" customHeight="1">
      <c r="A93" s="841"/>
      <c r="B93" s="1095" t="s">
        <v>352</v>
      </c>
      <c r="C93" s="683"/>
      <c r="D93" s="575"/>
      <c r="E93" s="576"/>
      <c r="F93" s="1122" t="s">
        <v>367</v>
      </c>
      <c r="G93" s="1123"/>
      <c r="H93" s="1123"/>
      <c r="I93" s="1122" t="s">
        <v>359</v>
      </c>
      <c r="J93" s="1123"/>
      <c r="K93" s="1123"/>
      <c r="L93" s="774" t="s">
        <v>357</v>
      </c>
      <c r="M93" s="1121"/>
      <c r="N93" s="1121"/>
      <c r="O93" s="776"/>
      <c r="P93" s="766"/>
      <c r="Q93" s="767"/>
      <c r="R93" s="768"/>
      <c r="S93"/>
      <c r="T93"/>
      <c r="U93" s="1136"/>
      <c r="V93" s="672" t="s">
        <v>237</v>
      </c>
      <c r="W93" s="566"/>
      <c r="X93" s="566"/>
      <c r="Y93" s="566"/>
      <c r="Z93" s="575"/>
      <c r="AA93" s="575"/>
      <c r="AB93" s="710"/>
      <c r="AC93" s="575"/>
      <c r="AD93" s="575"/>
      <c r="AE93" s="576"/>
      <c r="AF93" s="710"/>
      <c r="AG93" s="575"/>
      <c r="AH93" s="575"/>
      <c r="AI93" s="576"/>
      <c r="AJ93" s="710"/>
      <c r="AK93" s="575"/>
      <c r="AL93" s="575"/>
      <c r="AM93" s="576"/>
      <c r="AN93" s="710"/>
      <c r="AO93" s="575"/>
      <c r="AP93" s="575"/>
      <c r="AQ93" s="576"/>
      <c r="AR93" s="710"/>
      <c r="AS93" s="575"/>
      <c r="AT93" s="575"/>
      <c r="AU93" s="576"/>
      <c r="AV93" s="710"/>
      <c r="AW93" s="575"/>
      <c r="AX93" s="575"/>
      <c r="AY93" s="576"/>
      <c r="AZ93" s="1148">
        <f>SUM(AB93:AY93)</f>
        <v>0</v>
      </c>
      <c r="BA93" s="1149"/>
      <c r="BB93" s="1149"/>
      <c r="BC93" s="1150"/>
      <c r="BF93" s="2"/>
      <c r="BG93" s="2"/>
      <c r="BH93" s="2"/>
    </row>
    <row r="94" spans="1:105" ht="20.25" customHeight="1">
      <c r="A94" s="841"/>
      <c r="B94" s="1096"/>
      <c r="C94" s="774" t="s">
        <v>345</v>
      </c>
      <c r="D94" s="575"/>
      <c r="E94" s="576"/>
      <c r="F94" s="765"/>
      <c r="G94" s="765"/>
      <c r="H94" s="765"/>
      <c r="I94" s="765"/>
      <c r="J94" s="765"/>
      <c r="K94" s="765"/>
      <c r="L94" s="574" t="s">
        <v>358</v>
      </c>
      <c r="M94" s="1121"/>
      <c r="N94" s="1121"/>
      <c r="O94" s="776"/>
      <c r="P94" s="766"/>
      <c r="Q94" s="767"/>
      <c r="R94" s="768"/>
      <c r="S94"/>
      <c r="T94"/>
      <c r="U94" s="1136"/>
      <c r="V94" s="672" t="s">
        <v>248</v>
      </c>
      <c r="W94" s="566"/>
      <c r="X94" s="566"/>
      <c r="Y94" s="566"/>
      <c r="Z94" s="575"/>
      <c r="AA94" s="575"/>
      <c r="AB94" s="710"/>
      <c r="AC94" s="575"/>
      <c r="AD94" s="575"/>
      <c r="AE94" s="576"/>
      <c r="AF94" s="710"/>
      <c r="AG94" s="575"/>
      <c r="AH94" s="575"/>
      <c r="AI94" s="576"/>
      <c r="AJ94" s="710"/>
      <c r="AK94" s="575"/>
      <c r="AL94" s="575"/>
      <c r="AM94" s="576"/>
      <c r="AN94" s="710"/>
      <c r="AO94" s="575"/>
      <c r="AP94" s="575"/>
      <c r="AQ94" s="576"/>
      <c r="AR94" s="710"/>
      <c r="AS94" s="575"/>
      <c r="AT94" s="575"/>
      <c r="AU94" s="576"/>
      <c r="AV94" s="710"/>
      <c r="AW94" s="575"/>
      <c r="AX94" s="575"/>
      <c r="AY94" s="576"/>
      <c r="AZ94" s="1141"/>
      <c r="BA94" s="1138"/>
      <c r="BB94" s="1138"/>
      <c r="BC94" s="1144"/>
      <c r="BF94" s="2"/>
      <c r="BG94" s="2"/>
      <c r="BH94" s="2"/>
    </row>
    <row r="95" spans="1:105" ht="20.25" customHeight="1">
      <c r="A95" s="841"/>
      <c r="B95" s="1096"/>
      <c r="C95" s="774" t="s">
        <v>346</v>
      </c>
      <c r="D95" s="575"/>
      <c r="E95" s="576"/>
      <c r="F95" s="765"/>
      <c r="G95" s="765"/>
      <c r="H95" s="765"/>
      <c r="I95" s="765"/>
      <c r="J95" s="765"/>
      <c r="K95" s="765"/>
      <c r="L95" s="574" t="s">
        <v>359</v>
      </c>
      <c r="M95" s="1121"/>
      <c r="N95" s="1121"/>
      <c r="O95" s="776"/>
      <c r="P95" s="766"/>
      <c r="Q95" s="767"/>
      <c r="R95" s="768"/>
      <c r="S95"/>
      <c r="T95"/>
      <c r="U95" s="1136"/>
      <c r="V95" s="672" t="s">
        <v>238</v>
      </c>
      <c r="W95" s="566"/>
      <c r="X95" s="566"/>
      <c r="Y95" s="566"/>
      <c r="Z95" s="575"/>
      <c r="AA95" s="575"/>
      <c r="AB95" s="705">
        <f>ROUND(AB93*AB94/100,1)</f>
        <v>0</v>
      </c>
      <c r="AC95" s="575"/>
      <c r="AD95" s="575"/>
      <c r="AE95" s="576"/>
      <c r="AF95" s="705">
        <f t="shared" ref="AF95" si="22">ROUND(AF93*AF94/100,1)</f>
        <v>0</v>
      </c>
      <c r="AG95" s="575"/>
      <c r="AH95" s="575"/>
      <c r="AI95" s="576"/>
      <c r="AJ95" s="705">
        <f t="shared" ref="AJ95" si="23">ROUND(AJ93*AJ94/100,1)</f>
        <v>0</v>
      </c>
      <c r="AK95" s="575"/>
      <c r="AL95" s="575"/>
      <c r="AM95" s="576"/>
      <c r="AN95" s="705">
        <f t="shared" ref="AN95" si="24">ROUND(AN93*AN94/100,1)</f>
        <v>0</v>
      </c>
      <c r="AO95" s="575"/>
      <c r="AP95" s="575"/>
      <c r="AQ95" s="576"/>
      <c r="AR95" s="705">
        <f t="shared" ref="AR95" si="25">ROUND(AR93*AR94/100,1)</f>
        <v>0</v>
      </c>
      <c r="AS95" s="575"/>
      <c r="AT95" s="575"/>
      <c r="AU95" s="576"/>
      <c r="AV95" s="705">
        <f t="shared" ref="AV95" si="26">ROUND(AV93*AV94/100,1)</f>
        <v>0</v>
      </c>
      <c r="AW95" s="575"/>
      <c r="AX95" s="575"/>
      <c r="AY95" s="576"/>
      <c r="AZ95" s="705">
        <f>SUM(AB95:AY95)</f>
        <v>0</v>
      </c>
      <c r="BA95" s="706"/>
      <c r="BB95" s="706"/>
      <c r="BC95" s="707"/>
      <c r="BD95"/>
      <c r="BE95"/>
    </row>
    <row r="96" spans="1:105" ht="20.25" customHeight="1">
      <c r="A96" s="841"/>
      <c r="B96" s="1096"/>
      <c r="C96" s="774" t="s">
        <v>347</v>
      </c>
      <c r="D96" s="575"/>
      <c r="E96" s="576"/>
      <c r="F96" s="765"/>
      <c r="G96" s="765"/>
      <c r="H96" s="765"/>
      <c r="I96" s="765"/>
      <c r="J96" s="765"/>
      <c r="K96" s="765"/>
      <c r="L96" s="774" t="s">
        <v>360</v>
      </c>
      <c r="M96" s="775"/>
      <c r="N96" s="775"/>
      <c r="O96" s="776"/>
      <c r="P96" s="766"/>
      <c r="Q96" s="767"/>
      <c r="R96" s="768"/>
      <c r="S96"/>
      <c r="T96"/>
      <c r="U96" s="1136"/>
      <c r="V96" s="672" t="s">
        <v>239</v>
      </c>
      <c r="W96" s="566"/>
      <c r="X96" s="566"/>
      <c r="Y96" s="566"/>
      <c r="Z96" s="575"/>
      <c r="AA96" s="575"/>
      <c r="AB96" s="705" t="str">
        <f>IF(AB95=0,"",ROUND(AB95/0.95*0.8157,1))</f>
        <v/>
      </c>
      <c r="AC96" s="575"/>
      <c r="AD96" s="575"/>
      <c r="AE96" s="576"/>
      <c r="AF96" s="705" t="str">
        <f t="shared" ref="AF96" si="27">IF(AF95=0,"",ROUND(AF95/0.95*0.8157,1))</f>
        <v/>
      </c>
      <c r="AG96" s="575"/>
      <c r="AH96" s="575"/>
      <c r="AI96" s="576"/>
      <c r="AJ96" s="705" t="str">
        <f t="shared" ref="AJ96" si="28">IF(AJ95=0,"",ROUND(AJ95/0.95*0.8157,1))</f>
        <v/>
      </c>
      <c r="AK96" s="575"/>
      <c r="AL96" s="575"/>
      <c r="AM96" s="576"/>
      <c r="AN96" s="705" t="str">
        <f t="shared" ref="AN96" si="29">IF(AN95=0,"",ROUND(AN95/0.95*0.8157,1))</f>
        <v/>
      </c>
      <c r="AO96" s="575"/>
      <c r="AP96" s="575"/>
      <c r="AQ96" s="576"/>
      <c r="AR96" s="705" t="str">
        <f t="shared" ref="AR96" si="30">IF(AR95=0,"",ROUND(AR95/0.95*0.8157,1))</f>
        <v/>
      </c>
      <c r="AS96" s="575"/>
      <c r="AT96" s="575"/>
      <c r="AU96" s="576"/>
      <c r="AV96" s="705" t="str">
        <f t="shared" ref="AV96" si="31">IF(AV95=0,"",ROUND(AV95/0.95*0.8157,1))</f>
        <v/>
      </c>
      <c r="AW96" s="575"/>
      <c r="AX96" s="575"/>
      <c r="AY96" s="576"/>
      <c r="AZ96" s="705" t="str">
        <f>IF(SUM(AB96:AY96)=0,"",SUM(AB96:AY96))</f>
        <v/>
      </c>
      <c r="BA96" s="706"/>
      <c r="BB96" s="706"/>
      <c r="BC96" s="707"/>
      <c r="BD96"/>
      <c r="BE96"/>
    </row>
    <row r="97" spans="1:105" ht="19.350000000000001" customHeight="1">
      <c r="A97" s="841"/>
      <c r="B97" s="1096"/>
      <c r="C97" s="774" t="s">
        <v>348</v>
      </c>
      <c r="D97" s="575"/>
      <c r="E97" s="576"/>
      <c r="F97" s="765"/>
      <c r="G97" s="765"/>
      <c r="H97" s="765"/>
      <c r="I97" s="765"/>
      <c r="J97" s="765"/>
      <c r="K97" s="765"/>
      <c r="L97" s="774" t="s">
        <v>361</v>
      </c>
      <c r="M97" s="775"/>
      <c r="N97" s="775"/>
      <c r="O97" s="776"/>
      <c r="P97" s="766"/>
      <c r="Q97" s="767"/>
      <c r="R97" s="768"/>
      <c r="S97"/>
      <c r="T97"/>
      <c r="U97" s="1136"/>
      <c r="V97" s="574" t="s">
        <v>371</v>
      </c>
      <c r="W97" s="1138"/>
      <c r="X97" s="1138"/>
      <c r="Y97" s="1138"/>
      <c r="Z97" s="706"/>
      <c r="AA97" s="706"/>
      <c r="AB97" s="714" t="str">
        <f>IF($Y$70="","",ROUND(AB95*1000/$Y$70,1))</f>
        <v/>
      </c>
      <c r="AC97" s="715"/>
      <c r="AD97" s="715"/>
      <c r="AE97" s="716"/>
      <c r="AF97" s="714" t="str">
        <f t="shared" ref="AF97" si="32">IF($Y$70="","",ROUND(AF95*1000/$Y$70,1))</f>
        <v/>
      </c>
      <c r="AG97" s="715"/>
      <c r="AH97" s="715"/>
      <c r="AI97" s="716"/>
      <c r="AJ97" s="714" t="str">
        <f t="shared" ref="AJ97" si="33">IF($Y$70="","",ROUND(AJ95*1000/$Y$70,1))</f>
        <v/>
      </c>
      <c r="AK97" s="715"/>
      <c r="AL97" s="715"/>
      <c r="AM97" s="716"/>
      <c r="AN97" s="714" t="str">
        <f t="shared" ref="AN97" si="34">IF($Y$70="","",ROUND(AN95*1000/$Y$70,1))</f>
        <v/>
      </c>
      <c r="AO97" s="715"/>
      <c r="AP97" s="715"/>
      <c r="AQ97" s="716"/>
      <c r="AR97" s="714" t="str">
        <f t="shared" ref="AR97" si="35">IF($Y$70="","",ROUND(AR95*1000/$Y$70,1))</f>
        <v/>
      </c>
      <c r="AS97" s="715"/>
      <c r="AT97" s="715"/>
      <c r="AU97" s="716"/>
      <c r="AV97" s="714" t="str">
        <f t="shared" ref="AV97" si="36">IF($Y$70="","",ROUND(AV95*1000/$Y$70,1))</f>
        <v/>
      </c>
      <c r="AW97" s="715"/>
      <c r="AX97" s="715"/>
      <c r="AY97" s="716"/>
      <c r="AZ97" s="806" t="str">
        <f>IF(AB97="","",SUM(AB97:AY97))</f>
        <v/>
      </c>
      <c r="BA97" s="807"/>
      <c r="BB97" s="807"/>
      <c r="BC97" s="1140"/>
      <c r="BD97"/>
      <c r="BE97"/>
    </row>
    <row r="98" spans="1:105" ht="20.25" customHeight="1">
      <c r="A98" s="841"/>
      <c r="B98" s="1096"/>
      <c r="C98" s="774" t="s">
        <v>349</v>
      </c>
      <c r="D98" s="575"/>
      <c r="E98" s="576"/>
      <c r="F98" s="765"/>
      <c r="G98" s="765"/>
      <c r="H98" s="765"/>
      <c r="I98" s="765"/>
      <c r="J98" s="765"/>
      <c r="K98" s="765"/>
      <c r="L98" s="774" t="s">
        <v>362</v>
      </c>
      <c r="M98" s="775"/>
      <c r="N98" s="775"/>
      <c r="O98" s="776"/>
      <c r="P98" s="766"/>
      <c r="Q98" s="767"/>
      <c r="R98" s="768"/>
      <c r="S98"/>
      <c r="T98"/>
      <c r="U98" s="1136"/>
      <c r="V98" s="680" t="s">
        <v>81</v>
      </c>
      <c r="W98" s="681"/>
      <c r="X98" s="681"/>
      <c r="Y98" s="681"/>
      <c r="Z98" s="575"/>
      <c r="AA98" s="575"/>
      <c r="AB98" s="710"/>
      <c r="AC98" s="575"/>
      <c r="AD98" s="575"/>
      <c r="AE98" s="399" t="s">
        <v>44</v>
      </c>
      <c r="AF98" s="710"/>
      <c r="AG98" s="575"/>
      <c r="AH98" s="575"/>
      <c r="AI98" s="399" t="s">
        <v>44</v>
      </c>
      <c r="AJ98" s="710"/>
      <c r="AK98" s="575"/>
      <c r="AL98" s="575"/>
      <c r="AM98" s="399" t="s">
        <v>44</v>
      </c>
      <c r="AN98" s="710"/>
      <c r="AO98" s="575"/>
      <c r="AP98" s="575"/>
      <c r="AQ98" s="399" t="s">
        <v>44</v>
      </c>
      <c r="AR98" s="710"/>
      <c r="AS98" s="575"/>
      <c r="AT98" s="575"/>
      <c r="AU98" s="399" t="s">
        <v>44</v>
      </c>
      <c r="AV98" s="710"/>
      <c r="AW98" s="575"/>
      <c r="AX98" s="575"/>
      <c r="AY98" s="399" t="s">
        <v>44</v>
      </c>
      <c r="AZ98" s="1141"/>
      <c r="BA98" s="1138"/>
      <c r="BB98" s="1138"/>
      <c r="BC98" s="400" t="s">
        <v>44</v>
      </c>
      <c r="BD98"/>
      <c r="BE98"/>
    </row>
    <row r="99" spans="1:105" ht="20.25" customHeight="1">
      <c r="A99" s="841"/>
      <c r="B99" s="1096"/>
      <c r="C99" s="774" t="s">
        <v>350</v>
      </c>
      <c r="D99" s="575"/>
      <c r="E99" s="576"/>
      <c r="F99" s="765"/>
      <c r="G99" s="765"/>
      <c r="H99" s="765"/>
      <c r="I99" s="765"/>
      <c r="J99" s="765"/>
      <c r="K99" s="765"/>
      <c r="L99" s="774" t="s">
        <v>363</v>
      </c>
      <c r="M99" s="775"/>
      <c r="N99" s="775"/>
      <c r="O99" s="776"/>
      <c r="P99" s="766"/>
      <c r="Q99" s="767"/>
      <c r="R99" s="768"/>
      <c r="S99"/>
      <c r="T99"/>
      <c r="U99" s="1136"/>
      <c r="V99" s="680" t="s">
        <v>83</v>
      </c>
      <c r="W99" s="575"/>
      <c r="X99" s="575"/>
      <c r="Y99" s="575"/>
      <c r="Z99" s="575"/>
      <c r="AA99" s="575"/>
      <c r="AB99" s="717" t="s">
        <v>85</v>
      </c>
      <c r="AC99" s="576"/>
      <c r="AD99" s="717" t="s">
        <v>86</v>
      </c>
      <c r="AE99" s="576"/>
      <c r="AF99" s="717" t="s">
        <v>85</v>
      </c>
      <c r="AG99" s="576"/>
      <c r="AH99" s="717" t="s">
        <v>86</v>
      </c>
      <c r="AI99" s="576"/>
      <c r="AJ99" s="717" t="s">
        <v>85</v>
      </c>
      <c r="AK99" s="576"/>
      <c r="AL99" s="717" t="s">
        <v>86</v>
      </c>
      <c r="AM99" s="576"/>
      <c r="AN99" s="717" t="s">
        <v>85</v>
      </c>
      <c r="AO99" s="576"/>
      <c r="AP99" s="717" t="s">
        <v>86</v>
      </c>
      <c r="AQ99" s="576"/>
      <c r="AR99" s="717" t="s">
        <v>85</v>
      </c>
      <c r="AS99" s="576"/>
      <c r="AT99" s="717" t="s">
        <v>86</v>
      </c>
      <c r="AU99" s="576"/>
      <c r="AV99" s="717" t="s">
        <v>85</v>
      </c>
      <c r="AW99" s="576"/>
      <c r="AX99" s="717" t="s">
        <v>86</v>
      </c>
      <c r="AY99" s="576"/>
      <c r="AZ99" s="717" t="s">
        <v>85</v>
      </c>
      <c r="BA99" s="1142"/>
      <c r="BB99" s="717" t="s">
        <v>86</v>
      </c>
      <c r="BC99" s="707"/>
      <c r="BD99"/>
      <c r="BE99"/>
    </row>
    <row r="100" spans="1:105" ht="20.25" customHeight="1">
      <c r="A100" s="841"/>
      <c r="B100" s="1096"/>
      <c r="C100" s="1098"/>
      <c r="D100" s="1099"/>
      <c r="E100" s="1100"/>
      <c r="F100" s="765"/>
      <c r="G100" s="765"/>
      <c r="H100" s="765"/>
      <c r="I100" s="765"/>
      <c r="J100" s="765"/>
      <c r="K100" s="765"/>
      <c r="L100" s="774" t="s">
        <v>364</v>
      </c>
      <c r="M100" s="775"/>
      <c r="N100" s="775"/>
      <c r="O100" s="776"/>
      <c r="P100" s="769"/>
      <c r="Q100" s="767"/>
      <c r="R100" s="768"/>
      <c r="S100"/>
      <c r="T100"/>
      <c r="U100" s="1136"/>
      <c r="V100" s="680" t="s">
        <v>84</v>
      </c>
      <c r="W100" s="575"/>
      <c r="X100" s="575"/>
      <c r="Y100" s="575"/>
      <c r="Z100" s="575"/>
      <c r="AA100" s="575"/>
      <c r="AB100" s="710"/>
      <c r="AC100" s="576"/>
      <c r="AD100" s="710"/>
      <c r="AE100" s="576"/>
      <c r="AF100" s="710"/>
      <c r="AG100" s="576"/>
      <c r="AH100" s="710"/>
      <c r="AI100" s="576"/>
      <c r="AJ100" s="710"/>
      <c r="AK100" s="576"/>
      <c r="AL100" s="710"/>
      <c r="AM100" s="576"/>
      <c r="AN100" s="710"/>
      <c r="AO100" s="576"/>
      <c r="AP100" s="710"/>
      <c r="AQ100" s="576"/>
      <c r="AR100" s="710"/>
      <c r="AS100" s="576"/>
      <c r="AT100" s="710"/>
      <c r="AU100" s="576"/>
      <c r="AV100" s="710"/>
      <c r="AW100" s="576"/>
      <c r="AX100" s="710"/>
      <c r="AY100" s="576"/>
      <c r="AZ100" s="1141"/>
      <c r="BA100" s="1143"/>
      <c r="BB100" s="1141"/>
      <c r="BC100" s="1144"/>
      <c r="BD100"/>
      <c r="BE100"/>
    </row>
    <row r="101" spans="1:105" ht="20.25" customHeight="1">
      <c r="A101" s="841"/>
      <c r="B101" s="1096"/>
      <c r="C101" s="1098"/>
      <c r="D101" s="1099"/>
      <c r="E101" s="1100"/>
      <c r="F101" s="765"/>
      <c r="G101" s="765"/>
      <c r="H101" s="765"/>
      <c r="I101" s="765"/>
      <c r="J101" s="765"/>
      <c r="K101" s="765"/>
      <c r="L101" s="774" t="s">
        <v>365</v>
      </c>
      <c r="M101" s="775"/>
      <c r="N101" s="775"/>
      <c r="O101" s="776"/>
      <c r="P101" s="766"/>
      <c r="Q101" s="767"/>
      <c r="R101" s="768"/>
      <c r="S101"/>
      <c r="T101"/>
      <c r="U101" s="1136"/>
      <c r="V101" s="680" t="s">
        <v>97</v>
      </c>
      <c r="W101" s="575"/>
      <c r="X101" s="575"/>
      <c r="Y101" s="575"/>
      <c r="Z101" s="575"/>
      <c r="AA101" s="575"/>
      <c r="AB101" s="710"/>
      <c r="AC101" s="576"/>
      <c r="AD101" s="710"/>
      <c r="AE101" s="576"/>
      <c r="AF101" s="710"/>
      <c r="AG101" s="576"/>
      <c r="AH101" s="710"/>
      <c r="AI101" s="576"/>
      <c r="AJ101" s="710"/>
      <c r="AK101" s="576"/>
      <c r="AL101" s="710"/>
      <c r="AM101" s="576"/>
      <c r="AN101" s="710"/>
      <c r="AO101" s="576"/>
      <c r="AP101" s="710"/>
      <c r="AQ101" s="576"/>
      <c r="AR101" s="710"/>
      <c r="AS101" s="576"/>
      <c r="AT101" s="710"/>
      <c r="AU101" s="576"/>
      <c r="AV101" s="710"/>
      <c r="AW101" s="576"/>
      <c r="AX101" s="710"/>
      <c r="AY101" s="576"/>
      <c r="AZ101" s="1141"/>
      <c r="BA101" s="1143"/>
      <c r="BB101" s="1141"/>
      <c r="BC101" s="1144"/>
      <c r="BD101"/>
      <c r="BE101"/>
    </row>
    <row r="102" spans="1:105" ht="20.25" customHeight="1">
      <c r="A102" s="841"/>
      <c r="B102" s="1096"/>
      <c r="C102" s="1098"/>
      <c r="D102" s="1099"/>
      <c r="E102" s="1100"/>
      <c r="F102" s="765"/>
      <c r="G102" s="765"/>
      <c r="H102" s="765"/>
      <c r="I102" s="765"/>
      <c r="J102" s="765"/>
      <c r="K102" s="765"/>
      <c r="L102" s="774" t="s">
        <v>368</v>
      </c>
      <c r="M102" s="775"/>
      <c r="N102" s="775"/>
      <c r="O102" s="776"/>
      <c r="P102" s="766"/>
      <c r="Q102" s="767"/>
      <c r="R102" s="768"/>
      <c r="S102"/>
      <c r="T102"/>
      <c r="U102" s="1136"/>
      <c r="V102" s="680" t="s">
        <v>27</v>
      </c>
      <c r="W102" s="575"/>
      <c r="X102" s="575"/>
      <c r="Y102" s="575"/>
      <c r="Z102" s="575"/>
      <c r="AA102" s="575"/>
      <c r="AB102" s="710"/>
      <c r="AC102" s="576"/>
      <c r="AD102" s="710"/>
      <c r="AE102" s="576"/>
      <c r="AF102" s="710"/>
      <c r="AG102" s="576"/>
      <c r="AH102" s="710"/>
      <c r="AI102" s="576"/>
      <c r="AJ102" s="710"/>
      <c r="AK102" s="576"/>
      <c r="AL102" s="710"/>
      <c r="AM102" s="576"/>
      <c r="AN102" s="710"/>
      <c r="AO102" s="576"/>
      <c r="AP102" s="710"/>
      <c r="AQ102" s="576"/>
      <c r="AR102" s="710"/>
      <c r="AS102" s="576"/>
      <c r="AT102" s="710"/>
      <c r="AU102" s="576"/>
      <c r="AV102" s="710"/>
      <c r="AW102" s="576"/>
      <c r="AX102" s="710"/>
      <c r="AY102" s="576"/>
      <c r="AZ102" s="1141"/>
      <c r="BA102" s="1143"/>
      <c r="BB102" s="1141"/>
      <c r="BC102" s="1144"/>
      <c r="BD102"/>
      <c r="BE102"/>
    </row>
    <row r="103" spans="1:105" ht="20.25" customHeight="1">
      <c r="A103" s="841"/>
      <c r="B103" s="1096"/>
      <c r="C103" s="1098"/>
      <c r="D103" s="1099"/>
      <c r="E103" s="1100"/>
      <c r="F103" s="765"/>
      <c r="G103" s="765"/>
      <c r="H103" s="765"/>
      <c r="I103" s="765"/>
      <c r="J103" s="765"/>
      <c r="K103" s="765"/>
      <c r="L103" s="774" t="s">
        <v>366</v>
      </c>
      <c r="M103" s="775"/>
      <c r="N103" s="775"/>
      <c r="O103" s="776"/>
      <c r="P103" s="766"/>
      <c r="Q103" s="767"/>
      <c r="R103" s="768"/>
      <c r="S103"/>
      <c r="T103"/>
      <c r="U103" s="1136"/>
      <c r="V103" s="680" t="s">
        <v>2</v>
      </c>
      <c r="W103" s="575"/>
      <c r="X103" s="575"/>
      <c r="Y103" s="575"/>
      <c r="Z103" s="575"/>
      <c r="AA103" s="575"/>
      <c r="AB103" s="710"/>
      <c r="AC103" s="576"/>
      <c r="AD103" s="710"/>
      <c r="AE103" s="576"/>
      <c r="AF103" s="710"/>
      <c r="AG103" s="576"/>
      <c r="AH103" s="710"/>
      <c r="AI103" s="576"/>
      <c r="AJ103" s="710"/>
      <c r="AK103" s="576"/>
      <c r="AL103" s="710"/>
      <c r="AM103" s="576"/>
      <c r="AN103" s="710"/>
      <c r="AO103" s="576"/>
      <c r="AP103" s="710"/>
      <c r="AQ103" s="576"/>
      <c r="AR103" s="710"/>
      <c r="AS103" s="576"/>
      <c r="AT103" s="710"/>
      <c r="AU103" s="576"/>
      <c r="AV103" s="710"/>
      <c r="AW103" s="576"/>
      <c r="AX103" s="710"/>
      <c r="AY103" s="576"/>
      <c r="AZ103" s="1141"/>
      <c r="BA103" s="1143"/>
      <c r="BB103" s="1141"/>
      <c r="BC103" s="1144"/>
      <c r="BD103"/>
      <c r="BE103"/>
    </row>
    <row r="104" spans="1:105" ht="19.350000000000001" customHeight="1">
      <c r="A104" s="841"/>
      <c r="B104" s="1096"/>
      <c r="C104" s="1098"/>
      <c r="D104" s="1099"/>
      <c r="E104" s="1100"/>
      <c r="F104" s="765"/>
      <c r="G104" s="765"/>
      <c r="H104" s="765"/>
      <c r="I104" s="765"/>
      <c r="J104" s="765"/>
      <c r="K104" s="765"/>
      <c r="L104" s="774" t="s">
        <v>369</v>
      </c>
      <c r="M104" s="775"/>
      <c r="N104" s="775"/>
      <c r="O104" s="776"/>
      <c r="P104" s="766"/>
      <c r="Q104" s="767"/>
      <c r="R104" s="768"/>
      <c r="S104"/>
      <c r="T104"/>
      <c r="U104" s="1136"/>
      <c r="V104" s="680" t="s">
        <v>160</v>
      </c>
      <c r="W104" s="575"/>
      <c r="X104" s="575"/>
      <c r="Y104" s="575"/>
      <c r="Z104" s="575"/>
      <c r="AA104" s="575"/>
      <c r="AB104" s="710"/>
      <c r="AC104" s="576"/>
      <c r="AD104" s="710"/>
      <c r="AE104" s="576"/>
      <c r="AF104" s="710"/>
      <c r="AG104" s="576"/>
      <c r="AH104" s="710"/>
      <c r="AI104" s="576"/>
      <c r="AJ104" s="710"/>
      <c r="AK104" s="576"/>
      <c r="AL104" s="710"/>
      <c r="AM104" s="576"/>
      <c r="AN104" s="710"/>
      <c r="AO104" s="576"/>
      <c r="AP104" s="710"/>
      <c r="AQ104" s="576"/>
      <c r="AR104" s="710"/>
      <c r="AS104" s="576"/>
      <c r="AT104" s="710"/>
      <c r="AU104" s="576"/>
      <c r="AV104" s="710"/>
      <c r="AW104" s="576"/>
      <c r="AX104" s="710"/>
      <c r="AY104" s="576"/>
      <c r="AZ104" s="1141"/>
      <c r="BA104" s="1143"/>
      <c r="BB104" s="1141"/>
      <c r="BC104" s="1144"/>
      <c r="BD104"/>
      <c r="BE104"/>
    </row>
    <row r="105" spans="1:105" ht="19.350000000000001" customHeight="1">
      <c r="A105" s="841"/>
      <c r="B105" s="1096"/>
      <c r="C105" s="1098"/>
      <c r="D105" s="1099"/>
      <c r="E105" s="1100"/>
      <c r="F105" s="765"/>
      <c r="G105" s="765"/>
      <c r="H105" s="765"/>
      <c r="I105" s="765"/>
      <c r="J105" s="765"/>
      <c r="K105" s="765"/>
      <c r="L105" s="774" t="s">
        <v>364</v>
      </c>
      <c r="M105" s="775"/>
      <c r="N105" s="775"/>
      <c r="O105" s="776"/>
      <c r="P105" s="769"/>
      <c r="Q105" s="767"/>
      <c r="R105" s="768"/>
      <c r="S105"/>
      <c r="T105"/>
      <c r="U105" s="1136"/>
      <c r="V105" s="672" t="s">
        <v>240</v>
      </c>
      <c r="W105" s="1132"/>
      <c r="X105" s="1132"/>
      <c r="Y105" s="1132"/>
      <c r="Z105" s="575"/>
      <c r="AA105" s="575"/>
      <c r="AB105" s="705" t="str">
        <f>IF(AB104=0,"",IF(AD104=0,"",AD104-AB104))</f>
        <v/>
      </c>
      <c r="AC105" s="575"/>
      <c r="AD105" s="575"/>
      <c r="AE105" s="576"/>
      <c r="AF105" s="705" t="str">
        <f>IF(AF104=0,"",IF(AH104=0,"",AH104-AF104))</f>
        <v/>
      </c>
      <c r="AG105" s="575"/>
      <c r="AH105" s="575"/>
      <c r="AI105" s="576"/>
      <c r="AJ105" s="705" t="str">
        <f>IF(AJ104=0,"",IF(AL104=0,"",AL104-AJ104))</f>
        <v/>
      </c>
      <c r="AK105" s="575"/>
      <c r="AL105" s="575"/>
      <c r="AM105" s="576"/>
      <c r="AN105" s="705" t="str">
        <f>IF(AN104=0,"",IF(AP104=0,"",AP104-AN104))</f>
        <v/>
      </c>
      <c r="AO105" s="575"/>
      <c r="AP105" s="575"/>
      <c r="AQ105" s="576"/>
      <c r="AR105" s="705" t="str">
        <f>IF(AR104=0,"",IF(AT104=0,"",AT104-AR104))</f>
        <v/>
      </c>
      <c r="AS105" s="575"/>
      <c r="AT105" s="575"/>
      <c r="AU105" s="576"/>
      <c r="AV105" s="705" t="str">
        <f>IF(AV104=0,"",IF(AX104=0,"",AX104-AV104))</f>
        <v/>
      </c>
      <c r="AW105" s="575"/>
      <c r="AX105" s="575"/>
      <c r="AY105" s="576"/>
      <c r="AZ105" s="705" t="str">
        <f>IF(AB105="","",SUM(AB105:AY105))</f>
        <v/>
      </c>
      <c r="BA105" s="706"/>
      <c r="BB105" s="706"/>
      <c r="BC105" s="707"/>
      <c r="BD105"/>
      <c r="BE105"/>
    </row>
    <row r="106" spans="1:105" ht="19.350000000000001" customHeight="1" thickBot="1">
      <c r="A106" s="841"/>
      <c r="B106" s="1097"/>
      <c r="C106" s="774" t="s">
        <v>351</v>
      </c>
      <c r="D106" s="575"/>
      <c r="E106" s="576"/>
      <c r="F106" s="774"/>
      <c r="G106" s="575"/>
      <c r="H106" s="576"/>
      <c r="I106" s="765"/>
      <c r="J106" s="765"/>
      <c r="K106" s="765"/>
      <c r="L106" s="774" t="s">
        <v>365</v>
      </c>
      <c r="M106" s="775"/>
      <c r="N106" s="775"/>
      <c r="O106" s="776"/>
      <c r="P106" s="766"/>
      <c r="Q106" s="767"/>
      <c r="R106" s="768"/>
      <c r="S106"/>
      <c r="T106"/>
      <c r="U106" s="1137"/>
      <c r="V106" s="948" t="s">
        <v>241</v>
      </c>
      <c r="W106" s="1133"/>
      <c r="X106" s="1133"/>
      <c r="Y106" s="1133"/>
      <c r="Z106" s="1134"/>
      <c r="AA106" s="1134"/>
      <c r="AB106" s="1139" t="str">
        <f t="shared" ref="AB106:AF106" si="37">IF(AB93=0,"",IF(AB105=0,"",ROUND(AB105/AB93*100,1)))</f>
        <v/>
      </c>
      <c r="AC106" s="1134"/>
      <c r="AD106" s="1134"/>
      <c r="AE106" s="868"/>
      <c r="AF106" s="1139" t="str">
        <f t="shared" si="37"/>
        <v/>
      </c>
      <c r="AG106" s="1134"/>
      <c r="AH106" s="1134"/>
      <c r="AI106" s="868"/>
      <c r="AJ106" s="1139" t="str">
        <f t="shared" ref="AJ106" si="38">IF(AJ93=0,"",IF(AJ105=0,"",ROUND(AJ105/AJ93*100,1)))</f>
        <v/>
      </c>
      <c r="AK106" s="1134"/>
      <c r="AL106" s="1134"/>
      <c r="AM106" s="868"/>
      <c r="AN106" s="1139" t="str">
        <f t="shared" ref="AN106" si="39">IF(AN93=0,"",IF(AN105=0,"",ROUND(AN105/AN93*100,1)))</f>
        <v/>
      </c>
      <c r="AO106" s="1134"/>
      <c r="AP106" s="1134"/>
      <c r="AQ106" s="868"/>
      <c r="AR106" s="1139" t="str">
        <f t="shared" ref="AR106" si="40">IF(AR93=0,"",IF(AR105=0,"",ROUND(AR105/AR93*100,1)))</f>
        <v/>
      </c>
      <c r="AS106" s="1134"/>
      <c r="AT106" s="1134"/>
      <c r="AU106" s="868"/>
      <c r="AV106" s="1139" t="str">
        <f t="shared" ref="AV106" si="41">IF(AV93=0,"",IF(AV105=0,"",ROUND(AV105/AV93*100,1)))</f>
        <v/>
      </c>
      <c r="AW106" s="1134"/>
      <c r="AX106" s="1134"/>
      <c r="AY106" s="868"/>
      <c r="AZ106" s="1145"/>
      <c r="BA106" s="724"/>
      <c r="BB106" s="724"/>
      <c r="BC106" s="1146"/>
      <c r="BD106"/>
      <c r="BE106"/>
    </row>
    <row r="107" spans="1:105" ht="19.350000000000001" customHeight="1" thickBot="1">
      <c r="A107" s="842"/>
      <c r="B107" s="867" t="s">
        <v>353</v>
      </c>
      <c r="C107" s="724"/>
      <c r="D107" s="724"/>
      <c r="E107" s="868"/>
      <c r="F107" s="773" t="str">
        <f>IF(SUM(F94:H105)=0,"",SUM(F94:H105))</f>
        <v/>
      </c>
      <c r="G107" s="773"/>
      <c r="H107" s="773"/>
      <c r="I107" s="773" t="str">
        <f>IF(SUM(I94:K106)=0,"",SUM(I94:K105))</f>
        <v/>
      </c>
      <c r="J107" s="773"/>
      <c r="K107" s="773"/>
      <c r="L107" s="735" t="s">
        <v>368</v>
      </c>
      <c r="M107" s="787"/>
      <c r="N107" s="787"/>
      <c r="O107" s="788"/>
      <c r="P107" s="789"/>
      <c r="Q107" s="790"/>
      <c r="R107" s="791"/>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105" ht="19.350000000000001" customHeight="1">
      <c r="A108" s="421"/>
      <c r="B108" s="422"/>
      <c r="C108" s="422"/>
      <c r="D108" s="422"/>
      <c r="E108" s="182"/>
      <c r="F108" s="410"/>
      <c r="G108" s="410"/>
      <c r="H108" s="410"/>
      <c r="I108" s="410"/>
      <c r="J108" s="410"/>
      <c r="K108" s="410"/>
      <c r="L108" s="410"/>
      <c r="M108" s="410"/>
      <c r="N108" s="410"/>
      <c r="O108" s="410"/>
      <c r="P108" s="410"/>
      <c r="Q108" s="410"/>
      <c r="R108" s="410"/>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20.25" customHeight="1" thickBot="1">
      <c r="A109" s="59"/>
      <c r="B109" s="49"/>
      <c r="C109" s="49"/>
      <c r="J109" s="411" t="s">
        <v>386</v>
      </c>
      <c r="Z109" s="411" t="s">
        <v>386</v>
      </c>
      <c r="AP109" s="50"/>
      <c r="AQ109" s="50"/>
      <c r="AR109" s="50"/>
      <c r="AS109" s="50"/>
      <c r="AT109" s="50"/>
      <c r="AU109" s="50"/>
      <c r="AV109" s="50"/>
      <c r="AW109" s="50"/>
      <c r="AX109" s="50"/>
      <c r="AY109" s="50"/>
      <c r="AZ109" s="50"/>
      <c r="BA109" s="50"/>
      <c r="BB109" s="50"/>
    </row>
    <row r="110" spans="1:105" ht="20.25" customHeight="1">
      <c r="E110" s="697" t="s">
        <v>96</v>
      </c>
      <c r="F110" s="852" t="s">
        <v>105</v>
      </c>
      <c r="G110" s="853"/>
      <c r="H110" s="853"/>
      <c r="I110" s="854"/>
      <c r="J110" s="855"/>
      <c r="K110" s="855"/>
      <c r="L110" s="854"/>
      <c r="M110" s="855"/>
      <c r="N110" s="855"/>
      <c r="O110" s="854"/>
      <c r="P110" s="855"/>
      <c r="Q110" s="1169"/>
      <c r="S110" s="397"/>
      <c r="T110" s="397"/>
      <c r="U110" s="856" t="s">
        <v>103</v>
      </c>
      <c r="V110" s="853" t="s">
        <v>104</v>
      </c>
      <c r="W110" s="853"/>
      <c r="X110" s="853"/>
      <c r="Y110" s="859"/>
      <c r="Z110" s="708"/>
      <c r="AA110" s="708"/>
      <c r="AB110" s="860"/>
      <c r="AC110" s="861"/>
      <c r="AD110" s="861"/>
      <c r="AE110" s="862"/>
      <c r="AF110" s="863"/>
      <c r="AG110" s="863"/>
      <c r="AH110" s="853" t="s">
        <v>113</v>
      </c>
      <c r="AI110" s="853"/>
      <c r="AJ110" s="864"/>
      <c r="AK110" s="397"/>
      <c r="AL110" s="397"/>
      <c r="AM110" s="697" t="s">
        <v>109</v>
      </c>
      <c r="AN110" s="782" t="s">
        <v>106</v>
      </c>
      <c r="AO110" s="782"/>
      <c r="AP110" s="782"/>
      <c r="AQ110" s="782"/>
      <c r="AR110" s="708"/>
      <c r="AS110" s="708"/>
      <c r="AT110" s="709"/>
      <c r="AU110" s="397"/>
      <c r="AV110" s="397"/>
      <c r="AW110" s="397"/>
      <c r="AX110"/>
      <c r="AY110"/>
      <c r="AZ110" s="397"/>
      <c r="BA110" s="397"/>
      <c r="BB110" s="397"/>
      <c r="BC110" s="397"/>
      <c r="BD110" s="397"/>
      <c r="BE110" s="397"/>
      <c r="CV110" s="397"/>
      <c r="CW110" s="397"/>
      <c r="CX110" s="397"/>
      <c r="CY110" s="397"/>
      <c r="CZ110" s="397"/>
      <c r="DA110" s="397"/>
    </row>
    <row r="111" spans="1:105" ht="20.25" customHeight="1">
      <c r="E111" s="698"/>
      <c r="F111" s="757" t="s">
        <v>81</v>
      </c>
      <c r="G111" s="743"/>
      <c r="H111" s="743"/>
      <c r="I111" s="758"/>
      <c r="J111" s="758"/>
      <c r="K111" s="401" t="s">
        <v>44</v>
      </c>
      <c r="L111" s="758"/>
      <c r="M111" s="758"/>
      <c r="N111" s="401" t="s">
        <v>44</v>
      </c>
      <c r="O111" s="758"/>
      <c r="P111" s="758"/>
      <c r="Q111" s="402" t="s">
        <v>44</v>
      </c>
      <c r="S111" s="397"/>
      <c r="T111" s="397"/>
      <c r="U111" s="857"/>
      <c r="V111" s="743" t="s">
        <v>81</v>
      </c>
      <c r="W111" s="743"/>
      <c r="X111" s="743"/>
      <c r="Y111" s="759"/>
      <c r="Z111" s="760"/>
      <c r="AA111" s="208" t="s">
        <v>44</v>
      </c>
      <c r="AB111" s="761"/>
      <c r="AC111" s="760"/>
      <c r="AD111" s="207" t="s">
        <v>44</v>
      </c>
      <c r="AE111" s="759"/>
      <c r="AF111" s="760"/>
      <c r="AG111" s="208" t="s">
        <v>44</v>
      </c>
      <c r="AH111" s="865"/>
      <c r="AI111" s="865"/>
      <c r="AJ111" s="866"/>
      <c r="AK111" s="397"/>
      <c r="AL111" s="397"/>
      <c r="AM111" s="698"/>
      <c r="AN111" s="671" t="s">
        <v>107</v>
      </c>
      <c r="AO111" s="671"/>
      <c r="AP111" s="671"/>
      <c r="AQ111" s="671"/>
      <c r="AR111" s="783"/>
      <c r="AS111" s="783"/>
      <c r="AT111" s="784"/>
      <c r="AU111" s="397"/>
      <c r="AV111" s="397"/>
      <c r="AW111" s="397"/>
      <c r="AX111"/>
      <c r="AY111"/>
      <c r="AZ111" s="397"/>
      <c r="BA111" s="397"/>
      <c r="BB111" s="397"/>
      <c r="BC111" s="397"/>
      <c r="BD111" s="397"/>
      <c r="BE111" s="397"/>
      <c r="CV111" s="397"/>
      <c r="CW111" s="397"/>
      <c r="CX111" s="397"/>
      <c r="CY111" s="397"/>
      <c r="CZ111" s="397"/>
      <c r="DA111" s="397"/>
    </row>
    <row r="112" spans="1:105" ht="20.25" customHeight="1">
      <c r="E112" s="698"/>
      <c r="F112" s="757" t="s">
        <v>84</v>
      </c>
      <c r="G112" s="743"/>
      <c r="H112" s="743"/>
      <c r="I112" s="742"/>
      <c r="J112" s="742"/>
      <c r="K112" s="742"/>
      <c r="L112" s="742"/>
      <c r="M112" s="742"/>
      <c r="N112" s="742"/>
      <c r="O112" s="742"/>
      <c r="P112" s="742"/>
      <c r="Q112" s="749"/>
      <c r="S112" s="397"/>
      <c r="T112" s="397"/>
      <c r="U112" s="857"/>
      <c r="V112" s="743" t="s">
        <v>84</v>
      </c>
      <c r="W112" s="743"/>
      <c r="X112" s="743"/>
      <c r="Y112" s="741"/>
      <c r="Z112" s="741"/>
      <c r="AA112" s="741"/>
      <c r="AB112" s="741"/>
      <c r="AC112" s="741"/>
      <c r="AD112" s="741"/>
      <c r="AE112" s="742"/>
      <c r="AF112" s="742"/>
      <c r="AG112" s="742"/>
      <c r="AH112" s="865"/>
      <c r="AI112" s="865"/>
      <c r="AJ112" s="866"/>
      <c r="AK112" s="397"/>
      <c r="AL112" s="397"/>
      <c r="AM112" s="698"/>
      <c r="AN112" s="671" t="s">
        <v>170</v>
      </c>
      <c r="AO112" s="671"/>
      <c r="AP112" s="671"/>
      <c r="AQ112" s="671"/>
      <c r="AR112" s="785" t="str">
        <f>IF(AR110="","",AR110-AR111)</f>
        <v/>
      </c>
      <c r="AS112" s="785"/>
      <c r="AT112" s="786"/>
      <c r="AU112" s="397"/>
      <c r="AV112" s="397"/>
      <c r="AW112" s="397"/>
      <c r="AX112"/>
      <c r="AY112"/>
      <c r="AZ112" s="397"/>
      <c r="BA112" s="397"/>
      <c r="BB112" s="397"/>
      <c r="BC112" s="397"/>
      <c r="BD112" s="397"/>
      <c r="BE112" s="397"/>
      <c r="CV112" s="397"/>
      <c r="CW112" s="397"/>
      <c r="CX112" s="397"/>
      <c r="CY112" s="397"/>
      <c r="CZ112" s="397"/>
      <c r="DA112" s="397"/>
    </row>
    <row r="113" spans="1:58" ht="20.25" customHeight="1">
      <c r="E113" s="698"/>
      <c r="F113" s="757" t="s">
        <v>97</v>
      </c>
      <c r="G113" s="743"/>
      <c r="H113" s="743"/>
      <c r="I113" s="742"/>
      <c r="J113" s="742"/>
      <c r="K113" s="742"/>
      <c r="L113" s="742"/>
      <c r="M113" s="742"/>
      <c r="N113" s="742"/>
      <c r="O113" s="742"/>
      <c r="P113" s="742"/>
      <c r="Q113" s="749"/>
      <c r="S113" s="397"/>
      <c r="T113" s="397"/>
      <c r="U113" s="857"/>
      <c r="V113" s="743" t="s">
        <v>97</v>
      </c>
      <c r="W113" s="743"/>
      <c r="X113" s="743"/>
      <c r="Y113" s="741"/>
      <c r="Z113" s="741"/>
      <c r="AA113" s="741"/>
      <c r="AB113" s="741"/>
      <c r="AC113" s="741"/>
      <c r="AD113" s="741"/>
      <c r="AE113" s="742"/>
      <c r="AF113" s="742"/>
      <c r="AG113" s="742"/>
      <c r="AH113" s="865"/>
      <c r="AI113" s="865"/>
      <c r="AJ113" s="866"/>
      <c r="AK113" s="397"/>
      <c r="AL113" s="397"/>
      <c r="AM113" s="698"/>
      <c r="AN113" s="671" t="s">
        <v>108</v>
      </c>
      <c r="AO113" s="671"/>
      <c r="AP113" s="671"/>
      <c r="AQ113" s="671"/>
      <c r="AR113" s="783"/>
      <c r="AS113" s="783"/>
      <c r="AT113" s="784"/>
      <c r="AU113" s="397"/>
      <c r="AV113" s="397"/>
      <c r="AW113" s="397"/>
      <c r="AX113"/>
      <c r="AY113"/>
      <c r="AZ113"/>
      <c r="BA113" s="397"/>
      <c r="BB113" s="397"/>
      <c r="BC113" s="397"/>
      <c r="BD113" s="397"/>
      <c r="BE113" s="397"/>
    </row>
    <row r="114" spans="1:58" ht="20.25" customHeight="1" thickBot="1">
      <c r="E114" s="698"/>
      <c r="F114" s="757" t="s">
        <v>160</v>
      </c>
      <c r="G114" s="743"/>
      <c r="H114" s="743"/>
      <c r="I114" s="742"/>
      <c r="J114" s="742"/>
      <c r="K114" s="742"/>
      <c r="L114" s="742"/>
      <c r="M114" s="742"/>
      <c r="N114" s="742"/>
      <c r="O114" s="742"/>
      <c r="P114" s="742"/>
      <c r="Q114" s="749"/>
      <c r="S114" s="397"/>
      <c r="T114" s="397"/>
      <c r="U114" s="857"/>
      <c r="V114" s="743" t="s">
        <v>160</v>
      </c>
      <c r="W114" s="743"/>
      <c r="X114" s="743"/>
      <c r="Y114" s="741"/>
      <c r="Z114" s="741"/>
      <c r="AA114" s="741"/>
      <c r="AB114" s="741"/>
      <c r="AC114" s="741"/>
      <c r="AD114" s="741"/>
      <c r="AE114" s="742"/>
      <c r="AF114" s="742"/>
      <c r="AG114" s="742"/>
      <c r="AH114" s="764" t="str">
        <f>IF(SUM(Y114:AG114)=0,"",SUM(Y114:AG114))</f>
        <v/>
      </c>
      <c r="AI114" s="764"/>
      <c r="AJ114" s="777"/>
      <c r="AK114" s="397"/>
      <c r="AL114" s="397"/>
      <c r="AM114" s="781"/>
      <c r="AN114" s="778" t="s">
        <v>169</v>
      </c>
      <c r="AO114" s="778"/>
      <c r="AP114" s="778"/>
      <c r="AQ114" s="778"/>
      <c r="AR114" s="779" t="str">
        <f>IF(AR112="","",IF(AR113="",ROUND(AR112/1.1,1),ROUND(AR112/AR113,1)))</f>
        <v/>
      </c>
      <c r="AS114" s="779"/>
      <c r="AT114" s="780"/>
      <c r="AU114" s="397"/>
      <c r="AV114" s="397"/>
      <c r="AW114" s="397"/>
      <c r="AX114"/>
      <c r="AY114"/>
      <c r="AZ114"/>
      <c r="BA114" s="397"/>
      <c r="BB114" s="397"/>
      <c r="BC114" s="397"/>
      <c r="BD114" s="397"/>
      <c r="BE114" s="397"/>
    </row>
    <row r="115" spans="1:58" ht="19.350000000000001" customHeight="1" thickBot="1">
      <c r="E115" s="698"/>
      <c r="F115" s="757" t="s">
        <v>98</v>
      </c>
      <c r="G115" s="743"/>
      <c r="H115" s="743"/>
      <c r="I115" s="742"/>
      <c r="J115" s="742"/>
      <c r="K115" s="742"/>
      <c r="L115" s="742"/>
      <c r="M115" s="742"/>
      <c r="N115" s="742"/>
      <c r="O115" s="742"/>
      <c r="P115" s="742"/>
      <c r="Q115" s="749"/>
      <c r="S115" s="397"/>
      <c r="T115" s="397"/>
      <c r="U115" s="857"/>
      <c r="V115" s="743" t="s">
        <v>98</v>
      </c>
      <c r="W115" s="743"/>
      <c r="X115" s="743"/>
      <c r="Y115" s="741"/>
      <c r="Z115" s="741"/>
      <c r="AA115" s="741"/>
      <c r="AB115" s="741"/>
      <c r="AC115" s="741"/>
      <c r="AD115" s="741"/>
      <c r="AE115" s="742"/>
      <c r="AF115" s="742"/>
      <c r="AG115" s="742"/>
      <c r="AH115" s="743"/>
      <c r="AI115" s="743"/>
      <c r="AJ115" s="744"/>
      <c r="AK115" s="397"/>
      <c r="AL115" s="397"/>
      <c r="AM115" s="397"/>
      <c r="AN115"/>
      <c r="AO115"/>
      <c r="AP115" s="63"/>
      <c r="AQ115" s="397"/>
      <c r="AR115" s="397"/>
      <c r="AS115" s="397"/>
      <c r="AT115" s="397"/>
      <c r="AU115"/>
      <c r="AV115"/>
      <c r="AW115"/>
      <c r="AX115"/>
      <c r="AY115"/>
      <c r="AZ115"/>
      <c r="BA115" s="397"/>
      <c r="BB115" s="397"/>
      <c r="BC115" s="397"/>
      <c r="BD115" s="397"/>
      <c r="BE115" s="397"/>
    </row>
    <row r="116" spans="1:58" ht="20.25" customHeight="1">
      <c r="E116" s="698"/>
      <c r="F116" s="757" t="s">
        <v>2</v>
      </c>
      <c r="G116" s="743"/>
      <c r="H116" s="743"/>
      <c r="I116" s="742"/>
      <c r="J116" s="742"/>
      <c r="K116" s="742"/>
      <c r="L116" s="742"/>
      <c r="M116" s="742"/>
      <c r="N116" s="742"/>
      <c r="O116" s="742"/>
      <c r="P116" s="742"/>
      <c r="Q116" s="749"/>
      <c r="S116" s="397"/>
      <c r="T116" s="397"/>
      <c r="U116" s="857"/>
      <c r="V116" s="743" t="s">
        <v>2</v>
      </c>
      <c r="W116" s="743"/>
      <c r="X116" s="743"/>
      <c r="Y116" s="741"/>
      <c r="Z116" s="741"/>
      <c r="AA116" s="741"/>
      <c r="AB116" s="741"/>
      <c r="AC116" s="741"/>
      <c r="AD116" s="741"/>
      <c r="AE116" s="742"/>
      <c r="AF116" s="742"/>
      <c r="AG116" s="742"/>
      <c r="AH116" s="743"/>
      <c r="AI116" s="743"/>
      <c r="AJ116" s="744"/>
      <c r="AK116" s="397"/>
      <c r="AL116" s="397"/>
      <c r="AM116" s="720" t="s">
        <v>112</v>
      </c>
      <c r="AN116" s="668" t="s">
        <v>111</v>
      </c>
      <c r="AO116" s="745"/>
      <c r="AP116" s="745"/>
      <c r="AQ116" s="553"/>
      <c r="AR116" s="731" t="str">
        <f>IF(N32="","",IF(SUM(D73:O73)=0,"",IF(SUM(D70:O70)=0,"",ROUND((N32-SUM(D73:O73))/SUM(D70:O70),3))))</f>
        <v/>
      </c>
      <c r="AS116" s="553"/>
      <c r="AT116" s="668" t="s">
        <v>115</v>
      </c>
      <c r="AU116" s="745"/>
      <c r="AV116" s="745"/>
      <c r="AW116" s="552"/>
      <c r="AX116" s="553"/>
      <c r="AY116" s="731" t="str">
        <f>IF(AR112="","",IF(Y70="","",ROUND(AR112/Y70,3)))</f>
        <v/>
      </c>
      <c r="AZ116" s="669"/>
      <c r="BA116" s="397"/>
      <c r="BB116" s="397"/>
      <c r="BC116" s="397"/>
      <c r="BD116" s="397"/>
      <c r="BE116" s="397"/>
    </row>
    <row r="117" spans="1:58" ht="19.350000000000001" customHeight="1">
      <c r="E117" s="698"/>
      <c r="F117" s="762" t="s">
        <v>271</v>
      </c>
      <c r="G117" s="650"/>
      <c r="H117" s="650"/>
      <c r="I117" s="746" t="str">
        <f>IF(I114="","",IF(I115="","",ROUND(I114*I115/100,1)))</f>
        <v/>
      </c>
      <c r="J117" s="746"/>
      <c r="K117" s="746"/>
      <c r="L117" s="746" t="str">
        <f>IF(L114="","",IF(L115="","",ROUND(L114*L115/100,1)))</f>
        <v/>
      </c>
      <c r="M117" s="746"/>
      <c r="N117" s="746"/>
      <c r="O117" s="746" t="str">
        <f>IF(O114="","",IF(O115="","",ROUND(O114*O115/100,1)))</f>
        <v/>
      </c>
      <c r="P117" s="746"/>
      <c r="Q117" s="748"/>
      <c r="S117" s="397"/>
      <c r="T117" s="397"/>
      <c r="U117" s="857"/>
      <c r="V117" s="763" t="s">
        <v>271</v>
      </c>
      <c r="W117" s="650"/>
      <c r="X117" s="650"/>
      <c r="Y117" s="764" t="str">
        <f>IF(Y114="","",IF(Y115="","",ROUND(Y114*Y115/100,1)))</f>
        <v/>
      </c>
      <c r="Z117" s="764"/>
      <c r="AA117" s="764"/>
      <c r="AB117" s="764" t="str">
        <f>IF(AB114="","",IF(AB115="","",ROUND(AB114*AB115/100,1)))</f>
        <v/>
      </c>
      <c r="AC117" s="764"/>
      <c r="AD117" s="764"/>
      <c r="AE117" s="764" t="str">
        <f>IF(AE114="","",IF(AE115="","",ROUND(AE114*AE115/100,1)))</f>
        <v/>
      </c>
      <c r="AF117" s="764"/>
      <c r="AG117" s="764"/>
      <c r="AH117" s="764" t="str">
        <f>IF(SUM(Y117:AG117)=0,"",SUM(Y117:AG117))</f>
        <v/>
      </c>
      <c r="AI117" s="764"/>
      <c r="AJ117" s="777"/>
      <c r="AK117" s="397"/>
      <c r="AL117" s="397"/>
      <c r="AM117" s="721"/>
      <c r="AN117" s="680" t="s">
        <v>116</v>
      </c>
      <c r="AO117" s="681"/>
      <c r="AP117" s="681"/>
      <c r="AQ117" s="576"/>
      <c r="AR117" s="725" t="str">
        <f>IF(SUM(I114:Q114)=0,"",IF(Y70="","",ROUND(SUM(I114:Q114)/Y70,4)))</f>
        <v/>
      </c>
      <c r="AS117" s="576"/>
      <c r="AT117" s="680" t="s">
        <v>122</v>
      </c>
      <c r="AU117" s="681"/>
      <c r="AV117" s="681"/>
      <c r="AW117" s="575"/>
      <c r="AX117" s="576"/>
      <c r="AY117" s="725" t="str">
        <f>IF(SUM(I114:Q114)=0,"",IF(Y70="","",IF(Y73="","",IF(SUM(L114:Q114)+SUM(S35:BE35)=0,ROUND((I114-Y73-AZ93)/Y70,3),"手入力してください"))))</f>
        <v/>
      </c>
      <c r="AZ117" s="682"/>
      <c r="BA117" s="397"/>
      <c r="BB117" s="397"/>
      <c r="BC117" s="397"/>
      <c r="BD117" s="397"/>
      <c r="BE117" s="397"/>
    </row>
    <row r="118" spans="1:58" ht="19.350000000000001" customHeight="1">
      <c r="E118" s="698"/>
      <c r="F118" s="757" t="s">
        <v>0</v>
      </c>
      <c r="G118" s="743"/>
      <c r="H118" s="743"/>
      <c r="I118" s="742"/>
      <c r="J118" s="742"/>
      <c r="K118" s="742"/>
      <c r="L118" s="742"/>
      <c r="M118" s="742"/>
      <c r="N118" s="742"/>
      <c r="O118" s="742"/>
      <c r="P118" s="742"/>
      <c r="Q118" s="749"/>
      <c r="S118" s="397"/>
      <c r="T118" s="397"/>
      <c r="U118" s="857"/>
      <c r="V118" s="754" t="s">
        <v>171</v>
      </c>
      <c r="W118" s="755"/>
      <c r="X118" s="755"/>
      <c r="Y118" s="756" t="str">
        <f>IF(D207="","",ROUNDDOWN(D207+Y115*1.5848,1))</f>
        <v/>
      </c>
      <c r="Z118" s="756"/>
      <c r="AA118" s="756"/>
      <c r="AB118" s="756" t="str">
        <f>IF(G207="","",ROUNDDOWN(G207+AB115*1.5848,1))</f>
        <v/>
      </c>
      <c r="AC118" s="756"/>
      <c r="AD118" s="756"/>
      <c r="AE118" s="756" t="str">
        <f>IF(J207="","",ROUNDDOWN(J207+AE115*1.5848,1))</f>
        <v/>
      </c>
      <c r="AF118" s="756"/>
      <c r="AG118" s="756"/>
      <c r="AH118" s="743"/>
      <c r="AI118" s="743"/>
      <c r="AJ118" s="744"/>
      <c r="AK118" s="397"/>
      <c r="AL118" s="397"/>
      <c r="AM118" s="721"/>
      <c r="AN118" s="680" t="s">
        <v>117</v>
      </c>
      <c r="AO118" s="681"/>
      <c r="AP118" s="681"/>
      <c r="AQ118" s="576"/>
      <c r="AR118" s="725" t="str">
        <f>IF(AH114="","",IF(SUM(I114:Q114)=0,"",ROUND(AH114/SUM(I114:Q114),3)))</f>
        <v/>
      </c>
      <c r="AS118" s="576"/>
      <c r="AT118" s="672" t="s">
        <v>121</v>
      </c>
      <c r="AU118" s="566"/>
      <c r="AV118" s="566"/>
      <c r="AW118" s="575"/>
      <c r="AX118" s="576"/>
      <c r="AY118" s="725" t="str">
        <f>IF(AH117="","",IF(SUM(I117:Q117)=0,"",ROUND(AH117/SUM(I117:Q117),3)))</f>
        <v/>
      </c>
      <c r="AZ118" s="682"/>
      <c r="BA118" s="397"/>
      <c r="BB118" s="397"/>
      <c r="BC118" s="397"/>
      <c r="BD118" s="397"/>
      <c r="BE118" s="397"/>
    </row>
    <row r="119" spans="1:58" ht="19.350000000000001" customHeight="1" thickBot="1">
      <c r="E119" s="698"/>
      <c r="F119" s="771" t="s">
        <v>159</v>
      </c>
      <c r="G119" s="772"/>
      <c r="H119" s="772"/>
      <c r="I119" s="747" t="str">
        <f>IF(I115="","",IF(I116="","",ROUNDDOWN(D201,1)))</f>
        <v/>
      </c>
      <c r="J119" s="747"/>
      <c r="K119" s="747"/>
      <c r="L119" s="747" t="str">
        <f>IF(L115="","",IF(L116="","",ROUNDDOWN(G201,1)))</f>
        <v/>
      </c>
      <c r="M119" s="747"/>
      <c r="N119" s="747"/>
      <c r="O119" s="747" t="str">
        <f>IF(O115="","",IF(O116="","",ROUNDDOWN(J201,1)))</f>
        <v/>
      </c>
      <c r="P119" s="747"/>
      <c r="Q119" s="750"/>
      <c r="S119" s="397"/>
      <c r="T119" s="397"/>
      <c r="U119" s="858"/>
      <c r="V119" s="752" t="s">
        <v>0</v>
      </c>
      <c r="W119" s="752"/>
      <c r="X119" s="752"/>
      <c r="Y119" s="751"/>
      <c r="Z119" s="751"/>
      <c r="AA119" s="751"/>
      <c r="AB119" s="751"/>
      <c r="AC119" s="751"/>
      <c r="AD119" s="751"/>
      <c r="AE119" s="751"/>
      <c r="AF119" s="751"/>
      <c r="AG119" s="751"/>
      <c r="AH119" s="752"/>
      <c r="AI119" s="752"/>
      <c r="AJ119" s="753"/>
      <c r="AK119" s="397"/>
      <c r="AL119" s="397"/>
      <c r="AM119" s="721"/>
      <c r="AN119" s="680" t="s">
        <v>118</v>
      </c>
      <c r="AO119" s="681"/>
      <c r="AP119" s="681"/>
      <c r="AQ119" s="576"/>
      <c r="AR119" s="725" t="str">
        <f>IF(AH114="","",IF(Y70="","",ROUND(AH114/Y70,3)))</f>
        <v/>
      </c>
      <c r="AS119" s="576"/>
      <c r="AT119" s="680" t="s">
        <v>120</v>
      </c>
      <c r="AU119" s="681"/>
      <c r="AV119" s="681"/>
      <c r="AW119" s="575"/>
      <c r="AX119" s="576"/>
      <c r="AY119" s="725" t="str">
        <f>IF(Y70="","",IF(AH114="","",IF(SUM(L114:Q114)+SUM(S35:BE35)=0,ROUND((AH114-Y73-AZ93)/Y70,3),"手入力してください")))</f>
        <v/>
      </c>
      <c r="AZ119" s="682"/>
      <c r="BA119" s="397"/>
      <c r="BB119" s="397"/>
      <c r="BC119" s="397"/>
      <c r="BD119" s="397"/>
      <c r="BE119" s="397"/>
      <c r="BF119" s="397"/>
    </row>
    <row r="120" spans="1:58" ht="19.350000000000001" customHeight="1">
      <c r="E120" s="698"/>
      <c r="F120" s="738" t="s">
        <v>254</v>
      </c>
      <c r="G120" s="739"/>
      <c r="H120" s="739"/>
      <c r="I120" s="740" t="str">
        <f>IF(I115="","",IF(I116="","",D202))</f>
        <v/>
      </c>
      <c r="J120" s="740"/>
      <c r="K120" s="740"/>
      <c r="L120" s="740" t="str">
        <f>IF(L115="","",IF(L116="","",G202))</f>
        <v/>
      </c>
      <c r="M120" s="740"/>
      <c r="N120" s="740"/>
      <c r="O120" s="740" t="str">
        <f>IF(O115="","",IF(O116="","",J202))</f>
        <v/>
      </c>
      <c r="P120" s="740"/>
      <c r="Q120" s="770"/>
      <c r="S120" s="397"/>
      <c r="T120" s="397"/>
      <c r="U120" s="397"/>
      <c r="V120" s="49"/>
      <c r="W120" s="49"/>
      <c r="X120" s="49"/>
      <c r="Y120" s="49"/>
      <c r="Z120" s="49"/>
      <c r="AA120" s="49"/>
      <c r="AB120" s="397"/>
      <c r="AC120" s="397"/>
      <c r="AD120" s="397"/>
      <c r="AE120" s="397"/>
      <c r="AF120" s="397"/>
      <c r="AG120" s="397"/>
      <c r="AH120" s="397"/>
      <c r="AI120" s="397"/>
      <c r="AJ120" s="397"/>
      <c r="AK120" s="397"/>
      <c r="AL120" s="397"/>
      <c r="AM120" s="721"/>
      <c r="AN120" s="672" t="s">
        <v>445</v>
      </c>
      <c r="AO120" s="566"/>
      <c r="AP120" s="566"/>
      <c r="AQ120" s="576"/>
      <c r="AR120" s="725" t="str">
        <f>IF(Y70="","",IF(Y73="","",SUM(D73:O73)/SUM(D70:O70)))</f>
        <v/>
      </c>
      <c r="AS120" s="576"/>
      <c r="AT120" s="680" t="s">
        <v>119</v>
      </c>
      <c r="AU120" s="681"/>
      <c r="AV120" s="681"/>
      <c r="AW120" s="575"/>
      <c r="AX120" s="576"/>
      <c r="AY120" s="725" t="str">
        <f>IF(Y70="","",IF(Y73="","",IF(SUM(L114:Q114)+SUM(S35:BE35)=0,ROUND((Y73+AZ93)/Y70,3),"手入力してください")))</f>
        <v/>
      </c>
      <c r="AZ120" s="682"/>
      <c r="BA120" s="397"/>
      <c r="BB120" s="397"/>
      <c r="BC120" s="397"/>
      <c r="BD120" s="397"/>
      <c r="BE120" s="397"/>
    </row>
    <row r="121" spans="1:58" ht="19.350000000000001" customHeight="1" thickBot="1">
      <c r="C121" s="414"/>
      <c r="E121" s="699"/>
      <c r="F121" s="700" t="s">
        <v>382</v>
      </c>
      <c r="G121" s="700"/>
      <c r="H121" s="700"/>
      <c r="I121" s="696" t="str">
        <f>IF(SUM(L114:Q114)+SUM(S35:BE35)=0,Y70,"手入力してください")</f>
        <v/>
      </c>
      <c r="J121" s="696"/>
      <c r="K121" s="696"/>
      <c r="L121" s="701"/>
      <c r="M121" s="701"/>
      <c r="N121" s="701"/>
      <c r="O121" s="701"/>
      <c r="P121" s="701"/>
      <c r="Q121" s="702"/>
      <c r="R121" s="411" t="s">
        <v>387</v>
      </c>
      <c r="S121" s="397"/>
      <c r="T121" s="397"/>
      <c r="U121" s="397"/>
      <c r="V121" s="397"/>
      <c r="W121" s="397"/>
      <c r="X121" s="397"/>
      <c r="Y121" s="397"/>
      <c r="Z121" s="397"/>
      <c r="AA121" s="397"/>
      <c r="AB121" s="397"/>
      <c r="AC121" s="397"/>
      <c r="AD121" s="397"/>
      <c r="AE121" s="397"/>
      <c r="AF121" s="397"/>
      <c r="AG121" s="397"/>
      <c r="AH121" s="397"/>
      <c r="AI121" s="397"/>
      <c r="AJ121" s="397"/>
      <c r="AK121" s="397"/>
      <c r="AL121" s="397"/>
      <c r="AM121" s="722"/>
      <c r="AN121" s="554" t="s">
        <v>372</v>
      </c>
      <c r="AO121" s="718"/>
      <c r="AP121" s="718"/>
      <c r="AQ121" s="719"/>
      <c r="AR121" s="726" t="str">
        <f>IF(ISERROR((SUM(I114:Q114)-AH114-AR114)/SUM(I114:Q114)*1000),"",(SUM(I114:Q114)-AH114-AR114)/SUM(I114:Q114)*1000)</f>
        <v/>
      </c>
      <c r="AS121" s="727"/>
      <c r="AT121" s="728" t="s">
        <v>373</v>
      </c>
      <c r="AU121" s="729"/>
      <c r="AV121" s="729"/>
      <c r="AW121" s="729"/>
      <c r="AX121" s="730"/>
      <c r="AY121" s="726" t="str">
        <f>IF(AH117="","",IF(Y70="","",IF(SUM(L114:Q114)+SUM(S35:BE35)=0,(AH117-AZ95)/Y70*1000,"手入力してください")))</f>
        <v/>
      </c>
      <c r="AZ121" s="732"/>
      <c r="BA121" s="397"/>
      <c r="BB121" s="397"/>
      <c r="BC121" s="397"/>
      <c r="BD121" s="397"/>
      <c r="BE121" s="397"/>
    </row>
    <row r="122" spans="1:58" ht="19.350000000000001" customHeight="1" thickBot="1">
      <c r="B122" s="408"/>
      <c r="C122" s="408"/>
      <c r="D122" s="408"/>
      <c r="E122" s="408"/>
      <c r="F122" s="408"/>
      <c r="G122" s="408"/>
      <c r="H122" s="408"/>
      <c r="I122" s="408"/>
      <c r="J122" s="408"/>
      <c r="K122" s="408"/>
      <c r="L122" s="408"/>
      <c r="M122" s="408"/>
      <c r="N122" s="408"/>
      <c r="O122" s="408"/>
      <c r="P122" s="408"/>
      <c r="Q122" s="408"/>
      <c r="R122" s="63"/>
      <c r="S122" s="408"/>
      <c r="T122" s="408"/>
      <c r="U122" s="408"/>
      <c r="V122" s="408"/>
      <c r="W122" s="408"/>
      <c r="X122" s="408"/>
      <c r="Y122" s="408"/>
      <c r="Z122" s="408"/>
      <c r="AA122" s="408"/>
      <c r="AB122" s="408"/>
      <c r="AC122" s="408"/>
      <c r="AD122" s="408"/>
      <c r="AE122" s="408"/>
      <c r="AF122" s="408"/>
      <c r="AG122" s="408"/>
      <c r="AH122" s="408"/>
      <c r="AI122" s="408"/>
      <c r="AJ122" s="408"/>
      <c r="AK122" s="408"/>
      <c r="AL122" s="408"/>
      <c r="AM122" s="723"/>
      <c r="AN122" s="577" t="s">
        <v>385</v>
      </c>
      <c r="AO122" s="724"/>
      <c r="AP122" s="724"/>
      <c r="AQ122" s="724"/>
      <c r="AR122" s="733" t="str">
        <f>IF(ISERROR((Y114*Y118)/(81*180/162*Y70+1.5848*AZ95*100)),"",IF(SUM(L114:Q114)+SUM(AB114:AG114)=0,(Y114*Y118)/(81*180/162*Y70+1.5848*AZ95*100),"手入力してください"))</f>
        <v/>
      </c>
      <c r="AS122" s="734"/>
      <c r="AT122" s="735" t="s">
        <v>384</v>
      </c>
      <c r="AU122" s="724"/>
      <c r="AV122" s="724"/>
      <c r="AW122" s="724"/>
      <c r="AX122" s="724"/>
      <c r="AY122" s="736" t="str">
        <f>IF(AR122="手入力してください","手入力してください",IF(ISERROR(AR122*(AE70*D70+AE71*(Y72-D72)+AE72*(Y71-D71))/(Y70*100)),"",AR122*(AE70*D70+AE71*(Y72-D72)+AE72*(Y71-D71))/(Y70*100)))</f>
        <v/>
      </c>
      <c r="AZ122" s="737"/>
      <c r="BA122" s="408"/>
      <c r="BB122" s="408"/>
      <c r="BC122" s="408"/>
      <c r="BD122" s="408"/>
      <c r="BE122" s="408"/>
    </row>
    <row r="123" spans="1:58" ht="19.350000000000001" customHeight="1">
      <c r="E123" s="1151" t="s">
        <v>375</v>
      </c>
      <c r="F123" s="1152"/>
      <c r="G123" s="1152"/>
      <c r="H123" s="1155" t="s">
        <v>376</v>
      </c>
      <c r="I123" s="403" t="s">
        <v>378</v>
      </c>
      <c r="J123" s="404"/>
      <c r="K123" s="404" t="s">
        <v>377</v>
      </c>
      <c r="L123" s="1157" t="s">
        <v>380</v>
      </c>
      <c r="M123" s="1158"/>
      <c r="N123" s="1163" t="str">
        <f>IF(L114="","",I114+L114+O114)</f>
        <v/>
      </c>
      <c r="O123" s="1163"/>
      <c r="P123" s="1163"/>
      <c r="Q123" s="1157" t="s">
        <v>381</v>
      </c>
      <c r="R123" s="1161"/>
      <c r="S123" s="1158"/>
      <c r="T123" s="1165" t="str">
        <f>IF(L117="","",(I114*I115+L114*L115+O114*O115)/100)</f>
        <v/>
      </c>
      <c r="U123" s="1165"/>
      <c r="V123" s="1166"/>
      <c r="W123" s="397"/>
      <c r="X123" s="688"/>
      <c r="Y123" s="689"/>
      <c r="Z123" s="690"/>
      <c r="AA123" s="646" t="s">
        <v>392</v>
      </c>
      <c r="AB123" s="646"/>
      <c r="AC123" s="646" t="s">
        <v>393</v>
      </c>
      <c r="AD123" s="646"/>
      <c r="AE123" s="646" t="s">
        <v>394</v>
      </c>
      <c r="AF123" s="646"/>
      <c r="AG123" s="646" t="s">
        <v>395</v>
      </c>
      <c r="AH123" s="646"/>
      <c r="AI123" s="686" t="s">
        <v>390</v>
      </c>
      <c r="AJ123" s="648"/>
      <c r="AK123" s="397"/>
      <c r="AL123" s="397"/>
      <c r="AM123" s="397"/>
      <c r="AN123" s="413" t="s">
        <v>391</v>
      </c>
      <c r="AO123" s="418"/>
      <c r="AP123" s="418"/>
      <c r="AQ123" s="418"/>
      <c r="AR123" s="418"/>
      <c r="AS123" s="418"/>
      <c r="AT123" s="418"/>
      <c r="AU123" s="418"/>
      <c r="AV123" s="418"/>
      <c r="AW123" s="418"/>
      <c r="AX123" s="418"/>
      <c r="AY123" s="418"/>
      <c r="AZ123" s="418"/>
      <c r="BA123" s="418"/>
      <c r="BB123" s="418"/>
      <c r="BC123" s="418"/>
      <c r="BD123" s="418"/>
      <c r="BE123" s="418"/>
    </row>
    <row r="124" spans="1:58" ht="19.350000000000001" customHeight="1" thickBot="1">
      <c r="E124" s="1153"/>
      <c r="F124" s="1154"/>
      <c r="G124" s="1154"/>
      <c r="H124" s="1156"/>
      <c r="I124" s="405" t="s">
        <v>379</v>
      </c>
      <c r="J124" s="406"/>
      <c r="K124" s="407" t="s">
        <v>377</v>
      </c>
      <c r="L124" s="1159"/>
      <c r="M124" s="1160"/>
      <c r="N124" s="1164"/>
      <c r="O124" s="1164"/>
      <c r="P124" s="1164"/>
      <c r="Q124" s="1159"/>
      <c r="R124" s="1162"/>
      <c r="S124" s="1160"/>
      <c r="T124" s="1167"/>
      <c r="U124" s="1167"/>
      <c r="V124" s="1168"/>
      <c r="W124" s="397"/>
      <c r="X124" s="691" t="s">
        <v>388</v>
      </c>
      <c r="Y124" s="692"/>
      <c r="Z124" s="693"/>
      <c r="AA124" s="687" t="str">
        <f>IF(AR122="","",IF(AR122="手入力してください","",IF(AR122&gt;0.845,"かなり高い",IF(AR122&gt;0.808,"高い",IF(AR122&gt;0.756,"標準的",IF(AR122&gt;0.722,"低い","かなり低い"))))))</f>
        <v/>
      </c>
      <c r="AB124" s="687"/>
      <c r="AC124" s="687" t="str">
        <f>IF(AR122="","",IF(AR122="手入力してください","",IF(AR122&gt;0.872,"かなり高い",IF(AR122&gt;0.838,"高い",IF(AR122&gt;0.79,"標準的",IF(AR122&gt;0.744,"低い","かなり低い"))))))</f>
        <v/>
      </c>
      <c r="AD124" s="687"/>
      <c r="AE124" s="687" t="str">
        <f>IF(AR122="","",IF(AR122="手入力してください","",IF(AR122&gt;0.868,"かなり高い",IF(AR122&gt;0.844,"高い",IF(AR122&gt;0.798,"標準的",IF(AR122&gt;0.755,"低い","かなり低い"))))))</f>
        <v/>
      </c>
      <c r="AF124" s="687"/>
      <c r="AG124" s="687" t="str">
        <f>IF(AR122="","",IF(AR122="手入力してください","",IF(AR122&gt;0.883,"かなり高い",IF(AR122&gt;0.856,"高い",IF(AR122&gt;0.83,"標準的",IF(AR122&gt;0.802,"低い","かなり低い"))))))</f>
        <v/>
      </c>
      <c r="AH124" s="687"/>
      <c r="AI124" s="687" t="str">
        <f>IF(AR122="","",IF(AR122="手入力してください","",IF(AR122&gt;0.923,"高い",IF(AR122&gt;0.876,"標準的",IF(AR122&gt;0.843,"低い","かなり低い")))))</f>
        <v/>
      </c>
      <c r="AJ124" s="687"/>
      <c r="AK124" s="397"/>
      <c r="AL124" s="397"/>
      <c r="AM124" s="397"/>
      <c r="AN124" s="411" t="s">
        <v>402</v>
      </c>
      <c r="AO124" s="418"/>
      <c r="AP124" s="50"/>
      <c r="AQ124"/>
      <c r="AR124"/>
      <c r="AS124"/>
      <c r="AT124"/>
      <c r="AU124"/>
      <c r="AV124"/>
      <c r="AW124"/>
      <c r="AX124"/>
      <c r="AY124"/>
      <c r="AZ124"/>
      <c r="BA124"/>
      <c r="BB124"/>
      <c r="BC124" s="418"/>
      <c r="BD124" s="418"/>
      <c r="BE124" s="418"/>
    </row>
    <row r="125" spans="1:58" ht="20.25" customHeight="1" thickBot="1">
      <c r="A125" s="59"/>
      <c r="B125" s="49"/>
      <c r="C125" s="49"/>
      <c r="D125" s="397"/>
      <c r="E125" s="397"/>
      <c r="F125" s="397"/>
      <c r="G125" s="397"/>
      <c r="H125" s="397"/>
      <c r="I125" s="397"/>
      <c r="J125" s="397"/>
      <c r="K125" s="397"/>
      <c r="L125" s="397"/>
      <c r="M125" s="397"/>
      <c r="N125" s="397"/>
      <c r="O125" s="397"/>
      <c r="P125" s="397"/>
      <c r="Q125" s="397"/>
      <c r="R125" s="397"/>
      <c r="S125" s="397"/>
      <c r="T125" s="397"/>
      <c r="U125" s="397"/>
      <c r="V125" s="397"/>
      <c r="W125" s="397"/>
      <c r="X125" s="694" t="s">
        <v>389</v>
      </c>
      <c r="Y125" s="695"/>
      <c r="Z125" s="695"/>
      <c r="AA125" s="696" t="str">
        <f>IF(AY122="","",IF(AY122="手入力してください","",IF(AY122&gt;0.467,"かなり高い",IF(AY122&gt;0.429,"高い",IF(AY122&gt;0.377,"標準的",IF(AY122&gt;0.323,"低い","かなり低い"))))))</f>
        <v/>
      </c>
      <c r="AB125" s="696"/>
      <c r="AC125" s="696" t="str">
        <f>IF(AY122="","",IF(AY122="手入力してください","",IF(AY122&gt;0.462,"かなり高い",IF(AY122&gt;0.441,"高い",IF(AY122&gt;0.392,"標準的",IF(AY122&gt;0.337,"低い","かなり低い"))))))</f>
        <v/>
      </c>
      <c r="AD125" s="696"/>
      <c r="AE125" s="696" t="str">
        <f>IF(AY122="","",IF(AY122="手入力してください","",IF(AY122&gt;0.616,"かなり高い",IF(AY122&gt;0.589,"高い",IF(AY122&gt;0.499,"標準的",IF(AY122&gt;0.456,"低い","かなり低い"))))))</f>
        <v/>
      </c>
      <c r="AF125" s="696"/>
      <c r="AG125" s="696" t="str">
        <f>IF(AY122="","",IF(AY122="手入力してください","",IF(AY122&gt;0.612,"かなり高い",IF(AY122&gt;0.589,"高い",IF(AY122&gt;0.528,"標準的",IF(AY122&gt;0.485,"低い","かなり低い"))))))</f>
        <v/>
      </c>
      <c r="AH125" s="696"/>
      <c r="AI125" s="696" t="str">
        <f>IF(AY122="","",IF(AY122="手入力してください","",IF(AY122&gt;0.823,"かなり高い",IF(AY122&gt;0.706,"高い",IF(AY122&gt;0.633,"標準的",IF(AY122&gt;0.564,"低い","かなり低い"))))))</f>
        <v/>
      </c>
      <c r="AJ125" s="696"/>
      <c r="AK125" s="397"/>
      <c r="AL125" s="397"/>
      <c r="AM125" s="397"/>
      <c r="AN125" s="412" t="s">
        <v>403</v>
      </c>
      <c r="AO125" s="418"/>
      <c r="AP125" s="50"/>
      <c r="AQ125" s="50"/>
      <c r="AR125" s="50"/>
      <c r="AS125" s="50"/>
      <c r="AT125" s="50"/>
      <c r="AU125" s="50"/>
      <c r="AV125" s="50"/>
      <c r="AW125" s="50"/>
      <c r="AX125" s="50"/>
      <c r="AY125" s="50"/>
      <c r="AZ125" s="50"/>
      <c r="BA125" s="50"/>
      <c r="BB125" s="50"/>
      <c r="BC125" s="418"/>
      <c r="BD125" s="418"/>
      <c r="BE125" s="418"/>
    </row>
    <row r="126" spans="1:58" ht="18.600000000000001" customHeight="1">
      <c r="A126" s="59"/>
      <c r="B126" s="49"/>
      <c r="C126" s="4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20" t="s">
        <v>396</v>
      </c>
      <c r="AI126" s="2" t="s">
        <v>391</v>
      </c>
      <c r="AN126" s="411" t="s">
        <v>404</v>
      </c>
      <c r="AO126" s="418"/>
      <c r="AP126" s="418"/>
      <c r="AQ126" s="418"/>
      <c r="AR126" s="418"/>
      <c r="AS126" s="418"/>
      <c r="AT126" s="418"/>
      <c r="AU126" s="418"/>
      <c r="AV126" s="418"/>
      <c r="AW126" s="418"/>
      <c r="AX126" s="418"/>
      <c r="AY126" s="418"/>
      <c r="AZ126" s="418"/>
      <c r="BA126" s="418"/>
      <c r="BB126" s="418"/>
      <c r="BC126" s="418"/>
      <c r="BD126" s="418"/>
      <c r="BE126" s="418"/>
    </row>
    <row r="127" spans="1:58" ht="18.600000000000001" customHeight="1">
      <c r="A127" s="59"/>
      <c r="B127" s="49"/>
      <c r="C127" s="49"/>
      <c r="D127" s="415"/>
      <c r="E127" s="415"/>
      <c r="F127" s="415"/>
      <c r="G127" s="415"/>
      <c r="H127" s="415"/>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20" t="s">
        <v>397</v>
      </c>
      <c r="AI127" s="415"/>
      <c r="AJ127" s="415"/>
      <c r="AK127" s="415"/>
      <c r="AL127" s="415"/>
      <c r="AM127" s="415"/>
      <c r="AN127" s="415"/>
      <c r="AO127" s="415"/>
      <c r="AP127" s="415"/>
      <c r="AQ127" s="415"/>
      <c r="AR127" s="415"/>
      <c r="AS127" s="415"/>
      <c r="AT127" s="415"/>
      <c r="AU127" s="415"/>
      <c r="AV127" s="415"/>
      <c r="AW127" s="415"/>
      <c r="AX127" s="415"/>
      <c r="AY127" s="415"/>
      <c r="AZ127" s="415"/>
      <c r="BA127" s="415"/>
      <c r="BB127" s="415"/>
      <c r="BC127" s="415"/>
      <c r="BD127" s="415"/>
      <c r="BE127" s="415"/>
    </row>
    <row r="128" spans="1:58" ht="19.5" hidden="1" customHeight="1">
      <c r="A128" t="s">
        <v>207</v>
      </c>
    </row>
    <row r="129" spans="1:57" s="4" customFormat="1" ht="18" hidden="1" customHeight="1">
      <c r="A129" s="671" t="s">
        <v>158</v>
      </c>
      <c r="B129" s="671"/>
      <c r="C129" s="671"/>
      <c r="D129" s="130"/>
      <c r="E129" s="130"/>
      <c r="F129" s="130"/>
      <c r="G129" s="130"/>
      <c r="H129" s="130"/>
      <c r="I129" s="130"/>
      <c r="J129" s="130"/>
      <c r="K129" s="130"/>
      <c r="L129" s="130"/>
      <c r="M129" s="130"/>
      <c r="N129" s="130"/>
      <c r="O129" s="130"/>
      <c r="P129" s="130"/>
      <c r="Q129" s="130"/>
      <c r="R129" s="130"/>
      <c r="S129" s="260" t="e">
        <f t="shared" ref="S129:BE129" si="42">IF(S162="",NA(),S162*S3)</f>
        <v>#N/A</v>
      </c>
      <c r="T129" s="75" t="e">
        <f t="shared" si="42"/>
        <v>#N/A</v>
      </c>
      <c r="U129" s="75" t="e">
        <f t="shared" si="42"/>
        <v>#N/A</v>
      </c>
      <c r="V129" s="75" t="e">
        <f t="shared" si="42"/>
        <v>#N/A</v>
      </c>
      <c r="W129" s="75" t="e">
        <f t="shared" si="42"/>
        <v>#N/A</v>
      </c>
      <c r="X129" s="75" t="e">
        <f t="shared" si="42"/>
        <v>#N/A</v>
      </c>
      <c r="Y129" s="75" t="e">
        <f t="shared" si="42"/>
        <v>#N/A</v>
      </c>
      <c r="Z129" s="75" t="e">
        <f t="shared" si="42"/>
        <v>#N/A</v>
      </c>
      <c r="AA129" s="75" t="e">
        <f t="shared" si="42"/>
        <v>#N/A</v>
      </c>
      <c r="AB129" s="75" t="e">
        <f t="shared" si="42"/>
        <v>#N/A</v>
      </c>
      <c r="AC129" s="75" t="e">
        <f t="shared" si="42"/>
        <v>#N/A</v>
      </c>
      <c r="AD129" s="75" t="e">
        <f t="shared" si="42"/>
        <v>#N/A</v>
      </c>
      <c r="AE129" s="75" t="e">
        <f t="shared" si="42"/>
        <v>#N/A</v>
      </c>
      <c r="AF129" s="75" t="e">
        <f t="shared" si="42"/>
        <v>#N/A</v>
      </c>
      <c r="AG129" s="75" t="e">
        <f t="shared" si="42"/>
        <v>#N/A</v>
      </c>
      <c r="AH129" s="75" t="e">
        <f t="shared" si="42"/>
        <v>#N/A</v>
      </c>
      <c r="AI129" s="75" t="e">
        <f t="shared" si="42"/>
        <v>#N/A</v>
      </c>
      <c r="AJ129" s="75" t="e">
        <f t="shared" si="42"/>
        <v>#N/A</v>
      </c>
      <c r="AK129" s="75" t="e">
        <f t="shared" si="42"/>
        <v>#N/A</v>
      </c>
      <c r="AL129" s="75" t="e">
        <f t="shared" si="42"/>
        <v>#N/A</v>
      </c>
      <c r="AM129" s="75" t="e">
        <f t="shared" si="42"/>
        <v>#N/A</v>
      </c>
      <c r="AN129" s="75" t="e">
        <f t="shared" si="42"/>
        <v>#N/A</v>
      </c>
      <c r="AO129" s="75" t="e">
        <f t="shared" si="42"/>
        <v>#N/A</v>
      </c>
      <c r="AP129" s="75" t="e">
        <f t="shared" si="42"/>
        <v>#N/A</v>
      </c>
      <c r="AQ129" s="75" t="e">
        <f t="shared" si="42"/>
        <v>#N/A</v>
      </c>
      <c r="AR129" s="75" t="e">
        <f t="shared" si="42"/>
        <v>#N/A</v>
      </c>
      <c r="AS129" s="75" t="e">
        <f t="shared" si="42"/>
        <v>#N/A</v>
      </c>
      <c r="AT129" s="75" t="e">
        <f t="shared" si="42"/>
        <v>#N/A</v>
      </c>
      <c r="AU129" s="75" t="e">
        <f t="shared" si="42"/>
        <v>#N/A</v>
      </c>
      <c r="AV129" s="75" t="e">
        <f t="shared" si="42"/>
        <v>#N/A</v>
      </c>
      <c r="AW129" s="75" t="e">
        <f t="shared" si="42"/>
        <v>#N/A</v>
      </c>
      <c r="AX129" s="75" t="e">
        <f t="shared" si="42"/>
        <v>#N/A</v>
      </c>
      <c r="AY129" s="75" t="e">
        <f t="shared" si="42"/>
        <v>#N/A</v>
      </c>
      <c r="AZ129" s="75" t="e">
        <f t="shared" si="42"/>
        <v>#N/A</v>
      </c>
      <c r="BA129" s="75" t="e">
        <f t="shared" si="42"/>
        <v>#N/A</v>
      </c>
      <c r="BB129" s="75" t="e">
        <f t="shared" si="42"/>
        <v>#N/A</v>
      </c>
      <c r="BC129" s="75" t="e">
        <f t="shared" si="42"/>
        <v>#N/A</v>
      </c>
      <c r="BD129" s="75" t="e">
        <f t="shared" si="42"/>
        <v>#N/A</v>
      </c>
      <c r="BE129" s="75" t="e">
        <f t="shared" si="42"/>
        <v>#N/A</v>
      </c>
    </row>
    <row r="130" spans="1:57" s="4" customFormat="1" ht="18" hidden="1" customHeight="1">
      <c r="A130" s="671" t="s">
        <v>3</v>
      </c>
      <c r="B130" s="671"/>
      <c r="C130" s="671"/>
      <c r="D130" s="130"/>
      <c r="E130" s="130"/>
      <c r="F130" s="130"/>
      <c r="G130" s="130"/>
      <c r="H130" s="130"/>
      <c r="I130" s="130"/>
      <c r="J130" s="130"/>
      <c r="K130" s="130"/>
      <c r="L130" s="130"/>
      <c r="M130" s="130"/>
      <c r="N130" s="130"/>
      <c r="O130" s="130"/>
      <c r="P130" s="130"/>
      <c r="Q130" s="130"/>
      <c r="R130" s="130"/>
      <c r="S130" s="260" t="e">
        <f t="shared" ref="S130:BE130" si="43">IFERROR(ROUNDDOWN((S177-S178)*260+0.21,1),NA())</f>
        <v>#N/A</v>
      </c>
      <c r="T130" s="75" t="e">
        <f t="shared" si="43"/>
        <v>#N/A</v>
      </c>
      <c r="U130" s="75" t="e">
        <f t="shared" si="43"/>
        <v>#N/A</v>
      </c>
      <c r="V130" s="75" t="e">
        <f t="shared" si="43"/>
        <v>#N/A</v>
      </c>
      <c r="W130" s="75" t="e">
        <f t="shared" si="43"/>
        <v>#N/A</v>
      </c>
      <c r="X130" s="75" t="e">
        <f t="shared" si="43"/>
        <v>#N/A</v>
      </c>
      <c r="Y130" s="75" t="e">
        <f t="shared" si="43"/>
        <v>#N/A</v>
      </c>
      <c r="Z130" s="75" t="e">
        <f t="shared" si="43"/>
        <v>#N/A</v>
      </c>
      <c r="AA130" s="75" t="e">
        <f t="shared" si="43"/>
        <v>#N/A</v>
      </c>
      <c r="AB130" s="75" t="e">
        <f t="shared" si="43"/>
        <v>#N/A</v>
      </c>
      <c r="AC130" s="75" t="e">
        <f t="shared" si="43"/>
        <v>#N/A</v>
      </c>
      <c r="AD130" s="75" t="e">
        <f t="shared" si="43"/>
        <v>#N/A</v>
      </c>
      <c r="AE130" s="75" t="e">
        <f t="shared" si="43"/>
        <v>#N/A</v>
      </c>
      <c r="AF130" s="75" t="e">
        <f t="shared" si="43"/>
        <v>#N/A</v>
      </c>
      <c r="AG130" s="75" t="e">
        <f t="shared" si="43"/>
        <v>#N/A</v>
      </c>
      <c r="AH130" s="75" t="e">
        <f t="shared" si="43"/>
        <v>#N/A</v>
      </c>
      <c r="AI130" s="75" t="e">
        <f t="shared" si="43"/>
        <v>#N/A</v>
      </c>
      <c r="AJ130" s="75" t="e">
        <f t="shared" si="43"/>
        <v>#N/A</v>
      </c>
      <c r="AK130" s="75" t="e">
        <f t="shared" si="43"/>
        <v>#N/A</v>
      </c>
      <c r="AL130" s="75" t="e">
        <f t="shared" si="43"/>
        <v>#N/A</v>
      </c>
      <c r="AM130" s="75" t="e">
        <f t="shared" si="43"/>
        <v>#N/A</v>
      </c>
      <c r="AN130" s="75" t="e">
        <f t="shared" si="43"/>
        <v>#N/A</v>
      </c>
      <c r="AO130" s="75" t="e">
        <f t="shared" si="43"/>
        <v>#N/A</v>
      </c>
      <c r="AP130" s="75" t="e">
        <f t="shared" si="43"/>
        <v>#N/A</v>
      </c>
      <c r="AQ130" s="75" t="e">
        <f t="shared" si="43"/>
        <v>#N/A</v>
      </c>
      <c r="AR130" s="75" t="e">
        <f t="shared" si="43"/>
        <v>#N/A</v>
      </c>
      <c r="AS130" s="75" t="e">
        <f t="shared" si="43"/>
        <v>#N/A</v>
      </c>
      <c r="AT130" s="75" t="e">
        <f t="shared" si="43"/>
        <v>#N/A</v>
      </c>
      <c r="AU130" s="75" t="e">
        <f t="shared" si="43"/>
        <v>#N/A</v>
      </c>
      <c r="AV130" s="75" t="e">
        <f t="shared" si="43"/>
        <v>#N/A</v>
      </c>
      <c r="AW130" s="75" t="e">
        <f t="shared" si="43"/>
        <v>#N/A</v>
      </c>
      <c r="AX130" s="75" t="e">
        <f t="shared" si="43"/>
        <v>#N/A</v>
      </c>
      <c r="AY130" s="75" t="e">
        <f t="shared" si="43"/>
        <v>#N/A</v>
      </c>
      <c r="AZ130" s="75" t="e">
        <f t="shared" si="43"/>
        <v>#N/A</v>
      </c>
      <c r="BA130" s="75" t="e">
        <f t="shared" si="43"/>
        <v>#N/A</v>
      </c>
      <c r="BB130" s="75" t="e">
        <f t="shared" si="43"/>
        <v>#N/A</v>
      </c>
      <c r="BC130" s="75" t="e">
        <f t="shared" si="43"/>
        <v>#N/A</v>
      </c>
      <c r="BD130" s="75" t="e">
        <f t="shared" si="43"/>
        <v>#N/A</v>
      </c>
      <c r="BE130" s="75" t="e">
        <f t="shared" si="43"/>
        <v>#N/A</v>
      </c>
    </row>
    <row r="131" spans="1:57" ht="18" hidden="1" customHeight="1">
      <c r="A131" s="671" t="s">
        <v>198</v>
      </c>
      <c r="B131" s="671"/>
      <c r="C131" s="671"/>
      <c r="D131" s="130"/>
      <c r="E131" s="130"/>
      <c r="F131" s="130"/>
      <c r="G131" s="130"/>
      <c r="H131" s="130"/>
      <c r="I131" s="130"/>
      <c r="J131" s="130"/>
      <c r="K131" s="130"/>
      <c r="L131" s="130"/>
      <c r="M131" s="130"/>
      <c r="N131" s="130"/>
      <c r="O131" s="130"/>
      <c r="P131" s="130"/>
      <c r="Q131" s="130"/>
      <c r="R131" s="130"/>
      <c r="S131" s="261" t="e">
        <f t="shared" ref="S131:BE131" si="44">IF(S130="",NA(),IF(S19="",NA(),S130-S19))</f>
        <v>#N/A</v>
      </c>
      <c r="T131" s="126" t="e">
        <f t="shared" si="44"/>
        <v>#N/A</v>
      </c>
      <c r="U131" s="126" t="e">
        <f t="shared" si="44"/>
        <v>#N/A</v>
      </c>
      <c r="V131" s="126" t="e">
        <f t="shared" si="44"/>
        <v>#N/A</v>
      </c>
      <c r="W131" s="126" t="e">
        <f t="shared" si="44"/>
        <v>#N/A</v>
      </c>
      <c r="X131" s="126" t="e">
        <f t="shared" si="44"/>
        <v>#N/A</v>
      </c>
      <c r="Y131" s="126" t="e">
        <f t="shared" si="44"/>
        <v>#N/A</v>
      </c>
      <c r="Z131" s="126" t="e">
        <f t="shared" si="44"/>
        <v>#N/A</v>
      </c>
      <c r="AA131" s="126" t="e">
        <f t="shared" si="44"/>
        <v>#N/A</v>
      </c>
      <c r="AB131" s="126" t="e">
        <f t="shared" si="44"/>
        <v>#N/A</v>
      </c>
      <c r="AC131" s="126" t="e">
        <f t="shared" si="44"/>
        <v>#N/A</v>
      </c>
      <c r="AD131" s="126" t="e">
        <f t="shared" si="44"/>
        <v>#N/A</v>
      </c>
      <c r="AE131" s="126" t="e">
        <f t="shared" si="44"/>
        <v>#N/A</v>
      </c>
      <c r="AF131" s="126" t="e">
        <f t="shared" si="44"/>
        <v>#N/A</v>
      </c>
      <c r="AG131" s="126" t="e">
        <f t="shared" si="44"/>
        <v>#N/A</v>
      </c>
      <c r="AH131" s="126" t="e">
        <f t="shared" si="44"/>
        <v>#N/A</v>
      </c>
      <c r="AI131" s="126" t="e">
        <f t="shared" si="44"/>
        <v>#N/A</v>
      </c>
      <c r="AJ131" s="126" t="e">
        <f t="shared" si="44"/>
        <v>#N/A</v>
      </c>
      <c r="AK131" s="126" t="e">
        <f t="shared" si="44"/>
        <v>#N/A</v>
      </c>
      <c r="AL131" s="126" t="e">
        <f t="shared" si="44"/>
        <v>#N/A</v>
      </c>
      <c r="AM131" s="126" t="e">
        <f t="shared" si="44"/>
        <v>#N/A</v>
      </c>
      <c r="AN131" s="126" t="e">
        <f t="shared" si="44"/>
        <v>#N/A</v>
      </c>
      <c r="AO131" s="126" t="e">
        <f t="shared" si="44"/>
        <v>#N/A</v>
      </c>
      <c r="AP131" s="126" t="e">
        <f t="shared" si="44"/>
        <v>#N/A</v>
      </c>
      <c r="AQ131" s="126" t="e">
        <f t="shared" si="44"/>
        <v>#N/A</v>
      </c>
      <c r="AR131" s="126" t="e">
        <f t="shared" si="44"/>
        <v>#N/A</v>
      </c>
      <c r="AS131" s="126" t="e">
        <f t="shared" si="44"/>
        <v>#N/A</v>
      </c>
      <c r="AT131" s="126" t="e">
        <f t="shared" si="44"/>
        <v>#N/A</v>
      </c>
      <c r="AU131" s="126" t="e">
        <f t="shared" si="44"/>
        <v>#N/A</v>
      </c>
      <c r="AV131" s="126" t="e">
        <f t="shared" si="44"/>
        <v>#N/A</v>
      </c>
      <c r="AW131" s="126" t="e">
        <f t="shared" si="44"/>
        <v>#N/A</v>
      </c>
      <c r="AX131" s="126" t="e">
        <f t="shared" si="44"/>
        <v>#N/A</v>
      </c>
      <c r="AY131" s="126" t="e">
        <f t="shared" si="44"/>
        <v>#N/A</v>
      </c>
      <c r="AZ131" s="126" t="e">
        <f t="shared" si="44"/>
        <v>#N/A</v>
      </c>
      <c r="BA131" s="126" t="e">
        <f t="shared" si="44"/>
        <v>#N/A</v>
      </c>
      <c r="BB131" s="126" t="e">
        <f t="shared" si="44"/>
        <v>#N/A</v>
      </c>
      <c r="BC131" s="126" t="e">
        <f t="shared" si="44"/>
        <v>#N/A</v>
      </c>
      <c r="BD131" s="126" t="e">
        <f t="shared" si="44"/>
        <v>#N/A</v>
      </c>
      <c r="BE131" s="126" t="e">
        <f t="shared" si="44"/>
        <v>#N/A</v>
      </c>
    </row>
    <row r="132" spans="1:57" s="4" customFormat="1" ht="18" hidden="1" customHeight="1">
      <c r="A132" s="671" t="s">
        <v>159</v>
      </c>
      <c r="B132" s="671"/>
      <c r="C132" s="671"/>
      <c r="D132" s="236"/>
      <c r="E132" s="236"/>
      <c r="F132" s="236"/>
      <c r="G132" s="236"/>
      <c r="H132" s="236"/>
      <c r="I132" s="236"/>
      <c r="J132" s="236"/>
      <c r="K132" s="236"/>
      <c r="L132" s="236"/>
      <c r="M132" s="236"/>
      <c r="N132" s="236"/>
      <c r="O132" s="236"/>
      <c r="P132" s="236"/>
      <c r="Q132" s="236"/>
      <c r="R132" s="236"/>
      <c r="S132" s="481" t="e">
        <f>IF(S130="",NA(),ROUNDDOWN((S177-S178)*260+0.21+S16*1.5848,1))</f>
        <v>#N/A</v>
      </c>
      <c r="T132" s="260" t="e">
        <f t="shared" ref="T132:BE132" si="45">IF(T130="",NA(),ROUNDDOWN((T177-T178)*260+0.21+T16*1.5848,1))</f>
        <v>#N/A</v>
      </c>
      <c r="U132" s="260" t="e">
        <f t="shared" si="45"/>
        <v>#N/A</v>
      </c>
      <c r="V132" s="260" t="e">
        <f t="shared" si="45"/>
        <v>#N/A</v>
      </c>
      <c r="W132" s="260" t="e">
        <f t="shared" si="45"/>
        <v>#N/A</v>
      </c>
      <c r="X132" s="260" t="e">
        <f t="shared" si="45"/>
        <v>#N/A</v>
      </c>
      <c r="Y132" s="260" t="e">
        <f t="shared" si="45"/>
        <v>#N/A</v>
      </c>
      <c r="Z132" s="260" t="e">
        <f t="shared" si="45"/>
        <v>#N/A</v>
      </c>
      <c r="AA132" s="260" t="e">
        <f t="shared" si="45"/>
        <v>#N/A</v>
      </c>
      <c r="AB132" s="260" t="e">
        <f t="shared" si="45"/>
        <v>#N/A</v>
      </c>
      <c r="AC132" s="260" t="e">
        <f t="shared" si="45"/>
        <v>#N/A</v>
      </c>
      <c r="AD132" s="260" t="e">
        <f t="shared" si="45"/>
        <v>#N/A</v>
      </c>
      <c r="AE132" s="260" t="e">
        <f t="shared" si="45"/>
        <v>#N/A</v>
      </c>
      <c r="AF132" s="260" t="e">
        <f t="shared" si="45"/>
        <v>#N/A</v>
      </c>
      <c r="AG132" s="260" t="e">
        <f t="shared" si="45"/>
        <v>#N/A</v>
      </c>
      <c r="AH132" s="260" t="e">
        <f t="shared" si="45"/>
        <v>#N/A</v>
      </c>
      <c r="AI132" s="260" t="e">
        <f t="shared" si="45"/>
        <v>#N/A</v>
      </c>
      <c r="AJ132" s="260" t="e">
        <f t="shared" si="45"/>
        <v>#N/A</v>
      </c>
      <c r="AK132" s="260" t="e">
        <f t="shared" si="45"/>
        <v>#N/A</v>
      </c>
      <c r="AL132" s="260" t="e">
        <f t="shared" si="45"/>
        <v>#N/A</v>
      </c>
      <c r="AM132" s="260" t="e">
        <f t="shared" si="45"/>
        <v>#N/A</v>
      </c>
      <c r="AN132" s="260" t="e">
        <f t="shared" si="45"/>
        <v>#N/A</v>
      </c>
      <c r="AO132" s="260" t="e">
        <f t="shared" si="45"/>
        <v>#N/A</v>
      </c>
      <c r="AP132" s="260" t="e">
        <f t="shared" si="45"/>
        <v>#N/A</v>
      </c>
      <c r="AQ132" s="260" t="e">
        <f t="shared" si="45"/>
        <v>#N/A</v>
      </c>
      <c r="AR132" s="260" t="e">
        <f t="shared" si="45"/>
        <v>#N/A</v>
      </c>
      <c r="AS132" s="260" t="e">
        <f t="shared" si="45"/>
        <v>#N/A</v>
      </c>
      <c r="AT132" s="260" t="e">
        <f t="shared" si="45"/>
        <v>#N/A</v>
      </c>
      <c r="AU132" s="260" t="e">
        <f t="shared" si="45"/>
        <v>#N/A</v>
      </c>
      <c r="AV132" s="260" t="e">
        <f t="shared" si="45"/>
        <v>#N/A</v>
      </c>
      <c r="AW132" s="260" t="e">
        <f t="shared" si="45"/>
        <v>#N/A</v>
      </c>
      <c r="AX132" s="260" t="e">
        <f t="shared" si="45"/>
        <v>#N/A</v>
      </c>
      <c r="AY132" s="260" t="e">
        <f t="shared" si="45"/>
        <v>#N/A</v>
      </c>
      <c r="AZ132" s="260" t="e">
        <f t="shared" si="45"/>
        <v>#N/A</v>
      </c>
      <c r="BA132" s="260" t="e">
        <f t="shared" si="45"/>
        <v>#N/A</v>
      </c>
      <c r="BB132" s="260" t="e">
        <f t="shared" si="45"/>
        <v>#N/A</v>
      </c>
      <c r="BC132" s="260" t="e">
        <f t="shared" si="45"/>
        <v>#N/A</v>
      </c>
      <c r="BD132" s="260" t="e">
        <f t="shared" si="45"/>
        <v>#N/A</v>
      </c>
      <c r="BE132" s="260" t="e">
        <f t="shared" si="45"/>
        <v>#N/A</v>
      </c>
    </row>
    <row r="133" spans="1:57" s="4" customFormat="1" ht="18" hidden="1" customHeight="1">
      <c r="A133" s="53"/>
      <c r="B133" s="53"/>
      <c r="C133" s="53"/>
      <c r="D133" s="152"/>
      <c r="E133" s="53"/>
      <c r="F133" s="53"/>
      <c r="G133" s="153"/>
      <c r="H133" s="154"/>
      <c r="I133" s="152"/>
      <c r="J133" s="53"/>
      <c r="K133" s="53"/>
      <c r="L133" s="53"/>
      <c r="M133" s="53"/>
      <c r="N133" s="53"/>
      <c r="O133" s="53"/>
      <c r="P133" s="53"/>
      <c r="Q133" s="53"/>
      <c r="R133" s="53"/>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row>
    <row r="134" spans="1:57" ht="18" hidden="1" customHeight="1">
      <c r="A134" s="249"/>
      <c r="B134" s="249" t="s">
        <v>172</v>
      </c>
      <c r="C134" s="249" t="s">
        <v>173</v>
      </c>
      <c r="D134" s="262" t="s">
        <v>174</v>
      </c>
      <c r="E134" s="249" t="s">
        <v>175</v>
      </c>
      <c r="F134" s="249" t="s">
        <v>176</v>
      </c>
      <c r="G134" s="249" t="s">
        <v>177</v>
      </c>
      <c r="H134" s="249" t="s">
        <v>178</v>
      </c>
      <c r="I134" s="249" t="s">
        <v>179</v>
      </c>
      <c r="J134" s="249" t="s">
        <v>180</v>
      </c>
      <c r="K134" s="249" t="s">
        <v>181</v>
      </c>
      <c r="L134"/>
      <c r="M134"/>
      <c r="N134"/>
      <c r="O134"/>
      <c r="P134"/>
      <c r="Q134"/>
      <c r="R134"/>
      <c r="S134"/>
      <c r="T134"/>
      <c r="U134"/>
      <c r="V134"/>
      <c r="W134"/>
      <c r="X134"/>
      <c r="Y134"/>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row>
    <row r="135" spans="1:57" ht="18" hidden="1" customHeight="1">
      <c r="A135" s="127" t="s">
        <v>182</v>
      </c>
      <c r="B135" s="127" t="str">
        <f t="array" aca="1" ref="B135" ca="1">IFERROR(OFFSET(INDEX(7:7,SMALL(IF(7:7&lt;&gt;"",COLUMN(7:7)),COLUMN())),-4,0),"")</f>
        <v/>
      </c>
      <c r="C135" s="127" t="str">
        <f t="array" aca="1" ref="C135" ca="1">IFERROR(OFFSET(INDEX(7:7,SMALL(IF(7:7&lt;&gt;"",COLUMN(7:7)),COLUMN())),-4,0),"")</f>
        <v/>
      </c>
      <c r="D135" s="127" t="str">
        <f t="array" aca="1" ref="D135" ca="1">IFERROR(OFFSET(INDEX(7:7,SMALL(IF(7:7&lt;&gt;"",COLUMN(7:7)),COLUMN())),-4,0),"")</f>
        <v/>
      </c>
      <c r="E135" s="127" t="str">
        <f t="array" aca="1" ref="E135" ca="1">IFERROR(OFFSET(INDEX(7:7,SMALL(IF(7:7&lt;&gt;"",COLUMN(7:7)),COLUMN())),-4,0),"")</f>
        <v/>
      </c>
      <c r="F135" s="127" t="str">
        <f t="array" aca="1" ref="F135" ca="1">IFERROR(OFFSET(INDEX(7:7,SMALL(IF(7:7&lt;&gt;"",COLUMN(7:7)),COLUMN())),-4,0),"")</f>
        <v/>
      </c>
      <c r="G135" s="127" t="str">
        <f t="array" aca="1" ref="G135" ca="1">IFERROR(OFFSET(INDEX(7:7,SMALL(IF(7:7&lt;&gt;"",COLUMN(7:7)),COLUMN())),-4,0),"")</f>
        <v/>
      </c>
      <c r="H135" s="127" t="str">
        <f t="array" aca="1" ref="H135" ca="1">IFERROR(OFFSET(INDEX(7:7,SMALL(IF(7:7&lt;&gt;"",COLUMN(7:7)),COLUMN())),-4,0),"")</f>
        <v/>
      </c>
      <c r="I135" s="127" t="str">
        <f t="array" aca="1" ref="I135" ca="1">IFERROR(OFFSET(INDEX(7:7,SMALL(IF(7:7&lt;&gt;"",COLUMN(7:7)),COLUMN())),-4,0),"")</f>
        <v/>
      </c>
      <c r="J135" s="127" t="str">
        <f t="array" aca="1" ref="J135" ca="1">IFERROR(OFFSET(INDEX(7:7,SMALL(IF(7:7&lt;&gt;"",COLUMN(7:7)),COLUMN())),-4,0),"")</f>
        <v/>
      </c>
      <c r="K135" s="127" t="str">
        <f t="array" aca="1" ref="K135" ca="1">IFERROR(OFFSET(INDEX(7:7,SMALL(IF(7:7&lt;&gt;"",COLUMN(7:7)),COLUMN())),-4,0),"")</f>
        <v/>
      </c>
      <c r="L135" s="51"/>
      <c r="M135" s="51"/>
      <c r="N135" s="51"/>
      <c r="O135" s="51"/>
      <c r="P135" s="51"/>
      <c r="Q135" s="51"/>
      <c r="R135" s="51"/>
      <c r="S135" s="51"/>
      <c r="T135" s="51"/>
      <c r="U135" s="51"/>
      <c r="V135" s="51"/>
      <c r="W135" s="51"/>
      <c r="X135" s="51"/>
      <c r="Y135" s="51"/>
    </row>
    <row r="136" spans="1:57" ht="18" hidden="1" customHeight="1">
      <c r="A136" s="127" t="str">
        <f t="array" ref="A136">IFERROR(INDEX(7:7,SMALL(IF(7:7&lt;&gt;"",COLUMN(7:7)),COLUMN())),"")</f>
        <v>追水量（L)</v>
      </c>
      <c r="B136" s="127" t="str">
        <f t="array" ref="B136">IFERROR(INDEX(7:7,SMALL(IF(7:7&lt;&gt;"",COLUMN(7:7)),COLUMN())),"")</f>
        <v/>
      </c>
      <c r="C136" s="127" t="str">
        <f t="array" ref="C136">IFERROR(INDEX(7:7,SMALL(IF(7:7&lt;&gt;"",COLUMN(7:7)),COLUMN())),"")</f>
        <v/>
      </c>
      <c r="D136" s="127" t="str">
        <f t="array" ref="D136">IFERROR(INDEX(7:7,SMALL(IF(7:7&lt;&gt;"",COLUMN(7:7)),COLUMN())),"")</f>
        <v/>
      </c>
      <c r="E136" s="127" t="str">
        <f t="array" ref="E136">IFERROR(INDEX(7:7,SMALL(IF(7:7&lt;&gt;"",COLUMN(7:7)),COLUMN())),"")</f>
        <v/>
      </c>
      <c r="F136" s="127" t="str">
        <f t="array" ref="F136">IFERROR(INDEX(7:7,SMALL(IF(7:7&lt;&gt;"",COLUMN(7:7)),COLUMN())),"")</f>
        <v/>
      </c>
      <c r="G136" s="127" t="str">
        <f t="array" ref="G136">IFERROR(INDEX(7:7,SMALL(IF(7:7&lt;&gt;"",COLUMN(7:7)),COLUMN())),"")</f>
        <v/>
      </c>
      <c r="H136" s="127" t="str">
        <f t="array" ref="H136">IFERROR(INDEX(7:7,SMALL(IF(7:7&lt;&gt;"",COLUMN(7:7)),COLUMN())),"")</f>
        <v/>
      </c>
      <c r="I136" s="127" t="str">
        <f t="array" ref="I136">IFERROR(INDEX(7:7,SMALL(IF(7:7&lt;&gt;"",COLUMN(7:7)),COLUMN())),"")</f>
        <v/>
      </c>
      <c r="J136" s="127" t="str">
        <f t="array" ref="J136">IFERROR(INDEX(7:7,SMALL(IF(7:7&lt;&gt;"",COLUMN(7:7)),COLUMN())),"")</f>
        <v/>
      </c>
      <c r="K136" s="127" t="str">
        <f t="array" ref="K136">IFERROR(INDEX(7:7,SMALL(IF(7:7&lt;&gt;"",COLUMN(7:7)),COLUMN())),"")</f>
        <v/>
      </c>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row>
    <row r="137" spans="1:57" ht="18" hidden="1" customHeight="1">
      <c r="A137" s="834" t="s">
        <v>183</v>
      </c>
      <c r="B137" s="834"/>
      <c r="C137" s="834"/>
      <c r="D137" s="256" t="s">
        <v>184</v>
      </c>
      <c r="E137" s="257" t="s">
        <v>185</v>
      </c>
      <c r="F137" s="257" t="s">
        <v>186</v>
      </c>
      <c r="G137" s="257" t="s">
        <v>187</v>
      </c>
      <c r="H137" s="257" t="s">
        <v>188</v>
      </c>
      <c r="I137" s="257" t="s">
        <v>189</v>
      </c>
      <c r="J137" s="257" t="s">
        <v>190</v>
      </c>
      <c r="K137" s="257" t="s">
        <v>191</v>
      </c>
      <c r="L137" s="258" t="s">
        <v>192</v>
      </c>
      <c r="M137" s="258" t="s">
        <v>193</v>
      </c>
      <c r="N137" s="258" t="s">
        <v>194</v>
      </c>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row>
    <row r="138" spans="1:57" ht="18" hidden="1" customHeight="1">
      <c r="A138" s="835"/>
      <c r="B138" s="835"/>
      <c r="C138" s="835"/>
      <c r="D138" s="195" t="e">
        <f>SUM(D73:O73)/SUM(D70:O70)*100</f>
        <v>#DIV/0!</v>
      </c>
      <c r="E138" s="195" t="e">
        <f>(SUM(D73:O73)+SUM(B136:B136))/SUM(D70:O70)*100</f>
        <v>#DIV/0!</v>
      </c>
      <c r="F138" s="195" t="e">
        <f>(SUM(D73:O73)+SUM(B136:C136))/SUM(D70:O70)*100</f>
        <v>#DIV/0!</v>
      </c>
      <c r="G138" s="195" t="e">
        <f>(SUM(D73:O73)+SUM(B136:D136))/SUM(D70:O70)*100</f>
        <v>#DIV/0!</v>
      </c>
      <c r="H138" s="195" t="e">
        <f>(SUM(D73:O73)+SUM(B136:E136))/SUM(D70:O70)*100</f>
        <v>#DIV/0!</v>
      </c>
      <c r="I138" s="259" t="e">
        <f>(SUM(D73:O73)+SUM(B136:F136))/SUM(D70:O70)*100</f>
        <v>#DIV/0!</v>
      </c>
      <c r="J138" s="195" t="e">
        <f>(SUM(D73:O73)+SUM(B136:G136))/SUM(D70:O70)*100</f>
        <v>#DIV/0!</v>
      </c>
      <c r="K138" s="195" t="e">
        <f>(SUM(D73:O73)+SUM(B136:H136))/SUM(D70:O70)*100</f>
        <v>#DIV/0!</v>
      </c>
      <c r="L138" s="195" t="e">
        <f>(SUM(D73:O73)+SUM(B136:I136))/SUM(D70:O70)*100</f>
        <v>#DIV/0!</v>
      </c>
      <c r="M138" s="195" t="e">
        <f>(SUM(D73:O73)+SUM(B136:J136))/SUM(D70:O70)*100</f>
        <v>#DIV/0!</v>
      </c>
      <c r="N138" s="195" t="e">
        <f>(SUM(D73:O73)+SUM(B136:K136))/SUM(D70:O70)*100</f>
        <v>#DIV/0!</v>
      </c>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36" t="s">
        <v>195</v>
      </c>
      <c r="B139" s="575"/>
      <c r="C139" s="575"/>
      <c r="D139" s="128"/>
      <c r="E139" s="128"/>
      <c r="F139" s="128"/>
      <c r="G139" s="128"/>
      <c r="H139" s="128"/>
      <c r="I139" s="128"/>
      <c r="J139" s="128"/>
      <c r="K139" s="128"/>
      <c r="L139" s="128"/>
      <c r="M139" s="128"/>
      <c r="N139" s="128"/>
      <c r="O139" s="128"/>
      <c r="P139" s="128"/>
      <c r="Q139" s="128"/>
      <c r="R139" s="128"/>
      <c r="S139" s="147" t="e">
        <f t="shared" ref="S139:BE139" si="46">IF(S16="",NA(),IF(S3&lt;=$B$135,S16*$D$138/100,IF(S3&lt;=$C$135,S16*$E$138/100,IF(S3&lt;=$D$135,S16*$F$138/100,IF(S3&lt;=$E$135,S16*$G$138/100,IF(S3&lt;=$F$135,S16*$H$138/100,IF(S3&lt;=$G$135,S16*$I$138/100,IF(S3&lt;=$H$135,S16*$J$138/100,IF(S3&lt;=$I$135,S16*$K$138/100,IF(S3&lt;=$J$135,S16*$L$138/100,IF(S3&lt;=$K$135,S16*$M$138/100,S16*$N$138/100)))))))))))</f>
        <v>#N/A</v>
      </c>
      <c r="T139" s="253" t="e">
        <f t="shared" si="46"/>
        <v>#N/A</v>
      </c>
      <c r="U139" s="147" t="e">
        <f t="shared" si="46"/>
        <v>#N/A</v>
      </c>
      <c r="V139" s="147" t="e">
        <f t="shared" si="46"/>
        <v>#N/A</v>
      </c>
      <c r="W139" s="147" t="e">
        <f t="shared" si="46"/>
        <v>#N/A</v>
      </c>
      <c r="X139" s="147" t="e">
        <f t="shared" si="46"/>
        <v>#N/A</v>
      </c>
      <c r="Y139" s="147" t="e">
        <f t="shared" si="46"/>
        <v>#N/A</v>
      </c>
      <c r="Z139" s="147" t="e">
        <f t="shared" si="46"/>
        <v>#N/A</v>
      </c>
      <c r="AA139" s="147" t="e">
        <f t="shared" si="46"/>
        <v>#N/A</v>
      </c>
      <c r="AB139" s="147" t="e">
        <f t="shared" si="46"/>
        <v>#N/A</v>
      </c>
      <c r="AC139" s="147" t="e">
        <f t="shared" si="46"/>
        <v>#N/A</v>
      </c>
      <c r="AD139" s="147" t="e">
        <f t="shared" si="46"/>
        <v>#N/A</v>
      </c>
      <c r="AE139" s="147" t="e">
        <f t="shared" si="46"/>
        <v>#N/A</v>
      </c>
      <c r="AF139" s="147" t="e">
        <f t="shared" si="46"/>
        <v>#N/A</v>
      </c>
      <c r="AG139" s="147" t="e">
        <f t="shared" si="46"/>
        <v>#N/A</v>
      </c>
      <c r="AH139" s="147" t="e">
        <f t="shared" si="46"/>
        <v>#N/A</v>
      </c>
      <c r="AI139" s="147" t="e">
        <f t="shared" si="46"/>
        <v>#N/A</v>
      </c>
      <c r="AJ139" s="147" t="e">
        <f t="shared" si="46"/>
        <v>#N/A</v>
      </c>
      <c r="AK139" s="147" t="e">
        <f t="shared" si="46"/>
        <v>#N/A</v>
      </c>
      <c r="AL139" s="147" t="e">
        <f t="shared" si="46"/>
        <v>#N/A</v>
      </c>
      <c r="AM139" s="147" t="e">
        <f t="shared" si="46"/>
        <v>#N/A</v>
      </c>
      <c r="AN139" s="147" t="e">
        <f t="shared" si="46"/>
        <v>#N/A</v>
      </c>
      <c r="AO139" s="147" t="e">
        <f t="shared" si="46"/>
        <v>#N/A</v>
      </c>
      <c r="AP139" s="147" t="e">
        <f t="shared" si="46"/>
        <v>#N/A</v>
      </c>
      <c r="AQ139" s="147" t="e">
        <f t="shared" si="46"/>
        <v>#N/A</v>
      </c>
      <c r="AR139" s="147" t="e">
        <f t="shared" si="46"/>
        <v>#N/A</v>
      </c>
      <c r="AS139" s="147" t="e">
        <f t="shared" si="46"/>
        <v>#N/A</v>
      </c>
      <c r="AT139" s="147" t="e">
        <f t="shared" si="46"/>
        <v>#N/A</v>
      </c>
      <c r="AU139" s="147" t="e">
        <f t="shared" si="46"/>
        <v>#N/A</v>
      </c>
      <c r="AV139" s="147" t="e">
        <f t="shared" si="46"/>
        <v>#N/A</v>
      </c>
      <c r="AW139" s="147" t="e">
        <f t="shared" si="46"/>
        <v>#N/A</v>
      </c>
      <c r="AX139" s="147" t="e">
        <f t="shared" si="46"/>
        <v>#N/A</v>
      </c>
      <c r="AY139" s="147" t="e">
        <f t="shared" si="46"/>
        <v>#N/A</v>
      </c>
      <c r="AZ139" s="147" t="e">
        <f t="shared" si="46"/>
        <v>#N/A</v>
      </c>
      <c r="BA139" s="147" t="e">
        <f t="shared" si="46"/>
        <v>#N/A</v>
      </c>
      <c r="BB139" s="147" t="e">
        <f t="shared" si="46"/>
        <v>#N/A</v>
      </c>
      <c r="BC139" s="147" t="e">
        <f t="shared" si="46"/>
        <v>#N/A</v>
      </c>
      <c r="BD139" s="147" t="e">
        <f t="shared" si="46"/>
        <v>#N/A</v>
      </c>
      <c r="BE139" s="147" t="e">
        <f t="shared" si="46"/>
        <v>#N/A</v>
      </c>
    </row>
    <row r="140" spans="1:57" ht="18" hidden="1" customHeight="1">
      <c r="A140" s="836" t="s">
        <v>196</v>
      </c>
      <c r="B140" s="575"/>
      <c r="C140" s="575"/>
      <c r="D140" s="128"/>
      <c r="E140" s="128"/>
      <c r="F140" s="128"/>
      <c r="G140" s="128"/>
      <c r="H140" s="128"/>
      <c r="I140" s="128"/>
      <c r="J140" s="128"/>
      <c r="K140" s="128"/>
      <c r="L140" s="128"/>
      <c r="M140" s="128"/>
      <c r="N140" s="128"/>
      <c r="O140" s="128"/>
      <c r="P140" s="128"/>
      <c r="Q140" s="128"/>
      <c r="R140" s="128"/>
      <c r="S140" s="147" t="e">
        <f t="shared" ref="S140:BE140" si="47">IF(S130="",NA(),IF(S3&lt;=$B$135,S130*$D$138/100,IF(S3&lt;=$C$135,S130*$E$138/100,IF(S3&lt;=$D$135,S130*$F$138/100,IF(S3&lt;=$E$135,S130*$G$138/100,IF(S3&lt;=$F$135,S130*$H$138/100,IF(S3&lt;=$G$135,S130*$I$138/100,IF(S3&lt;=$H$135,S130*$J$138/100,IF(S3&lt;=$I$135,S130*$K$138/100,IF(S3&lt;=$J$135,S130*$L$138/100,IF(S3&lt;=$K$135,S130*$M$138/100,S130*$N$138/100)))))))))))</f>
        <v>#N/A</v>
      </c>
      <c r="T140" s="253" t="e">
        <f t="shared" si="47"/>
        <v>#N/A</v>
      </c>
      <c r="U140" s="147" t="e">
        <f t="shared" si="47"/>
        <v>#N/A</v>
      </c>
      <c r="V140" s="147" t="e">
        <f t="shared" si="47"/>
        <v>#N/A</v>
      </c>
      <c r="W140" s="147" t="e">
        <f t="shared" si="47"/>
        <v>#N/A</v>
      </c>
      <c r="X140" s="147" t="e">
        <f t="shared" si="47"/>
        <v>#N/A</v>
      </c>
      <c r="Y140" s="147" t="e">
        <f t="shared" si="47"/>
        <v>#N/A</v>
      </c>
      <c r="Z140" s="147" t="e">
        <f t="shared" si="47"/>
        <v>#N/A</v>
      </c>
      <c r="AA140" s="147" t="e">
        <f t="shared" si="47"/>
        <v>#N/A</v>
      </c>
      <c r="AB140" s="147" t="e">
        <f t="shared" si="47"/>
        <v>#N/A</v>
      </c>
      <c r="AC140" s="147" t="e">
        <f t="shared" si="47"/>
        <v>#N/A</v>
      </c>
      <c r="AD140" s="147" t="e">
        <f t="shared" si="47"/>
        <v>#N/A</v>
      </c>
      <c r="AE140" s="147" t="e">
        <f t="shared" si="47"/>
        <v>#N/A</v>
      </c>
      <c r="AF140" s="147" t="e">
        <f t="shared" si="47"/>
        <v>#N/A</v>
      </c>
      <c r="AG140" s="147" t="e">
        <f t="shared" si="47"/>
        <v>#N/A</v>
      </c>
      <c r="AH140" s="147" t="e">
        <f t="shared" si="47"/>
        <v>#N/A</v>
      </c>
      <c r="AI140" s="147" t="e">
        <f t="shared" si="47"/>
        <v>#N/A</v>
      </c>
      <c r="AJ140" s="147" t="e">
        <f t="shared" si="47"/>
        <v>#N/A</v>
      </c>
      <c r="AK140" s="147" t="e">
        <f t="shared" si="47"/>
        <v>#N/A</v>
      </c>
      <c r="AL140" s="147" t="e">
        <f t="shared" si="47"/>
        <v>#N/A</v>
      </c>
      <c r="AM140" s="147" t="e">
        <f t="shared" si="47"/>
        <v>#N/A</v>
      </c>
      <c r="AN140" s="147" t="e">
        <f t="shared" si="47"/>
        <v>#N/A</v>
      </c>
      <c r="AO140" s="147" t="e">
        <f t="shared" si="47"/>
        <v>#N/A</v>
      </c>
      <c r="AP140" s="147" t="e">
        <f t="shared" si="47"/>
        <v>#N/A</v>
      </c>
      <c r="AQ140" s="147" t="e">
        <f t="shared" si="47"/>
        <v>#N/A</v>
      </c>
      <c r="AR140" s="147" t="e">
        <f t="shared" si="47"/>
        <v>#N/A</v>
      </c>
      <c r="AS140" s="147" t="e">
        <f t="shared" si="47"/>
        <v>#N/A</v>
      </c>
      <c r="AT140" s="147" t="e">
        <f t="shared" si="47"/>
        <v>#N/A</v>
      </c>
      <c r="AU140" s="147" t="e">
        <f t="shared" si="47"/>
        <v>#N/A</v>
      </c>
      <c r="AV140" s="147" t="e">
        <f t="shared" si="47"/>
        <v>#N/A</v>
      </c>
      <c r="AW140" s="147" t="e">
        <f t="shared" si="47"/>
        <v>#N/A</v>
      </c>
      <c r="AX140" s="147" t="e">
        <f t="shared" si="47"/>
        <v>#N/A</v>
      </c>
      <c r="AY140" s="147" t="e">
        <f t="shared" si="47"/>
        <v>#N/A</v>
      </c>
      <c r="AZ140" s="147" t="e">
        <f t="shared" si="47"/>
        <v>#N/A</v>
      </c>
      <c r="BA140" s="147" t="e">
        <f t="shared" si="47"/>
        <v>#N/A</v>
      </c>
      <c r="BB140" s="147" t="e">
        <f t="shared" si="47"/>
        <v>#N/A</v>
      </c>
      <c r="BC140" s="147" t="e">
        <f t="shared" si="47"/>
        <v>#N/A</v>
      </c>
      <c r="BD140" s="147" t="e">
        <f t="shared" si="47"/>
        <v>#N/A</v>
      </c>
      <c r="BE140" s="147" t="e">
        <f t="shared" si="47"/>
        <v>#N/A</v>
      </c>
    </row>
    <row r="141" spans="1:57" ht="18" hidden="1" customHeight="1">
      <c r="A141" s="836" t="s">
        <v>197</v>
      </c>
      <c r="B141" s="575"/>
      <c r="C141" s="575"/>
      <c r="D141" s="128"/>
      <c r="E141" s="128"/>
      <c r="F141" s="128"/>
      <c r="G141" s="128"/>
      <c r="H141" s="128"/>
      <c r="I141" s="128"/>
      <c r="J141" s="128"/>
      <c r="K141" s="128"/>
      <c r="L141" s="128"/>
      <c r="M141" s="128"/>
      <c r="N141" s="128"/>
      <c r="O141" s="128"/>
      <c r="P141" s="128"/>
      <c r="Q141" s="128"/>
      <c r="R141" s="128"/>
      <c r="S141" s="147" t="e">
        <f t="shared" ref="S141:BE141" si="48">IF(S19="",NA(),IF(S3&lt;=$B$135,S19*$D$138/100,IF(S3&lt;=$C$135,S19*$E$138/100,IF(S3&lt;=$D$135,S19*$F$138/100,IF(S3&lt;=$E$135,S19*$G$138/100,IF(S3&lt;=$F$135,S19*$H$138/100,IF(S3&lt;=$G$135,S19*$I$138/100,IF(S3&lt;=$H$135,S19*$J$138/100,IF(S3&lt;=$I$135,S19*$K$138/100,IF(S3&lt;=$J$135,S19*$L$138/100,IF(S3&lt;=$K$135,S19*$M$138/100,S19*$N$138/100)))))))))))</f>
        <v>#N/A</v>
      </c>
      <c r="T141" s="253" t="e">
        <f t="shared" si="48"/>
        <v>#N/A</v>
      </c>
      <c r="U141" s="147" t="e">
        <f t="shared" si="48"/>
        <v>#N/A</v>
      </c>
      <c r="V141" s="147" t="e">
        <f t="shared" si="48"/>
        <v>#N/A</v>
      </c>
      <c r="W141" s="147" t="e">
        <f t="shared" si="48"/>
        <v>#N/A</v>
      </c>
      <c r="X141" s="147" t="e">
        <f t="shared" si="48"/>
        <v>#N/A</v>
      </c>
      <c r="Y141" s="147" t="e">
        <f t="shared" si="48"/>
        <v>#N/A</v>
      </c>
      <c r="Z141" s="147" t="e">
        <f t="shared" si="48"/>
        <v>#N/A</v>
      </c>
      <c r="AA141" s="147" t="e">
        <f t="shared" si="48"/>
        <v>#N/A</v>
      </c>
      <c r="AB141" s="147" t="e">
        <f t="shared" si="48"/>
        <v>#N/A</v>
      </c>
      <c r="AC141" s="147" t="e">
        <f t="shared" si="48"/>
        <v>#N/A</v>
      </c>
      <c r="AD141" s="147" t="e">
        <f t="shared" si="48"/>
        <v>#N/A</v>
      </c>
      <c r="AE141" s="147" t="e">
        <f t="shared" si="48"/>
        <v>#N/A</v>
      </c>
      <c r="AF141" s="147" t="e">
        <f t="shared" si="48"/>
        <v>#N/A</v>
      </c>
      <c r="AG141" s="147" t="e">
        <f t="shared" si="48"/>
        <v>#N/A</v>
      </c>
      <c r="AH141" s="147" t="e">
        <f t="shared" si="48"/>
        <v>#N/A</v>
      </c>
      <c r="AI141" s="147" t="e">
        <f t="shared" si="48"/>
        <v>#N/A</v>
      </c>
      <c r="AJ141" s="147" t="e">
        <f t="shared" si="48"/>
        <v>#N/A</v>
      </c>
      <c r="AK141" s="147" t="e">
        <f t="shared" si="48"/>
        <v>#N/A</v>
      </c>
      <c r="AL141" s="147" t="e">
        <f t="shared" si="48"/>
        <v>#N/A</v>
      </c>
      <c r="AM141" s="147" t="e">
        <f t="shared" si="48"/>
        <v>#N/A</v>
      </c>
      <c r="AN141" s="147" t="e">
        <f t="shared" si="48"/>
        <v>#N/A</v>
      </c>
      <c r="AO141" s="147" t="e">
        <f t="shared" si="48"/>
        <v>#N/A</v>
      </c>
      <c r="AP141" s="147" t="e">
        <f t="shared" si="48"/>
        <v>#N/A</v>
      </c>
      <c r="AQ141" s="147" t="e">
        <f t="shared" si="48"/>
        <v>#N/A</v>
      </c>
      <c r="AR141" s="147" t="e">
        <f t="shared" si="48"/>
        <v>#N/A</v>
      </c>
      <c r="AS141" s="147" t="e">
        <f t="shared" si="48"/>
        <v>#N/A</v>
      </c>
      <c r="AT141" s="147" t="e">
        <f t="shared" si="48"/>
        <v>#N/A</v>
      </c>
      <c r="AU141" s="147" t="e">
        <f t="shared" si="48"/>
        <v>#N/A</v>
      </c>
      <c r="AV141" s="147" t="e">
        <f t="shared" si="48"/>
        <v>#N/A</v>
      </c>
      <c r="AW141" s="147" t="e">
        <f t="shared" si="48"/>
        <v>#N/A</v>
      </c>
      <c r="AX141" s="147" t="e">
        <f t="shared" si="48"/>
        <v>#N/A</v>
      </c>
      <c r="AY141" s="147" t="e">
        <f t="shared" si="48"/>
        <v>#N/A</v>
      </c>
      <c r="AZ141" s="147" t="e">
        <f t="shared" si="48"/>
        <v>#N/A</v>
      </c>
      <c r="BA141" s="147" t="e">
        <f t="shared" si="48"/>
        <v>#N/A</v>
      </c>
      <c r="BB141" s="147" t="e">
        <f t="shared" si="48"/>
        <v>#N/A</v>
      </c>
      <c r="BC141" s="147" t="e">
        <f t="shared" si="48"/>
        <v>#N/A</v>
      </c>
      <c r="BD141" s="147" t="e">
        <f t="shared" si="48"/>
        <v>#N/A</v>
      </c>
      <c r="BE141" s="147" t="e">
        <f t="shared" si="48"/>
        <v>#N/A</v>
      </c>
    </row>
    <row r="142" spans="1:57" ht="18" hidden="1" customHeight="1">
      <c r="A142" s="820" t="s">
        <v>199</v>
      </c>
      <c r="B142" s="671" t="s">
        <v>200</v>
      </c>
      <c r="C142" s="672"/>
      <c r="D142" s="236"/>
      <c r="E142" s="236"/>
      <c r="F142" s="236"/>
      <c r="G142" s="236"/>
      <c r="H142" s="236"/>
      <c r="I142" s="236"/>
      <c r="J142" s="236"/>
      <c r="K142" s="236"/>
      <c r="L142" s="236"/>
      <c r="M142" s="236"/>
      <c r="N142" s="236"/>
      <c r="O142" s="236"/>
      <c r="P142" s="236"/>
      <c r="Q142" s="236"/>
      <c r="R142" s="236"/>
      <c r="S142" s="135" t="e">
        <f ca="1">IF(S139="",NA(),IF(OFFSET(S139,0,$I$27*(-1))="",NA(),(S139-OFFSET(S139,0,$I$27*(-1)))*1.5848))</f>
        <v>#N/A</v>
      </c>
      <c r="T142" s="254" t="e">
        <f t="shared" ref="T142:BE142" ca="1" si="49">IF(T139="",NA(),IF(OFFSET(T139,0,$I$27*(-1))="",NA(),(T139-OFFSET(T139,0,$I$27*(-1)))*1.5848))</f>
        <v>#N/A</v>
      </c>
      <c r="U142" s="135" t="e">
        <f t="shared" ca="1" si="49"/>
        <v>#N/A</v>
      </c>
      <c r="V142" s="135" t="e">
        <f t="shared" ca="1" si="49"/>
        <v>#N/A</v>
      </c>
      <c r="W142" s="135" t="e">
        <f ca="1">IF(W139="",NA(),IF(OFFSET(W139,0,$I$27*(-1))="",NA(),(W139-OFFSET(W139,0,$I$27*(-1)))*1.5848))</f>
        <v>#N/A</v>
      </c>
      <c r="X142" s="135" t="e">
        <f t="shared" ca="1" si="49"/>
        <v>#N/A</v>
      </c>
      <c r="Y142" s="135" t="e">
        <f t="shared" ca="1" si="49"/>
        <v>#N/A</v>
      </c>
      <c r="Z142" s="135" t="e">
        <f ca="1">IF(Z139="",NA(),IF(OFFSET(Z139,0,$I$27*(-1))="",NA(),(Z139-OFFSET(Z139,0,$I$27*(-1)))*1.5848))</f>
        <v>#N/A</v>
      </c>
      <c r="AA142" s="135" t="e">
        <f ca="1">IF(AA139="",NA(),IF(OFFSET(AA139,0,$I$27*(-1))="",NA(),(AA139-OFFSET(AA139,0,$I$27*(-1)))*1.5848))</f>
        <v>#N/A</v>
      </c>
      <c r="AB142" s="135" t="e">
        <f t="shared" ca="1" si="49"/>
        <v>#N/A</v>
      </c>
      <c r="AC142" s="135" t="e">
        <f t="shared" ca="1" si="49"/>
        <v>#N/A</v>
      </c>
      <c r="AD142" s="135" t="e">
        <f t="shared" ca="1" si="49"/>
        <v>#N/A</v>
      </c>
      <c r="AE142" s="135" t="e">
        <f t="shared" ca="1" si="49"/>
        <v>#N/A</v>
      </c>
      <c r="AF142" s="135" t="e">
        <f t="shared" ca="1" si="49"/>
        <v>#N/A</v>
      </c>
      <c r="AG142" s="135" t="e">
        <f t="shared" ca="1" si="49"/>
        <v>#N/A</v>
      </c>
      <c r="AH142" s="135" t="e">
        <f t="shared" ca="1" si="49"/>
        <v>#N/A</v>
      </c>
      <c r="AI142" s="135" t="e">
        <f t="shared" ca="1" si="49"/>
        <v>#N/A</v>
      </c>
      <c r="AJ142" s="135" t="e">
        <f t="shared" ca="1" si="49"/>
        <v>#N/A</v>
      </c>
      <c r="AK142" s="135" t="e">
        <f t="shared" ca="1" si="49"/>
        <v>#N/A</v>
      </c>
      <c r="AL142" s="135" t="e">
        <f t="shared" ca="1" si="49"/>
        <v>#N/A</v>
      </c>
      <c r="AM142" s="135" t="e">
        <f t="shared" ca="1" si="49"/>
        <v>#N/A</v>
      </c>
      <c r="AN142" s="135" t="e">
        <f t="shared" ca="1" si="49"/>
        <v>#N/A</v>
      </c>
      <c r="AO142" s="135" t="e">
        <f t="shared" ca="1" si="49"/>
        <v>#N/A</v>
      </c>
      <c r="AP142" s="135" t="e">
        <f t="shared" ca="1" si="49"/>
        <v>#N/A</v>
      </c>
      <c r="AQ142" s="135" t="e">
        <f t="shared" ca="1" si="49"/>
        <v>#N/A</v>
      </c>
      <c r="AR142" s="135" t="e">
        <f t="shared" ca="1" si="49"/>
        <v>#N/A</v>
      </c>
      <c r="AS142" s="135" t="e">
        <f t="shared" ca="1" si="49"/>
        <v>#N/A</v>
      </c>
      <c r="AT142" s="135" t="e">
        <f t="shared" ca="1" si="49"/>
        <v>#N/A</v>
      </c>
      <c r="AU142" s="135" t="e">
        <f t="shared" ca="1" si="49"/>
        <v>#N/A</v>
      </c>
      <c r="AV142" s="135" t="e">
        <f t="shared" ca="1" si="49"/>
        <v>#N/A</v>
      </c>
      <c r="AW142" s="135" t="e">
        <f t="shared" ca="1" si="49"/>
        <v>#N/A</v>
      </c>
      <c r="AX142" s="135" t="e">
        <f t="shared" ca="1" si="49"/>
        <v>#N/A</v>
      </c>
      <c r="AY142" s="135" t="e">
        <f t="shared" ca="1" si="49"/>
        <v>#N/A</v>
      </c>
      <c r="AZ142" s="135" t="e">
        <f t="shared" ca="1" si="49"/>
        <v>#N/A</v>
      </c>
      <c r="BA142" s="135" t="e">
        <f t="shared" ca="1" si="49"/>
        <v>#N/A</v>
      </c>
      <c r="BB142" s="135" t="e">
        <f t="shared" ca="1" si="49"/>
        <v>#N/A</v>
      </c>
      <c r="BC142" s="135" t="e">
        <f t="shared" ca="1" si="49"/>
        <v>#N/A</v>
      </c>
      <c r="BD142" s="135" t="e">
        <f t="shared" ca="1" si="49"/>
        <v>#N/A</v>
      </c>
      <c r="BE142" s="135" t="e">
        <f t="shared" ca="1" si="49"/>
        <v>#N/A</v>
      </c>
    </row>
    <row r="143" spans="1:57" ht="18" hidden="1" customHeight="1">
      <c r="A143" s="820"/>
      <c r="B143" s="671" t="s">
        <v>201</v>
      </c>
      <c r="C143" s="672"/>
      <c r="D143" s="236"/>
      <c r="E143" s="236"/>
      <c r="F143" s="236"/>
      <c r="G143" s="236"/>
      <c r="H143" s="236"/>
      <c r="I143" s="236"/>
      <c r="J143" s="236"/>
      <c r="K143" s="236"/>
      <c r="L143" s="236"/>
      <c r="M143" s="236"/>
      <c r="N143" s="236"/>
      <c r="O143" s="236"/>
      <c r="P143" s="236"/>
      <c r="Q143" s="236"/>
      <c r="R143" s="236"/>
      <c r="S143" s="135" t="e">
        <f t="shared" ref="S143:BE143" ca="1" si="50">IF(S140="",NA(),IF(OFFSET(S140,0,$I$27*(-1))="",NA(),S140-OFFSET(S140,0,$I$27*(-1))+S142))</f>
        <v>#N/A</v>
      </c>
      <c r="T143" s="254" t="e">
        <f t="shared" ca="1" si="50"/>
        <v>#N/A</v>
      </c>
      <c r="U143" s="135" t="e">
        <f t="shared" ca="1" si="50"/>
        <v>#N/A</v>
      </c>
      <c r="V143" s="135" t="e">
        <f t="shared" ca="1" si="50"/>
        <v>#N/A</v>
      </c>
      <c r="W143" s="135" t="e">
        <f ca="1">IF(W140="",NA(),IF(OFFSET(W140,0,$I$27*(-1))="",NA(),W140-OFFSET(W140,0,$I$27*(-1))+W142))</f>
        <v>#N/A</v>
      </c>
      <c r="X143" s="135" t="e">
        <f t="shared" ca="1" si="50"/>
        <v>#N/A</v>
      </c>
      <c r="Y143" s="135" t="e">
        <f t="shared" ca="1" si="50"/>
        <v>#N/A</v>
      </c>
      <c r="Z143" s="135" t="e">
        <f ca="1">IF(Z140="",NA(),IF(OFFSET(Z140,0,$I$27*(-1))="",NA(),Z140-OFFSET(Z140,0,$I$27*(-1))+Z142))</f>
        <v>#N/A</v>
      </c>
      <c r="AA143" s="135" t="e">
        <f t="shared" ca="1" si="50"/>
        <v>#N/A</v>
      </c>
      <c r="AB143" s="135" t="e">
        <f t="shared" ca="1" si="50"/>
        <v>#N/A</v>
      </c>
      <c r="AC143" s="135" t="e">
        <f t="shared" ca="1" si="50"/>
        <v>#N/A</v>
      </c>
      <c r="AD143" s="135" t="e">
        <f t="shared" ca="1" si="50"/>
        <v>#N/A</v>
      </c>
      <c r="AE143" s="135" t="e">
        <f t="shared" ca="1" si="50"/>
        <v>#N/A</v>
      </c>
      <c r="AF143" s="135" t="e">
        <f t="shared" ca="1" si="50"/>
        <v>#N/A</v>
      </c>
      <c r="AG143" s="135" t="e">
        <f t="shared" ca="1" si="50"/>
        <v>#N/A</v>
      </c>
      <c r="AH143" s="135" t="e">
        <f t="shared" ca="1" si="50"/>
        <v>#N/A</v>
      </c>
      <c r="AI143" s="135" t="e">
        <f t="shared" ca="1" si="50"/>
        <v>#N/A</v>
      </c>
      <c r="AJ143" s="135" t="e">
        <f t="shared" ca="1" si="50"/>
        <v>#N/A</v>
      </c>
      <c r="AK143" s="135" t="e">
        <f t="shared" ca="1" si="50"/>
        <v>#N/A</v>
      </c>
      <c r="AL143" s="135" t="e">
        <f t="shared" ca="1" si="50"/>
        <v>#N/A</v>
      </c>
      <c r="AM143" s="135" t="e">
        <f t="shared" ca="1" si="50"/>
        <v>#N/A</v>
      </c>
      <c r="AN143" s="135" t="e">
        <f t="shared" ca="1" si="50"/>
        <v>#N/A</v>
      </c>
      <c r="AO143" s="135" t="e">
        <f t="shared" ca="1" si="50"/>
        <v>#N/A</v>
      </c>
      <c r="AP143" s="135" t="e">
        <f t="shared" ca="1" si="50"/>
        <v>#N/A</v>
      </c>
      <c r="AQ143" s="135" t="e">
        <f t="shared" ca="1" si="50"/>
        <v>#N/A</v>
      </c>
      <c r="AR143" s="135" t="e">
        <f t="shared" ca="1" si="50"/>
        <v>#N/A</v>
      </c>
      <c r="AS143" s="135" t="e">
        <f t="shared" ca="1" si="50"/>
        <v>#N/A</v>
      </c>
      <c r="AT143" s="135" t="e">
        <f t="shared" ca="1" si="50"/>
        <v>#N/A</v>
      </c>
      <c r="AU143" s="135" t="e">
        <f t="shared" ca="1" si="50"/>
        <v>#N/A</v>
      </c>
      <c r="AV143" s="135" t="e">
        <f t="shared" ca="1" si="50"/>
        <v>#N/A</v>
      </c>
      <c r="AW143" s="135" t="e">
        <f t="shared" ca="1" si="50"/>
        <v>#N/A</v>
      </c>
      <c r="AX143" s="135" t="e">
        <f t="shared" ca="1" si="50"/>
        <v>#N/A</v>
      </c>
      <c r="AY143" s="135" t="e">
        <f t="shared" ca="1" si="50"/>
        <v>#N/A</v>
      </c>
      <c r="AZ143" s="135" t="e">
        <f t="shared" ca="1" si="50"/>
        <v>#N/A</v>
      </c>
      <c r="BA143" s="135" t="e">
        <f t="shared" ca="1" si="50"/>
        <v>#N/A</v>
      </c>
      <c r="BB143" s="135" t="e">
        <f t="shared" ca="1" si="50"/>
        <v>#N/A</v>
      </c>
      <c r="BC143" s="135" t="e">
        <f t="shared" ca="1" si="50"/>
        <v>#N/A</v>
      </c>
      <c r="BD143" s="135" t="e">
        <f t="shared" ca="1" si="50"/>
        <v>#N/A</v>
      </c>
      <c r="BE143" s="135" t="e">
        <f t="shared" ca="1" si="50"/>
        <v>#N/A</v>
      </c>
    </row>
    <row r="144" spans="1:57" ht="18" hidden="1" customHeight="1">
      <c r="A144" s="820"/>
      <c r="B144" s="671" t="s">
        <v>202</v>
      </c>
      <c r="C144" s="672"/>
      <c r="D144" s="236"/>
      <c r="E144" s="236"/>
      <c r="F144" s="236"/>
      <c r="G144" s="236"/>
      <c r="H144" s="236"/>
      <c r="I144" s="236"/>
      <c r="J144" s="236"/>
      <c r="K144" s="236"/>
      <c r="L144" s="236"/>
      <c r="M144" s="236"/>
      <c r="N144" s="236"/>
      <c r="O144" s="236"/>
      <c r="P144" s="236"/>
      <c r="Q144" s="236"/>
      <c r="R144" s="236"/>
      <c r="S144" s="135" t="e">
        <f t="shared" ref="S144:BE144" ca="1" si="51">IF(S142="",NA(),IF(S141="",NA(),IF(OFFSET(S141,0,$I$27*(-1))="",NA(),S141-OFFSET(S141,0,$I$27*(-1))+S142)))</f>
        <v>#N/A</v>
      </c>
      <c r="T144" s="254" t="e">
        <f t="shared" ca="1" si="51"/>
        <v>#N/A</v>
      </c>
      <c r="U144" s="135" t="e">
        <f t="shared" ca="1" si="51"/>
        <v>#N/A</v>
      </c>
      <c r="V144" s="135" t="e">
        <f t="shared" ca="1" si="51"/>
        <v>#N/A</v>
      </c>
      <c r="W144" s="135" t="e">
        <f ca="1">IF(W142="",NA(),IF(W141="",NA(),IF(OFFSET(W141,0,$I$27*(-1))="",NA(),W141-OFFSET(W141,0,$I$27*(-1))+W142)))</f>
        <v>#N/A</v>
      </c>
      <c r="X144" s="135" t="e">
        <f t="shared" ca="1" si="51"/>
        <v>#N/A</v>
      </c>
      <c r="Y144" s="135" t="e">
        <f t="shared" ca="1" si="51"/>
        <v>#N/A</v>
      </c>
      <c r="Z144" s="135" t="e">
        <f t="shared" ca="1" si="51"/>
        <v>#N/A</v>
      </c>
      <c r="AA144" s="135" t="e">
        <f ca="1">IF(AA142="",NA(),IF(AA141="",NA(),IF(OFFSET(AA141,0,$I$27*(-1))="",NA(),AA141-OFFSET(AA141,0,$I$27*(-1))+AA142)))</f>
        <v>#N/A</v>
      </c>
      <c r="AB144" s="135" t="e">
        <f t="shared" ca="1" si="51"/>
        <v>#N/A</v>
      </c>
      <c r="AC144" s="135" t="e">
        <f t="shared" ca="1" si="51"/>
        <v>#N/A</v>
      </c>
      <c r="AD144" s="135" t="e">
        <f t="shared" ca="1" si="51"/>
        <v>#N/A</v>
      </c>
      <c r="AE144" s="135" t="e">
        <f t="shared" ca="1" si="51"/>
        <v>#N/A</v>
      </c>
      <c r="AF144" s="135" t="e">
        <f t="shared" ca="1" si="51"/>
        <v>#N/A</v>
      </c>
      <c r="AG144" s="135" t="e">
        <f t="shared" ca="1" si="51"/>
        <v>#N/A</v>
      </c>
      <c r="AH144" s="135" t="e">
        <f t="shared" ca="1" si="51"/>
        <v>#N/A</v>
      </c>
      <c r="AI144" s="135" t="e">
        <f t="shared" ca="1" si="51"/>
        <v>#N/A</v>
      </c>
      <c r="AJ144" s="135" t="e">
        <f t="shared" ca="1" si="51"/>
        <v>#N/A</v>
      </c>
      <c r="AK144" s="135" t="e">
        <f t="shared" ca="1" si="51"/>
        <v>#N/A</v>
      </c>
      <c r="AL144" s="135" t="e">
        <f t="shared" ca="1" si="51"/>
        <v>#N/A</v>
      </c>
      <c r="AM144" s="135" t="e">
        <f t="shared" ca="1" si="51"/>
        <v>#N/A</v>
      </c>
      <c r="AN144" s="135" t="e">
        <f t="shared" ca="1" si="51"/>
        <v>#N/A</v>
      </c>
      <c r="AO144" s="135" t="e">
        <f t="shared" ca="1" si="51"/>
        <v>#N/A</v>
      </c>
      <c r="AP144" s="135" t="e">
        <f t="shared" ca="1" si="51"/>
        <v>#N/A</v>
      </c>
      <c r="AQ144" s="135" t="e">
        <f t="shared" ca="1" si="51"/>
        <v>#N/A</v>
      </c>
      <c r="AR144" s="135" t="e">
        <f t="shared" ca="1" si="51"/>
        <v>#N/A</v>
      </c>
      <c r="AS144" s="135" t="e">
        <f t="shared" ca="1" si="51"/>
        <v>#N/A</v>
      </c>
      <c r="AT144" s="135" t="e">
        <f t="shared" ca="1" si="51"/>
        <v>#N/A</v>
      </c>
      <c r="AU144" s="135" t="e">
        <f t="shared" ca="1" si="51"/>
        <v>#N/A</v>
      </c>
      <c r="AV144" s="135" t="e">
        <f t="shared" ca="1" si="51"/>
        <v>#N/A</v>
      </c>
      <c r="AW144" s="135" t="e">
        <f t="shared" ca="1" si="51"/>
        <v>#N/A</v>
      </c>
      <c r="AX144" s="135" t="e">
        <f t="shared" ca="1" si="51"/>
        <v>#N/A</v>
      </c>
      <c r="AY144" s="135" t="e">
        <f t="shared" ca="1" si="51"/>
        <v>#N/A</v>
      </c>
      <c r="AZ144" s="135" t="e">
        <f t="shared" ca="1" si="51"/>
        <v>#N/A</v>
      </c>
      <c r="BA144" s="135" t="e">
        <f t="shared" ca="1" si="51"/>
        <v>#N/A</v>
      </c>
      <c r="BB144" s="135" t="e">
        <f t="shared" ca="1" si="51"/>
        <v>#N/A</v>
      </c>
      <c r="BC144" s="135" t="e">
        <f t="shared" ca="1" si="51"/>
        <v>#N/A</v>
      </c>
      <c r="BD144" s="135" t="e">
        <f t="shared" ca="1" si="51"/>
        <v>#N/A</v>
      </c>
      <c r="BE144" s="135" t="e">
        <f t="shared" ca="1" si="51"/>
        <v>#N/A</v>
      </c>
    </row>
    <row r="145" spans="1:57" ht="18" hidden="1" customHeight="1">
      <c r="A145" s="820"/>
      <c r="B145" s="821" t="s">
        <v>159</v>
      </c>
      <c r="C145" s="822"/>
      <c r="D145" s="236"/>
      <c r="E145" s="236"/>
      <c r="F145" s="236"/>
      <c r="G145" s="236"/>
      <c r="H145" s="236"/>
      <c r="I145" s="236"/>
      <c r="J145" s="236"/>
      <c r="K145" s="236"/>
      <c r="L145" s="236"/>
      <c r="M145" s="236"/>
      <c r="N145" s="236"/>
      <c r="O145" s="236"/>
      <c r="P145" s="236"/>
      <c r="Q145" s="236"/>
      <c r="R145" s="240"/>
      <c r="S145" s="135" t="e">
        <f t="shared" ref="S145:BE145" si="52">IF(S132="",NA(),IF(S3&lt;=$B$135,S132*$D$138/100,IF(S3&lt;=$C$135,S132*$E$138/100,IF(S3&lt;=$D$135,S132*$F$138/100,IF(S3&lt;=$E$135,S132*$G$138/100,IF(S3&lt;=$F$135,S132*$H$138/100,IF(S3&lt;=$G$135,S132*$I$138/100,IF(S3&lt;=$H$135,S132*$J$138/100,IF(S3&lt;=$I$135,S132*$K$138/100,IF(S3&lt;=$J$135,S132*$L$138/100,IF(S3&lt;=$K$135,S132*$M$138/100,S132*$N$138/100)))))))))))</f>
        <v>#N/A</v>
      </c>
      <c r="T145" s="263" t="e">
        <f t="shared" si="52"/>
        <v>#N/A</v>
      </c>
      <c r="U145" s="135" t="e">
        <f t="shared" si="52"/>
        <v>#N/A</v>
      </c>
      <c r="V145" s="135" t="e">
        <f t="shared" si="52"/>
        <v>#N/A</v>
      </c>
      <c r="W145" s="135" t="e">
        <f t="shared" si="52"/>
        <v>#N/A</v>
      </c>
      <c r="X145" s="135" t="e">
        <f t="shared" si="52"/>
        <v>#N/A</v>
      </c>
      <c r="Y145" s="135" t="e">
        <f t="shared" si="52"/>
        <v>#N/A</v>
      </c>
      <c r="Z145" s="135" t="e">
        <f t="shared" si="52"/>
        <v>#N/A</v>
      </c>
      <c r="AA145" s="135" t="e">
        <f t="shared" si="52"/>
        <v>#N/A</v>
      </c>
      <c r="AB145" s="135" t="e">
        <f t="shared" si="52"/>
        <v>#N/A</v>
      </c>
      <c r="AC145" s="135" t="e">
        <f t="shared" si="52"/>
        <v>#N/A</v>
      </c>
      <c r="AD145" s="135" t="e">
        <f t="shared" si="52"/>
        <v>#N/A</v>
      </c>
      <c r="AE145" s="135" t="e">
        <f t="shared" si="52"/>
        <v>#N/A</v>
      </c>
      <c r="AF145" s="135" t="e">
        <f t="shared" si="52"/>
        <v>#N/A</v>
      </c>
      <c r="AG145" s="135" t="e">
        <f t="shared" si="52"/>
        <v>#N/A</v>
      </c>
      <c r="AH145" s="135" t="e">
        <f t="shared" si="52"/>
        <v>#N/A</v>
      </c>
      <c r="AI145" s="135" t="e">
        <f t="shared" si="52"/>
        <v>#N/A</v>
      </c>
      <c r="AJ145" s="135" t="e">
        <f t="shared" si="52"/>
        <v>#N/A</v>
      </c>
      <c r="AK145" s="135" t="e">
        <f t="shared" si="52"/>
        <v>#N/A</v>
      </c>
      <c r="AL145" s="135" t="e">
        <f t="shared" si="52"/>
        <v>#N/A</v>
      </c>
      <c r="AM145" s="135" t="e">
        <f t="shared" si="52"/>
        <v>#N/A</v>
      </c>
      <c r="AN145" s="135" t="e">
        <f t="shared" si="52"/>
        <v>#N/A</v>
      </c>
      <c r="AO145" s="135" t="e">
        <f t="shared" si="52"/>
        <v>#N/A</v>
      </c>
      <c r="AP145" s="135" t="e">
        <f t="shared" si="52"/>
        <v>#N/A</v>
      </c>
      <c r="AQ145" s="135" t="e">
        <f t="shared" si="52"/>
        <v>#N/A</v>
      </c>
      <c r="AR145" s="135" t="e">
        <f t="shared" si="52"/>
        <v>#N/A</v>
      </c>
      <c r="AS145" s="135" t="e">
        <f t="shared" si="52"/>
        <v>#N/A</v>
      </c>
      <c r="AT145" s="135" t="e">
        <f t="shared" si="52"/>
        <v>#N/A</v>
      </c>
      <c r="AU145" s="135" t="e">
        <f t="shared" si="52"/>
        <v>#N/A</v>
      </c>
      <c r="AV145" s="135" t="e">
        <f t="shared" si="52"/>
        <v>#N/A</v>
      </c>
      <c r="AW145" s="135" t="e">
        <f t="shared" si="52"/>
        <v>#N/A</v>
      </c>
      <c r="AX145" s="135" t="e">
        <f t="shared" si="52"/>
        <v>#N/A</v>
      </c>
      <c r="AY145" s="135" t="e">
        <f t="shared" si="52"/>
        <v>#N/A</v>
      </c>
      <c r="AZ145" s="135" t="e">
        <f t="shared" si="52"/>
        <v>#N/A</v>
      </c>
      <c r="BA145" s="135" t="e">
        <f t="shared" si="52"/>
        <v>#N/A</v>
      </c>
      <c r="BB145" s="255" t="e">
        <f t="shared" si="52"/>
        <v>#N/A</v>
      </c>
      <c r="BC145" s="136" t="e">
        <f t="shared" si="52"/>
        <v>#N/A</v>
      </c>
      <c r="BD145" s="136" t="e">
        <f t="shared" si="52"/>
        <v>#N/A</v>
      </c>
      <c r="BE145" s="136" t="e">
        <f t="shared" si="52"/>
        <v>#N/A</v>
      </c>
    </row>
    <row r="146" spans="1:57" ht="18" hidden="1" customHeight="1">
      <c r="A146" s="820" t="s">
        <v>208</v>
      </c>
      <c r="B146" s="671" t="s">
        <v>200</v>
      </c>
      <c r="C146" s="671"/>
      <c r="D146" s="236"/>
      <c r="E146" s="236"/>
      <c r="F146" s="236"/>
      <c r="G146" s="236"/>
      <c r="H146" s="236"/>
      <c r="I146" s="236"/>
      <c r="J146" s="236"/>
      <c r="K146" s="236"/>
      <c r="L146" s="236"/>
      <c r="M146" s="236"/>
      <c r="N146" s="236"/>
      <c r="O146" s="236"/>
      <c r="P146" s="236"/>
      <c r="Q146" s="236"/>
      <c r="R146" s="240"/>
      <c r="S146" s="135" t="e">
        <f t="shared" ref="S146:BE146" ca="1" si="53">IF(S16="",NA(),IF(OFFSET(S16,0,$I$27*(-1))="",NA(),(S16-OFFSET(S16,0,$I$27*(-1)))*1.5848))</f>
        <v>#N/A</v>
      </c>
      <c r="T146" s="135" t="e">
        <f t="shared" ca="1" si="53"/>
        <v>#N/A</v>
      </c>
      <c r="U146" s="135" t="e">
        <f t="shared" ca="1" si="53"/>
        <v>#N/A</v>
      </c>
      <c r="V146" s="135" t="e">
        <f t="shared" ca="1" si="53"/>
        <v>#N/A</v>
      </c>
      <c r="W146" s="135" t="e">
        <f t="shared" ca="1" si="53"/>
        <v>#N/A</v>
      </c>
      <c r="X146" s="135" t="e">
        <f t="shared" ca="1" si="53"/>
        <v>#N/A</v>
      </c>
      <c r="Y146" s="135" t="e">
        <f t="shared" ca="1" si="53"/>
        <v>#N/A</v>
      </c>
      <c r="Z146" s="135" t="e">
        <f t="shared" ca="1" si="53"/>
        <v>#N/A</v>
      </c>
      <c r="AA146" s="135" t="e">
        <f t="shared" ca="1" si="53"/>
        <v>#N/A</v>
      </c>
      <c r="AB146" s="135" t="e">
        <f t="shared" ca="1" si="53"/>
        <v>#N/A</v>
      </c>
      <c r="AC146" s="135" t="e">
        <f t="shared" ca="1" si="53"/>
        <v>#N/A</v>
      </c>
      <c r="AD146" s="135" t="e">
        <f t="shared" ca="1" si="53"/>
        <v>#N/A</v>
      </c>
      <c r="AE146" s="135" t="e">
        <f t="shared" ca="1" si="53"/>
        <v>#N/A</v>
      </c>
      <c r="AF146" s="135" t="e">
        <f t="shared" ca="1" si="53"/>
        <v>#N/A</v>
      </c>
      <c r="AG146" s="135" t="e">
        <f t="shared" ca="1" si="53"/>
        <v>#N/A</v>
      </c>
      <c r="AH146" s="135" t="e">
        <f t="shared" ca="1" si="53"/>
        <v>#N/A</v>
      </c>
      <c r="AI146" s="135" t="e">
        <f t="shared" ca="1" si="53"/>
        <v>#N/A</v>
      </c>
      <c r="AJ146" s="135" t="e">
        <f t="shared" ca="1" si="53"/>
        <v>#N/A</v>
      </c>
      <c r="AK146" s="135" t="e">
        <f t="shared" ca="1" si="53"/>
        <v>#N/A</v>
      </c>
      <c r="AL146" s="135" t="e">
        <f t="shared" ca="1" si="53"/>
        <v>#N/A</v>
      </c>
      <c r="AM146" s="135" t="e">
        <f t="shared" ca="1" si="53"/>
        <v>#N/A</v>
      </c>
      <c r="AN146" s="135" t="e">
        <f t="shared" ca="1" si="53"/>
        <v>#N/A</v>
      </c>
      <c r="AO146" s="135" t="e">
        <f t="shared" ca="1" si="53"/>
        <v>#N/A</v>
      </c>
      <c r="AP146" s="135" t="e">
        <f t="shared" ca="1" si="53"/>
        <v>#N/A</v>
      </c>
      <c r="AQ146" s="135" t="e">
        <f t="shared" ca="1" si="53"/>
        <v>#N/A</v>
      </c>
      <c r="AR146" s="135" t="e">
        <f t="shared" ca="1" si="53"/>
        <v>#N/A</v>
      </c>
      <c r="AS146" s="135" t="e">
        <f t="shared" ca="1" si="53"/>
        <v>#N/A</v>
      </c>
      <c r="AT146" s="135" t="e">
        <f t="shared" ca="1" si="53"/>
        <v>#N/A</v>
      </c>
      <c r="AU146" s="135" t="e">
        <f t="shared" ca="1" si="53"/>
        <v>#N/A</v>
      </c>
      <c r="AV146" s="135" t="e">
        <f t="shared" ca="1" si="53"/>
        <v>#N/A</v>
      </c>
      <c r="AW146" s="135" t="e">
        <f t="shared" ca="1" si="53"/>
        <v>#N/A</v>
      </c>
      <c r="AX146" s="135" t="e">
        <f t="shared" ca="1" si="53"/>
        <v>#N/A</v>
      </c>
      <c r="AY146" s="135" t="e">
        <f t="shared" ca="1" si="53"/>
        <v>#N/A</v>
      </c>
      <c r="AZ146" s="135" t="e">
        <f t="shared" ca="1" si="53"/>
        <v>#N/A</v>
      </c>
      <c r="BA146" s="135" t="e">
        <f t="shared" ca="1" si="53"/>
        <v>#N/A</v>
      </c>
      <c r="BB146" s="135" t="e">
        <f t="shared" ca="1" si="53"/>
        <v>#N/A</v>
      </c>
      <c r="BC146" s="135" t="e">
        <f t="shared" ca="1" si="53"/>
        <v>#N/A</v>
      </c>
      <c r="BD146" s="135" t="e">
        <f t="shared" ca="1" si="53"/>
        <v>#N/A</v>
      </c>
      <c r="BE146" s="135" t="e">
        <f t="shared" ca="1" si="53"/>
        <v>#N/A</v>
      </c>
    </row>
    <row r="147" spans="1:57" ht="18" hidden="1" customHeight="1">
      <c r="A147" s="820"/>
      <c r="B147" s="671" t="s">
        <v>201</v>
      </c>
      <c r="C147" s="671"/>
      <c r="D147" s="236"/>
      <c r="E147" s="236"/>
      <c r="F147" s="236"/>
      <c r="G147" s="236"/>
      <c r="H147" s="236"/>
      <c r="I147" s="236"/>
      <c r="J147" s="236"/>
      <c r="K147" s="236"/>
      <c r="L147" s="236"/>
      <c r="M147" s="236"/>
      <c r="N147" s="236"/>
      <c r="O147" s="236"/>
      <c r="P147" s="236"/>
      <c r="Q147" s="236"/>
      <c r="R147" s="240"/>
      <c r="S147" s="135" t="e">
        <f t="shared" ref="S147:BE147" ca="1" si="54">IF(S130="",NA(),IF(OFFSET(S130,0,$I$27*(-1))="",NA(),S130-OFFSET(S130,0,$I$27*(-1))+S146))</f>
        <v>#N/A</v>
      </c>
      <c r="T147" s="135" t="e">
        <f t="shared" ca="1" si="54"/>
        <v>#N/A</v>
      </c>
      <c r="U147" s="135" t="e">
        <f ca="1">IF(U130="",NA(),IF(OFFSET(U130,0,$I$27*(-1))="",NA(),U130-OFFSET(U130,0,$I$27*(-1))+U146))</f>
        <v>#N/A</v>
      </c>
      <c r="V147" s="135" t="e">
        <f t="shared" ca="1" si="54"/>
        <v>#N/A</v>
      </c>
      <c r="W147" s="135" t="e">
        <f ca="1">IF(W130="",NA(),IF(OFFSET(W130,0,$I$27*(-1))="",NA(),W130-OFFSET(W130,0,$I$27*(-1))+W146))</f>
        <v>#N/A</v>
      </c>
      <c r="X147" s="135" t="e">
        <f t="shared" ca="1" si="54"/>
        <v>#N/A</v>
      </c>
      <c r="Y147" s="135" t="e">
        <f t="shared" ca="1" si="54"/>
        <v>#N/A</v>
      </c>
      <c r="Z147" s="135" t="e">
        <f t="shared" ca="1" si="54"/>
        <v>#N/A</v>
      </c>
      <c r="AA147" s="135" t="e">
        <f ca="1">IF(AA130="",NA(),IF(OFFSET(AA130,0,$I$27*(-1))="",NA(),AA130-OFFSET(AA130,0,$I$27*(-1))+AA146))</f>
        <v>#N/A</v>
      </c>
      <c r="AB147" s="135" t="e">
        <f t="shared" ca="1" si="54"/>
        <v>#N/A</v>
      </c>
      <c r="AC147" s="135" t="e">
        <f t="shared" ca="1" si="54"/>
        <v>#N/A</v>
      </c>
      <c r="AD147" s="135" t="e">
        <f t="shared" ca="1" si="54"/>
        <v>#N/A</v>
      </c>
      <c r="AE147" s="135" t="e">
        <f t="shared" ca="1" si="54"/>
        <v>#N/A</v>
      </c>
      <c r="AF147" s="135" t="e">
        <f t="shared" ca="1" si="54"/>
        <v>#N/A</v>
      </c>
      <c r="AG147" s="135" t="e">
        <f t="shared" ca="1" si="54"/>
        <v>#N/A</v>
      </c>
      <c r="AH147" s="135" t="e">
        <f t="shared" ca="1" si="54"/>
        <v>#N/A</v>
      </c>
      <c r="AI147" s="135" t="e">
        <f t="shared" ca="1" si="54"/>
        <v>#N/A</v>
      </c>
      <c r="AJ147" s="135" t="e">
        <f t="shared" ca="1" si="54"/>
        <v>#N/A</v>
      </c>
      <c r="AK147" s="135" t="e">
        <f t="shared" ca="1" si="54"/>
        <v>#N/A</v>
      </c>
      <c r="AL147" s="135" t="e">
        <f t="shared" ca="1" si="54"/>
        <v>#N/A</v>
      </c>
      <c r="AM147" s="135" t="e">
        <f t="shared" ca="1" si="54"/>
        <v>#N/A</v>
      </c>
      <c r="AN147" s="135" t="e">
        <f t="shared" ca="1" si="54"/>
        <v>#N/A</v>
      </c>
      <c r="AO147" s="135" t="e">
        <f t="shared" ca="1" si="54"/>
        <v>#N/A</v>
      </c>
      <c r="AP147" s="135" t="e">
        <f t="shared" ca="1" si="54"/>
        <v>#N/A</v>
      </c>
      <c r="AQ147" s="135" t="e">
        <f t="shared" ca="1" si="54"/>
        <v>#N/A</v>
      </c>
      <c r="AR147" s="135" t="e">
        <f t="shared" ca="1" si="54"/>
        <v>#N/A</v>
      </c>
      <c r="AS147" s="135" t="e">
        <f t="shared" ca="1" si="54"/>
        <v>#N/A</v>
      </c>
      <c r="AT147" s="135" t="e">
        <f t="shared" ca="1" si="54"/>
        <v>#N/A</v>
      </c>
      <c r="AU147" s="135" t="e">
        <f t="shared" ca="1" si="54"/>
        <v>#N/A</v>
      </c>
      <c r="AV147" s="135" t="e">
        <f t="shared" ca="1" si="54"/>
        <v>#N/A</v>
      </c>
      <c r="AW147" s="135" t="e">
        <f t="shared" ca="1" si="54"/>
        <v>#N/A</v>
      </c>
      <c r="AX147" s="135" t="e">
        <f t="shared" ca="1" si="54"/>
        <v>#N/A</v>
      </c>
      <c r="AY147" s="135" t="e">
        <f t="shared" ca="1" si="54"/>
        <v>#N/A</v>
      </c>
      <c r="AZ147" s="135" t="e">
        <f t="shared" ca="1" si="54"/>
        <v>#N/A</v>
      </c>
      <c r="BA147" s="135" t="e">
        <f t="shared" ca="1" si="54"/>
        <v>#N/A</v>
      </c>
      <c r="BB147" s="135" t="e">
        <f t="shared" ca="1" si="54"/>
        <v>#N/A</v>
      </c>
      <c r="BC147" s="135" t="e">
        <f t="shared" ca="1" si="54"/>
        <v>#N/A</v>
      </c>
      <c r="BD147" s="135" t="e">
        <f t="shared" ca="1" si="54"/>
        <v>#N/A</v>
      </c>
      <c r="BE147" s="135" t="e">
        <f t="shared" ca="1" si="54"/>
        <v>#N/A</v>
      </c>
    </row>
    <row r="148" spans="1:57" ht="18" hidden="1" customHeight="1">
      <c r="A148" s="820"/>
      <c r="B148" s="671" t="s">
        <v>202</v>
      </c>
      <c r="C148" s="671"/>
      <c r="D148" s="236"/>
      <c r="E148" s="236"/>
      <c r="F148" s="236"/>
      <c r="G148" s="236"/>
      <c r="H148" s="236"/>
      <c r="I148" s="236"/>
      <c r="J148" s="236"/>
      <c r="K148" s="236"/>
      <c r="L148" s="236"/>
      <c r="M148" s="236"/>
      <c r="N148" s="236"/>
      <c r="O148" s="236"/>
      <c r="P148" s="236"/>
      <c r="Q148" s="236"/>
      <c r="R148" s="240"/>
      <c r="S148" s="135" t="e">
        <f t="shared" ref="S148:BE148" ca="1" si="55">IF(S146="",NA(),IF(S19="",NA(),IF(OFFSET(S19,0,$I$27*(-1))="",NA(),S19-OFFSET(S19,0,$I$27*(-1))+S146)))</f>
        <v>#N/A</v>
      </c>
      <c r="T148" s="135" t="e">
        <f t="shared" ca="1" si="55"/>
        <v>#N/A</v>
      </c>
      <c r="U148" s="135" t="e">
        <f t="shared" ca="1" si="55"/>
        <v>#N/A</v>
      </c>
      <c r="V148" s="135" t="e">
        <f t="shared" ca="1" si="55"/>
        <v>#N/A</v>
      </c>
      <c r="W148" s="135" t="e">
        <f t="shared" ca="1" si="55"/>
        <v>#N/A</v>
      </c>
      <c r="X148" s="135" t="e">
        <f t="shared" ca="1" si="55"/>
        <v>#N/A</v>
      </c>
      <c r="Y148" s="135" t="e">
        <f t="shared" ca="1" si="55"/>
        <v>#N/A</v>
      </c>
      <c r="Z148" s="135" t="e">
        <f t="shared" ca="1" si="55"/>
        <v>#N/A</v>
      </c>
      <c r="AA148" s="135" t="e">
        <f t="shared" ca="1" si="55"/>
        <v>#N/A</v>
      </c>
      <c r="AB148" s="135" t="e">
        <f t="shared" ca="1" si="55"/>
        <v>#N/A</v>
      </c>
      <c r="AC148" s="135" t="e">
        <f t="shared" ca="1" si="55"/>
        <v>#N/A</v>
      </c>
      <c r="AD148" s="135" t="e">
        <f t="shared" ca="1" si="55"/>
        <v>#N/A</v>
      </c>
      <c r="AE148" s="135" t="e">
        <f t="shared" ca="1" si="55"/>
        <v>#N/A</v>
      </c>
      <c r="AF148" s="135" t="e">
        <f t="shared" ca="1" si="55"/>
        <v>#N/A</v>
      </c>
      <c r="AG148" s="135" t="e">
        <f t="shared" ca="1" si="55"/>
        <v>#N/A</v>
      </c>
      <c r="AH148" s="135" t="e">
        <f t="shared" ca="1" si="55"/>
        <v>#N/A</v>
      </c>
      <c r="AI148" s="135" t="e">
        <f t="shared" ca="1" si="55"/>
        <v>#N/A</v>
      </c>
      <c r="AJ148" s="135" t="e">
        <f t="shared" ca="1" si="55"/>
        <v>#N/A</v>
      </c>
      <c r="AK148" s="135" t="e">
        <f t="shared" ca="1" si="55"/>
        <v>#N/A</v>
      </c>
      <c r="AL148" s="135" t="e">
        <f t="shared" ca="1" si="55"/>
        <v>#N/A</v>
      </c>
      <c r="AM148" s="135" t="e">
        <f t="shared" ca="1" si="55"/>
        <v>#N/A</v>
      </c>
      <c r="AN148" s="135" t="e">
        <f t="shared" ca="1" si="55"/>
        <v>#N/A</v>
      </c>
      <c r="AO148" s="135" t="e">
        <f t="shared" ca="1" si="55"/>
        <v>#N/A</v>
      </c>
      <c r="AP148" s="135" t="e">
        <f t="shared" ca="1" si="55"/>
        <v>#N/A</v>
      </c>
      <c r="AQ148" s="135" t="e">
        <f t="shared" ca="1" si="55"/>
        <v>#N/A</v>
      </c>
      <c r="AR148" s="135" t="e">
        <f t="shared" ca="1" si="55"/>
        <v>#N/A</v>
      </c>
      <c r="AS148" s="135" t="e">
        <f t="shared" ca="1" si="55"/>
        <v>#N/A</v>
      </c>
      <c r="AT148" s="135" t="e">
        <f t="shared" ca="1" si="55"/>
        <v>#N/A</v>
      </c>
      <c r="AU148" s="135" t="e">
        <f t="shared" ca="1" si="55"/>
        <v>#N/A</v>
      </c>
      <c r="AV148" s="135" t="e">
        <f t="shared" ca="1" si="55"/>
        <v>#N/A</v>
      </c>
      <c r="AW148" s="135" t="e">
        <f t="shared" ca="1" si="55"/>
        <v>#N/A</v>
      </c>
      <c r="AX148" s="135" t="e">
        <f t="shared" ca="1" si="55"/>
        <v>#N/A</v>
      </c>
      <c r="AY148" s="135" t="e">
        <f t="shared" ca="1" si="55"/>
        <v>#N/A</v>
      </c>
      <c r="AZ148" s="135" t="e">
        <f t="shared" ca="1" si="55"/>
        <v>#N/A</v>
      </c>
      <c r="BA148" s="135" t="e">
        <f t="shared" ca="1" si="55"/>
        <v>#N/A</v>
      </c>
      <c r="BB148" s="135" t="e">
        <f t="shared" ca="1" si="55"/>
        <v>#N/A</v>
      </c>
      <c r="BC148" s="135" t="e">
        <f t="shared" ca="1" si="55"/>
        <v>#N/A</v>
      </c>
      <c r="BD148" s="135" t="e">
        <f t="shared" ca="1" si="55"/>
        <v>#N/A</v>
      </c>
      <c r="BE148" s="135" t="e">
        <f t="shared" ca="1" si="55"/>
        <v>#N/A</v>
      </c>
    </row>
    <row r="149" spans="1:57" ht="18" hidden="1" customHeight="1">
      <c r="A149" s="155"/>
      <c r="B149" s="119"/>
      <c r="C149" s="119"/>
      <c r="D149" s="119"/>
      <c r="E149" s="119"/>
      <c r="F149" s="119"/>
      <c r="G149" s="119"/>
      <c r="H149" s="119"/>
      <c r="I149" s="119"/>
      <c r="J149" s="119"/>
      <c r="K149" s="119"/>
      <c r="L149" s="119"/>
      <c r="M149" s="119"/>
      <c r="N149" s="119"/>
      <c r="O149" s="119"/>
      <c r="P149" s="119"/>
      <c r="Q149" s="119"/>
      <c r="R149" s="6"/>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row>
    <row r="150" spans="1:57" ht="18" hidden="1" customHeight="1">
      <c r="A150" s="156" t="s">
        <v>216</v>
      </c>
      <c r="B150" s="119"/>
      <c r="C150" s="119"/>
      <c r="D150" s="119"/>
      <c r="E150" s="119"/>
      <c r="F150" s="119"/>
      <c r="G150" s="119"/>
      <c r="H150" s="119"/>
      <c r="I150" s="119"/>
      <c r="J150" s="119" t="s">
        <v>219</v>
      </c>
      <c r="K150" s="119"/>
      <c r="L150" s="119"/>
      <c r="M150" s="119"/>
      <c r="N150" s="119"/>
      <c r="O150" s="119"/>
      <c r="P150" s="119"/>
      <c r="Q150" s="119"/>
      <c r="R150" s="6"/>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row>
    <row r="151" spans="1:57" ht="18" hidden="1" customHeight="1">
      <c r="A151" s="156"/>
      <c r="B151" s="156" t="s">
        <v>217</v>
      </c>
      <c r="C151" s="119"/>
      <c r="D151" s="119"/>
      <c r="E151" s="119"/>
      <c r="F151" s="119"/>
      <c r="G151" s="119"/>
      <c r="H151" s="157">
        <f t="array" ref="H151">MIN(IF(ISNUMBER(S15:BE15),S15:BE15))</f>
        <v>0</v>
      </c>
      <c r="I151" s="119"/>
      <c r="J151" s="119"/>
      <c r="K151" s="119"/>
      <c r="L151" s="119"/>
      <c r="M151" s="119"/>
      <c r="N151" s="119"/>
      <c r="O151" s="119"/>
      <c r="P151" s="119"/>
      <c r="Q151" s="119"/>
      <c r="R151" s="6"/>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row>
    <row r="152" spans="1:57" ht="19.350000000000001" hidden="1" customHeight="1">
      <c r="B152" s="158" t="s">
        <v>218</v>
      </c>
      <c r="H152" s="159" t="e">
        <f t="array" ref="H152">INDEX(S15:BE16,2,MATCH(MIN(IF(ISNUMBER(S15:BE15),S15:BE15)),S15:BE15,0))</f>
        <v>#N/A</v>
      </c>
    </row>
    <row r="153" spans="1:57" ht="19.350000000000001" hidden="1" customHeight="1">
      <c r="B153" s="158"/>
      <c r="H153" s="159"/>
    </row>
    <row r="154" spans="1:57" ht="19.350000000000001" hidden="1" customHeight="1">
      <c r="A154" t="s">
        <v>224</v>
      </c>
      <c r="B154" s="158"/>
      <c r="H154" s="159"/>
    </row>
    <row r="155" spans="1:57" ht="19.350000000000001" hidden="1" customHeight="1">
      <c r="A155" s="827" t="s">
        <v>220</v>
      </c>
      <c r="B155" s="827"/>
      <c r="C155" s="827"/>
      <c r="D155" s="827"/>
      <c r="E155" s="827"/>
      <c r="F155" s="828">
        <f t="array" ref="F155">MAX(IF(ISNUMBER(S14:BE14),S14:BE14))</f>
        <v>0</v>
      </c>
      <c r="G155" s="828"/>
      <c r="H155" s="828"/>
      <c r="I155" s="828"/>
      <c r="J155" s="828"/>
    </row>
    <row r="156" spans="1:57" ht="19.350000000000001" hidden="1" customHeight="1">
      <c r="A156" s="827" t="s">
        <v>205</v>
      </c>
      <c r="B156" s="827"/>
      <c r="C156" s="827"/>
      <c r="D156" s="827"/>
      <c r="E156" s="827"/>
      <c r="F156" s="162" t="e">
        <f t="array" ref="F156">INDEX(S3:BE14,1,MATCH(MAX(IF(ISNUMBER(S14:BE14),S14:BE14)),S14:BE14,0))</f>
        <v>#N/A</v>
      </c>
      <c r="G156" s="163"/>
      <c r="H156" s="163"/>
      <c r="I156" s="163"/>
      <c r="J156" s="164"/>
    </row>
    <row r="157" spans="1:57" ht="19.350000000000001" hidden="1" customHeight="1">
      <c r="B157" s="158"/>
      <c r="H157" s="159"/>
    </row>
    <row r="158" spans="1:57" ht="19.350000000000001" hidden="1" customHeight="1">
      <c r="A158" s="827" t="s">
        <v>223</v>
      </c>
      <c r="B158" s="827"/>
      <c r="C158" s="827"/>
      <c r="D158" s="827"/>
      <c r="E158" s="827"/>
      <c r="F158" s="828">
        <f t="array" ref="F158">MAX(IF(ISNUMBER(S129:BE129),S129:BE129))</f>
        <v>0</v>
      </c>
      <c r="G158" s="828"/>
      <c r="H158" s="828"/>
      <c r="I158" s="828"/>
      <c r="J158" s="828"/>
    </row>
    <row r="159" spans="1:57" ht="19.350000000000001" hidden="1" customHeight="1">
      <c r="A159" s="827" t="s">
        <v>164</v>
      </c>
      <c r="B159" s="827"/>
      <c r="C159" s="827"/>
      <c r="D159" s="827"/>
      <c r="E159" s="827"/>
      <c r="F159" s="162" t="e">
        <f t="array" ref="F159">INDEX(S3:BE129,1,MATCH(MAX(IF(ISNUMBER(S129:BE129),S129:BE129)),S129:BE129,0))</f>
        <v>#N/A</v>
      </c>
      <c r="G159" s="162"/>
      <c r="H159" s="162"/>
      <c r="I159" s="162"/>
      <c r="J159" s="162"/>
    </row>
    <row r="160" spans="1:57" ht="19.350000000000001" hidden="1" customHeight="1">
      <c r="A160" s="160"/>
      <c r="B160" s="160"/>
      <c r="C160" s="160"/>
      <c r="D160" s="160"/>
      <c r="E160" s="160"/>
      <c r="F160" s="161"/>
      <c r="G160" s="161"/>
      <c r="H160" s="161"/>
      <c r="I160" s="161"/>
      <c r="J160" s="161"/>
    </row>
    <row r="161" spans="1:57" ht="19.5" hidden="1" customHeight="1">
      <c r="A161" t="s">
        <v>131</v>
      </c>
    </row>
    <row r="162" spans="1:57" s="57" customFormat="1" ht="18" hidden="1" customHeight="1">
      <c r="A162" s="823" t="s">
        <v>126</v>
      </c>
      <c r="B162" s="823"/>
      <c r="C162" s="824"/>
      <c r="D162" s="66" t="e">
        <f t="shared" ref="D162:AI162" si="56">IF(D14="",IF(D15="",NA(),D15/-10),D14)</f>
        <v>#N/A</v>
      </c>
      <c r="E162" s="66" t="e">
        <f t="shared" si="56"/>
        <v>#N/A</v>
      </c>
      <c r="F162" s="87" t="e">
        <f t="shared" si="56"/>
        <v>#N/A</v>
      </c>
      <c r="G162" s="87" t="e">
        <f t="shared" si="56"/>
        <v>#N/A</v>
      </c>
      <c r="H162" s="87" t="e">
        <f t="shared" si="56"/>
        <v>#N/A</v>
      </c>
      <c r="I162" s="87" t="e">
        <f t="shared" si="56"/>
        <v>#N/A</v>
      </c>
      <c r="J162" s="87" t="e">
        <f t="shared" si="56"/>
        <v>#N/A</v>
      </c>
      <c r="K162" s="87" t="e">
        <f t="shared" si="56"/>
        <v>#N/A</v>
      </c>
      <c r="L162" s="87" t="e">
        <f t="shared" si="56"/>
        <v>#N/A</v>
      </c>
      <c r="M162" s="87" t="e">
        <f t="shared" si="56"/>
        <v>#N/A</v>
      </c>
      <c r="N162" s="87" t="e">
        <f t="shared" si="56"/>
        <v>#N/A</v>
      </c>
      <c r="O162" s="87" t="e">
        <f t="shared" si="56"/>
        <v>#N/A</v>
      </c>
      <c r="P162" s="87" t="e">
        <f t="shared" si="56"/>
        <v>#N/A</v>
      </c>
      <c r="Q162" s="87" t="e">
        <f t="shared" si="56"/>
        <v>#N/A</v>
      </c>
      <c r="R162" s="66" t="e">
        <f t="shared" si="56"/>
        <v>#N/A</v>
      </c>
      <c r="S162" s="66" t="e">
        <f t="shared" si="56"/>
        <v>#N/A</v>
      </c>
      <c r="T162" s="250" t="e">
        <f t="shared" si="56"/>
        <v>#N/A</v>
      </c>
      <c r="U162" s="250" t="e">
        <f t="shared" si="56"/>
        <v>#N/A</v>
      </c>
      <c r="V162" s="250" t="e">
        <f t="shared" si="56"/>
        <v>#N/A</v>
      </c>
      <c r="W162" s="250" t="e">
        <f t="shared" si="56"/>
        <v>#N/A</v>
      </c>
      <c r="X162" s="250" t="e">
        <f t="shared" si="56"/>
        <v>#N/A</v>
      </c>
      <c r="Y162" s="250" t="e">
        <f t="shared" si="56"/>
        <v>#N/A</v>
      </c>
      <c r="Z162" s="250" t="e">
        <f>IF(Z14="",IF(Z15="",NA(),Z15/-10),Z14)</f>
        <v>#N/A</v>
      </c>
      <c r="AA162" s="250" t="e">
        <f t="shared" si="56"/>
        <v>#N/A</v>
      </c>
      <c r="AB162" s="250" t="e">
        <f>IF(AB14="",IF(AB15="",NA(),AB15/-10),AB14)</f>
        <v>#N/A</v>
      </c>
      <c r="AC162" s="250" t="e">
        <f t="shared" si="56"/>
        <v>#N/A</v>
      </c>
      <c r="AD162" s="250" t="e">
        <f t="shared" si="56"/>
        <v>#N/A</v>
      </c>
      <c r="AE162" s="250" t="e">
        <f t="shared" si="56"/>
        <v>#N/A</v>
      </c>
      <c r="AF162" s="250" t="e">
        <f t="shared" si="56"/>
        <v>#N/A</v>
      </c>
      <c r="AG162" s="250" t="e">
        <f t="shared" si="56"/>
        <v>#N/A</v>
      </c>
      <c r="AH162" s="250" t="e">
        <f t="shared" si="56"/>
        <v>#N/A</v>
      </c>
      <c r="AI162" s="250" t="e">
        <f t="shared" si="56"/>
        <v>#N/A</v>
      </c>
      <c r="AJ162" s="250" t="e">
        <f t="shared" ref="AJ162:BE162" si="57">IF(AJ14="",IF(AJ15="",NA(),AJ15/-10),AJ14)</f>
        <v>#N/A</v>
      </c>
      <c r="AK162" s="250" t="e">
        <f t="shared" si="57"/>
        <v>#N/A</v>
      </c>
      <c r="AL162" s="250" t="e">
        <f t="shared" si="57"/>
        <v>#N/A</v>
      </c>
      <c r="AM162" s="250" t="e">
        <f t="shared" si="57"/>
        <v>#N/A</v>
      </c>
      <c r="AN162" s="250" t="e">
        <f t="shared" si="57"/>
        <v>#N/A</v>
      </c>
      <c r="AO162" s="250" t="e">
        <f t="shared" si="57"/>
        <v>#N/A</v>
      </c>
      <c r="AP162" s="250" t="e">
        <f t="shared" si="57"/>
        <v>#N/A</v>
      </c>
      <c r="AQ162" s="250" t="e">
        <f t="shared" si="57"/>
        <v>#N/A</v>
      </c>
      <c r="AR162" s="250" t="e">
        <f t="shared" si="57"/>
        <v>#N/A</v>
      </c>
      <c r="AS162" s="250" t="e">
        <f t="shared" si="57"/>
        <v>#N/A</v>
      </c>
      <c r="AT162" s="250" t="e">
        <f t="shared" si="57"/>
        <v>#N/A</v>
      </c>
      <c r="AU162" s="250" t="e">
        <f t="shared" si="57"/>
        <v>#N/A</v>
      </c>
      <c r="AV162" s="250" t="e">
        <f t="shared" si="57"/>
        <v>#N/A</v>
      </c>
      <c r="AW162" s="250" t="e">
        <f t="shared" si="57"/>
        <v>#N/A</v>
      </c>
      <c r="AX162" s="250" t="e">
        <f t="shared" si="57"/>
        <v>#N/A</v>
      </c>
      <c r="AY162" s="250" t="e">
        <f t="shared" si="57"/>
        <v>#N/A</v>
      </c>
      <c r="AZ162" s="250" t="e">
        <f t="shared" si="57"/>
        <v>#N/A</v>
      </c>
      <c r="BA162" s="250" t="e">
        <f t="shared" si="57"/>
        <v>#N/A</v>
      </c>
      <c r="BB162" s="250" t="e">
        <f t="shared" si="57"/>
        <v>#N/A</v>
      </c>
      <c r="BC162" s="250" t="e">
        <f t="shared" si="57"/>
        <v>#N/A</v>
      </c>
      <c r="BD162" s="250" t="e">
        <f t="shared" si="57"/>
        <v>#N/A</v>
      </c>
      <c r="BE162" s="250" t="e">
        <f t="shared" si="57"/>
        <v>#N/A</v>
      </c>
    </row>
    <row r="163" spans="1:57" s="3" customFormat="1" ht="40.35" hidden="1" customHeight="1">
      <c r="A163" s="816" t="s">
        <v>127</v>
      </c>
      <c r="B163" s="817"/>
      <c r="C163" s="237" t="s">
        <v>5</v>
      </c>
      <c r="D163" s="67"/>
      <c r="E163" s="44"/>
      <c r="F163" s="88"/>
      <c r="G163" s="89"/>
      <c r="H163" s="90"/>
      <c r="I163" s="91"/>
      <c r="J163" s="88"/>
      <c r="K163" s="88"/>
      <c r="L163" s="88"/>
      <c r="M163" s="89"/>
      <c r="N163" s="91"/>
      <c r="O163" s="88"/>
      <c r="P163" s="88"/>
      <c r="Q163" s="88"/>
      <c r="R163" s="68"/>
      <c r="S163" s="67">
        <f t="shared" ref="S163:BE163" si="58">$E$216/(-10)</f>
        <v>0.57999999999999996</v>
      </c>
      <c r="T163" s="67">
        <f t="shared" si="58"/>
        <v>0.57999999999999996</v>
      </c>
      <c r="U163" s="67">
        <f t="shared" si="58"/>
        <v>0.57999999999999996</v>
      </c>
      <c r="V163" s="67">
        <f t="shared" si="58"/>
        <v>0.57999999999999996</v>
      </c>
      <c r="W163" s="67">
        <f t="shared" si="58"/>
        <v>0.57999999999999996</v>
      </c>
      <c r="X163" s="67">
        <f t="shared" si="58"/>
        <v>0.57999999999999996</v>
      </c>
      <c r="Y163" s="67">
        <f t="shared" si="58"/>
        <v>0.57999999999999996</v>
      </c>
      <c r="Z163" s="67">
        <f t="shared" si="58"/>
        <v>0.57999999999999996</v>
      </c>
      <c r="AA163" s="67">
        <f t="shared" si="58"/>
        <v>0.57999999999999996</v>
      </c>
      <c r="AB163" s="67">
        <f t="shared" si="58"/>
        <v>0.57999999999999996</v>
      </c>
      <c r="AC163" s="67">
        <f t="shared" si="58"/>
        <v>0.57999999999999996</v>
      </c>
      <c r="AD163" s="67">
        <f t="shared" si="58"/>
        <v>0.57999999999999996</v>
      </c>
      <c r="AE163" s="67">
        <f t="shared" si="58"/>
        <v>0.57999999999999996</v>
      </c>
      <c r="AF163" s="67">
        <f t="shared" si="58"/>
        <v>0.57999999999999996</v>
      </c>
      <c r="AG163" s="67">
        <f t="shared" si="58"/>
        <v>0.57999999999999996</v>
      </c>
      <c r="AH163" s="67">
        <f t="shared" si="58"/>
        <v>0.57999999999999996</v>
      </c>
      <c r="AI163" s="67">
        <f t="shared" si="58"/>
        <v>0.57999999999999996</v>
      </c>
      <c r="AJ163" s="67">
        <f t="shared" si="58"/>
        <v>0.57999999999999996</v>
      </c>
      <c r="AK163" s="67">
        <f t="shared" si="58"/>
        <v>0.57999999999999996</v>
      </c>
      <c r="AL163" s="67">
        <f t="shared" si="58"/>
        <v>0.57999999999999996</v>
      </c>
      <c r="AM163" s="67">
        <f t="shared" si="58"/>
        <v>0.57999999999999996</v>
      </c>
      <c r="AN163" s="67">
        <f t="shared" si="58"/>
        <v>0.57999999999999996</v>
      </c>
      <c r="AO163" s="67">
        <f t="shared" si="58"/>
        <v>0.57999999999999996</v>
      </c>
      <c r="AP163" s="67">
        <f t="shared" si="58"/>
        <v>0.57999999999999996</v>
      </c>
      <c r="AQ163" s="67">
        <f t="shared" si="58"/>
        <v>0.57999999999999996</v>
      </c>
      <c r="AR163" s="67">
        <f t="shared" si="58"/>
        <v>0.57999999999999996</v>
      </c>
      <c r="AS163" s="67">
        <f t="shared" si="58"/>
        <v>0.57999999999999996</v>
      </c>
      <c r="AT163" s="67">
        <f t="shared" si="58"/>
        <v>0.57999999999999996</v>
      </c>
      <c r="AU163" s="67">
        <f t="shared" si="58"/>
        <v>0.57999999999999996</v>
      </c>
      <c r="AV163" s="67">
        <f t="shared" si="58"/>
        <v>0.57999999999999996</v>
      </c>
      <c r="AW163" s="67">
        <f t="shared" si="58"/>
        <v>0.57999999999999996</v>
      </c>
      <c r="AX163" s="67">
        <f t="shared" si="58"/>
        <v>0.57999999999999996</v>
      </c>
      <c r="AY163" s="67">
        <f t="shared" si="58"/>
        <v>0.57999999999999996</v>
      </c>
      <c r="AZ163" s="67">
        <f t="shared" si="58"/>
        <v>0.57999999999999996</v>
      </c>
      <c r="BA163" s="67">
        <f t="shared" si="58"/>
        <v>0.57999999999999996</v>
      </c>
      <c r="BB163" s="67">
        <f t="shared" si="58"/>
        <v>0.57999999999999996</v>
      </c>
      <c r="BC163" s="67">
        <f t="shared" si="58"/>
        <v>0.57999999999999996</v>
      </c>
      <c r="BD163" s="67">
        <f t="shared" si="58"/>
        <v>0.57999999999999996</v>
      </c>
      <c r="BE163" s="67">
        <f t="shared" si="58"/>
        <v>0.57999999999999996</v>
      </c>
    </row>
    <row r="164" spans="1:57" s="3" customFormat="1" ht="18" hidden="1" customHeight="1">
      <c r="A164" s="672" t="s">
        <v>9</v>
      </c>
      <c r="B164" s="567"/>
      <c r="C164" s="237" t="s">
        <v>134</v>
      </c>
      <c r="D164" s="67"/>
      <c r="E164" s="44"/>
      <c r="F164" s="88"/>
      <c r="G164" s="89"/>
      <c r="H164" s="90"/>
      <c r="I164" s="91"/>
      <c r="J164" s="88"/>
      <c r="K164" s="88"/>
      <c r="L164" s="88"/>
      <c r="M164" s="89"/>
      <c r="N164" s="91"/>
      <c r="O164" s="88"/>
      <c r="P164" s="88"/>
      <c r="Q164" s="88"/>
      <c r="R164" s="68"/>
      <c r="S164" s="67">
        <f>E233</f>
        <v>7.6</v>
      </c>
      <c r="T164" s="44">
        <f>E236</f>
        <v>6.2</v>
      </c>
      <c r="U164" s="44">
        <f>E239</f>
        <v>3.8</v>
      </c>
      <c r="V164" s="44">
        <f>E242</f>
        <v>2.2999999999999998</v>
      </c>
      <c r="W164" s="44">
        <f>E245</f>
        <v>0.83</v>
      </c>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68"/>
    </row>
    <row r="165" spans="1:57" s="3" customFormat="1" ht="18" hidden="1" customHeight="1">
      <c r="A165" s="672" t="s">
        <v>11</v>
      </c>
      <c r="B165" s="567"/>
      <c r="C165" s="237" t="s">
        <v>135</v>
      </c>
      <c r="D165" s="67"/>
      <c r="E165" s="44"/>
      <c r="F165" s="88"/>
      <c r="G165" s="89"/>
      <c r="H165" s="90"/>
      <c r="I165" s="91"/>
      <c r="J165" s="88"/>
      <c r="K165" s="88"/>
      <c r="L165" s="88"/>
      <c r="M165" s="89"/>
      <c r="N165" s="91"/>
      <c r="O165" s="88"/>
      <c r="P165" s="88"/>
      <c r="Q165" s="88"/>
      <c r="R165" s="68"/>
      <c r="S165" s="67">
        <f>E248</f>
        <v>5.4</v>
      </c>
      <c r="T165" s="44">
        <f>E251</f>
        <v>5.2</v>
      </c>
      <c r="U165" s="44">
        <f>E254</f>
        <v>3.4</v>
      </c>
      <c r="V165" s="44">
        <f>E257</f>
        <v>0.97</v>
      </c>
      <c r="W165" s="44">
        <f>E260</f>
        <v>0.1</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46.35" hidden="1" customHeight="1">
      <c r="A166" s="816" t="s">
        <v>128</v>
      </c>
      <c r="B166" s="817"/>
      <c r="C166" s="237" t="s">
        <v>5</v>
      </c>
      <c r="D166" s="67"/>
      <c r="E166" s="44"/>
      <c r="F166" s="88"/>
      <c r="G166" s="89"/>
      <c r="H166" s="90"/>
      <c r="I166" s="91"/>
      <c r="J166" s="88"/>
      <c r="K166" s="88"/>
      <c r="L166" s="88"/>
      <c r="M166" s="89"/>
      <c r="N166" s="91"/>
      <c r="O166" s="88"/>
      <c r="P166" s="88"/>
      <c r="Q166" s="88"/>
      <c r="R166" s="68"/>
      <c r="S166" s="67">
        <f>E213</f>
        <v>12</v>
      </c>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ht="19.5" hidden="1" customHeight="1"/>
    <row r="168" spans="1:57" s="58" customFormat="1" ht="18" hidden="1" customHeight="1">
      <c r="A168" s="825" t="s">
        <v>42</v>
      </c>
      <c r="B168" s="825"/>
      <c r="C168" s="826"/>
      <c r="D168" s="69"/>
      <c r="E168" s="251"/>
      <c r="F168" s="251"/>
      <c r="G168" s="70"/>
      <c r="H168" s="78"/>
      <c r="I168" s="69"/>
      <c r="J168" s="251"/>
      <c r="K168" s="251"/>
      <c r="L168" s="251"/>
      <c r="M168" s="70"/>
      <c r="N168" s="69"/>
      <c r="O168" s="251"/>
      <c r="P168" s="251"/>
      <c r="Q168" s="251"/>
      <c r="R168" s="70"/>
      <c r="S168" s="76" t="e">
        <f t="shared" ref="S168:BE168" si="59">IF(S162="",NA(),S162*(-10))</f>
        <v>#N/A</v>
      </c>
      <c r="T168" s="47" t="e">
        <f t="shared" si="59"/>
        <v>#N/A</v>
      </c>
      <c r="U168" s="47" t="e">
        <f t="shared" si="59"/>
        <v>#N/A</v>
      </c>
      <c r="V168" s="47" t="e">
        <f t="shared" si="59"/>
        <v>#N/A</v>
      </c>
      <c r="W168" s="47" t="e">
        <f t="shared" si="59"/>
        <v>#N/A</v>
      </c>
      <c r="X168" s="47" t="e">
        <f t="shared" si="59"/>
        <v>#N/A</v>
      </c>
      <c r="Y168" s="47" t="e">
        <f t="shared" si="59"/>
        <v>#N/A</v>
      </c>
      <c r="Z168" s="47" t="e">
        <f t="shared" si="59"/>
        <v>#N/A</v>
      </c>
      <c r="AA168" s="47" t="e">
        <f t="shared" si="59"/>
        <v>#N/A</v>
      </c>
      <c r="AB168" s="47" t="e">
        <f t="shared" si="59"/>
        <v>#N/A</v>
      </c>
      <c r="AC168" s="47" t="e">
        <f t="shared" si="59"/>
        <v>#N/A</v>
      </c>
      <c r="AD168" s="47" t="e">
        <f t="shared" si="59"/>
        <v>#N/A</v>
      </c>
      <c r="AE168" s="47" t="e">
        <f t="shared" si="59"/>
        <v>#N/A</v>
      </c>
      <c r="AF168" s="47" t="e">
        <f t="shared" si="59"/>
        <v>#N/A</v>
      </c>
      <c r="AG168" s="47" t="e">
        <f t="shared" si="59"/>
        <v>#N/A</v>
      </c>
      <c r="AH168" s="47" t="e">
        <f t="shared" si="59"/>
        <v>#N/A</v>
      </c>
      <c r="AI168" s="47" t="e">
        <f t="shared" si="59"/>
        <v>#N/A</v>
      </c>
      <c r="AJ168" s="47" t="e">
        <f t="shared" si="59"/>
        <v>#N/A</v>
      </c>
      <c r="AK168" s="47" t="e">
        <f t="shared" si="59"/>
        <v>#N/A</v>
      </c>
      <c r="AL168" s="47" t="e">
        <f t="shared" si="59"/>
        <v>#N/A</v>
      </c>
      <c r="AM168" s="47" t="e">
        <f t="shared" si="59"/>
        <v>#N/A</v>
      </c>
      <c r="AN168" s="47" t="e">
        <f t="shared" si="59"/>
        <v>#N/A</v>
      </c>
      <c r="AO168" s="47" t="e">
        <f t="shared" si="59"/>
        <v>#N/A</v>
      </c>
      <c r="AP168" s="47" t="e">
        <f t="shared" si="59"/>
        <v>#N/A</v>
      </c>
      <c r="AQ168" s="47" t="e">
        <f t="shared" si="59"/>
        <v>#N/A</v>
      </c>
      <c r="AR168" s="47" t="e">
        <f t="shared" si="59"/>
        <v>#N/A</v>
      </c>
      <c r="AS168" s="47" t="e">
        <f t="shared" si="59"/>
        <v>#N/A</v>
      </c>
      <c r="AT168" s="47" t="e">
        <f t="shared" si="59"/>
        <v>#N/A</v>
      </c>
      <c r="AU168" s="47" t="e">
        <f t="shared" si="59"/>
        <v>#N/A</v>
      </c>
      <c r="AV168" s="47" t="e">
        <f t="shared" si="59"/>
        <v>#N/A</v>
      </c>
      <c r="AW168" s="47" t="e">
        <f t="shared" si="59"/>
        <v>#N/A</v>
      </c>
      <c r="AX168" s="47" t="e">
        <f t="shared" si="59"/>
        <v>#N/A</v>
      </c>
      <c r="AY168" s="47" t="e">
        <f t="shared" si="59"/>
        <v>#N/A</v>
      </c>
      <c r="AZ168" s="47" t="e">
        <f t="shared" si="59"/>
        <v>#N/A</v>
      </c>
      <c r="BA168" s="47" t="e">
        <f t="shared" si="59"/>
        <v>#N/A</v>
      </c>
      <c r="BB168" s="47" t="e">
        <f t="shared" si="59"/>
        <v>#N/A</v>
      </c>
      <c r="BC168" s="47" t="e">
        <f t="shared" si="59"/>
        <v>#N/A</v>
      </c>
      <c r="BD168" s="47" t="e">
        <f t="shared" si="59"/>
        <v>#N/A</v>
      </c>
      <c r="BE168" s="77" t="e">
        <f t="shared" si="59"/>
        <v>#N/A</v>
      </c>
    </row>
    <row r="169" spans="1:57" s="5" customFormat="1" ht="40.35" hidden="1" customHeight="1">
      <c r="A169" s="816" t="s">
        <v>129</v>
      </c>
      <c r="B169" s="817"/>
      <c r="C169" s="237" t="s">
        <v>5</v>
      </c>
      <c r="D169" s="71"/>
      <c r="E169" s="45"/>
      <c r="F169" s="45"/>
      <c r="G169" s="72"/>
      <c r="H169" s="79"/>
      <c r="I169" s="71"/>
      <c r="J169" s="45"/>
      <c r="K169" s="45"/>
      <c r="L169" s="45"/>
      <c r="M169" s="72"/>
      <c r="N169" s="71"/>
      <c r="O169" s="45"/>
      <c r="P169" s="45"/>
      <c r="Q169" s="45"/>
      <c r="R169" s="72"/>
      <c r="S169" s="71">
        <f t="shared" ref="S169:BE169" si="60">$E$216</f>
        <v>-5.8</v>
      </c>
      <c r="T169" s="71">
        <f t="shared" si="60"/>
        <v>-5.8</v>
      </c>
      <c r="U169" s="71">
        <f t="shared" si="60"/>
        <v>-5.8</v>
      </c>
      <c r="V169" s="71">
        <f t="shared" si="60"/>
        <v>-5.8</v>
      </c>
      <c r="W169" s="71">
        <f t="shared" si="60"/>
        <v>-5.8</v>
      </c>
      <c r="X169" s="71">
        <f t="shared" si="60"/>
        <v>-5.8</v>
      </c>
      <c r="Y169" s="71">
        <f t="shared" si="60"/>
        <v>-5.8</v>
      </c>
      <c r="Z169" s="71">
        <f t="shared" si="60"/>
        <v>-5.8</v>
      </c>
      <c r="AA169" s="71">
        <f t="shared" si="60"/>
        <v>-5.8</v>
      </c>
      <c r="AB169" s="71">
        <f t="shared" si="60"/>
        <v>-5.8</v>
      </c>
      <c r="AC169" s="71">
        <f t="shared" si="60"/>
        <v>-5.8</v>
      </c>
      <c r="AD169" s="71">
        <f t="shared" si="60"/>
        <v>-5.8</v>
      </c>
      <c r="AE169" s="71">
        <f t="shared" si="60"/>
        <v>-5.8</v>
      </c>
      <c r="AF169" s="71">
        <f t="shared" si="60"/>
        <v>-5.8</v>
      </c>
      <c r="AG169" s="71">
        <f t="shared" si="60"/>
        <v>-5.8</v>
      </c>
      <c r="AH169" s="71">
        <f t="shared" si="60"/>
        <v>-5.8</v>
      </c>
      <c r="AI169" s="71">
        <f t="shared" si="60"/>
        <v>-5.8</v>
      </c>
      <c r="AJ169" s="71">
        <f t="shared" si="60"/>
        <v>-5.8</v>
      </c>
      <c r="AK169" s="71">
        <f t="shared" si="60"/>
        <v>-5.8</v>
      </c>
      <c r="AL169" s="71">
        <f t="shared" si="60"/>
        <v>-5.8</v>
      </c>
      <c r="AM169" s="71">
        <f t="shared" si="60"/>
        <v>-5.8</v>
      </c>
      <c r="AN169" s="71">
        <f t="shared" si="60"/>
        <v>-5.8</v>
      </c>
      <c r="AO169" s="71">
        <f t="shared" si="60"/>
        <v>-5.8</v>
      </c>
      <c r="AP169" s="71">
        <f t="shared" si="60"/>
        <v>-5.8</v>
      </c>
      <c r="AQ169" s="71">
        <f t="shared" si="60"/>
        <v>-5.8</v>
      </c>
      <c r="AR169" s="71">
        <f t="shared" si="60"/>
        <v>-5.8</v>
      </c>
      <c r="AS169" s="71">
        <f t="shared" si="60"/>
        <v>-5.8</v>
      </c>
      <c r="AT169" s="71">
        <f t="shared" si="60"/>
        <v>-5.8</v>
      </c>
      <c r="AU169" s="71">
        <f t="shared" si="60"/>
        <v>-5.8</v>
      </c>
      <c r="AV169" s="71">
        <f t="shared" si="60"/>
        <v>-5.8</v>
      </c>
      <c r="AW169" s="71">
        <f t="shared" si="60"/>
        <v>-5.8</v>
      </c>
      <c r="AX169" s="71">
        <f t="shared" si="60"/>
        <v>-5.8</v>
      </c>
      <c r="AY169" s="71">
        <f t="shared" si="60"/>
        <v>-5.8</v>
      </c>
      <c r="AZ169" s="71">
        <f t="shared" si="60"/>
        <v>-5.8</v>
      </c>
      <c r="BA169" s="71">
        <f t="shared" si="60"/>
        <v>-5.8</v>
      </c>
      <c r="BB169" s="71">
        <f t="shared" si="60"/>
        <v>-5.8</v>
      </c>
      <c r="BC169" s="71">
        <f t="shared" si="60"/>
        <v>-5.8</v>
      </c>
      <c r="BD169" s="71">
        <f t="shared" si="60"/>
        <v>-5.8</v>
      </c>
      <c r="BE169" s="71">
        <f t="shared" si="60"/>
        <v>-5.8</v>
      </c>
    </row>
    <row r="170" spans="1:57" ht="19.5" hidden="1" customHeight="1"/>
    <row r="171" spans="1:57" s="3" customFormat="1" ht="47.45" hidden="1" customHeight="1">
      <c r="A171" s="816" t="s">
        <v>130</v>
      </c>
      <c r="B171" s="817"/>
      <c r="C171" s="237" t="s">
        <v>5</v>
      </c>
      <c r="D171" s="73"/>
      <c r="E171" s="46"/>
      <c r="F171" s="46"/>
      <c r="G171" s="74"/>
      <c r="H171" s="80"/>
      <c r="I171" s="73"/>
      <c r="J171" s="46"/>
      <c r="K171" s="46"/>
      <c r="L171" s="46"/>
      <c r="M171" s="74"/>
      <c r="N171" s="73"/>
      <c r="O171" s="46"/>
      <c r="P171" s="46"/>
      <c r="Q171" s="46"/>
      <c r="R171" s="74"/>
      <c r="S171" s="73">
        <f t="shared" ref="S171:BE171" si="61">$E$215</f>
        <v>15.6</v>
      </c>
      <c r="T171" s="73">
        <f t="shared" si="61"/>
        <v>15.6</v>
      </c>
      <c r="U171" s="73">
        <f t="shared" si="61"/>
        <v>15.6</v>
      </c>
      <c r="V171" s="73">
        <f t="shared" si="61"/>
        <v>15.6</v>
      </c>
      <c r="W171" s="73">
        <f t="shared" si="61"/>
        <v>15.6</v>
      </c>
      <c r="X171" s="73">
        <f t="shared" si="61"/>
        <v>15.6</v>
      </c>
      <c r="Y171" s="73">
        <f t="shared" si="61"/>
        <v>15.6</v>
      </c>
      <c r="Z171" s="73">
        <f t="shared" si="61"/>
        <v>15.6</v>
      </c>
      <c r="AA171" s="73">
        <f t="shared" si="61"/>
        <v>15.6</v>
      </c>
      <c r="AB171" s="73">
        <f t="shared" si="61"/>
        <v>15.6</v>
      </c>
      <c r="AC171" s="73">
        <f t="shared" si="61"/>
        <v>15.6</v>
      </c>
      <c r="AD171" s="73">
        <f t="shared" si="61"/>
        <v>15.6</v>
      </c>
      <c r="AE171" s="73">
        <f t="shared" si="61"/>
        <v>15.6</v>
      </c>
      <c r="AF171" s="73">
        <f t="shared" si="61"/>
        <v>15.6</v>
      </c>
      <c r="AG171" s="73">
        <f t="shared" si="61"/>
        <v>15.6</v>
      </c>
      <c r="AH171" s="73">
        <f t="shared" si="61"/>
        <v>15.6</v>
      </c>
      <c r="AI171" s="73">
        <f t="shared" si="61"/>
        <v>15.6</v>
      </c>
      <c r="AJ171" s="73">
        <f t="shared" si="61"/>
        <v>15.6</v>
      </c>
      <c r="AK171" s="73">
        <f t="shared" si="61"/>
        <v>15.6</v>
      </c>
      <c r="AL171" s="73">
        <f t="shared" si="61"/>
        <v>15.6</v>
      </c>
      <c r="AM171" s="73">
        <f t="shared" si="61"/>
        <v>15.6</v>
      </c>
      <c r="AN171" s="73">
        <f t="shared" si="61"/>
        <v>15.6</v>
      </c>
      <c r="AO171" s="73">
        <f t="shared" si="61"/>
        <v>15.6</v>
      </c>
      <c r="AP171" s="73">
        <f t="shared" si="61"/>
        <v>15.6</v>
      </c>
      <c r="AQ171" s="73">
        <f t="shared" si="61"/>
        <v>15.6</v>
      </c>
      <c r="AR171" s="73">
        <f t="shared" si="61"/>
        <v>15.6</v>
      </c>
      <c r="AS171" s="73">
        <f t="shared" si="61"/>
        <v>15.6</v>
      </c>
      <c r="AT171" s="73">
        <f t="shared" si="61"/>
        <v>15.6</v>
      </c>
      <c r="AU171" s="73">
        <f t="shared" si="61"/>
        <v>15.6</v>
      </c>
      <c r="AV171" s="73">
        <f t="shared" si="61"/>
        <v>15.6</v>
      </c>
      <c r="AW171" s="73">
        <f t="shared" si="61"/>
        <v>15.6</v>
      </c>
      <c r="AX171" s="73">
        <f t="shared" si="61"/>
        <v>15.6</v>
      </c>
      <c r="AY171" s="73">
        <f t="shared" si="61"/>
        <v>15.6</v>
      </c>
      <c r="AZ171" s="73">
        <f t="shared" si="61"/>
        <v>15.6</v>
      </c>
      <c r="BA171" s="73">
        <f t="shared" si="61"/>
        <v>15.6</v>
      </c>
      <c r="BB171" s="73">
        <f t="shared" si="61"/>
        <v>15.6</v>
      </c>
      <c r="BC171" s="73">
        <f t="shared" si="61"/>
        <v>15.6</v>
      </c>
      <c r="BD171" s="73">
        <f t="shared" si="61"/>
        <v>15.6</v>
      </c>
      <c r="BE171" s="73">
        <f t="shared" si="61"/>
        <v>15.6</v>
      </c>
    </row>
    <row r="172" spans="1:57" s="3" customFormat="1" ht="18" hidden="1" customHeight="1">
      <c r="A172" s="672" t="s">
        <v>8</v>
      </c>
      <c r="B172" s="567"/>
      <c r="C172" s="237" t="s">
        <v>134</v>
      </c>
      <c r="D172" s="73"/>
      <c r="E172" s="46"/>
      <c r="F172" s="46"/>
      <c r="G172" s="74"/>
      <c r="H172" s="80"/>
      <c r="I172" s="73"/>
      <c r="J172" s="46"/>
      <c r="K172" s="46"/>
      <c r="L172" s="46"/>
      <c r="M172" s="74"/>
      <c r="N172" s="73"/>
      <c r="O172" s="46"/>
      <c r="P172" s="46"/>
      <c r="Q172" s="46"/>
      <c r="R172" s="74"/>
      <c r="S172" s="73">
        <f>E234</f>
        <v>5.3</v>
      </c>
      <c r="T172" s="46">
        <f>E237</f>
        <v>7.9</v>
      </c>
      <c r="U172" s="46">
        <f>E240</f>
        <v>11.4</v>
      </c>
      <c r="V172" s="73">
        <f>E243</f>
        <v>13.6</v>
      </c>
      <c r="W172" s="46">
        <f>E246</f>
        <v>16</v>
      </c>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4"/>
      <c r="AW172" s="44"/>
      <c r="AX172" s="44"/>
      <c r="AY172" s="44"/>
      <c r="AZ172" s="44"/>
      <c r="BA172" s="44"/>
      <c r="BB172" s="44"/>
      <c r="BC172" s="44"/>
      <c r="BD172" s="44"/>
      <c r="BE172" s="68"/>
    </row>
    <row r="173" spans="1:57" s="3" customFormat="1" ht="18" hidden="1" customHeight="1">
      <c r="A173" s="672" t="s">
        <v>10</v>
      </c>
      <c r="B173" s="567"/>
      <c r="C173" s="237" t="s">
        <v>135</v>
      </c>
      <c r="D173" s="73"/>
      <c r="E173" s="46"/>
      <c r="F173" s="46"/>
      <c r="G173" s="74"/>
      <c r="H173" s="80"/>
      <c r="I173" s="73"/>
      <c r="J173" s="46"/>
      <c r="K173" s="46"/>
      <c r="L173" s="46"/>
      <c r="M173" s="74"/>
      <c r="N173" s="73"/>
      <c r="O173" s="46"/>
      <c r="P173" s="46"/>
      <c r="Q173" s="46"/>
      <c r="R173" s="74"/>
      <c r="S173" s="73">
        <f>E249</f>
        <v>3.8</v>
      </c>
      <c r="T173" s="46">
        <f>E252</f>
        <v>5.5</v>
      </c>
      <c r="U173" s="46">
        <f>E255</f>
        <v>9</v>
      </c>
      <c r="V173" s="46">
        <f>E258</f>
        <v>14.1</v>
      </c>
      <c r="W173" s="46">
        <f>E261</f>
        <v>15.8</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ht="19.5" hidden="1" customHeight="1"/>
    <row r="175" spans="1:57" ht="19.5" hidden="1" customHeight="1">
      <c r="A175" t="s">
        <v>132</v>
      </c>
    </row>
    <row r="176" spans="1:57" s="4" customFormat="1" ht="18" hidden="1" customHeight="1">
      <c r="A176" s="672" t="s">
        <v>453</v>
      </c>
      <c r="B176" s="567"/>
      <c r="C176" s="237" t="s">
        <v>5</v>
      </c>
      <c r="D176" s="76"/>
      <c r="E176" s="47"/>
      <c r="F176" s="47"/>
      <c r="G176" s="77"/>
      <c r="H176" s="81"/>
      <c r="I176" s="76"/>
      <c r="J176" s="47"/>
      <c r="K176" s="47"/>
      <c r="L176" s="47"/>
      <c r="M176" s="77"/>
      <c r="N176" s="76"/>
      <c r="O176" s="47"/>
      <c r="P176" s="47"/>
      <c r="Q176" s="47"/>
      <c r="R176" s="77"/>
      <c r="S176" s="76">
        <f t="shared" ref="S176:BE176" si="62">$E$214</f>
        <v>45.3</v>
      </c>
      <c r="T176" s="76">
        <f t="shared" si="62"/>
        <v>45.3</v>
      </c>
      <c r="U176" s="76">
        <f t="shared" si="62"/>
        <v>45.3</v>
      </c>
      <c r="V176" s="76">
        <f t="shared" si="62"/>
        <v>45.3</v>
      </c>
      <c r="W176" s="76">
        <f t="shared" si="62"/>
        <v>45.3</v>
      </c>
      <c r="X176" s="76">
        <f t="shared" si="62"/>
        <v>45.3</v>
      </c>
      <c r="Y176" s="76">
        <f t="shared" si="62"/>
        <v>45.3</v>
      </c>
      <c r="Z176" s="76">
        <f t="shared" si="62"/>
        <v>45.3</v>
      </c>
      <c r="AA176" s="76">
        <f t="shared" si="62"/>
        <v>45.3</v>
      </c>
      <c r="AB176" s="76">
        <f t="shared" si="62"/>
        <v>45.3</v>
      </c>
      <c r="AC176" s="76">
        <f t="shared" si="62"/>
        <v>45.3</v>
      </c>
      <c r="AD176" s="76">
        <f t="shared" si="62"/>
        <v>45.3</v>
      </c>
      <c r="AE176" s="76">
        <f t="shared" si="62"/>
        <v>45.3</v>
      </c>
      <c r="AF176" s="76">
        <f t="shared" si="62"/>
        <v>45.3</v>
      </c>
      <c r="AG176" s="76">
        <f t="shared" si="62"/>
        <v>45.3</v>
      </c>
      <c r="AH176" s="76">
        <f t="shared" si="62"/>
        <v>45.3</v>
      </c>
      <c r="AI176" s="76">
        <f t="shared" si="62"/>
        <v>45.3</v>
      </c>
      <c r="AJ176" s="76">
        <f t="shared" si="62"/>
        <v>45.3</v>
      </c>
      <c r="AK176" s="76">
        <f t="shared" si="62"/>
        <v>45.3</v>
      </c>
      <c r="AL176" s="76">
        <f t="shared" si="62"/>
        <v>45.3</v>
      </c>
      <c r="AM176" s="76">
        <f t="shared" si="62"/>
        <v>45.3</v>
      </c>
      <c r="AN176" s="76">
        <f t="shared" si="62"/>
        <v>45.3</v>
      </c>
      <c r="AO176" s="76">
        <f t="shared" si="62"/>
        <v>45.3</v>
      </c>
      <c r="AP176" s="76">
        <f t="shared" si="62"/>
        <v>45.3</v>
      </c>
      <c r="AQ176" s="76">
        <f t="shared" si="62"/>
        <v>45.3</v>
      </c>
      <c r="AR176" s="76">
        <f t="shared" si="62"/>
        <v>45.3</v>
      </c>
      <c r="AS176" s="76">
        <f t="shared" si="62"/>
        <v>45.3</v>
      </c>
      <c r="AT176" s="76">
        <f t="shared" si="62"/>
        <v>45.3</v>
      </c>
      <c r="AU176" s="76">
        <f t="shared" si="62"/>
        <v>45.3</v>
      </c>
      <c r="AV176" s="76">
        <f t="shared" si="62"/>
        <v>45.3</v>
      </c>
      <c r="AW176" s="76">
        <f t="shared" si="62"/>
        <v>45.3</v>
      </c>
      <c r="AX176" s="76">
        <f t="shared" si="62"/>
        <v>45.3</v>
      </c>
      <c r="AY176" s="76">
        <f t="shared" si="62"/>
        <v>45.3</v>
      </c>
      <c r="AZ176" s="76">
        <f t="shared" si="62"/>
        <v>45.3</v>
      </c>
      <c r="BA176" s="76">
        <f t="shared" si="62"/>
        <v>45.3</v>
      </c>
      <c r="BB176" s="76">
        <f t="shared" si="62"/>
        <v>45.3</v>
      </c>
      <c r="BC176" s="76">
        <f t="shared" si="62"/>
        <v>45.3</v>
      </c>
      <c r="BD176" s="76">
        <f t="shared" si="62"/>
        <v>45.3</v>
      </c>
      <c r="BE176" s="76">
        <f t="shared" si="62"/>
        <v>45.3</v>
      </c>
    </row>
    <row r="177" spans="1:58" s="4" customFormat="1" ht="18" hidden="1" customHeight="1">
      <c r="A177" s="36"/>
      <c r="B177" s="671" t="s">
        <v>34</v>
      </c>
      <c r="C177" s="672"/>
      <c r="D177" s="76"/>
      <c r="E177" s="47"/>
      <c r="F177" s="47"/>
      <c r="G177" s="77"/>
      <c r="H177" s="81"/>
      <c r="I177" s="76"/>
      <c r="J177" s="47"/>
      <c r="K177" s="47"/>
      <c r="L177" s="47"/>
      <c r="M177" s="77"/>
      <c r="N177" s="76"/>
      <c r="O177" s="47"/>
      <c r="P177" s="47"/>
      <c r="Q177" s="47"/>
      <c r="R177" s="77"/>
      <c r="S177" s="82" t="e">
        <f t="shared" ref="S177:BE177" si="63">IF(S162="",NA(),ROUND(1443/(1443+S168),4))</f>
        <v>#N/A</v>
      </c>
      <c r="T177" s="48" t="e">
        <f t="shared" si="63"/>
        <v>#N/A</v>
      </c>
      <c r="U177" s="48" t="e">
        <f t="shared" si="63"/>
        <v>#N/A</v>
      </c>
      <c r="V177" s="48" t="e">
        <f t="shared" si="63"/>
        <v>#N/A</v>
      </c>
      <c r="W177" s="48" t="e">
        <f t="shared" si="63"/>
        <v>#N/A</v>
      </c>
      <c r="X177" s="48" t="e">
        <f t="shared" si="63"/>
        <v>#N/A</v>
      </c>
      <c r="Y177" s="48" t="e">
        <f t="shared" si="63"/>
        <v>#N/A</v>
      </c>
      <c r="Z177" s="48" t="e">
        <f t="shared" si="63"/>
        <v>#N/A</v>
      </c>
      <c r="AA177" s="48" t="e">
        <f t="shared" si="63"/>
        <v>#N/A</v>
      </c>
      <c r="AB177" s="48" t="e">
        <f t="shared" si="63"/>
        <v>#N/A</v>
      </c>
      <c r="AC177" s="48" t="e">
        <f t="shared" si="63"/>
        <v>#N/A</v>
      </c>
      <c r="AD177" s="48" t="e">
        <f t="shared" si="63"/>
        <v>#N/A</v>
      </c>
      <c r="AE177" s="48" t="e">
        <f t="shared" si="63"/>
        <v>#N/A</v>
      </c>
      <c r="AF177" s="48" t="e">
        <f t="shared" si="63"/>
        <v>#N/A</v>
      </c>
      <c r="AG177" s="48" t="e">
        <f t="shared" si="63"/>
        <v>#N/A</v>
      </c>
      <c r="AH177" s="48" t="e">
        <f t="shared" si="63"/>
        <v>#N/A</v>
      </c>
      <c r="AI177" s="48" t="e">
        <f t="shared" si="63"/>
        <v>#N/A</v>
      </c>
      <c r="AJ177" s="48" t="e">
        <f t="shared" si="63"/>
        <v>#N/A</v>
      </c>
      <c r="AK177" s="48" t="e">
        <f t="shared" si="63"/>
        <v>#N/A</v>
      </c>
      <c r="AL177" s="48" t="e">
        <f t="shared" si="63"/>
        <v>#N/A</v>
      </c>
      <c r="AM177" s="48" t="e">
        <f t="shared" si="63"/>
        <v>#N/A</v>
      </c>
      <c r="AN177" s="48" t="e">
        <f t="shared" si="63"/>
        <v>#N/A</v>
      </c>
      <c r="AO177" s="48" t="e">
        <f t="shared" si="63"/>
        <v>#N/A</v>
      </c>
      <c r="AP177" s="48" t="e">
        <f t="shared" si="63"/>
        <v>#N/A</v>
      </c>
      <c r="AQ177" s="48" t="e">
        <f t="shared" si="63"/>
        <v>#N/A</v>
      </c>
      <c r="AR177" s="48" t="e">
        <f t="shared" si="63"/>
        <v>#N/A</v>
      </c>
      <c r="AS177" s="48" t="e">
        <f t="shared" si="63"/>
        <v>#N/A</v>
      </c>
      <c r="AT177" s="48" t="e">
        <f t="shared" si="63"/>
        <v>#N/A</v>
      </c>
      <c r="AU177" s="48" t="e">
        <f t="shared" si="63"/>
        <v>#N/A</v>
      </c>
      <c r="AV177" s="48" t="e">
        <f t="shared" si="63"/>
        <v>#N/A</v>
      </c>
      <c r="AW177" s="48" t="e">
        <f t="shared" si="63"/>
        <v>#N/A</v>
      </c>
      <c r="AX177" s="48" t="e">
        <f t="shared" si="63"/>
        <v>#N/A</v>
      </c>
      <c r="AY177" s="48" t="e">
        <f t="shared" si="63"/>
        <v>#N/A</v>
      </c>
      <c r="AZ177" s="48" t="e">
        <f t="shared" si="63"/>
        <v>#N/A</v>
      </c>
      <c r="BA177" s="48" t="e">
        <f t="shared" si="63"/>
        <v>#N/A</v>
      </c>
      <c r="BB177" s="48" t="e">
        <f t="shared" si="63"/>
        <v>#N/A</v>
      </c>
      <c r="BC177" s="48" t="e">
        <f t="shared" si="63"/>
        <v>#N/A</v>
      </c>
      <c r="BD177" s="48" t="e">
        <f t="shared" si="63"/>
        <v>#N/A</v>
      </c>
      <c r="BE177" s="83" t="e">
        <f t="shared" si="63"/>
        <v>#N/A</v>
      </c>
      <c r="BF177" s="4" t="s">
        <v>133</v>
      </c>
    </row>
    <row r="178" spans="1:58" s="4" customFormat="1" ht="18" hidden="1" customHeight="1">
      <c r="A178" s="36"/>
      <c r="B178" s="671" t="s">
        <v>35</v>
      </c>
      <c r="C178" s="672"/>
      <c r="D178" s="76"/>
      <c r="E178" s="47"/>
      <c r="F178" s="47"/>
      <c r="G178" s="77"/>
      <c r="H178" s="81"/>
      <c r="I178" s="76"/>
      <c r="J178" s="47"/>
      <c r="K178" s="47"/>
      <c r="L178" s="47"/>
      <c r="M178" s="77"/>
      <c r="N178" s="76"/>
      <c r="O178" s="47"/>
      <c r="P178" s="47"/>
      <c r="Q178" s="47"/>
      <c r="R178" s="77"/>
      <c r="S178" s="82" t="e">
        <f>IF(S16="",NA(),IFERROR(S16*VLOOKUP(S16,'各種計算式等（配付時非表示）'!$E$3:$H$1003,3,TRUE)+VLOOKUP(S16,'各種計算式等（配付時非表示）'!$E$3:$H$1003,4,TRUE)+0.0000000001,"-"))</f>
        <v>#N/A</v>
      </c>
      <c r="T178" s="48" t="e">
        <f>IF(T16="",NA(),IFERROR(T16*VLOOKUP(T16,'各種計算式等（配付時非表示）'!$E$3:$H$1003,3,TRUE)+VLOOKUP(T16,'各種計算式等（配付時非表示）'!$E$3:$H$1003,4,TRUE)+0.0000000001,"-"))</f>
        <v>#N/A</v>
      </c>
      <c r="U178" s="48" t="e">
        <f>IF(U16="",NA(),IFERROR(U16*VLOOKUP(U16,'各種計算式等（配付時非表示）'!$E$3:$H$1003,3,TRUE)+VLOOKUP(U16,'各種計算式等（配付時非表示）'!$E$3:$H$1003,4,TRUE)+0.0000000001,"-"))</f>
        <v>#N/A</v>
      </c>
      <c r="V178" s="48" t="e">
        <f>IF(V16="",NA(),IFERROR(V16*VLOOKUP(V16,'各種計算式等（配付時非表示）'!$E$3:$H$1003,3,TRUE)+VLOOKUP(V16,'各種計算式等（配付時非表示）'!$E$3:$H$1003,4,TRUE)+0.0000000001,"-"))</f>
        <v>#N/A</v>
      </c>
      <c r="W178" s="48" t="e">
        <f>IF(W16="",NA(),IFERROR(W16*VLOOKUP(W16,'各種計算式等（配付時非表示）'!$E$3:$H$1003,3,TRUE)+VLOOKUP(W16,'各種計算式等（配付時非表示）'!$E$3:$H$1003,4,TRUE)+0.0000000001,"-"))</f>
        <v>#N/A</v>
      </c>
      <c r="X178" s="48" t="e">
        <f>IF(X16="",NA(),IFERROR(X16*VLOOKUP(X16,'各種計算式等（配付時非表示）'!$E$3:$H$1003,3,TRUE)+VLOOKUP(X16,'各種計算式等（配付時非表示）'!$E$3:$H$1003,4,TRUE)+0.0000000001,"-"))</f>
        <v>#N/A</v>
      </c>
      <c r="Y178" s="48" t="e">
        <f>IF(Y16="",NA(),IFERROR(Y16*VLOOKUP(Y16,'各種計算式等（配付時非表示）'!$E$3:$H$1003,3,TRUE)+VLOOKUP(Y16,'各種計算式等（配付時非表示）'!$E$3:$H$1003,4,TRUE)+0.0000000001,"-"))</f>
        <v>#N/A</v>
      </c>
      <c r="Z178" s="48" t="e">
        <f>IF(Z16="",NA(),IFERROR(Z16*VLOOKUP(Z16,'各種計算式等（配付時非表示）'!$E$3:$H$1003,3,TRUE)+VLOOKUP(Z16,'各種計算式等（配付時非表示）'!$E$3:$H$1003,4,TRUE)+0.0000000001,"-"))</f>
        <v>#N/A</v>
      </c>
      <c r="AA178" s="48" t="e">
        <f>IF(AA16="",NA(),IFERROR(AA16*VLOOKUP(AA16,'各種計算式等（配付時非表示）'!$E$3:$H$1003,3,TRUE)+VLOOKUP(AA16,'各種計算式等（配付時非表示）'!$E$3:$H$1003,4,TRUE)+0.0000000001,"-"))</f>
        <v>#N/A</v>
      </c>
      <c r="AB178" s="48" t="e">
        <f>IF(AB16="",NA(),IFERROR(AB16*VLOOKUP(AB16,'各種計算式等（配付時非表示）'!$E$3:$H$1003,3,TRUE)+VLOOKUP(AB16,'各種計算式等（配付時非表示）'!$E$3:$H$1003,4,TRUE)+0.0000000001,"-"))</f>
        <v>#N/A</v>
      </c>
      <c r="AC178" s="48" t="e">
        <f>IF(AC16="",NA(),IFERROR(AC16*VLOOKUP(AC16,'各種計算式等（配付時非表示）'!$E$3:$H$1003,3,TRUE)+VLOOKUP(AC16,'各種計算式等（配付時非表示）'!$E$3:$H$1003,4,TRUE)+0.0000000001,"-"))</f>
        <v>#N/A</v>
      </c>
      <c r="AD178" s="48" t="e">
        <f>IF(AD16="",NA(),IFERROR(AD16*VLOOKUP(AD16,'各種計算式等（配付時非表示）'!$E$3:$H$1003,3,TRUE)+VLOOKUP(AD16,'各種計算式等（配付時非表示）'!$E$3:$H$1003,4,TRUE)+0.0000000001,"-"))</f>
        <v>#N/A</v>
      </c>
      <c r="AE178" s="48" t="e">
        <f>IF(AE16="",NA(),IFERROR(AE16*VLOOKUP(AE16,'各種計算式等（配付時非表示）'!$E$3:$H$1003,3,TRUE)+VLOOKUP(AE16,'各種計算式等（配付時非表示）'!$E$3:$H$1003,4,TRUE)+0.0000000001,"-"))</f>
        <v>#N/A</v>
      </c>
      <c r="AF178" s="48" t="e">
        <f>IF(AF16="",NA(),IFERROR(AF16*VLOOKUP(AF16,'各種計算式等（配付時非表示）'!$E$3:$H$1003,3,TRUE)+VLOOKUP(AF16,'各種計算式等（配付時非表示）'!$E$3:$H$1003,4,TRUE)+0.0000000001,"-"))</f>
        <v>#N/A</v>
      </c>
      <c r="AG178" s="48" t="e">
        <f>IF(AG16="",NA(),IFERROR(AG16*VLOOKUP(AG16,'各種計算式等（配付時非表示）'!$E$3:$H$1003,3,TRUE)+VLOOKUP(AG16,'各種計算式等（配付時非表示）'!$E$3:$H$1003,4,TRUE)+0.0000000001,"-"))</f>
        <v>#N/A</v>
      </c>
      <c r="AH178" s="48" t="e">
        <f>IF(AH16="",NA(),IFERROR(AH16*VLOOKUP(AH16,'各種計算式等（配付時非表示）'!$E$3:$H$1003,3,TRUE)+VLOOKUP(AH16,'各種計算式等（配付時非表示）'!$E$3:$H$1003,4,TRUE)+0.0000000001,"-"))</f>
        <v>#N/A</v>
      </c>
      <c r="AI178" s="48" t="e">
        <f>IF(AI16="",NA(),IFERROR(AI16*VLOOKUP(AI16,'各種計算式等（配付時非表示）'!$E$3:$H$1003,3,TRUE)+VLOOKUP(AI16,'各種計算式等（配付時非表示）'!$E$3:$H$1003,4,TRUE)+0.0000000001,"-"))</f>
        <v>#N/A</v>
      </c>
      <c r="AJ178" s="48" t="e">
        <f>IF(AJ16="",NA(),IFERROR(AJ16*VLOOKUP(AJ16,'各種計算式等（配付時非表示）'!$E$3:$H$1003,3,TRUE)+VLOOKUP(AJ16,'各種計算式等（配付時非表示）'!$E$3:$H$1003,4,TRUE)+0.0000000001,"-"))</f>
        <v>#N/A</v>
      </c>
      <c r="AK178" s="48" t="e">
        <f>IF(AK16="",NA(),IFERROR(AK16*VLOOKUP(AK16,'各種計算式等（配付時非表示）'!$E$3:$H$1003,3,TRUE)+VLOOKUP(AK16,'各種計算式等（配付時非表示）'!$E$3:$H$1003,4,TRUE)+0.0000000001,"-"))</f>
        <v>#N/A</v>
      </c>
      <c r="AL178" s="48" t="e">
        <f>IF(AL16="",NA(),IFERROR(AL16*VLOOKUP(AL16,'各種計算式等（配付時非表示）'!$E$3:$H$1003,3,TRUE)+VLOOKUP(AL16,'各種計算式等（配付時非表示）'!$E$3:$H$1003,4,TRUE)+0.0000000001,"-"))</f>
        <v>#N/A</v>
      </c>
      <c r="AM178" s="48" t="e">
        <f>IF(AM16="",NA(),IFERROR(AM16*VLOOKUP(AM16,'各種計算式等（配付時非表示）'!$E$3:$H$1003,3,TRUE)+VLOOKUP(AM16,'各種計算式等（配付時非表示）'!$E$3:$H$1003,4,TRUE)+0.0000000001,"-"))</f>
        <v>#N/A</v>
      </c>
      <c r="AN178" s="48" t="e">
        <f>IF(AN16="",NA(),IFERROR(AN16*VLOOKUP(AN16,'各種計算式等（配付時非表示）'!$E$3:$H$1003,3,TRUE)+VLOOKUP(AN16,'各種計算式等（配付時非表示）'!$E$3:$H$1003,4,TRUE)+0.0000000001,"-"))</f>
        <v>#N/A</v>
      </c>
      <c r="AO178" s="48" t="e">
        <f>IF(AO16="",NA(),IFERROR(AO16*VLOOKUP(AO16,'各種計算式等（配付時非表示）'!$E$3:$H$1003,3,TRUE)+VLOOKUP(AO16,'各種計算式等（配付時非表示）'!$E$3:$H$1003,4,TRUE)+0.0000000001,"-"))</f>
        <v>#N/A</v>
      </c>
      <c r="AP178" s="48" t="e">
        <f>IF(AP16="",NA(),IFERROR(AP16*VLOOKUP(AP16,'各種計算式等（配付時非表示）'!$E$3:$H$1003,3,TRUE)+VLOOKUP(AP16,'各種計算式等（配付時非表示）'!$E$3:$H$1003,4,TRUE)+0.0000000001,"-"))</f>
        <v>#N/A</v>
      </c>
      <c r="AQ178" s="48" t="e">
        <f>IF(AQ16="",NA(),IFERROR(AQ16*VLOOKUP(AQ16,'各種計算式等（配付時非表示）'!$E$3:$H$1003,3,TRUE)+VLOOKUP(AQ16,'各種計算式等（配付時非表示）'!$E$3:$H$1003,4,TRUE)+0.0000000001,"-"))</f>
        <v>#N/A</v>
      </c>
      <c r="AR178" s="48" t="e">
        <f>IF(AR16="",NA(),IFERROR(AR16*VLOOKUP(AR16,'各種計算式等（配付時非表示）'!$E$3:$H$1003,3,TRUE)+VLOOKUP(AR16,'各種計算式等（配付時非表示）'!$E$3:$H$1003,4,TRUE)+0.0000000001,"-"))</f>
        <v>#N/A</v>
      </c>
      <c r="AS178" s="48" t="e">
        <f>IF(AS16="",NA(),IFERROR(AS16*VLOOKUP(AS16,'各種計算式等（配付時非表示）'!$E$3:$H$1003,3,TRUE)+VLOOKUP(AS16,'各種計算式等（配付時非表示）'!$E$3:$H$1003,4,TRUE)+0.0000000001,"-"))</f>
        <v>#N/A</v>
      </c>
      <c r="AT178" s="48" t="e">
        <f>IF(AT16="",NA(),IFERROR(AT16*VLOOKUP(AT16,'各種計算式等（配付時非表示）'!$E$3:$H$1003,3,TRUE)+VLOOKUP(AT16,'各種計算式等（配付時非表示）'!$E$3:$H$1003,4,TRUE)+0.0000000001,"-"))</f>
        <v>#N/A</v>
      </c>
      <c r="AU178" s="48" t="e">
        <f>IF(AU16="",NA(),IFERROR(AU16*VLOOKUP(AU16,'各種計算式等（配付時非表示）'!$E$3:$H$1003,3,TRUE)+VLOOKUP(AU16,'各種計算式等（配付時非表示）'!$E$3:$H$1003,4,TRUE)+0.0000000001,"-"))</f>
        <v>#N/A</v>
      </c>
      <c r="AV178" s="48" t="e">
        <f>IF(AV16="",NA(),IFERROR(AV16*VLOOKUP(AV16,'各種計算式等（配付時非表示）'!$E$3:$H$1003,3,TRUE)+VLOOKUP(AV16,'各種計算式等（配付時非表示）'!$E$3:$H$1003,4,TRUE)+0.0000000001,"-"))</f>
        <v>#N/A</v>
      </c>
      <c r="AW178" s="48" t="e">
        <f>IF(AW16="",NA(),IFERROR(AW16*VLOOKUP(AW16,'各種計算式等（配付時非表示）'!$E$3:$H$1003,3,TRUE)+VLOOKUP(AW16,'各種計算式等（配付時非表示）'!$E$3:$H$1003,4,TRUE)+0.0000000001,"-"))</f>
        <v>#N/A</v>
      </c>
      <c r="AX178" s="48" t="e">
        <f>IF(AX16="",NA(),IFERROR(AX16*VLOOKUP(AX16,'各種計算式等（配付時非表示）'!$E$3:$H$1003,3,TRUE)+VLOOKUP(AX16,'各種計算式等（配付時非表示）'!$E$3:$H$1003,4,TRUE)+0.0000000001,"-"))</f>
        <v>#N/A</v>
      </c>
      <c r="AY178" s="48" t="e">
        <f>IF(AY16="",NA(),IFERROR(AY16*VLOOKUP(AY16,'各種計算式等（配付時非表示）'!$E$3:$H$1003,3,TRUE)+VLOOKUP(AY16,'各種計算式等（配付時非表示）'!$E$3:$H$1003,4,TRUE)+0.0000000001,"-"))</f>
        <v>#N/A</v>
      </c>
      <c r="AZ178" s="48" t="e">
        <f>IF(AZ16="",NA(),IFERROR(AZ16*VLOOKUP(AZ16,'各種計算式等（配付時非表示）'!$E$3:$H$1003,3,TRUE)+VLOOKUP(AZ16,'各種計算式等（配付時非表示）'!$E$3:$H$1003,4,TRUE)+0.0000000001,"-"))</f>
        <v>#N/A</v>
      </c>
      <c r="BA178" s="48" t="e">
        <f>IF(BA16="",NA(),IFERROR(BA16*VLOOKUP(BA16,'各種計算式等（配付時非表示）'!$E$3:$H$1003,3,TRUE)+VLOOKUP(BA16,'各種計算式等（配付時非表示）'!$E$3:$H$1003,4,TRUE)+0.0000000001,"-"))</f>
        <v>#N/A</v>
      </c>
      <c r="BB178" s="48" t="e">
        <f>IF(BB16="",NA(),IFERROR(BB16*VLOOKUP(BB16,'各種計算式等（配付時非表示）'!$E$3:$H$1003,3,TRUE)+VLOOKUP(BB16,'各種計算式等（配付時非表示）'!$E$3:$H$1003,4,TRUE)+0.0000000001,"-"))</f>
        <v>#N/A</v>
      </c>
      <c r="BC178" s="48" t="e">
        <f>IF(BC16="",NA(),IFERROR(BC16*VLOOKUP(BC16,'各種計算式等（配付時非表示）'!$E$3:$H$1003,3,TRUE)+VLOOKUP(BC16,'各種計算式等（配付時非表示）'!$E$3:$H$1003,4,TRUE)+0.0000000001,"-"))</f>
        <v>#N/A</v>
      </c>
      <c r="BD178" s="48" t="e">
        <f>IF(BD16="",NA(),IFERROR(BD16*VLOOKUP(BD16,'各種計算式等（配付時非表示）'!$E$3:$H$1003,3,TRUE)+VLOOKUP(BD16,'各種計算式等（配付時非表示）'!$E$3:$H$1003,4,TRUE)+0.0000000001,"-"))</f>
        <v>#N/A</v>
      </c>
      <c r="BE178" s="83" t="e">
        <f>IF(BE16="",NA(),IFERROR(BE16*VLOOKUP(BE16,'各種計算式等（配付時非表示）'!$E$3:$H$1003,3,TRUE)+VLOOKUP(BE16,'各種計算式等（配付時非表示）'!$E$3:$H$1003,4,TRUE)+0.0000000001,"-"))</f>
        <v>#N/A</v>
      </c>
      <c r="BF178" s="4" t="s">
        <v>133</v>
      </c>
    </row>
    <row r="179" spans="1:58" s="4" customFormat="1" ht="18" hidden="1" customHeight="1">
      <c r="A179" s="118"/>
      <c r="B179" s="119"/>
      <c r="C179" s="119"/>
      <c r="D179" s="120"/>
      <c r="E179" s="120"/>
      <c r="F179" s="120"/>
      <c r="G179" s="120"/>
      <c r="H179" s="120"/>
      <c r="I179" s="120"/>
      <c r="J179" s="120"/>
      <c r="K179" s="120"/>
      <c r="L179" s="120"/>
      <c r="M179" s="120"/>
      <c r="N179" s="120"/>
      <c r="O179" s="120"/>
      <c r="P179" s="120"/>
      <c r="Q179" s="120"/>
      <c r="R179" s="120"/>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row>
    <row r="180" spans="1:58" ht="19.5" hidden="1" customHeight="1">
      <c r="A180" t="s">
        <v>266</v>
      </c>
    </row>
    <row r="181" spans="1:58" ht="19.5" hidden="1" customHeight="1"/>
    <row r="182" spans="1:58" s="1" customFormat="1" ht="20.100000000000001" hidden="1" customHeight="1">
      <c r="A182" s="117"/>
      <c r="B182" s="115" t="s">
        <v>40</v>
      </c>
      <c r="C182" s="115" t="s">
        <v>134</v>
      </c>
      <c r="D182" s="240" t="s">
        <v>265</v>
      </c>
      <c r="E182" s="240"/>
      <c r="F182" s="240"/>
      <c r="G182" s="240"/>
      <c r="H182" s="240"/>
      <c r="I182" s="240"/>
      <c r="J182" s="240"/>
      <c r="K182" s="240"/>
      <c r="L182" s="240"/>
      <c r="M182" s="240"/>
      <c r="N182" s="240"/>
      <c r="O182" s="240"/>
      <c r="P182" s="240"/>
      <c r="Q182" s="240"/>
      <c r="R182" s="240"/>
      <c r="S182" s="117" t="e">
        <f>E232</f>
        <v>#N/A</v>
      </c>
      <c r="T182" s="240" t="e">
        <f>E235</f>
        <v>#N/A</v>
      </c>
      <c r="U182" s="240" t="e">
        <f>E238</f>
        <v>#N/A</v>
      </c>
      <c r="V182" s="240" t="e">
        <f>E241</f>
        <v>#N/A</v>
      </c>
      <c r="W182" s="240" t="e">
        <f>E244</f>
        <v>#N/A</v>
      </c>
      <c r="X182" s="240"/>
      <c r="Y182" s="240"/>
      <c r="Z182" s="240"/>
      <c r="AA182" s="310" t="s">
        <v>285</v>
      </c>
      <c r="AB182" s="117" t="e">
        <f>E232</f>
        <v>#N/A</v>
      </c>
      <c r="AC182" s="309" t="e">
        <f>E235</f>
        <v>#N/A</v>
      </c>
      <c r="AD182" s="309" t="e">
        <f>E238</f>
        <v>#N/A</v>
      </c>
      <c r="AE182" s="309" t="e">
        <f>E241</f>
        <v>#N/A</v>
      </c>
      <c r="AF182" s="309" t="e">
        <f>E244</f>
        <v>#N/A</v>
      </c>
      <c r="AG182" s="240"/>
      <c r="AH182" s="240"/>
      <c r="AI182" s="240"/>
      <c r="AJ182" s="240"/>
      <c r="AK182" s="240"/>
      <c r="AL182" s="240"/>
      <c r="AM182" s="240"/>
      <c r="AN182" s="240"/>
      <c r="AO182" s="240"/>
      <c r="AP182" s="240"/>
      <c r="AQ182" s="240"/>
      <c r="AR182" s="240"/>
      <c r="AS182" s="240"/>
      <c r="AT182" s="240"/>
      <c r="AU182" s="240"/>
      <c r="AV182" s="6"/>
      <c r="AW182" s="6"/>
      <c r="AX182" s="6"/>
      <c r="AY182" s="6"/>
      <c r="AZ182" s="6"/>
      <c r="BA182" s="6"/>
      <c r="BB182" s="6"/>
      <c r="BC182" s="6"/>
      <c r="BD182" s="6"/>
    </row>
    <row r="183" spans="1:58" s="1" customFormat="1" ht="20.100000000000001" hidden="1" customHeight="1">
      <c r="A183" s="117"/>
      <c r="B183" s="115"/>
      <c r="C183" s="115"/>
      <c r="D183" s="240" t="s">
        <v>58</v>
      </c>
      <c r="E183" s="240"/>
      <c r="F183" s="240"/>
      <c r="G183" s="240"/>
      <c r="H183" s="240"/>
      <c r="I183" s="240"/>
      <c r="J183" s="240"/>
      <c r="K183" s="240"/>
      <c r="L183" s="240"/>
      <c r="M183" s="240"/>
      <c r="N183" s="240"/>
      <c r="O183" s="240"/>
      <c r="P183" s="240"/>
      <c r="Q183" s="240"/>
      <c r="R183" s="240"/>
      <c r="S183" s="214">
        <f>I234</f>
        <v>24.9</v>
      </c>
      <c r="T183" s="215">
        <f>I237</f>
        <v>27.2</v>
      </c>
      <c r="U183" s="215">
        <f>I240</f>
        <v>29.1</v>
      </c>
      <c r="V183" s="215">
        <f>I243</f>
        <v>30.4</v>
      </c>
      <c r="W183" s="215">
        <f>I246</f>
        <v>32.1</v>
      </c>
      <c r="X183" s="240"/>
      <c r="Y183" s="240"/>
      <c r="Z183" s="240"/>
      <c r="AA183" s="310"/>
      <c r="AB183" s="214" t="e">
        <f ca="1">IF(I234="",NA(),IF(AB182&lt;=$B$135,I234*$D$138/100,IF(AB182&lt;=$C$135,I234*$E$138/100,IF(AB182&lt;=$D$135,I234*$F$138/100,IF(AB182&lt;=$E$135,I234*$G$138/100,IF(AB182&lt;=$F$135,I234*$H$138/100,IF(AB182&lt;=$G$135,I234*$I$138/100,IF(AB182&lt;=$H$135,I234*$J$138/100,IF(AB182&lt;=$I$135,I234*$K$138/100,IF(AB182&lt;=$J$135,I234*$L$138/100,IF(AB182&lt;=$K$135,I234*$M$138/100,I234*$N$138/100)))))))))))</f>
        <v>#N/A</v>
      </c>
      <c r="AC183" s="214" t="e">
        <f ca="1">IF(I237="",NA(),IF(AC182&lt;=$B$135,I237*$D$138/100,IF(AC182&lt;=$C$135,I237*$E$138/100,IF(AC182&lt;=$D$135,I237*$F$138/100,IF(AC182&lt;=$E$135,I237*$G$138/100,IF(AC182&lt;=$F$135,I237*$H$138/100,IF(AC182&lt;=$G$135,I237*$I$138/100,IF(AC182&lt;=$H$135,I237*$J$138/100,IF(AC182&lt;=$I$135,I237*$K$138/100,IF(AC182&lt;=$J$135,I237*$L$138/100,IF(AC182&lt;=$K$135,I237*$M$138/100,I237*$N$138/100)))))))))))</f>
        <v>#N/A</v>
      </c>
      <c r="AD183" s="214" t="e">
        <f ca="1">IF(I240="",NA(),IF(AD182&lt;=$B$135,I240*$D$138/100,IF(AD182&lt;=$C$135,I240*$E$138/100,IF(AD182&lt;=$D$135,I240*$F$138/100,IF(AD182&lt;=$E$135,I240*$G$138/100,IF(AD182&lt;=$F$135,I240*$H$138/100,IF(AD182&lt;=$G$135,I240*$I$138/100,IF(AD182&lt;=$H$135,I240*$J$138/100,IF(AD182&lt;=$I$135,I240*$K$138/100,IF(AD182&lt;=$J$135,I240*$L$138/100,IF(AD182&lt;=$K$135,I240*$M$138/100,I240*$N$138/100)))))))))))</f>
        <v>#N/A</v>
      </c>
      <c r="AE183" s="214" t="e">
        <f ca="1">IF(I243="",NA(),IF(AE182&lt;=$B$135,I243*$D$138/100,IF(AE182&lt;=$C$135,I243*$E$138/100,IF(AE182&lt;=$D$135,I243*$F$138/100,IF(AE182&lt;=$E$135,I243*$G$138/100,IF(AE182&lt;=$F$135,I243*$H$138/100,IF(AE182&lt;=$G$135,I243*$I$138/100,IF(AE182&lt;=$H$135,I243*$J$138/100,IF(AE182&lt;=$I$135,I243*$K$138/100,IF(AE182&lt;=$J$135,I243*$L$138/100,IF(AE182&lt;=$K$135,I243*$M$138/100,I243*$N$138/100)))))))))))</f>
        <v>#N/A</v>
      </c>
      <c r="AF183" s="214" t="e">
        <f ca="1">IF(I246="",NA(),IF(AF182&lt;=$B$135,I246*$D$138/100,IF(AF182&lt;=$C$135,I246*$E$138/100,IF(AF182&lt;=$D$135,I246*$F$138/100,IF(AF182&lt;=$E$135,I246*$G$138/100,IF(AF182&lt;=$F$135,I246*$H$138/100,IF(AF182&lt;=$G$135,I246*$I$138/100,IF(AF182&lt;=$H$135,I246*$J$138/100,IF(AF182&lt;=$I$135,I246*$K$138/100,IF(AF182&lt;=$J$135,I246*$L$138/100,IF(AF182&lt;=$K$135,I246*$M$138/100,I246*$N$138/100)))))))))))</f>
        <v>#N/A</v>
      </c>
      <c r="AG183" s="240"/>
      <c r="AH183" s="240"/>
      <c r="AI183" s="240"/>
      <c r="AJ183" s="240"/>
      <c r="AK183" s="240"/>
      <c r="AL183" s="240"/>
      <c r="AM183" s="240"/>
      <c r="AN183" s="240"/>
      <c r="AO183" s="240"/>
      <c r="AP183" s="240"/>
      <c r="AQ183" s="240"/>
      <c r="AR183" s="240"/>
      <c r="AS183" s="240"/>
      <c r="AT183" s="240"/>
      <c r="AU183" s="240"/>
      <c r="AV183" s="6"/>
      <c r="AW183" s="6"/>
      <c r="AX183" s="6"/>
      <c r="AY183" s="6"/>
      <c r="AZ183" s="6"/>
      <c r="BA183" s="6"/>
      <c r="BB183" s="6"/>
      <c r="BC183" s="6"/>
      <c r="BD183" s="6"/>
    </row>
    <row r="184" spans="1:58" s="1" customFormat="1" ht="20.100000000000001" hidden="1" customHeight="1">
      <c r="A184" s="117"/>
      <c r="B184" s="115" t="s">
        <v>41</v>
      </c>
      <c r="C184" s="115" t="s">
        <v>135</v>
      </c>
      <c r="D184" s="240" t="s">
        <v>265</v>
      </c>
      <c r="E184" s="240"/>
      <c r="F184" s="240"/>
      <c r="G184" s="240"/>
      <c r="H184" s="240"/>
      <c r="I184" s="240"/>
      <c r="J184" s="240"/>
      <c r="K184" s="240"/>
      <c r="L184" s="240"/>
      <c r="M184" s="240"/>
      <c r="N184" s="240"/>
      <c r="O184" s="240"/>
      <c r="P184" s="240"/>
      <c r="Q184" s="240"/>
      <c r="R184" s="240"/>
      <c r="S184" s="117" t="e">
        <f>E247</f>
        <v>#N/A</v>
      </c>
      <c r="T184" s="240" t="e">
        <f>E250</f>
        <v>#N/A</v>
      </c>
      <c r="U184" s="240" t="e">
        <f>E253</f>
        <v>#N/A</v>
      </c>
      <c r="V184" s="240" t="e">
        <f>E256</f>
        <v>#N/A</v>
      </c>
      <c r="W184" s="240" t="e">
        <f>E259</f>
        <v>#N/A</v>
      </c>
      <c r="X184" s="240"/>
      <c r="Y184" s="240"/>
      <c r="Z184" s="240"/>
      <c r="AA184" s="310" t="s">
        <v>286</v>
      </c>
      <c r="AB184" s="117" t="e">
        <f>E247</f>
        <v>#N/A</v>
      </c>
      <c r="AC184" s="309" t="e">
        <f>E250</f>
        <v>#N/A</v>
      </c>
      <c r="AD184" s="309" t="e">
        <f>E253</f>
        <v>#N/A</v>
      </c>
      <c r="AE184" s="309" t="e">
        <f>E256</f>
        <v>#N/A</v>
      </c>
      <c r="AF184" s="309" t="e">
        <f>E259</f>
        <v>#N/A</v>
      </c>
      <c r="AG184" s="240"/>
      <c r="AH184" s="240"/>
      <c r="AI184" s="240"/>
      <c r="AJ184" s="240"/>
      <c r="AK184" s="240"/>
      <c r="AL184" s="240"/>
      <c r="AM184" s="240"/>
      <c r="AN184" s="240"/>
      <c r="AO184" s="240"/>
      <c r="AP184" s="240"/>
      <c r="AQ184" s="240"/>
      <c r="AR184" s="240"/>
      <c r="AS184" s="240"/>
      <c r="AT184" s="240"/>
      <c r="AU184" s="240"/>
      <c r="AV184" s="6"/>
      <c r="AW184" s="6"/>
      <c r="AX184" s="6"/>
      <c r="AY184" s="6"/>
      <c r="AZ184" s="6"/>
      <c r="BA184" s="6"/>
      <c r="BB184" s="6"/>
      <c r="BC184" s="6"/>
      <c r="BD184" s="6"/>
    </row>
    <row r="185" spans="1:58" s="1" customFormat="1" ht="20.100000000000001" hidden="1" customHeight="1">
      <c r="A185" s="117"/>
      <c r="B185" s="115"/>
      <c r="C185" s="115"/>
      <c r="D185" s="240" t="s">
        <v>58</v>
      </c>
      <c r="E185" s="240"/>
      <c r="F185" s="240"/>
      <c r="G185" s="240"/>
      <c r="H185" s="240"/>
      <c r="I185" s="240"/>
      <c r="J185" s="240"/>
      <c r="K185" s="240"/>
      <c r="L185" s="240"/>
      <c r="M185" s="240"/>
      <c r="N185" s="240"/>
      <c r="O185" s="240"/>
      <c r="P185" s="240"/>
      <c r="Q185" s="240"/>
      <c r="R185" s="240"/>
      <c r="S185" s="214">
        <f>I249</f>
        <v>17.7</v>
      </c>
      <c r="T185" s="215">
        <f>I252</f>
        <v>20.6</v>
      </c>
      <c r="U185" s="215">
        <f>I255</f>
        <v>23.8</v>
      </c>
      <c r="V185" s="215">
        <f>I258</f>
        <v>28.9</v>
      </c>
      <c r="W185" s="215">
        <f>I261</f>
        <v>30.5</v>
      </c>
      <c r="X185" s="240"/>
      <c r="Y185" s="240"/>
      <c r="Z185" s="240"/>
      <c r="AA185" s="117"/>
      <c r="AB185" s="214" t="e">
        <f ca="1">IF(I249="",NA(),IF(AB184&lt;=$B$135,I249*$D$138/100,IF(AB184&lt;=$C$135,I249*$E$138/100,IF(AB184&lt;=$D$135,I249*$F$138/100,IF(AB184&lt;=$E$135,I249*$G$138/100,IF(AB184&lt;=$F$135,I249*$H$138/100,IF(AB184&lt;=$G$135,I249*$I$138/100,IF(AB184&lt;=$H$135,I249*$J$138/100,IF(AB184&lt;=$I$135,I249*$K$138/100,IF(AB184&lt;=$J$135,I249*$L$138/100,IF(AB184&lt;=$K$135,I249*$M$138/100,I249*$N$138/100)))))))))))</f>
        <v>#N/A</v>
      </c>
      <c r="AC185" s="214" t="e">
        <f ca="1">IF(I252="",NA(),IF(AC184&lt;=$B$135,I252*$D$138/100,IF(AC184&lt;=$C$135,I252*$E$138/100,IF(AC184&lt;=$D$135,I252*$F$138/100,IF(AC184&lt;=$E$135,I252*$G$138/100,IF(AC184&lt;=$F$135,I252*$H$138/100,IF(AC184&lt;=$G$135,I252*$I$138/100,IF(AC184&lt;=$H$135,I252*$J$138/100,IF(AC184&lt;=$I$135,I252*$K$138/100,IF(AC184&lt;=$J$135,I252*$L$138/100,IF(AC184&lt;=$K$135,I252*$M$138/100,I252*$N$138/100)))))))))))</f>
        <v>#N/A</v>
      </c>
      <c r="AD185" s="214" t="e">
        <f ca="1">IF(I255="",NA(),IF(AD184&lt;=$B$135,I255*$D$138/100,IF(AD184&lt;=$C$135,I255*$E$138/100,IF(AD184&lt;=$D$135,I255*$F$138/100,IF(AD184&lt;=$E$135,I255*$G$138/100,IF(AD184&lt;=$F$135,I255*$H$138/100,IF(AD184&lt;=$G$135,I255*$I$138/100,IF(AD184&lt;=$H$135,I255*$J$138/100,IF(AD184&lt;=$I$135,I255*$K$138/100,IF(AD184&lt;=$J$135,I255*$L$138/100,IF(AD184&lt;=$K$135,I255*$M$138/100,I255*$N$138/100)))))))))))</f>
        <v>#N/A</v>
      </c>
      <c r="AE185" s="214" t="e">
        <f ca="1">IF(I258="",NA(),IF(AE184&lt;=$B$135,I258*$D$138/100,IF(AE184&lt;=$C$135,I258*$E$138/100,IF(AE184&lt;=$D$135,I258*$F$138/100,IF(AE184&lt;=$E$135,I258*$G$138/100,IF(AE184&lt;=$F$135,I258*$H$138/100,IF(AE184&lt;=$G$135,I258*$I$138/100,IF(AE184&lt;=$H$135,I258*$J$138/100,IF(AE184&lt;=$I$135,I258*$K$138/100,IF(AE184&lt;=$J$135,I258*$L$138/100,IF(AE184&lt;=$K$135,I258*$M$138/100,I258*$N$138/100)))))))))))</f>
        <v>#N/A</v>
      </c>
      <c r="AF185" s="214" t="e">
        <f ca="1">IF(I261="",NA(),IF(AF184&lt;=$B$135,I261*$D$138/100,IF(AF184&lt;=$C$135,I261*$E$138/100,IF(AF184&lt;=$D$135,I261*$F$138/100,IF(AF184&lt;=$E$135,I261*$G$138/100,IF(AF184&lt;=$F$135,I261*$H$138/100,IF(AF184&lt;=$G$135,I261*$I$138/100,IF(AF184&lt;=$H$135,I261*$J$138/100,IF(AF184&lt;=$I$135,I261*$K$138/100,IF(AF184&lt;=$J$135,I261*$L$138/100,IF(AF184&lt;=$K$135,I261*$M$138/100,I261*$N$138/100)))))))))))</f>
        <v>#N/A</v>
      </c>
      <c r="AG185" s="240"/>
      <c r="AH185" s="240"/>
      <c r="AI185" s="240"/>
      <c r="AJ185" s="240"/>
      <c r="AK185" s="240"/>
      <c r="AL185" s="240"/>
      <c r="AM185" s="240"/>
      <c r="AN185" s="240"/>
      <c r="AO185" s="240"/>
      <c r="AP185" s="240"/>
      <c r="AQ185" s="240"/>
      <c r="AR185" s="240"/>
      <c r="AS185" s="240"/>
      <c r="AT185" s="240"/>
      <c r="AU185" s="240"/>
      <c r="AV185" s="6"/>
      <c r="AW185" s="6"/>
      <c r="AX185" s="6"/>
      <c r="AY185" s="6"/>
      <c r="AZ185" s="6"/>
      <c r="BA185" s="6"/>
      <c r="BB185" s="6"/>
      <c r="BC185" s="6"/>
      <c r="BD185" s="6"/>
    </row>
    <row r="186" spans="1:58" s="1" customFormat="1" ht="20.100000000000001" hidden="1" customHeight="1">
      <c r="B186" s="116"/>
      <c r="C186" s="116"/>
      <c r="D186" s="6"/>
      <c r="E186" s="6"/>
      <c r="F186" s="6"/>
      <c r="G186" s="6"/>
      <c r="H186" s="6"/>
      <c r="I186" s="6"/>
      <c r="J186" s="6"/>
      <c r="K186" s="6"/>
      <c r="L186" s="6"/>
      <c r="M186" s="6"/>
      <c r="N186" s="6"/>
      <c r="O186" s="6"/>
      <c r="P186" s="6"/>
      <c r="Q186" s="6"/>
      <c r="R186" s="6"/>
      <c r="T186" s="6"/>
      <c r="U186" s="6"/>
      <c r="V186" s="6"/>
      <c r="W186" s="6"/>
      <c r="X186" s="6"/>
      <c r="Y186" s="6"/>
      <c r="Z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row>
    <row r="187" spans="1:58" s="1" customFormat="1" ht="20.100000000000001" hidden="1" customHeight="1" thickBot="1">
      <c r="A187" s="1" t="s">
        <v>138</v>
      </c>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37" t="s">
        <v>102</v>
      </c>
      <c r="B188" s="38"/>
      <c r="C188" s="38"/>
      <c r="D188" s="38"/>
      <c r="E188" s="169" t="e">
        <f>LOOKUP(10^10,D15:BE15)</f>
        <v>#N/A</v>
      </c>
      <c r="F188" s="169"/>
      <c r="G188" s="38" t="s">
        <v>101</v>
      </c>
      <c r="H188" s="169"/>
      <c r="I188" s="169" t="e">
        <f>LOOKUP(10^10,D12:BE12)</f>
        <v>#N/A</v>
      </c>
      <c r="J188" s="6"/>
      <c r="K188" s="6"/>
      <c r="L188" s="6"/>
      <c r="M188" s="811" t="s">
        <v>4</v>
      </c>
      <c r="N188" s="812"/>
      <c r="O188" s="812"/>
      <c r="P188" s="813"/>
      <c r="Q188" s="84" t="e">
        <f>E191-E192</f>
        <v>#N/A</v>
      </c>
      <c r="R188" s="814" t="e">
        <f>IF(Q188&gt;=1.9,"甘口", IF(Q188&gt;=1.1,"やや甘口", IF(Q188&gt;=0.3,"やや辛口","辛口")))</f>
        <v>#N/A</v>
      </c>
      <c r="S188" s="815"/>
      <c r="T188" s="809" t="e">
        <f>IF(Q188-E222&gt;0.8,"目標よりも甘口",IF(Q188-E222&gt;0.4,"目標よりもやや甘口",IF(Q188-E222&lt;-0.8,"目標よりも辛口",IF(Q188-E222&lt;-0.4,"目標よりもやや辛口", "概ね目標どおり"))))</f>
        <v>#N/A</v>
      </c>
      <c r="U188" s="809"/>
      <c r="V188" s="810"/>
      <c r="W188" s="811" t="s">
        <v>145</v>
      </c>
      <c r="X188" s="812"/>
      <c r="Y188" s="812"/>
      <c r="Z188" s="813"/>
      <c r="AA188" s="84" t="e">
        <f>E190/E192</f>
        <v>#N/A</v>
      </c>
      <c r="AB188" s="814" t="e">
        <f>IF(AA188="","",IF(AA188&lt;1,"冷やに適する傾向",IF(AA188&gt;1,"燗に適する傾向","－")))</f>
        <v>#N/A</v>
      </c>
      <c r="AC188" s="815"/>
      <c r="AD188" s="809" t="e">
        <f>IF(AA188-E228&gt;0.5,"目標よりも燗に適する",IF(AA188-E228&lt;-0.5,"目標よりも冷やに適する",""))</f>
        <v>#N/A</v>
      </c>
      <c r="AE188" s="809"/>
      <c r="AF188" s="810"/>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38</v>
      </c>
      <c r="B189" s="38"/>
      <c r="C189" s="38"/>
      <c r="D189" s="38"/>
      <c r="E189" s="169" t="e">
        <f>LOOKUP(10^10,S16:BE16)</f>
        <v>#N/A</v>
      </c>
      <c r="F189" s="169"/>
      <c r="G189" s="38" t="s">
        <v>100</v>
      </c>
      <c r="H189" s="169"/>
      <c r="I189" s="169" t="e">
        <f>LOOKUP(10^10,D31:BE31)</f>
        <v>#N/A</v>
      </c>
      <c r="J189" s="6"/>
      <c r="K189" s="6"/>
      <c r="L189" s="6"/>
      <c r="M189" s="811" t="s">
        <v>143</v>
      </c>
      <c r="N189" s="812"/>
      <c r="O189" s="812"/>
      <c r="P189" s="813"/>
      <c r="Q189" s="84" t="e">
        <f>(E192+E190+E191)*E189/10</f>
        <v>#N/A</v>
      </c>
      <c r="R189" s="814" t="e">
        <f>IF(Q189&gt;8,"濃醇", IF(Q189&gt;6.5,"やや濃醇", IF(Q189&gt;5,"やや軽快","軽快")))</f>
        <v>#N/A</v>
      </c>
      <c r="S189" s="815"/>
      <c r="T189" s="809" t="e">
        <f>IF(Q189-E224&gt;1.5,"目標よりも濃醇",IF(Q189-E224&gt;0.75,"目標よりもやや濃醇",IF(Q189-E224&lt;-1.5,"目標よりも軽快",IF(Q189-E224&lt;-0.75,"目標よりもやや軽快", "概ね目標どおり"))))</f>
        <v>#N/A</v>
      </c>
      <c r="U189" s="809"/>
      <c r="V189" s="810"/>
      <c r="W189" s="811" t="s">
        <v>146</v>
      </c>
      <c r="X189" s="812"/>
      <c r="Y189" s="812"/>
      <c r="Z189" s="813"/>
      <c r="AA189" s="84" t="e">
        <f>E191/E192</f>
        <v>#N/A</v>
      </c>
      <c r="AB189" s="814" t="e">
        <f>IF(AA189="","",IF(AA189&lt;1,"燗に適する傾向",IF(AA189&gt;1,"冷やに適する傾向","－")))</f>
        <v>#N/A</v>
      </c>
      <c r="AC189" s="815"/>
      <c r="AD189" s="809" t="e">
        <f>IF(AA189-E230&gt;0.5,"目標よりも冷やに適する",IF(AA189-E230&lt;-0.5,"目標よりも燗に適する",""))</f>
        <v>#N/A</v>
      </c>
      <c r="AE189" s="809"/>
      <c r="AF189" s="810"/>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39</v>
      </c>
      <c r="B190" s="38"/>
      <c r="C190" s="38"/>
      <c r="D190" s="38"/>
      <c r="E190" s="169" t="e">
        <f>LOOKUP(10^10,S18:BE18)</f>
        <v>#N/A</v>
      </c>
      <c r="F190" s="169"/>
      <c r="G190" s="38" t="s">
        <v>99</v>
      </c>
      <c r="H190" s="169"/>
      <c r="I190" s="169" t="e">
        <f>LOOKUP(10^10,D32:BE32)</f>
        <v>#N/A</v>
      </c>
      <c r="J190" s="6"/>
      <c r="K190" s="6"/>
      <c r="L190" s="6"/>
      <c r="M190" s="811" t="s">
        <v>114</v>
      </c>
      <c r="N190" s="812"/>
      <c r="O190" s="812"/>
      <c r="P190" s="813"/>
      <c r="Q190" s="84" t="e">
        <f>(E190+E191-E192)/E192</f>
        <v>#N/A</v>
      </c>
      <c r="R190" s="814" t="e">
        <f>IF(Q190&gt;1.5,"やわらかい", IF(Q190&gt;1,"やややわらかい", IF(Q190&gt;0.5,"ややキレがある","キレがある")))</f>
        <v>#N/A</v>
      </c>
      <c r="S190" s="815"/>
      <c r="T190" s="809" t="e">
        <f>IF(Q190-E226&gt;0.5,"目標よりもやわらかい",IF(Q190-E226&gt;0.25,"目標よりもやややわらかい",IF(Q190-E226&lt;-0.5,"目標よりもキレがある",IF(Q190-E226&lt;-0.25,"目標よりもややキレがある", "概ね目標どおり"))))</f>
        <v>#N/A</v>
      </c>
      <c r="U190" s="809"/>
      <c r="V190" s="810"/>
      <c r="W190" s="52"/>
      <c r="X190" s="52"/>
      <c r="Y190" s="52"/>
      <c r="Z190" s="52"/>
      <c r="AA190" s="52"/>
      <c r="AB190" s="52"/>
      <c r="AC190" s="52"/>
      <c r="AD190" s="174" t="s">
        <v>250</v>
      </c>
      <c r="AE190" s="52"/>
      <c r="AF190" s="52"/>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c r="A191" s="40" t="s">
        <v>36</v>
      </c>
      <c r="B191" s="40"/>
      <c r="C191" s="40"/>
      <c r="D191" s="40"/>
      <c r="E191" s="170" t="e">
        <f>INDEX(S19:BE19,MATCH(MAX(S19:BE19)+1,S19:BE19,1))</f>
        <v>#N/A</v>
      </c>
      <c r="F191" s="171"/>
      <c r="G191" s="38"/>
      <c r="H191" s="172"/>
      <c r="I191" s="172"/>
      <c r="P191" s="6"/>
      <c r="Q191" s="6"/>
      <c r="R191" s="6"/>
      <c r="T191" s="6"/>
      <c r="U191" s="6"/>
      <c r="V191" s="6"/>
      <c r="W191" s="6"/>
      <c r="X191" s="6"/>
      <c r="Y191" s="6"/>
      <c r="Z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thickBot="1">
      <c r="A192" s="37" t="s">
        <v>37</v>
      </c>
      <c r="B192" s="38"/>
      <c r="C192" s="38"/>
      <c r="D192" s="38"/>
      <c r="E192" s="173" t="e">
        <f>LOOKUP(10^10,S17:BE17)</f>
        <v>#N/A</v>
      </c>
      <c r="F192" s="169"/>
      <c r="G192" s="172"/>
      <c r="H192" s="172"/>
      <c r="I192" s="172"/>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811" t="s">
        <v>58</v>
      </c>
      <c r="B193" s="812"/>
      <c r="C193" s="812"/>
      <c r="D193" s="813"/>
      <c r="E193" s="84" t="e">
        <f>LOOKUP(10^10,S132:BE132)</f>
        <v>#N/A</v>
      </c>
      <c r="F193" s="814" t="e">
        <f>IF(E193-E221&gt;2,"よく溶けている", IF(E193-E221&lt;-2,"あまり溶けていない","概ね目標通りに溶けている"))</f>
        <v>#N/A</v>
      </c>
      <c r="G193" s="818"/>
      <c r="H193" s="818"/>
      <c r="I193" s="81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c r="A194" s="37" t="s">
        <v>136</v>
      </c>
      <c r="B194" s="38"/>
      <c r="C194" s="38"/>
      <c r="D194" s="38"/>
      <c r="E194" s="41"/>
      <c r="F194" s="38"/>
      <c r="G194" s="37"/>
      <c r="H194" s="38"/>
      <c r="I194" s="38"/>
      <c r="J194" s="38"/>
      <c r="K194" s="38"/>
      <c r="L194" s="38"/>
      <c r="M194" s="38"/>
      <c r="N194" s="38"/>
      <c r="O194" s="38"/>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25" hidden="1" customHeight="1">
      <c r="A195" s="37" t="s">
        <v>139</v>
      </c>
      <c r="C195" s="38"/>
      <c r="D195" s="38"/>
      <c r="E195" s="38"/>
      <c r="F195" s="38"/>
      <c r="G195" s="38"/>
      <c r="H195" s="38"/>
      <c r="I195" s="38"/>
      <c r="J195" s="38"/>
      <c r="K195" s="38"/>
      <c r="L195" s="38"/>
      <c r="M195" s="38"/>
      <c r="N195" s="38"/>
      <c r="O195" s="38"/>
      <c r="P195" s="38"/>
      <c r="Q195" s="38"/>
      <c r="R195" s="38"/>
      <c r="S195" s="38"/>
      <c r="T195" s="38"/>
      <c r="U195" s="38"/>
      <c r="V195" s="38"/>
      <c r="W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row>
    <row r="196" spans="1:57" s="1" customFormat="1" ht="20.25" hidden="1" customHeight="1">
      <c r="A196" s="37"/>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1" t="s">
        <v>251</v>
      </c>
      <c r="B197" s="38"/>
      <c r="C197" s="38"/>
      <c r="D197" s="38"/>
      <c r="E197" s="38"/>
      <c r="F197" s="38"/>
      <c r="G197" s="37"/>
      <c r="H197" s="38"/>
      <c r="I197" s="38"/>
      <c r="J197" s="38"/>
      <c r="K197" s="41"/>
      <c r="L197" s="38"/>
      <c r="M197" s="38"/>
      <c r="N197" s="38"/>
      <c r="O197" s="38"/>
      <c r="P197" s="38"/>
      <c r="Q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797" t="s">
        <v>123</v>
      </c>
      <c r="B198" s="798"/>
      <c r="C198" s="799"/>
      <c r="D198" s="800" t="e">
        <f>IF(I116="",NA(),ROUND(1443/(1443+I116),4))</f>
        <v>#N/A</v>
      </c>
      <c r="E198" s="801"/>
      <c r="F198" s="802"/>
      <c r="G198" s="800" t="e">
        <f>IF(L116="",NA(),ROUND(1443/(1443+L116),4))</f>
        <v>#N/A</v>
      </c>
      <c r="H198" s="801"/>
      <c r="I198" s="802"/>
      <c r="J198" s="800" t="e">
        <f>IF(O116="",NA(),ROUND(1443/(1443+O116),4))</f>
        <v>#N/A</v>
      </c>
      <c r="K198" s="801"/>
      <c r="L198" s="802"/>
      <c r="M198" s="38"/>
      <c r="N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row>
    <row r="199" spans="1:57" ht="20.25" hidden="1" customHeight="1">
      <c r="A199" s="797" t="s">
        <v>124</v>
      </c>
      <c r="B199" s="798"/>
      <c r="C199" s="799"/>
      <c r="D199" s="800" t="e">
        <f>IF(I115="",NA(),IFERROR(I115*VLOOKUP(I115,'各種計算式等（配付時非表示）'!$E$3:$H$1003,3,TRUE)+VLOOKUP(I115,'各種計算式等（配付時非表示）'!$E$3:$H$1003,4,TRUE)+0.0000000001,"-"))</f>
        <v>#N/A</v>
      </c>
      <c r="E199" s="801"/>
      <c r="F199" s="802"/>
      <c r="G199" s="800" t="e">
        <f>IF(L115="",NA(),IFERROR(L115*VLOOKUP(L115,'各種計算式等（配付時非表示）'!$E$3:$H$1003,3,TRUE)+VLOOKUP(L115,'各種計算式等（配付時非表示）'!$E$3:$H$1003,4,TRUE)+0.0000000001,"-"))</f>
        <v>#N/A</v>
      </c>
      <c r="H199" s="801"/>
      <c r="I199" s="802"/>
      <c r="J199" s="800" t="e">
        <f>IF(O115="",NA(),IFERROR(O115*VLOOKUP(O115,'各種計算式等（配付時非表示）'!$E$3:$H$1003,3,TRUE)+VLOOKUP(O115,'各種計算式等（配付時非表示）'!$E$3:$H$1003,4,TRUE)+0.0000000001,"-"))</f>
        <v>#N/A</v>
      </c>
      <c r="K199" s="801"/>
      <c r="L199" s="802"/>
      <c r="AH199"/>
      <c r="AI199"/>
      <c r="AJ199"/>
      <c r="AK199"/>
      <c r="AL199" s="59"/>
      <c r="AM199"/>
      <c r="AN199"/>
      <c r="AO199"/>
      <c r="AP199"/>
      <c r="AQ199"/>
      <c r="AR199"/>
      <c r="AS199"/>
      <c r="AT199"/>
      <c r="AU199"/>
      <c r="AV199"/>
      <c r="AW199"/>
      <c r="AX199"/>
      <c r="BC199"/>
      <c r="BD199"/>
      <c r="BE199"/>
    </row>
    <row r="200" spans="1:57" ht="20.25" hidden="1" customHeight="1">
      <c r="A200" s="797" t="s">
        <v>3</v>
      </c>
      <c r="B200" s="798"/>
      <c r="C200" s="799"/>
      <c r="D200" s="806" t="str">
        <f>IFERROR(ROUNDDOWN((D198-D199)*260+0.21,1),"")</f>
        <v/>
      </c>
      <c r="E200" s="807"/>
      <c r="F200" s="808"/>
      <c r="G200" s="806" t="str">
        <f t="shared" ref="G200" si="64">IFERROR(ROUNDDOWN((G198-G199)*260+0.21,1),"")</f>
        <v/>
      </c>
      <c r="H200" s="807"/>
      <c r="I200" s="808"/>
      <c r="J200" s="806" t="str">
        <f t="shared" ref="J200" si="65">IFERROR(ROUNDDOWN((J198-J199)*260+0.21,1),"")</f>
        <v/>
      </c>
      <c r="K200" s="807"/>
      <c r="L200" s="808"/>
      <c r="AH200"/>
      <c r="AI200"/>
      <c r="AJ200"/>
      <c r="AK200"/>
      <c r="AL200" s="59"/>
      <c r="AM200"/>
      <c r="AN200"/>
      <c r="AO200"/>
      <c r="AP200"/>
      <c r="AQ200"/>
      <c r="AR200"/>
      <c r="AS200"/>
      <c r="AT200"/>
      <c r="AU200"/>
      <c r="AV200"/>
      <c r="AW200"/>
      <c r="AX200"/>
      <c r="BC200"/>
      <c r="BD200"/>
      <c r="BE200"/>
    </row>
    <row r="201" spans="1:57" ht="20.25" hidden="1" customHeight="1">
      <c r="A201" s="797" t="s">
        <v>159</v>
      </c>
      <c r="B201" s="798"/>
      <c r="C201" s="799"/>
      <c r="D201" s="803" t="e">
        <f>D200+I115*1.5848</f>
        <v>#VALUE!</v>
      </c>
      <c r="E201" s="804"/>
      <c r="F201" s="805"/>
      <c r="G201" s="803" t="e">
        <f>G200+L115*1.5848</f>
        <v>#VALUE!</v>
      </c>
      <c r="H201" s="804"/>
      <c r="I201" s="805"/>
      <c r="J201" s="803" t="e">
        <f>J200+O115*1.5848</f>
        <v>#VALUE!</v>
      </c>
      <c r="K201" s="804"/>
      <c r="L201" s="805"/>
      <c r="AH201"/>
      <c r="AI201"/>
      <c r="AJ201"/>
      <c r="AK201"/>
      <c r="AL201" s="59"/>
      <c r="AM201"/>
      <c r="AN201"/>
      <c r="AO201"/>
      <c r="AP201"/>
      <c r="AQ201"/>
      <c r="AR201"/>
      <c r="AS201"/>
      <c r="AT201"/>
      <c r="AU201"/>
      <c r="AV201"/>
      <c r="AW201"/>
      <c r="AX201"/>
      <c r="BC201"/>
      <c r="BD201"/>
      <c r="BE201"/>
    </row>
    <row r="202" spans="1:57" ht="20.25" hidden="1" customHeight="1">
      <c r="A202" s="797" t="s">
        <v>252</v>
      </c>
      <c r="B202" s="798"/>
      <c r="C202" s="799"/>
      <c r="D202" s="803" t="e">
        <f>ROUNDDOWN(D201,1)*$Y75</f>
        <v>#VALUE!</v>
      </c>
      <c r="E202" s="804"/>
      <c r="F202" s="805"/>
      <c r="G202" s="803" t="e">
        <f>ROUNDDOWN(G201,1)*$Y75</f>
        <v>#VALUE!</v>
      </c>
      <c r="H202" s="804"/>
      <c r="I202" s="805"/>
      <c r="J202" s="803" t="e">
        <f>ROUNDDOWN(J201,1)*$Y75</f>
        <v>#VALUE!</v>
      </c>
      <c r="K202" s="804"/>
      <c r="L202" s="805"/>
      <c r="M202" s="63" t="s">
        <v>253</v>
      </c>
      <c r="AH202"/>
      <c r="AI202"/>
      <c r="AJ202"/>
      <c r="AK202"/>
      <c r="AL202" s="59"/>
      <c r="AM202"/>
      <c r="AN202"/>
      <c r="AO202"/>
      <c r="AP202"/>
      <c r="AQ202"/>
      <c r="AR202"/>
      <c r="AS202"/>
      <c r="AT202"/>
      <c r="AU202"/>
      <c r="AV202"/>
      <c r="AW202"/>
      <c r="AX202"/>
      <c r="BC202"/>
      <c r="BD202"/>
      <c r="BE202"/>
    </row>
    <row r="203" spans="1:57" s="1" customFormat="1" ht="20.25" hidden="1" customHeight="1">
      <c r="A203" s="43"/>
      <c r="C203" s="6"/>
      <c r="D203" s="39"/>
      <c r="E203" s="40"/>
      <c r="F203" s="40"/>
      <c r="G203" s="40"/>
      <c r="H203" s="40"/>
      <c r="I203" s="40"/>
      <c r="J203" s="40"/>
      <c r="K203" s="40"/>
      <c r="L203" s="38"/>
      <c r="M203" s="38"/>
      <c r="N203" s="38"/>
      <c r="O203" s="38"/>
      <c r="P203" s="38"/>
      <c r="Q203" s="38"/>
      <c r="AG203" s="38"/>
      <c r="AH203" s="38"/>
      <c r="AI203" s="38"/>
      <c r="AJ203" s="38"/>
      <c r="AK203" s="38"/>
      <c r="AL203" s="38"/>
      <c r="AM203" s="38"/>
      <c r="AN203" s="38"/>
      <c r="AO203" s="38"/>
      <c r="AP203" s="38"/>
      <c r="AQ203" s="38"/>
      <c r="AR203" s="38"/>
      <c r="AS203" s="38"/>
      <c r="AT203" s="38"/>
      <c r="AU203" s="38"/>
      <c r="AV203" s="38"/>
      <c r="AW203" s="38"/>
      <c r="AX203" s="38"/>
      <c r="AY203" s="38"/>
      <c r="AZ203" s="38"/>
    </row>
    <row r="204" spans="1:57" s="1" customFormat="1" ht="20.25" hidden="1" customHeight="1">
      <c r="A204" s="1" t="s">
        <v>137</v>
      </c>
      <c r="B204" s="38"/>
      <c r="C204" s="38"/>
      <c r="D204" s="38"/>
      <c r="E204" s="38"/>
      <c r="F204" s="38"/>
      <c r="G204" s="37"/>
      <c r="H204" s="38"/>
      <c r="I204" s="38"/>
      <c r="J204" s="38"/>
      <c r="K204" s="41"/>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row>
    <row r="205" spans="1:57" s="1" customFormat="1" ht="20.25" hidden="1" customHeight="1">
      <c r="A205" s="797" t="s">
        <v>123</v>
      </c>
      <c r="B205" s="798"/>
      <c r="C205" s="799"/>
      <c r="D205" s="800" t="e">
        <f>IF(Y116="",NA(),ROUND(1443/(1443+Y116),4))</f>
        <v>#N/A</v>
      </c>
      <c r="E205" s="801"/>
      <c r="F205" s="802"/>
      <c r="G205" s="800" t="e">
        <f t="shared" ref="G205" si="66">IF(AB116="",NA(),ROUND(1443/(1443+AB116),4))</f>
        <v>#N/A</v>
      </c>
      <c r="H205" s="801"/>
      <c r="I205" s="802"/>
      <c r="J205" s="800" t="e">
        <f t="shared" ref="J205" si="67">IF(AE116="",NA(),ROUND(1443/(1443+AE116),4))</f>
        <v>#N/A</v>
      </c>
      <c r="K205" s="801"/>
      <c r="L205" s="802"/>
      <c r="M205" s="38"/>
      <c r="N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row>
    <row r="206" spans="1:57" ht="20.25" hidden="1" customHeight="1">
      <c r="A206" s="797" t="s">
        <v>124</v>
      </c>
      <c r="B206" s="798"/>
      <c r="C206" s="799"/>
      <c r="D206" s="800" t="e">
        <f>IF(Y115="",NA(),IFERROR(Y115*VLOOKUP(Y115,'各種計算式等（配付時非表示）'!$E$3:$H$1003,3,TRUE)+VLOOKUP(Y115,'各種計算式等（配付時非表示）'!$E$3:$H$1003,4,TRUE)+0.0000000001,"-"))</f>
        <v>#N/A</v>
      </c>
      <c r="E206" s="801"/>
      <c r="F206" s="802"/>
      <c r="G206" s="800" t="e">
        <f>IF(AB115="",NA(),IFERROR(AB115*VLOOKUP(AB115,'各種計算式等（配付時非表示）'!$E$3:$H$1003,3,TRUE)+VLOOKUP(AB115,'各種計算式等（配付時非表示）'!$E$3:$H$1003,4,TRUE)+0.0000000001,"-"))</f>
        <v>#N/A</v>
      </c>
      <c r="H206" s="801"/>
      <c r="I206" s="802"/>
      <c r="J206" s="800" t="e">
        <f>IF(AE115="",NA(),IFERROR(AE115*VLOOKUP(AE115,'各種計算式等（配付時非表示）'!$E$3:$H$1003,3,TRUE)+VLOOKUP(AE115,'各種計算式等（配付時非表示）'!$E$3:$H$1003,4,TRUE)+0.0000000001,"-"))</f>
        <v>#N/A</v>
      </c>
      <c r="K206" s="801"/>
      <c r="L206" s="802"/>
      <c r="AH206"/>
      <c r="AI206"/>
      <c r="AJ206"/>
      <c r="AK206"/>
      <c r="AL206" s="59"/>
      <c r="AM206"/>
      <c r="AN206"/>
      <c r="AO206"/>
      <c r="AP206"/>
      <c r="AQ206"/>
      <c r="AR206"/>
      <c r="AS206"/>
      <c r="AT206"/>
      <c r="AU206"/>
      <c r="AV206"/>
      <c r="AW206"/>
      <c r="AX206"/>
      <c r="BC206"/>
      <c r="BD206"/>
      <c r="BE206"/>
    </row>
    <row r="207" spans="1:57" ht="20.25" hidden="1" customHeight="1">
      <c r="A207" s="797" t="s">
        <v>3</v>
      </c>
      <c r="B207" s="798"/>
      <c r="C207" s="799"/>
      <c r="D207" s="806" t="str">
        <f>IFERROR(ROUNDDOWN((D205-D206)*260+0.21,1),"")</f>
        <v/>
      </c>
      <c r="E207" s="807"/>
      <c r="F207" s="808"/>
      <c r="G207" s="806" t="str">
        <f>IFERROR(ROUNDDOWN((G205-G206)*260+0.21,1),"")</f>
        <v/>
      </c>
      <c r="H207" s="807"/>
      <c r="I207" s="808"/>
      <c r="J207" s="806" t="str">
        <f>IFERROR(ROUNDDOWN((J205-J206)*260+0.21,1),"")</f>
        <v/>
      </c>
      <c r="K207" s="807"/>
      <c r="L207" s="808"/>
      <c r="AH207"/>
      <c r="AI207"/>
      <c r="AJ207"/>
      <c r="AK207"/>
      <c r="AL207" s="59"/>
      <c r="AM207"/>
      <c r="AN207"/>
      <c r="AO207"/>
      <c r="AP207"/>
      <c r="AQ207"/>
      <c r="AR207"/>
      <c r="AS207"/>
      <c r="AT207"/>
      <c r="AU207"/>
      <c r="AV207"/>
      <c r="AW207"/>
      <c r="AX207"/>
      <c r="BC207"/>
      <c r="BD207"/>
      <c r="BE207"/>
    </row>
    <row r="208" spans="1:57" ht="19.5" hidden="1" customHeight="1"/>
    <row r="209" spans="1:57" ht="19.5" hidden="1" customHeight="1"/>
    <row r="210" spans="1:57" ht="19.5" hidden="1" customHeight="1">
      <c r="A210" t="s">
        <v>156</v>
      </c>
    </row>
    <row r="211" spans="1:57" ht="19.5" hidden="1" customHeight="1" thickBot="1">
      <c r="A211" s="641" t="s">
        <v>141</v>
      </c>
      <c r="B211" s="642"/>
      <c r="C211" s="643"/>
      <c r="D211" s="644"/>
      <c r="E211" s="216" t="str">
        <f>INDEX(目標値!E181:N181,MATCH($L$2,目標値!$E$180:$N$180,0))</f>
        <v>吟醸１</v>
      </c>
      <c r="BD211"/>
      <c r="BE211"/>
    </row>
    <row r="212" spans="1:57" ht="19.5" hidden="1" customHeight="1" thickBot="1">
      <c r="A212" s="630" t="s">
        <v>148</v>
      </c>
      <c r="B212" s="793" t="s">
        <v>144</v>
      </c>
      <c r="C212" s="653" t="s">
        <v>142</v>
      </c>
      <c r="D212" s="654"/>
      <c r="E212" s="216">
        <f>INDEX(目標値!E182:N182,MATCH($L$2,目標値!$E$180:$N$180,0))</f>
        <v>10.9</v>
      </c>
      <c r="K212" s="158" t="e">
        <f>INDEX(#REF!,MATCH(#REF!,#REF!,0))</f>
        <v>#REF!</v>
      </c>
      <c r="BD212"/>
      <c r="BE212"/>
    </row>
    <row r="213" spans="1:57" ht="19.5" hidden="1" customHeight="1">
      <c r="A213" s="631"/>
      <c r="B213" s="794"/>
      <c r="C213" s="655" t="s">
        <v>7</v>
      </c>
      <c r="D213" s="656"/>
      <c r="E213" s="216">
        <f>INDEX(目標値!E183:N183,MATCH($L$2,目標値!$E$180:$N$180,0))</f>
        <v>12</v>
      </c>
      <c r="J213" s="296" t="s">
        <v>61</v>
      </c>
      <c r="K213" s="297" t="s">
        <v>47</v>
      </c>
      <c r="L213" s="297" t="s">
        <v>13</v>
      </c>
      <c r="M213" s="292" t="s">
        <v>15</v>
      </c>
      <c r="N213" s="292" t="s">
        <v>48</v>
      </c>
      <c r="O213" s="292" t="s">
        <v>49</v>
      </c>
      <c r="BD213"/>
      <c r="BE213"/>
    </row>
    <row r="214" spans="1:57" ht="19.5" hidden="1" customHeight="1">
      <c r="A214" s="631"/>
      <c r="B214" s="794"/>
      <c r="C214" s="655" t="s">
        <v>6</v>
      </c>
      <c r="D214" s="656"/>
      <c r="E214" s="216">
        <f>INDEX(目標値!E184:N184,MATCH($L$2,目標値!$E$180:$N$180,0))</f>
        <v>45.3</v>
      </c>
      <c r="J214" s="293" t="s">
        <v>163</v>
      </c>
      <c r="K214" s="295" t="e">
        <f>IF(K215+K216=0,"",K215+K216)</f>
        <v>#REF!</v>
      </c>
      <c r="L214" s="295" t="e">
        <f>IF(L215+L216=0,"",L215+L216)</f>
        <v>#REF!</v>
      </c>
      <c r="M214" s="295" t="e">
        <f>IF(M215+M216=0,"",M215+M216)</f>
        <v>#REF!</v>
      </c>
      <c r="N214" s="295" t="e">
        <f>IF(N215+N216=0,"",N215+N216)</f>
        <v>#REF!</v>
      </c>
      <c r="O214" s="295" t="e">
        <f>IF(O215+O216=0,"",O215+O216)</f>
        <v>#REF!</v>
      </c>
      <c r="BD214"/>
      <c r="BE214"/>
    </row>
    <row r="215" spans="1:57" ht="19.5" hidden="1" customHeight="1">
      <c r="A215" s="631"/>
      <c r="B215" s="794" t="s">
        <v>147</v>
      </c>
      <c r="C215" s="655" t="s">
        <v>27</v>
      </c>
      <c r="D215" s="656"/>
      <c r="E215" s="213">
        <f>INDEX(目標値!E185:N185,MATCH($L$2,目標値!$E$180:$N$180,0))</f>
        <v>15.6</v>
      </c>
      <c r="J215" s="293" t="s">
        <v>93</v>
      </c>
      <c r="K215" s="2" t="e">
        <f>INDEX(#REF!,MATCH(CONCATENATE(#REF!,"-1"),#REF!,0),1)</f>
        <v>#REF!</v>
      </c>
      <c r="L215" s="2" t="e">
        <f>INDEX(#REF!,MATCH(CONCATENATE(#REF!,"-1"),#REF!,0),2)</f>
        <v>#REF!</v>
      </c>
      <c r="M215" s="2" t="e">
        <f>INDEX(#REF!,MATCH(CONCATENATE(#REF!,"-1"),#REF!,0),3)</f>
        <v>#REF!</v>
      </c>
      <c r="N215" s="2" t="e">
        <f>INDEX(#REF!,MATCH(CONCATENATE(#REF!,"-1"),#REF!,0),4)</f>
        <v>#REF!</v>
      </c>
      <c r="O215" s="2" t="e">
        <f>INDEX(#REF!,MATCH(CONCATENATE(#REF!,"-1"),#REF!,0),5)</f>
        <v>#REF!</v>
      </c>
      <c r="BD215"/>
      <c r="BE215"/>
    </row>
    <row r="216" spans="1:57" ht="19.5" hidden="1" customHeight="1">
      <c r="A216" s="631"/>
      <c r="B216" s="650"/>
      <c r="C216" s="655" t="s">
        <v>2</v>
      </c>
      <c r="D216" s="656"/>
      <c r="E216" s="213">
        <f>INDEX(目標値!E186:N186,MATCH($L$2,目標値!$E$180:$N$180,0))</f>
        <v>-5.8</v>
      </c>
      <c r="J216" s="293" t="s">
        <v>50</v>
      </c>
      <c r="K216" s="294" t="e">
        <f>INDEX(#REF!,MATCH(CONCATENATE(#REF!,"-2"),#REF!,0),1)</f>
        <v>#REF!</v>
      </c>
      <c r="L216" s="294" t="e">
        <f>INDEX(#REF!,MATCH(CONCATENATE(#REF!,"-2"),#REF!,0),2)</f>
        <v>#REF!</v>
      </c>
      <c r="M216" s="294" t="e">
        <f>INDEX(#REF!,MATCH(CONCATENATE(#REF!,"-2"),#REF!,0),3)</f>
        <v>#REF!</v>
      </c>
      <c r="N216" s="294" t="e">
        <f>INDEX(#REF!,MATCH(CONCATENATE(#REF!,"-2"),#REF!,0),4)</f>
        <v>#REF!</v>
      </c>
      <c r="O216" s="294" t="e">
        <f>INDEX(#REF!,MATCH(CONCATENATE(#REF!,"-2"),#REF!,0),5)</f>
        <v>#REF!</v>
      </c>
      <c r="BD216"/>
      <c r="BE216"/>
    </row>
    <row r="217" spans="1:57" ht="19.5" hidden="1" customHeight="1">
      <c r="A217" s="631"/>
      <c r="B217" s="650"/>
      <c r="C217" s="655" t="s">
        <v>155</v>
      </c>
      <c r="D217" s="656"/>
      <c r="E217" s="216">
        <f>INDEX(目標値!E187:N187,MATCH($L$2,目標値!$E$180:$N$180,0))</f>
        <v>1.4</v>
      </c>
      <c r="J217" s="293" t="s">
        <v>162</v>
      </c>
      <c r="K217" s="294" t="e">
        <f>INDEX(#REF!,MATCH(CONCATENATE(#REF!,"-3"),#REF!,0),1)</f>
        <v>#REF!</v>
      </c>
      <c r="L217" s="294" t="e">
        <f>INDEX(#REF!,MATCH(CONCATENATE(#REF!,"-3"),#REF!,0),2)</f>
        <v>#REF!</v>
      </c>
      <c r="M217" s="294" t="e">
        <f>INDEX(#REF!,MATCH(CONCATENATE(#REF!,"-3"),#REF!,0),3)</f>
        <v>#REF!</v>
      </c>
      <c r="N217" s="294" t="e">
        <f>INDEX(#REF!,MATCH(CONCATENATE(#REF!,"-3"),#REF!,0),4)</f>
        <v>#REF!</v>
      </c>
      <c r="O217" s="294" t="e">
        <f>INDEX(#REF!,MATCH(CONCATENATE(#REF!,"-3"),#REF!,0),5)</f>
        <v>#REF!</v>
      </c>
      <c r="BD217"/>
      <c r="BE217"/>
    </row>
    <row r="218" spans="1:57" ht="19.5" hidden="1" customHeight="1">
      <c r="A218" s="631"/>
      <c r="B218" s="650"/>
      <c r="C218" s="655" t="s">
        <v>154</v>
      </c>
      <c r="D218" s="656"/>
      <c r="E218" s="216">
        <f>INDEX(目標値!E188:N188,MATCH($L$2,目標値!$E$180:$N$180,0))</f>
        <v>0.8</v>
      </c>
      <c r="BD218"/>
      <c r="BE218"/>
    </row>
    <row r="219" spans="1:57" ht="19.5" hidden="1" customHeight="1">
      <c r="A219" s="631"/>
      <c r="B219" s="650"/>
      <c r="C219" s="655" t="s">
        <v>153</v>
      </c>
      <c r="D219" s="656"/>
      <c r="E219" s="216">
        <f>INDEX(目標値!E189:N189,MATCH($L$2,目標値!$E$180:$N$180,0))</f>
        <v>3.1</v>
      </c>
      <c r="BD219"/>
      <c r="BE219"/>
    </row>
    <row r="220" spans="1:57" ht="19.5" hidden="1" customHeight="1">
      <c r="A220" s="631"/>
      <c r="B220" s="650"/>
      <c r="C220" s="655" t="s">
        <v>210</v>
      </c>
      <c r="D220" s="656"/>
      <c r="E220" s="216">
        <f>INDEX(目標値!E190:N190,MATCH($L$2,目標値!$E$180:$N$180,0))</f>
        <v>6.3</v>
      </c>
      <c r="BD220"/>
      <c r="BE220"/>
    </row>
    <row r="221" spans="1:57" ht="19.5" hidden="1" customHeight="1">
      <c r="A221" s="631"/>
      <c r="B221" s="650"/>
      <c r="C221" s="655" t="s">
        <v>211</v>
      </c>
      <c r="D221" s="656"/>
      <c r="E221" s="216">
        <f>INDEX(目標値!E191:N191,MATCH($L$2,目標値!$E$180:$N$180,0))</f>
        <v>31</v>
      </c>
      <c r="BD221"/>
      <c r="BE221"/>
    </row>
    <row r="222" spans="1:57" ht="19.5" hidden="1" customHeight="1">
      <c r="A222" s="631"/>
      <c r="B222" s="650"/>
      <c r="C222" s="659" t="s">
        <v>4</v>
      </c>
      <c r="D222" s="660"/>
      <c r="E222" s="216">
        <f>INDEX(目標値!E192:N192,MATCH($L$2,目標値!$E$180:$N$180,0))</f>
        <v>1.7000000000000002</v>
      </c>
      <c r="BD222"/>
      <c r="BE222"/>
    </row>
    <row r="223" spans="1:57" ht="19.5" hidden="1" customHeight="1">
      <c r="A223" s="631"/>
      <c r="B223" s="650"/>
      <c r="C223" s="661"/>
      <c r="D223" s="662"/>
      <c r="E223" s="216" t="str">
        <f>INDEX(目標値!E193:N193,MATCH($L$2,目標値!$E$180:$N$180,0))</f>
        <v>やや甘口</v>
      </c>
      <c r="BD223"/>
      <c r="BE223"/>
    </row>
    <row r="224" spans="1:57" ht="19.5" hidden="1" customHeight="1">
      <c r="A224" s="631"/>
      <c r="B224" s="650"/>
      <c r="C224" s="659" t="s">
        <v>143</v>
      </c>
      <c r="D224" s="660"/>
      <c r="E224" s="216">
        <f>INDEX(目標値!E194:N194,MATCH($L$2,目標値!$E$180:$N$180,0))</f>
        <v>8.2680000000000007</v>
      </c>
      <c r="BD224"/>
      <c r="BE224"/>
    </row>
    <row r="225" spans="1:57" ht="19.5" hidden="1" customHeight="1">
      <c r="A225" s="631"/>
      <c r="B225" s="650"/>
      <c r="C225" s="661"/>
      <c r="D225" s="662"/>
      <c r="E225" s="216" t="str">
        <f>INDEX(目標値!E195:N195,MATCH($L$2,目標値!$E$180:$N$180,0))</f>
        <v>濃醇</v>
      </c>
      <c r="BD225"/>
      <c r="BE225"/>
    </row>
    <row r="226" spans="1:57" ht="19.5" hidden="1" customHeight="1">
      <c r="A226" s="631"/>
      <c r="B226" s="650"/>
      <c r="C226" s="659" t="s">
        <v>114</v>
      </c>
      <c r="D226" s="660"/>
      <c r="E226" s="216">
        <f>INDEX(目標値!E196:N196,MATCH($L$2,目標値!$E$180:$N$180,0))</f>
        <v>1.7857142857142863</v>
      </c>
      <c r="BD226"/>
      <c r="BE226"/>
    </row>
    <row r="227" spans="1:57" ht="19.5" hidden="1" customHeight="1">
      <c r="A227" s="631"/>
      <c r="B227" s="650"/>
      <c r="C227" s="661"/>
      <c r="D227" s="662"/>
      <c r="E227" s="216" t="str">
        <f>INDEX(目標値!E197:N197,MATCH($L$2,目標値!$E$180:$N$180,0))</f>
        <v>やわらかい</v>
      </c>
      <c r="BD227"/>
      <c r="BE227"/>
    </row>
    <row r="228" spans="1:57" ht="19.5" hidden="1" customHeight="1">
      <c r="A228" s="631"/>
      <c r="B228" s="650"/>
      <c r="C228" s="659" t="s">
        <v>145</v>
      </c>
      <c r="D228" s="660"/>
      <c r="E228" s="216">
        <f>INDEX(目標値!E198:N198,MATCH($L$2,目標値!$E$180:$N$180,0))</f>
        <v>0.57142857142857151</v>
      </c>
      <c r="BD228"/>
      <c r="BE228"/>
    </row>
    <row r="229" spans="1:57" ht="19.5" hidden="1" customHeight="1">
      <c r="A229" s="631"/>
      <c r="B229" s="650"/>
      <c r="C229" s="661"/>
      <c r="D229" s="662"/>
      <c r="E229" s="216" t="str">
        <f>INDEX(目標値!E199:N199,MATCH($L$2,目標値!$E$180:$N$180,0))</f>
        <v>冷やに適する傾向</v>
      </c>
      <c r="BD229"/>
      <c r="BE229"/>
    </row>
    <row r="230" spans="1:57" ht="19.5" hidden="1" customHeight="1">
      <c r="A230" s="631"/>
      <c r="B230" s="650"/>
      <c r="C230" s="659" t="s">
        <v>146</v>
      </c>
      <c r="D230" s="660"/>
      <c r="E230" s="216">
        <f>INDEX(目標値!E200:N200,MATCH($L$2,目標値!$E$180:$N$180,0))</f>
        <v>2.2142857142857144</v>
      </c>
      <c r="BD230"/>
      <c r="BE230"/>
    </row>
    <row r="231" spans="1:57" ht="19.5" hidden="1" customHeight="1">
      <c r="A231" s="792"/>
      <c r="B231" s="795"/>
      <c r="C231" s="661"/>
      <c r="D231" s="662"/>
      <c r="E231" s="216" t="str">
        <f>INDEX(目標値!E201:N201,MATCH($L$2,目標値!$E$180:$N$180,0))</f>
        <v>冷やに適する傾向</v>
      </c>
      <c r="I231" s="2" t="s">
        <v>262</v>
      </c>
      <c r="BD231"/>
      <c r="BE231"/>
    </row>
    <row r="232" spans="1:57" ht="19.5" hidden="1" customHeight="1">
      <c r="A232" s="631" t="s">
        <v>149</v>
      </c>
      <c r="B232" s="794" t="s">
        <v>150</v>
      </c>
      <c r="C232" s="650">
        <v>1</v>
      </c>
      <c r="D232" s="211" t="s">
        <v>260</v>
      </c>
      <c r="E232" s="216" t="e">
        <f>IF(INDEX(目標値!E202:N202,MATCH($L$2,目標値!$E$180:$N$180,0))&lt;&gt;0,INDEX(目標値!E202:N202,MATCH($L$2,目標値!$E$180:$N$180,0)),NA())</f>
        <v>#N/A</v>
      </c>
      <c r="I232" s="2">
        <f>E233*(-10)</f>
        <v>-76</v>
      </c>
      <c r="J232" s="158" t="s">
        <v>263</v>
      </c>
      <c r="BD232"/>
      <c r="BE232"/>
    </row>
    <row r="233" spans="1:57" ht="19.5" hidden="1" customHeight="1">
      <c r="A233" s="631"/>
      <c r="B233" s="794"/>
      <c r="C233" s="650"/>
      <c r="D233" s="211" t="s">
        <v>1</v>
      </c>
      <c r="E233" s="216">
        <f>IF(INDEX(目標値!E203:N203,MATCH($L$2,目標値!$E$180:$N$180,0))="",NA(),INDEX(目標値!E203:N203,MATCH($L$2,目標値!$E$180:$N$180,0)))</f>
        <v>7.6</v>
      </c>
      <c r="I233" s="2">
        <f>IF(I232="","",IF(E234="","",ROUNDDOWN((ROUND(1443/(1443+I232),4)-IFERROR(E234*VLOOKUP(E234,'各種計算式等（配付時非表示）'!$E$3:$H$1003,3,TRUE)+VLOOKUP(E234,'各種計算式等（配付時非表示）'!$E$3:$H$1003,4,TRUE)+0.0000000001,"-"))*260+0.21,1)))</f>
        <v>16.600000000000001</v>
      </c>
      <c r="J233" s="158" t="s">
        <v>264</v>
      </c>
      <c r="BD233"/>
      <c r="BE233"/>
    </row>
    <row r="234" spans="1:57" ht="19.5" hidden="1" customHeight="1">
      <c r="A234" s="631"/>
      <c r="B234" s="794"/>
      <c r="C234" s="650"/>
      <c r="D234" s="211" t="s">
        <v>261</v>
      </c>
      <c r="E234" s="216">
        <f>IF(INDEX(目標値!E204:N204,MATCH($L$2,目標値!$E$180:$N$180,0))&lt;&gt;0,INDEX(目標値!E204:N204,MATCH($L$2,目標値!$E$180:$N$180,0)),NA())</f>
        <v>5.3</v>
      </c>
      <c r="I234" s="123">
        <f>IF(I233="","",ROUNDDOWN(I233+E234*1.5848,1))</f>
        <v>24.9</v>
      </c>
      <c r="J234" s="158" t="s">
        <v>58</v>
      </c>
      <c r="BD234"/>
      <c r="BE234"/>
    </row>
    <row r="235" spans="1:57" ht="19.5" hidden="1" customHeight="1">
      <c r="A235" s="631"/>
      <c r="B235" s="794"/>
      <c r="C235" s="650">
        <v>2</v>
      </c>
      <c r="D235" s="211" t="s">
        <v>260</v>
      </c>
      <c r="E235" s="216" t="e">
        <f>IF(INDEX(目標値!E205:N205,MATCH($L$2,目標値!$E$180:$N$180,0))&lt;&gt;0,INDEX(目標値!E205:N205,MATCH($L$2,目標値!$E$180:$N$180,0)),NA())</f>
        <v>#N/A</v>
      </c>
      <c r="I235" s="2">
        <f>E236*(-10)</f>
        <v>-62</v>
      </c>
      <c r="BD235"/>
      <c r="BE235"/>
    </row>
    <row r="236" spans="1:57" hidden="1">
      <c r="A236" s="631"/>
      <c r="B236" s="794"/>
      <c r="C236" s="650"/>
      <c r="D236" s="211" t="s">
        <v>1</v>
      </c>
      <c r="E236" s="216">
        <f>IF(INDEX(目標値!E206:N206,MATCH($L$2,目標値!$E$180:$N$180,0))="",NA(),INDEX(目標値!E206:N206,MATCH($L$2,目標値!$E$180:$N$180,0)))</f>
        <v>6.2</v>
      </c>
      <c r="I236" s="2">
        <f>IF(I235="","",IF(E237="","",ROUNDDOWN((ROUND(1443/(1443+I235),4)-IFERROR(E237*VLOOKUP(E237,'各種計算式等（配付時非表示）'!$E$3:$H$1003,3,TRUE)+VLOOKUP(E237,'各種計算式等（配付時非表示）'!$E$3:$H$1003,4,TRUE)+0.0000000001,"-"))*260+0.21,1)))</f>
        <v>14.7</v>
      </c>
      <c r="BD236"/>
      <c r="BE236"/>
    </row>
    <row r="237" spans="1:57" hidden="1">
      <c r="A237" s="631"/>
      <c r="B237" s="794"/>
      <c r="C237" s="650"/>
      <c r="D237" s="211" t="s">
        <v>261</v>
      </c>
      <c r="E237" s="216">
        <f>IF(INDEX(目標値!E207:N207,MATCH($L$2,目標値!$E$180:$N$180,0))&lt;&gt;0,INDEX(目標値!E207:N207,MATCH($L$2,目標値!$E$180:$N$180,0)),NA())</f>
        <v>7.9</v>
      </c>
      <c r="I237" s="123">
        <f>IF(I236="","",ROUNDDOWN(I236+E237*1.5848,1))</f>
        <v>27.2</v>
      </c>
      <c r="BD237"/>
      <c r="BE237"/>
    </row>
    <row r="238" spans="1:57" hidden="1">
      <c r="A238" s="631"/>
      <c r="B238" s="794"/>
      <c r="C238" s="650">
        <v>3</v>
      </c>
      <c r="D238" s="211" t="s">
        <v>260</v>
      </c>
      <c r="E238" s="216" t="e">
        <f>IF(INDEX(目標値!E208:N208,MATCH($L$2,目標値!$E$180:$N$180,0))&lt;&gt;0,INDEX(目標値!E208:N208,MATCH($L$2,目標値!$E$180:$N$180,0)),NA())</f>
        <v>#N/A</v>
      </c>
      <c r="I238" s="2">
        <f>E239*(-10)</f>
        <v>-38</v>
      </c>
      <c r="BD238"/>
      <c r="BE238"/>
    </row>
    <row r="239" spans="1:57" hidden="1">
      <c r="A239" s="631"/>
      <c r="B239" s="794"/>
      <c r="C239" s="650"/>
      <c r="D239" s="211" t="s">
        <v>1</v>
      </c>
      <c r="E239" s="216">
        <f>IF(INDEX(目標値!E209:N209,MATCH($L$2,目標値!$E$180:$N$180,0))="",NA(),INDEX(目標値!E209:N209,MATCH($L$2,目標値!$E$180:$N$180,0)))</f>
        <v>3.8</v>
      </c>
      <c r="I239" s="2">
        <f>IF(I238="","",IF(E240="","",ROUNDDOWN((ROUND(1443/(1443+I238),4)-IFERROR(E240*VLOOKUP(E240,'各種計算式等（配付時非表示）'!$E$3:$H$1003,3,TRUE)+VLOOKUP(E240,'各種計算式等（配付時非表示）'!$E$3:$H$1003,4,TRUE)+0.0000000001,"-"))*260+0.21,1)))</f>
        <v>11.1</v>
      </c>
      <c r="BD239"/>
      <c r="BE239"/>
    </row>
    <row r="240" spans="1:57" hidden="1">
      <c r="A240" s="631"/>
      <c r="B240" s="794"/>
      <c r="C240" s="650"/>
      <c r="D240" s="211" t="s">
        <v>261</v>
      </c>
      <c r="E240" s="216">
        <f>IF(INDEX(目標値!E210:N210,MATCH($L$2,目標値!$E$180:$N$180,0))&lt;&gt;0,INDEX(目標値!E210:N210,MATCH($L$2,目標値!$E$180:$N$180,0)),NA())</f>
        <v>11.4</v>
      </c>
      <c r="I240" s="123">
        <f>IF(I239="","",ROUNDDOWN(I239+E240*1.5848,1))</f>
        <v>29.1</v>
      </c>
      <c r="BD240"/>
      <c r="BE240"/>
    </row>
    <row r="241" spans="1:57" hidden="1">
      <c r="A241" s="631"/>
      <c r="B241" s="794"/>
      <c r="C241" s="650">
        <v>4</v>
      </c>
      <c r="D241" s="211" t="s">
        <v>260</v>
      </c>
      <c r="E241" s="216" t="e">
        <f>IF(INDEX(目標値!E211:N211,MATCH($L$2,目標値!$E$180:$N$180,0))&lt;&gt;0,INDEX(目標値!E211:N211,MATCH($L$2,目標値!$E$180:$N$180,0)),NA())</f>
        <v>#N/A</v>
      </c>
      <c r="I241" s="2">
        <f>E242*(-10)</f>
        <v>-23</v>
      </c>
      <c r="BD241"/>
      <c r="BE241"/>
    </row>
    <row r="242" spans="1:57" hidden="1">
      <c r="A242" s="631"/>
      <c r="B242" s="794"/>
      <c r="C242" s="650"/>
      <c r="D242" s="211" t="s">
        <v>1</v>
      </c>
      <c r="E242" s="216">
        <f>IF(INDEX(目標値!E212:N212,MATCH($L$2,目標値!$E$180:$N$180,0))="",NA(),INDEX(目標値!E212:N212,MATCH($L$2,目標値!$E$180:$N$180,0)))</f>
        <v>2.2999999999999998</v>
      </c>
      <c r="I242" s="2">
        <f>IF(I241="","",IF(E243="","",ROUNDDOWN((ROUND(1443/(1443+I241),4)-IFERROR(E243*VLOOKUP(E243,'各種計算式等（配付時非表示）'!$E$3:$H$1003,3,TRUE)+VLOOKUP(E243,'各種計算式等（配付時非表示）'!$E$3:$H$1003,4,TRUE)+0.0000000001,"-"))*260+0.21,1)))</f>
        <v>8.9</v>
      </c>
      <c r="BD242"/>
      <c r="BE242"/>
    </row>
    <row r="243" spans="1:57" hidden="1">
      <c r="A243" s="631"/>
      <c r="B243" s="794"/>
      <c r="C243" s="650"/>
      <c r="D243" s="211" t="s">
        <v>261</v>
      </c>
      <c r="E243" s="216">
        <f>IF(INDEX(目標値!E213:N213,MATCH($L$2,目標値!$E$180:$N$180,0))&lt;&gt;0,INDEX(目標値!E213:N213,MATCH($L$2,目標値!$E$180:$N$180,0)),NA())</f>
        <v>13.6</v>
      </c>
      <c r="I243" s="123">
        <f>IF(I242="","",ROUNDDOWN(I242+E243*1.5848,1))</f>
        <v>30.4</v>
      </c>
      <c r="BD243"/>
      <c r="BE243"/>
    </row>
    <row r="244" spans="1:57" hidden="1">
      <c r="A244" s="631"/>
      <c r="B244" s="794"/>
      <c r="C244" s="650">
        <v>5</v>
      </c>
      <c r="D244" s="211" t="s">
        <v>260</v>
      </c>
      <c r="E244" s="216" t="e">
        <f>IF(INDEX(目標値!E214:N214,MATCH($L$2,目標値!$E$180:$N$180,0))&lt;&gt;0,INDEX(目標値!E214:N214,MATCH($L$2,目標値!$E$180:$N$180,0)),NA())</f>
        <v>#N/A</v>
      </c>
      <c r="G244"/>
      <c r="I244" s="2">
        <f>E245*(-10)</f>
        <v>-8.2999999999999989</v>
      </c>
    </row>
    <row r="245" spans="1:57" hidden="1">
      <c r="A245" s="631"/>
      <c r="B245" s="794"/>
      <c r="C245" s="650"/>
      <c r="D245" s="211" t="s">
        <v>1</v>
      </c>
      <c r="E245" s="216">
        <f>IF(INDEX(目標値!E215:N215,MATCH($L$2,目標値!$E$180:$N$180,0))="",NA(),INDEX(目標値!E215:N215,MATCH($L$2,目標値!$E$180:$N$180,0)))</f>
        <v>0.83</v>
      </c>
      <c r="G245"/>
      <c r="I245" s="2">
        <f>IF(I244="","",IF(E246="","",ROUNDDOWN((ROUND(1443/(1443+I244),4)-IFERROR(E246*VLOOKUP(E246,'各種計算式等（配付時非表示）'!$E$3:$H$1003,3,TRUE)+VLOOKUP(E246,'各種計算式等（配付時非表示）'!$E$3:$H$1003,4,TRUE)+0.0000000001,"-"))*260+0.21,1)))</f>
        <v>6.8</v>
      </c>
    </row>
    <row r="246" spans="1:57" hidden="1">
      <c r="A246" s="631"/>
      <c r="B246" s="794"/>
      <c r="C246" s="650"/>
      <c r="D246" s="211" t="s">
        <v>261</v>
      </c>
      <c r="E246" s="216">
        <f>IF(INDEX(目標値!E216:N216,MATCH($L$2,目標値!$E$180:$N$180,0))&lt;&gt;0,INDEX(目標値!E216:N216,MATCH($L$2,目標値!$E$180:$N$180,0)),NA())</f>
        <v>16</v>
      </c>
      <c r="G246"/>
      <c r="I246" s="123">
        <f>IF(I245="","",ROUNDDOWN(I245+E246*1.5848,1))</f>
        <v>32.1</v>
      </c>
    </row>
    <row r="247" spans="1:57" hidden="1">
      <c r="A247" s="631"/>
      <c r="B247" s="794" t="s">
        <v>151</v>
      </c>
      <c r="C247" s="650">
        <v>1</v>
      </c>
      <c r="D247" s="211" t="s">
        <v>260</v>
      </c>
      <c r="E247" s="216" t="e">
        <f>IF(INDEX(目標値!E217:N217,MATCH($L$2,目標値!$E$180:$N$180,0))&lt;&gt;0,INDEX(目標値!E217:N217,MATCH($L$2,目標値!$E$180:$N$180,0)),NA())</f>
        <v>#N/A</v>
      </c>
      <c r="G247"/>
      <c r="I247" s="2">
        <f>E248*(-10)</f>
        <v>-54</v>
      </c>
    </row>
    <row r="248" spans="1:57" hidden="1">
      <c r="A248" s="631"/>
      <c r="B248" s="794"/>
      <c r="C248" s="650"/>
      <c r="D248" s="211" t="s">
        <v>1</v>
      </c>
      <c r="E248" s="216">
        <f>IF(INDEX(目標値!E218:N218,MATCH($L$2,目標値!$E$180:$N$180,0))="",NA(),INDEX(目標値!E218:N218,MATCH($L$2,目標値!$E$180:$N$180,0)))</f>
        <v>5.4</v>
      </c>
      <c r="G248"/>
      <c r="I248" s="2">
        <f>IF(I247="","",IF(E249="","",ROUNDDOWN((ROUND(1443/(1443+I247),4)-IFERROR(E249*VLOOKUP(E249,'各種計算式等（配付時非表示）'!$E$3:$H$1003,3,TRUE)+VLOOKUP(E249,'各種計算式等（配付時非表示）'!$E$3:$H$1003,4,TRUE)+0.0000000001,"-"))*260+0.21,1)))</f>
        <v>11.7</v>
      </c>
    </row>
    <row r="249" spans="1:57" hidden="1">
      <c r="A249" s="631"/>
      <c r="B249" s="794"/>
      <c r="C249" s="650"/>
      <c r="D249" s="211" t="s">
        <v>261</v>
      </c>
      <c r="E249" s="216">
        <f>IF(INDEX(目標値!E219:N219,MATCH($L$2,目標値!$E$180:$N$180,0))&lt;&gt;0,INDEX(目標値!E219:N219,MATCH($L$2,目標値!$E$180:$N$180,0)),NA())</f>
        <v>3.8</v>
      </c>
      <c r="I249" s="123">
        <f>IF(I248="","",ROUNDDOWN(I248+E249*1.5848,1))</f>
        <v>17.7</v>
      </c>
    </row>
    <row r="250" spans="1:57" hidden="1">
      <c r="A250" s="631"/>
      <c r="B250" s="794"/>
      <c r="C250" s="650">
        <v>2</v>
      </c>
      <c r="D250" s="211" t="s">
        <v>260</v>
      </c>
      <c r="E250" s="216" t="e">
        <f>IF(INDEX(目標値!E220:N220,MATCH($L$2,目標値!$E$180:$N$180,0))&lt;&gt;0,INDEX(目標値!E220:N220,MATCH($L$2,目標値!$E$180:$N$180,0)),NA())</f>
        <v>#N/A</v>
      </c>
      <c r="I250" s="2">
        <f>E251*(-10)</f>
        <v>-52</v>
      </c>
    </row>
    <row r="251" spans="1:57" hidden="1">
      <c r="A251" s="631"/>
      <c r="B251" s="794"/>
      <c r="C251" s="650"/>
      <c r="D251" s="211" t="s">
        <v>1</v>
      </c>
      <c r="E251" s="216">
        <f>IF(INDEX(目標値!E221:N221,MATCH($L$2,目標値!$E$180:$N$180,0))="",NA(),INDEX(目標値!E221:N221,MATCH($L$2,目標値!$E$180:$N$180,0)))</f>
        <v>5.2</v>
      </c>
      <c r="I251" s="2">
        <f>IF(I250="","",IF(E252="","",ROUNDDOWN((ROUND(1443/(1443+I250),4)-IFERROR(E252*VLOOKUP(E252,'各種計算式等（配付時非表示）'!$E$3:$H$1003,3,TRUE)+VLOOKUP(E252,'各種計算式等（配付時非表示）'!$E$3:$H$1003,4,TRUE)+0.0000000001,"-"))*260+0.21,1)))</f>
        <v>11.9</v>
      </c>
    </row>
    <row r="252" spans="1:57" hidden="1">
      <c r="A252" s="631"/>
      <c r="B252" s="794"/>
      <c r="C252" s="650"/>
      <c r="D252" s="211" t="s">
        <v>261</v>
      </c>
      <c r="E252" s="216">
        <f>IF(INDEX(目標値!E222:N222,MATCH($L$2,目標値!$E$180:$N$180,0))&lt;&gt;0,INDEX(目標値!E222:N222,MATCH($L$2,目標値!$E$180:$N$180,0)),NA())</f>
        <v>5.5</v>
      </c>
      <c r="I252" s="123">
        <f>IF(I251="","",ROUNDDOWN(I251+E252*1.5848,1))</f>
        <v>20.6</v>
      </c>
    </row>
    <row r="253" spans="1:57" hidden="1">
      <c r="A253" s="631"/>
      <c r="B253" s="794"/>
      <c r="C253" s="650">
        <v>3</v>
      </c>
      <c r="D253" s="211" t="s">
        <v>260</v>
      </c>
      <c r="E253" s="216" t="e">
        <f>IF(INDEX(目標値!E223:N223,MATCH($L$2,目標値!$E$180:$N$180,0))&lt;&gt;0,INDEX(目標値!E223:N223,MATCH($L$2,目標値!$E$180:$N$180,0)),NA())</f>
        <v>#N/A</v>
      </c>
      <c r="I253" s="2">
        <f>E254*(-10)</f>
        <v>-34</v>
      </c>
    </row>
    <row r="254" spans="1:57" hidden="1">
      <c r="A254" s="631"/>
      <c r="B254" s="794"/>
      <c r="C254" s="650"/>
      <c r="D254" s="211" t="s">
        <v>1</v>
      </c>
      <c r="E254" s="216">
        <f>IF(INDEX(目標値!E224:N224,MATCH($L$2,目標値!$E$180:$N$180,0))&lt;&gt;0,INDEX(目標値!E224:N224,MATCH($L$2,目標値!$E$180:$N$180,0)),NA())</f>
        <v>3.4</v>
      </c>
      <c r="I254" s="2">
        <f>IF(I253="","",IF(E255="","",ROUNDDOWN((ROUND(1443/(1443+I253),4)-IFERROR(E255*VLOOKUP(E255,'各種計算式等（配付時非表示）'!$E$3:$H$1003,3,TRUE)+VLOOKUP(E255,'各種計算式等（配付時非表示）'!$E$3:$H$1003,4,TRUE)+0.0000000001,"-"))*260+0.21,1)))</f>
        <v>9.6</v>
      </c>
    </row>
    <row r="255" spans="1:57" hidden="1">
      <c r="A255" s="631"/>
      <c r="B255" s="794"/>
      <c r="C255" s="650"/>
      <c r="D255" s="211" t="s">
        <v>261</v>
      </c>
      <c r="E255" s="216">
        <f>IF(INDEX(目標値!E225:N225,MATCH($L$2,目標値!$E$180:$N$180,0))="",NA(),INDEX(目標値!E225:N225,MATCH($L$2,目標値!$E$180:$N$180,0)))</f>
        <v>9</v>
      </c>
      <c r="I255" s="123">
        <f>IF(I254="","",ROUNDDOWN(I254+E255*1.5848,1))</f>
        <v>23.8</v>
      </c>
    </row>
    <row r="256" spans="1:57" hidden="1">
      <c r="A256" s="631"/>
      <c r="B256" s="794"/>
      <c r="C256" s="650">
        <v>4</v>
      </c>
      <c r="D256" s="211" t="s">
        <v>260</v>
      </c>
      <c r="E256" s="216" t="e">
        <f>IF(INDEX(目標値!E226:N226,MATCH($L$2,目標値!$E$180:$N$180,0))&lt;&gt;0,INDEX(目標値!E226:N226,MATCH($L$2,目標値!$E$180:$N$180,0)),NA())</f>
        <v>#N/A</v>
      </c>
      <c r="I256" s="2">
        <f>E257*(-10)</f>
        <v>-9.6999999999999993</v>
      </c>
    </row>
    <row r="257" spans="1:61" hidden="1">
      <c r="A257" s="631"/>
      <c r="B257" s="794"/>
      <c r="C257" s="650"/>
      <c r="D257" s="211" t="s">
        <v>1</v>
      </c>
      <c r="E257" s="216">
        <f>IF(INDEX(目標値!E227:N227,MATCH($L$2,目標値!$E$180:$N$180,0))="",NA(),INDEX(目標値!E227:N227,MATCH($L$2,目標値!$E$180:$N$180,0)))</f>
        <v>0.97</v>
      </c>
      <c r="I257" s="2">
        <f>IF(I256="","",IF(E258="","",ROUNDDOWN((ROUND(1443/(1443+I256),4)-IFERROR(E258*VLOOKUP(E258,'各種計算式等（配付時非表示）'!$E$3:$H$1003,3,TRUE)+VLOOKUP(E258,'各種計算式等（配付時非表示）'!$E$3:$H$1003,4,TRUE)+0.0000000001,"-"))*260+0.21,1)))</f>
        <v>6.6</v>
      </c>
    </row>
    <row r="258" spans="1:61" hidden="1">
      <c r="A258" s="631"/>
      <c r="B258" s="794"/>
      <c r="C258" s="650"/>
      <c r="D258" s="211" t="s">
        <v>261</v>
      </c>
      <c r="E258" s="216">
        <f>IF(INDEX(目標値!E228:N228,MATCH($L$2,目標値!$E$180:$N$180,0))&lt;&gt;0,INDEX(目標値!E228:N228,MATCH($L$2,目標値!$E$180:$N$180,0)),NA())</f>
        <v>14.1</v>
      </c>
      <c r="I258" s="123">
        <f>IF(I257="","",ROUNDDOWN(I257+E258*1.5848,1))</f>
        <v>28.9</v>
      </c>
    </row>
    <row r="259" spans="1:61" hidden="1">
      <c r="A259" s="631"/>
      <c r="B259" s="794"/>
      <c r="C259" s="650">
        <v>5</v>
      </c>
      <c r="D259" s="211" t="s">
        <v>260</v>
      </c>
      <c r="E259" s="216" t="e">
        <f>IF(INDEX(目標値!E229:N229,MATCH($L$2,目標値!$E$180:$N$180,0))&lt;&gt;0,INDEX(目標値!E229:N229,MATCH($L$2,目標値!$E$180:$N$180,0)),NA())</f>
        <v>#N/A</v>
      </c>
      <c r="I259" s="2">
        <f>E260*(-10)</f>
        <v>-1</v>
      </c>
    </row>
    <row r="260" spans="1:61" hidden="1">
      <c r="A260" s="631"/>
      <c r="B260" s="794"/>
      <c r="C260" s="650"/>
      <c r="D260" s="211" t="s">
        <v>1</v>
      </c>
      <c r="E260" s="216">
        <f>IF(INDEX(目標値!E230:N230,MATCH($L$2,目標値!$E$180:$N$180,0))="",NA(),INDEX(目標値!E230:N230,MATCH($L$2,目標値!$E$180:$N$180,0)))</f>
        <v>0.1</v>
      </c>
      <c r="I260" s="2">
        <f>IF(I259="","",IF(E261="","",ROUNDDOWN((ROUND(1443/(1443+I259),4)-IFERROR(E261*VLOOKUP(E261,'各種計算式等（配付時非表示）'!$E$3:$H$1003,3,TRUE)+VLOOKUP(E261,'各種計算式等（配付時非表示）'!$E$3:$H$1003,4,TRUE)+0.0000000001,"-"))*260+0.21,1)))</f>
        <v>5.5</v>
      </c>
    </row>
    <row r="261" spans="1:61" ht="14.25" hidden="1" thickBot="1">
      <c r="A261" s="632"/>
      <c r="B261" s="796"/>
      <c r="C261" s="651"/>
      <c r="D261" s="212" t="s">
        <v>261</v>
      </c>
      <c r="E261" s="216">
        <f>IF(INDEX(目標値!E231:N231,MATCH($L$2,目標値!$E$180:$N$180,0))&lt;&gt;0,INDEX(目標値!E231:N231,MATCH($L$2,目標値!$E$180:$N$180,0)),NA())</f>
        <v>15.8</v>
      </c>
      <c r="I261" s="123">
        <f>IF(I260="","",ROUNDDOWN(I260+E261*1.5848,1))</f>
        <v>30.5</v>
      </c>
    </row>
    <row r="262" spans="1:61" ht="20.45" hidden="1" customHeight="1"/>
    <row r="263" spans="1:61" hidden="1"/>
    <row r="264" spans="1:61" hidden="1"/>
    <row r="265" spans="1:61" hidden="1"/>
    <row r="267" spans="1:61" ht="22.35" customHeight="1" thickBot="1">
      <c r="C267" s="411" t="s">
        <v>457</v>
      </c>
    </row>
    <row r="268" spans="1:61" ht="18" customHeight="1">
      <c r="B268" s="906" t="s">
        <v>92</v>
      </c>
      <c r="C268" s="893" t="s">
        <v>72</v>
      </c>
      <c r="D268" s="893"/>
      <c r="E268" s="894" t="s">
        <v>279</v>
      </c>
      <c r="F268" s="895"/>
      <c r="G268" s="894" t="s">
        <v>94</v>
      </c>
      <c r="H268" s="896"/>
      <c r="I268" s="896" t="s">
        <v>76</v>
      </c>
      <c r="J268" s="896"/>
      <c r="K268" s="896"/>
      <c r="L268" s="896"/>
      <c r="M268" s="896" t="s">
        <v>77</v>
      </c>
      <c r="N268" s="896"/>
      <c r="O268" s="896"/>
      <c r="P268" s="896"/>
      <c r="Q268" s="896"/>
      <c r="R268" s="896"/>
      <c r="S268" s="896"/>
      <c r="T268" s="896"/>
      <c r="U268" s="896"/>
      <c r="V268" s="896"/>
      <c r="W268" s="896"/>
      <c r="X268" s="668" t="s">
        <v>78</v>
      </c>
      <c r="Y268" s="552"/>
      <c r="Z268" s="552"/>
      <c r="AA268" s="552"/>
      <c r="AB268" s="552"/>
      <c r="AC268" s="552"/>
      <c r="AD268" s="552"/>
      <c r="AE268" s="552"/>
      <c r="AF268" s="552"/>
      <c r="AG268" s="552"/>
      <c r="AH268" s="552"/>
      <c r="AI268" s="552"/>
      <c r="AJ268" s="552"/>
      <c r="AK268" s="552"/>
      <c r="AL268" s="552"/>
      <c r="AM268" s="552"/>
      <c r="AN268" s="552"/>
      <c r="AO268" s="552"/>
      <c r="AP268" s="552"/>
      <c r="AQ268" s="552"/>
      <c r="AR268" s="552"/>
      <c r="AS268" s="552"/>
      <c r="AT268" s="669"/>
      <c r="BF268" s="2"/>
      <c r="BG268" s="2"/>
      <c r="BH268" s="2"/>
    </row>
    <row r="269" spans="1:61" ht="18" customHeight="1">
      <c r="B269" s="907"/>
      <c r="C269" s="871"/>
      <c r="D269" s="871"/>
      <c r="E269" s="821"/>
      <c r="F269" s="821"/>
      <c r="G269" s="743"/>
      <c r="H269" s="743"/>
      <c r="I269" s="743" t="s">
        <v>274</v>
      </c>
      <c r="J269" s="743"/>
      <c r="K269" s="743" t="s">
        <v>79</v>
      </c>
      <c r="L269" s="743"/>
      <c r="M269" s="743" t="s">
        <v>79</v>
      </c>
      <c r="N269" s="743"/>
      <c r="O269" s="891" t="s">
        <v>278</v>
      </c>
      <c r="P269" s="821"/>
      <c r="Q269" s="821"/>
      <c r="R269" s="820" t="s">
        <v>270</v>
      </c>
      <c r="S269" s="820"/>
      <c r="T269" s="820"/>
      <c r="U269" s="820" t="s">
        <v>275</v>
      </c>
      <c r="V269" s="820"/>
      <c r="W269" s="820"/>
      <c r="X269" s="743" t="s">
        <v>79</v>
      </c>
      <c r="Y269" s="743"/>
      <c r="Z269" s="891" t="s">
        <v>91</v>
      </c>
      <c r="AA269" s="821"/>
      <c r="AB269" s="821"/>
      <c r="AC269" s="820" t="s">
        <v>167</v>
      </c>
      <c r="AD269" s="820"/>
      <c r="AE269" s="820"/>
      <c r="AF269" s="820" t="s">
        <v>276</v>
      </c>
      <c r="AG269" s="820"/>
      <c r="AH269" s="820"/>
      <c r="AI269" s="674" t="s">
        <v>434</v>
      </c>
      <c r="AJ269" s="675"/>
      <c r="AK269" s="676"/>
      <c r="AL269" s="891" t="s">
        <v>95</v>
      </c>
      <c r="AM269" s="821"/>
      <c r="AN269" s="821"/>
      <c r="AO269" s="820" t="s">
        <v>168</v>
      </c>
      <c r="AP269" s="820"/>
      <c r="AQ269" s="820"/>
      <c r="AR269" s="820" t="s">
        <v>277</v>
      </c>
      <c r="AS269" s="820"/>
      <c r="AT269" s="892"/>
      <c r="BF269" s="2"/>
      <c r="BG269" s="2"/>
      <c r="BH269" s="2"/>
    </row>
    <row r="270" spans="1:61" ht="18" customHeight="1">
      <c r="B270" s="907"/>
      <c r="C270" s="871"/>
      <c r="D270" s="871"/>
      <c r="E270" s="821"/>
      <c r="F270" s="821"/>
      <c r="G270" s="743"/>
      <c r="H270" s="743"/>
      <c r="I270" s="743"/>
      <c r="J270" s="743"/>
      <c r="K270" s="743"/>
      <c r="L270" s="743"/>
      <c r="M270" s="743"/>
      <c r="N270" s="743"/>
      <c r="O270" s="821"/>
      <c r="P270" s="821"/>
      <c r="Q270" s="821"/>
      <c r="R270" s="820"/>
      <c r="S270" s="820"/>
      <c r="T270" s="820"/>
      <c r="U270" s="820"/>
      <c r="V270" s="820"/>
      <c r="W270" s="820"/>
      <c r="X270" s="743"/>
      <c r="Y270" s="743"/>
      <c r="Z270" s="821"/>
      <c r="AA270" s="821"/>
      <c r="AB270" s="821"/>
      <c r="AC270" s="820"/>
      <c r="AD270" s="820"/>
      <c r="AE270" s="820"/>
      <c r="AF270" s="820"/>
      <c r="AG270" s="820"/>
      <c r="AH270" s="820"/>
      <c r="AI270" s="1175"/>
      <c r="AJ270" s="1176"/>
      <c r="AK270" s="1177"/>
      <c r="AL270" s="821"/>
      <c r="AM270" s="821"/>
      <c r="AN270" s="821"/>
      <c r="AO270" s="820"/>
      <c r="AP270" s="820"/>
      <c r="AQ270" s="820"/>
      <c r="AR270" s="820"/>
      <c r="AS270" s="820"/>
      <c r="AT270" s="892"/>
      <c r="BF270" s="2"/>
      <c r="BG270" s="2"/>
      <c r="BH270" s="2"/>
    </row>
    <row r="271" spans="1:61" ht="18" customHeight="1">
      <c r="B271" s="907"/>
      <c r="C271" s="1171"/>
      <c r="D271" s="1171"/>
      <c r="E271" s="742"/>
      <c r="F271" s="742"/>
      <c r="G271" s="1174"/>
      <c r="H271" s="1174"/>
      <c r="I271" s="742"/>
      <c r="J271" s="742"/>
      <c r="K271" s="742"/>
      <c r="L271" s="742"/>
      <c r="M271" s="742"/>
      <c r="N271" s="742"/>
      <c r="O271" s="742"/>
      <c r="P271" s="742"/>
      <c r="Q271" s="742"/>
      <c r="R271" s="764" t="str">
        <f>IF($E271="","",IF($O271="","",ROUND(($O271-$E271)/$E271*100,1)))</f>
        <v/>
      </c>
      <c r="S271" s="764"/>
      <c r="T271" s="764"/>
      <c r="U271" s="1178" t="str">
        <f>IF(G271="","",IF(R271="","",ROUND(100*(R271+G271)/(100+R271),1)))</f>
        <v/>
      </c>
      <c r="V271" s="1179"/>
      <c r="W271" s="1180"/>
      <c r="X271" s="742"/>
      <c r="Y271" s="742"/>
      <c r="Z271" s="742"/>
      <c r="AA271" s="742"/>
      <c r="AB271" s="742"/>
      <c r="AC271" s="764" t="str">
        <f>IF($E271="","",IF($Z271="","",ROUND(($Z271-$E271)/$E271*100,1)))</f>
        <v/>
      </c>
      <c r="AD271" s="764"/>
      <c r="AE271" s="764"/>
      <c r="AF271" s="764" t="str">
        <f>IF(G271="","",IF(AC271="","",ROUND(100*(AC271+G271)/(100+AC271),1)))</f>
        <v/>
      </c>
      <c r="AG271" s="764"/>
      <c r="AH271" s="764"/>
      <c r="AI271" s="683" t="s">
        <v>418</v>
      </c>
      <c r="AJ271" s="684"/>
      <c r="AK271" s="685"/>
      <c r="AL271" s="742"/>
      <c r="AM271" s="742"/>
      <c r="AN271" s="742"/>
      <c r="AO271" s="764" t="str">
        <f>IF($BH271=0,"",IF($AL271="","",ROUND(($AL271-$BH271)/$BH271*100,1)))</f>
        <v/>
      </c>
      <c r="AP271" s="764"/>
      <c r="AQ271" s="764"/>
      <c r="AR271" s="764" t="str">
        <f>IF(G271="","",IF(AO271="","",ROUND(100*(AO271+VLOOKUP(AI271,C$271:H$370,5,FALSE))/(100+AO271),1)))</f>
        <v/>
      </c>
      <c r="AS271" s="764"/>
      <c r="AT271" s="777"/>
      <c r="AX271" s="158"/>
      <c r="BF271" s="2"/>
      <c r="BG271" s="182" t="s">
        <v>418</v>
      </c>
      <c r="BH271" s="182">
        <f>SUMIF(C$271:D$370,AI271,E$271:F$370)</f>
        <v>0</v>
      </c>
      <c r="BI271" s="182"/>
    </row>
    <row r="272" spans="1:61" ht="18" customHeight="1">
      <c r="B272" s="907"/>
      <c r="C272" s="1171"/>
      <c r="D272" s="1171"/>
      <c r="E272" s="909"/>
      <c r="F272" s="911"/>
      <c r="G272" s="1172"/>
      <c r="H272" s="1173"/>
      <c r="I272" s="909"/>
      <c r="J272" s="911"/>
      <c r="K272" s="909"/>
      <c r="L272" s="911"/>
      <c r="M272" s="909"/>
      <c r="N272" s="911"/>
      <c r="O272" s="909"/>
      <c r="P272" s="910"/>
      <c r="Q272" s="911"/>
      <c r="R272" s="764" t="str">
        <f t="shared" ref="R272:R335" si="68">IF($E272="","",IF($O272="","",ROUND(($O272-$E272)/$E272*100,1)))</f>
        <v/>
      </c>
      <c r="S272" s="764"/>
      <c r="T272" s="764"/>
      <c r="U272" s="1178" t="str">
        <f t="shared" ref="U272:U335" si="69">IF(G272="","",IF(R272="","",ROUND(100*(R272+G272)/(100+R272),1)))</f>
        <v/>
      </c>
      <c r="V272" s="1179"/>
      <c r="W272" s="1180"/>
      <c r="X272" s="742"/>
      <c r="Y272" s="742"/>
      <c r="Z272" s="909"/>
      <c r="AA272" s="910"/>
      <c r="AB272" s="911"/>
      <c r="AC272" s="764" t="str">
        <f t="shared" ref="AC272:AC335" si="70">IF($E272="","",IF($Z272="","",ROUND(($Z272-$E272)/$E272*100,1)))</f>
        <v/>
      </c>
      <c r="AD272" s="764"/>
      <c r="AE272" s="764"/>
      <c r="AF272" s="764" t="str">
        <f t="shared" ref="AF272:AF378" si="71">IF(G272="","",IF(AC272="","",ROUND(100*(AC272+G272)/(100+AC272),1)))</f>
        <v/>
      </c>
      <c r="AG272" s="764"/>
      <c r="AH272" s="764"/>
      <c r="AI272" s="683" t="s">
        <v>269</v>
      </c>
      <c r="AJ272" s="684"/>
      <c r="AK272" s="685"/>
      <c r="AL272" s="909"/>
      <c r="AM272" s="910"/>
      <c r="AN272" s="911"/>
      <c r="AO272" s="764" t="str">
        <f t="shared" ref="AO272:AO278" si="72">IF($BH272=0,"",IF($AL272="","",ROUND(($AL272-$BH272)/$BH272*100,1)))</f>
        <v/>
      </c>
      <c r="AP272" s="764"/>
      <c r="AQ272" s="764"/>
      <c r="AR272" s="764" t="str">
        <f t="shared" ref="AR272:AR278" si="73">IF(G272="","",IF(AO272="","",ROUND(100*(AO272+VLOOKUP(AI272,C$271:H$370,5,FALSE))/(100+AO272),1)))</f>
        <v/>
      </c>
      <c r="AS272" s="764"/>
      <c r="AT272" s="777"/>
      <c r="AW272" s="461"/>
      <c r="AX272" s="158"/>
      <c r="BF272" s="2"/>
      <c r="BG272" s="182" t="s">
        <v>269</v>
      </c>
      <c r="BH272" s="182">
        <f t="shared" ref="BH272:BH278" si="74">SUMIF(C$271:D$370,AI272,E$271:F$370)</f>
        <v>0</v>
      </c>
      <c r="BI272" s="182"/>
    </row>
    <row r="273" spans="2:61" ht="18" customHeight="1">
      <c r="B273" s="907"/>
      <c r="C273" s="1171"/>
      <c r="D273" s="1171"/>
      <c r="E273" s="909"/>
      <c r="F273" s="911"/>
      <c r="G273" s="1172"/>
      <c r="H273" s="1173"/>
      <c r="I273" s="909"/>
      <c r="J273" s="911"/>
      <c r="K273" s="909"/>
      <c r="L273" s="911"/>
      <c r="M273" s="909"/>
      <c r="N273" s="911"/>
      <c r="O273" s="909"/>
      <c r="P273" s="910"/>
      <c r="Q273" s="911"/>
      <c r="R273" s="764" t="str">
        <f t="shared" si="68"/>
        <v/>
      </c>
      <c r="S273" s="764"/>
      <c r="T273" s="764"/>
      <c r="U273" s="1178" t="str">
        <f t="shared" si="69"/>
        <v/>
      </c>
      <c r="V273" s="1179"/>
      <c r="W273" s="1180"/>
      <c r="X273" s="742"/>
      <c r="Y273" s="742"/>
      <c r="Z273" s="909"/>
      <c r="AA273" s="910"/>
      <c r="AB273" s="911"/>
      <c r="AC273" s="764" t="str">
        <f t="shared" si="70"/>
        <v/>
      </c>
      <c r="AD273" s="764"/>
      <c r="AE273" s="764"/>
      <c r="AF273" s="764" t="str">
        <f t="shared" si="71"/>
        <v/>
      </c>
      <c r="AG273" s="764"/>
      <c r="AH273" s="764"/>
      <c r="AI273" s="683" t="s">
        <v>422</v>
      </c>
      <c r="AJ273" s="684"/>
      <c r="AK273" s="685"/>
      <c r="AL273" s="909"/>
      <c r="AM273" s="910"/>
      <c r="AN273" s="911"/>
      <c r="AO273" s="764" t="str">
        <f t="shared" si="72"/>
        <v/>
      </c>
      <c r="AP273" s="764"/>
      <c r="AQ273" s="764"/>
      <c r="AR273" s="764" t="str">
        <f t="shared" si="73"/>
        <v/>
      </c>
      <c r="AS273" s="764"/>
      <c r="AT273" s="777"/>
      <c r="AW273" s="461"/>
      <c r="AX273" s="158"/>
      <c r="BF273" s="2"/>
      <c r="BG273" s="182" t="s">
        <v>422</v>
      </c>
      <c r="BH273" s="182">
        <f t="shared" si="74"/>
        <v>0</v>
      </c>
      <c r="BI273" s="182"/>
    </row>
    <row r="274" spans="2:61" ht="18" customHeight="1">
      <c r="B274" s="907"/>
      <c r="C274" s="1171"/>
      <c r="D274" s="1171"/>
      <c r="E274" s="909"/>
      <c r="F274" s="911"/>
      <c r="G274" s="1172"/>
      <c r="H274" s="1173"/>
      <c r="I274" s="909"/>
      <c r="J274" s="911"/>
      <c r="K274" s="909"/>
      <c r="L274" s="911"/>
      <c r="M274" s="909"/>
      <c r="N274" s="911"/>
      <c r="O274" s="909"/>
      <c r="P274" s="910"/>
      <c r="Q274" s="911"/>
      <c r="R274" s="764" t="str">
        <f t="shared" si="68"/>
        <v/>
      </c>
      <c r="S274" s="764"/>
      <c r="T274" s="764"/>
      <c r="U274" s="1178" t="str">
        <f t="shared" si="69"/>
        <v/>
      </c>
      <c r="V274" s="1179"/>
      <c r="W274" s="1180"/>
      <c r="X274" s="742"/>
      <c r="Y274" s="742"/>
      <c r="Z274" s="909"/>
      <c r="AA274" s="910"/>
      <c r="AB274" s="911"/>
      <c r="AC274" s="764" t="str">
        <f t="shared" si="70"/>
        <v/>
      </c>
      <c r="AD274" s="764"/>
      <c r="AE274" s="764"/>
      <c r="AF274" s="764" t="str">
        <f t="shared" si="71"/>
        <v/>
      </c>
      <c r="AG274" s="764"/>
      <c r="AH274" s="764"/>
      <c r="AI274" s="683" t="s">
        <v>423</v>
      </c>
      <c r="AJ274" s="684"/>
      <c r="AK274" s="685"/>
      <c r="AL274" s="909"/>
      <c r="AM274" s="910"/>
      <c r="AN274" s="911"/>
      <c r="AO274" s="764" t="str">
        <f t="shared" si="72"/>
        <v/>
      </c>
      <c r="AP274" s="764"/>
      <c r="AQ274" s="764"/>
      <c r="AR274" s="764" t="str">
        <f t="shared" si="73"/>
        <v/>
      </c>
      <c r="AS274" s="764"/>
      <c r="AT274" s="777"/>
      <c r="AW274" s="461"/>
      <c r="AX274" s="158"/>
      <c r="BF274" s="2"/>
      <c r="BG274" s="182" t="s">
        <v>423</v>
      </c>
      <c r="BH274" s="182">
        <f t="shared" si="74"/>
        <v>0</v>
      </c>
      <c r="BI274" s="182"/>
    </row>
    <row r="275" spans="2:61" ht="18" customHeight="1">
      <c r="B275" s="907"/>
      <c r="C275" s="1171"/>
      <c r="D275" s="1171"/>
      <c r="E275" s="909"/>
      <c r="F275" s="911"/>
      <c r="G275" s="1172"/>
      <c r="H275" s="1173"/>
      <c r="I275" s="909"/>
      <c r="J275" s="911"/>
      <c r="K275" s="909"/>
      <c r="L275" s="911"/>
      <c r="M275" s="909"/>
      <c r="N275" s="911"/>
      <c r="O275" s="909"/>
      <c r="P275" s="910"/>
      <c r="Q275" s="911"/>
      <c r="R275" s="764" t="str">
        <f t="shared" si="68"/>
        <v/>
      </c>
      <c r="S275" s="764"/>
      <c r="T275" s="764"/>
      <c r="U275" s="1178" t="str">
        <f t="shared" si="69"/>
        <v/>
      </c>
      <c r="V275" s="1179"/>
      <c r="W275" s="1180"/>
      <c r="X275" s="742"/>
      <c r="Y275" s="742"/>
      <c r="Z275" s="909"/>
      <c r="AA275" s="910"/>
      <c r="AB275" s="911"/>
      <c r="AC275" s="764" t="str">
        <f t="shared" si="70"/>
        <v/>
      </c>
      <c r="AD275" s="764"/>
      <c r="AE275" s="764"/>
      <c r="AF275" s="764" t="str">
        <f t="shared" si="71"/>
        <v/>
      </c>
      <c r="AG275" s="764"/>
      <c r="AH275" s="764"/>
      <c r="AI275" s="683" t="s">
        <v>424</v>
      </c>
      <c r="AJ275" s="684"/>
      <c r="AK275" s="685"/>
      <c r="AL275" s="909"/>
      <c r="AM275" s="910"/>
      <c r="AN275" s="911"/>
      <c r="AO275" s="764" t="str">
        <f t="shared" si="72"/>
        <v/>
      </c>
      <c r="AP275" s="764"/>
      <c r="AQ275" s="764"/>
      <c r="AR275" s="764" t="str">
        <f t="shared" si="73"/>
        <v/>
      </c>
      <c r="AS275" s="764"/>
      <c r="AT275" s="777"/>
      <c r="AW275" s="461"/>
      <c r="AX275" s="158"/>
      <c r="BF275" s="2"/>
      <c r="BG275" s="182" t="s">
        <v>424</v>
      </c>
      <c r="BH275" s="182">
        <f t="shared" si="74"/>
        <v>0</v>
      </c>
      <c r="BI275" s="182"/>
    </row>
    <row r="276" spans="2:61" ht="18" customHeight="1">
      <c r="B276" s="907"/>
      <c r="C276" s="1171"/>
      <c r="D276" s="1171"/>
      <c r="E276" s="909"/>
      <c r="F276" s="911"/>
      <c r="G276" s="1172"/>
      <c r="H276" s="1173"/>
      <c r="I276" s="909"/>
      <c r="J276" s="911"/>
      <c r="K276" s="909"/>
      <c r="L276" s="911"/>
      <c r="M276" s="909"/>
      <c r="N276" s="911"/>
      <c r="O276" s="909"/>
      <c r="P276" s="910"/>
      <c r="Q276" s="911"/>
      <c r="R276" s="764" t="str">
        <f t="shared" si="68"/>
        <v/>
      </c>
      <c r="S276" s="764"/>
      <c r="T276" s="764"/>
      <c r="U276" s="1178" t="str">
        <f t="shared" si="69"/>
        <v/>
      </c>
      <c r="V276" s="1179"/>
      <c r="W276" s="1180"/>
      <c r="X276" s="742"/>
      <c r="Y276" s="742"/>
      <c r="Z276" s="909"/>
      <c r="AA276" s="910"/>
      <c r="AB276" s="911"/>
      <c r="AC276" s="764" t="str">
        <f t="shared" si="70"/>
        <v/>
      </c>
      <c r="AD276" s="764"/>
      <c r="AE276" s="764"/>
      <c r="AF276" s="764" t="str">
        <f t="shared" si="71"/>
        <v/>
      </c>
      <c r="AG276" s="764"/>
      <c r="AH276" s="764"/>
      <c r="AI276" s="683" t="s">
        <v>420</v>
      </c>
      <c r="AJ276" s="684"/>
      <c r="AK276" s="685"/>
      <c r="AL276" s="909"/>
      <c r="AM276" s="910"/>
      <c r="AN276" s="911"/>
      <c r="AO276" s="764" t="str">
        <f t="shared" si="72"/>
        <v/>
      </c>
      <c r="AP276" s="764"/>
      <c r="AQ276" s="764"/>
      <c r="AR276" s="764" t="str">
        <f t="shared" si="73"/>
        <v/>
      </c>
      <c r="AS276" s="764"/>
      <c r="AT276" s="777"/>
      <c r="AW276" s="461"/>
      <c r="AX276" s="158"/>
      <c r="BF276" s="2"/>
      <c r="BG276" s="182" t="s">
        <v>420</v>
      </c>
      <c r="BH276" s="182">
        <f t="shared" si="74"/>
        <v>0</v>
      </c>
      <c r="BI276" s="182"/>
    </row>
    <row r="277" spans="2:61" ht="18" customHeight="1">
      <c r="B277" s="907"/>
      <c r="C277" s="1171"/>
      <c r="D277" s="1171"/>
      <c r="E277" s="909"/>
      <c r="F277" s="911"/>
      <c r="G277" s="1172"/>
      <c r="H277" s="1173"/>
      <c r="I277" s="909"/>
      <c r="J277" s="911"/>
      <c r="K277" s="909"/>
      <c r="L277" s="911"/>
      <c r="M277" s="909"/>
      <c r="N277" s="911"/>
      <c r="O277" s="909"/>
      <c r="P277" s="910"/>
      <c r="Q277" s="911"/>
      <c r="R277" s="764" t="str">
        <f t="shared" si="68"/>
        <v/>
      </c>
      <c r="S277" s="764"/>
      <c r="T277" s="764"/>
      <c r="U277" s="1178" t="str">
        <f t="shared" si="69"/>
        <v/>
      </c>
      <c r="V277" s="1179"/>
      <c r="W277" s="1180"/>
      <c r="X277" s="742"/>
      <c r="Y277" s="742"/>
      <c r="Z277" s="909"/>
      <c r="AA277" s="910"/>
      <c r="AB277" s="911"/>
      <c r="AC277" s="764" t="str">
        <f t="shared" si="70"/>
        <v/>
      </c>
      <c r="AD277" s="764"/>
      <c r="AE277" s="764"/>
      <c r="AF277" s="764" t="str">
        <f t="shared" si="71"/>
        <v/>
      </c>
      <c r="AG277" s="764"/>
      <c r="AH277" s="764"/>
      <c r="AI277" s="683" t="s">
        <v>421</v>
      </c>
      <c r="AJ277" s="684"/>
      <c r="AK277" s="685"/>
      <c r="AL277" s="909"/>
      <c r="AM277" s="910"/>
      <c r="AN277" s="911"/>
      <c r="AO277" s="764" t="str">
        <f t="shared" si="72"/>
        <v/>
      </c>
      <c r="AP277" s="764"/>
      <c r="AQ277" s="764"/>
      <c r="AR277" s="764" t="str">
        <f t="shared" si="73"/>
        <v/>
      </c>
      <c r="AS277" s="764"/>
      <c r="AT277" s="777"/>
      <c r="AW277" s="461"/>
      <c r="AX277" s="158"/>
      <c r="BF277" s="2"/>
      <c r="BG277" s="182" t="s">
        <v>421</v>
      </c>
      <c r="BH277" s="182">
        <f t="shared" si="74"/>
        <v>0</v>
      </c>
      <c r="BI277" s="182"/>
    </row>
    <row r="278" spans="2:61" ht="18" customHeight="1">
      <c r="B278" s="1170"/>
      <c r="C278" s="1171"/>
      <c r="D278" s="1171"/>
      <c r="E278" s="909"/>
      <c r="F278" s="911"/>
      <c r="G278" s="1172"/>
      <c r="H278" s="1173"/>
      <c r="I278" s="909"/>
      <c r="J278" s="911"/>
      <c r="K278" s="909"/>
      <c r="L278" s="911"/>
      <c r="M278" s="909"/>
      <c r="N278" s="911"/>
      <c r="O278" s="909"/>
      <c r="P278" s="910"/>
      <c r="Q278" s="911"/>
      <c r="R278" s="764" t="str">
        <f t="shared" si="68"/>
        <v/>
      </c>
      <c r="S278" s="764"/>
      <c r="T278" s="764"/>
      <c r="U278" s="1178" t="str">
        <f t="shared" si="69"/>
        <v/>
      </c>
      <c r="V278" s="1179"/>
      <c r="W278" s="1180"/>
      <c r="X278" s="742"/>
      <c r="Y278" s="742"/>
      <c r="Z278" s="909"/>
      <c r="AA278" s="910"/>
      <c r="AB278" s="911"/>
      <c r="AC278" s="764" t="str">
        <f t="shared" si="70"/>
        <v/>
      </c>
      <c r="AD278" s="764"/>
      <c r="AE278" s="764"/>
      <c r="AF278" s="764" t="str">
        <f t="shared" ref="AF278:AF288" si="75">IF(G278="","",IF(AC278="","",ROUND(100*(AC278+G278)/(100+AC278),1)))</f>
        <v/>
      </c>
      <c r="AG278" s="764"/>
      <c r="AH278" s="764"/>
      <c r="AI278" s="683" t="s">
        <v>419</v>
      </c>
      <c r="AJ278" s="684"/>
      <c r="AK278" s="685"/>
      <c r="AL278" s="909"/>
      <c r="AM278" s="910"/>
      <c r="AN278" s="911"/>
      <c r="AO278" s="764" t="str">
        <f t="shared" si="72"/>
        <v/>
      </c>
      <c r="AP278" s="764"/>
      <c r="AQ278" s="764"/>
      <c r="AR278" s="764" t="str">
        <f t="shared" si="73"/>
        <v/>
      </c>
      <c r="AS278" s="764"/>
      <c r="AT278" s="777"/>
      <c r="AU278" s="451"/>
      <c r="AV278" s="451"/>
      <c r="AW278" s="461"/>
      <c r="AX278" s="158"/>
      <c r="AY278" s="451"/>
      <c r="AZ278" s="451"/>
      <c r="BA278" s="451"/>
      <c r="BB278" s="451"/>
      <c r="BC278" s="451"/>
      <c r="BD278" s="451"/>
      <c r="BE278" s="451"/>
      <c r="BF278" s="451"/>
      <c r="BG278" s="182" t="s">
        <v>419</v>
      </c>
      <c r="BH278" s="182">
        <f t="shared" si="74"/>
        <v>0</v>
      </c>
      <c r="BI278" s="182"/>
    </row>
    <row r="279" spans="2:61" ht="18" customHeight="1">
      <c r="B279" s="1170"/>
      <c r="C279" s="1171"/>
      <c r="D279" s="1171"/>
      <c r="E279" s="909"/>
      <c r="F279" s="911"/>
      <c r="G279" s="1172"/>
      <c r="H279" s="1173"/>
      <c r="I279" s="909"/>
      <c r="J279" s="911"/>
      <c r="K279" s="909"/>
      <c r="L279" s="911"/>
      <c r="M279" s="909"/>
      <c r="N279" s="911"/>
      <c r="O279" s="909"/>
      <c r="P279" s="910"/>
      <c r="Q279" s="911"/>
      <c r="R279" s="764" t="str">
        <f t="shared" si="68"/>
        <v/>
      </c>
      <c r="S279" s="764"/>
      <c r="T279" s="764"/>
      <c r="U279" s="1178" t="str">
        <f t="shared" si="69"/>
        <v/>
      </c>
      <c r="V279" s="1179"/>
      <c r="W279" s="1180"/>
      <c r="X279" s="742"/>
      <c r="Y279" s="742"/>
      <c r="Z279" s="909"/>
      <c r="AA279" s="910"/>
      <c r="AB279" s="911"/>
      <c r="AC279" s="764" t="str">
        <f t="shared" si="70"/>
        <v/>
      </c>
      <c r="AD279" s="764"/>
      <c r="AE279" s="764"/>
      <c r="AF279" s="764" t="str">
        <f t="shared" si="75"/>
        <v/>
      </c>
      <c r="AG279" s="764"/>
      <c r="AH279" s="764"/>
      <c r="AI279" s="673"/>
      <c r="AJ279" s="673"/>
      <c r="AK279" s="673"/>
      <c r="AL279" s="673"/>
      <c r="AM279" s="673"/>
      <c r="AN279" s="673"/>
      <c r="AO279" s="1196"/>
      <c r="AP279" s="1197"/>
      <c r="AQ279" s="1198"/>
      <c r="AR279" s="673"/>
      <c r="AS279" s="673"/>
      <c r="AT279" s="1199"/>
      <c r="AU279" s="451"/>
      <c r="AV279" s="451"/>
      <c r="AW279" s="451"/>
      <c r="AY279" s="451"/>
      <c r="AZ279" s="451"/>
      <c r="BA279" s="451"/>
      <c r="BB279" s="451"/>
      <c r="BC279" s="451"/>
      <c r="BD279" s="451"/>
      <c r="BE279" s="451"/>
      <c r="BF279" s="451"/>
      <c r="BG279" s="451"/>
      <c r="BH279" s="451"/>
    </row>
    <row r="280" spans="2:61" ht="18" customHeight="1">
      <c r="B280" s="1170"/>
      <c r="C280" s="1171"/>
      <c r="D280" s="1171"/>
      <c r="E280" s="909"/>
      <c r="F280" s="911"/>
      <c r="G280" s="1172"/>
      <c r="H280" s="1173"/>
      <c r="I280" s="909"/>
      <c r="J280" s="911"/>
      <c r="K280" s="909"/>
      <c r="L280" s="911"/>
      <c r="M280" s="909"/>
      <c r="N280" s="911"/>
      <c r="O280" s="909"/>
      <c r="P280" s="910"/>
      <c r="Q280" s="911"/>
      <c r="R280" s="764" t="str">
        <f t="shared" si="68"/>
        <v/>
      </c>
      <c r="S280" s="764"/>
      <c r="T280" s="764"/>
      <c r="U280" s="1178" t="str">
        <f t="shared" si="69"/>
        <v/>
      </c>
      <c r="V280" s="1179"/>
      <c r="W280" s="1180"/>
      <c r="X280" s="742"/>
      <c r="Y280" s="742"/>
      <c r="Z280" s="909"/>
      <c r="AA280" s="910"/>
      <c r="AB280" s="911"/>
      <c r="AC280" s="764" t="str">
        <f t="shared" si="70"/>
        <v/>
      </c>
      <c r="AD280" s="764"/>
      <c r="AE280" s="764"/>
      <c r="AF280" s="764" t="str">
        <f t="shared" si="75"/>
        <v/>
      </c>
      <c r="AG280" s="764"/>
      <c r="AH280" s="764"/>
      <c r="AI280" s="673"/>
      <c r="AJ280" s="673"/>
      <c r="AK280" s="673"/>
      <c r="AL280" s="673"/>
      <c r="AM280" s="673"/>
      <c r="AN280" s="673"/>
      <c r="AO280" s="1196"/>
      <c r="AP280" s="1197"/>
      <c r="AQ280" s="1198"/>
      <c r="AR280" s="673"/>
      <c r="AS280" s="673"/>
      <c r="AT280" s="1199"/>
      <c r="AU280" s="451"/>
      <c r="AV280" s="451"/>
      <c r="AW280" s="451"/>
      <c r="AY280" s="451"/>
      <c r="AZ280" s="451"/>
      <c r="BA280" s="451"/>
      <c r="BB280" s="451"/>
      <c r="BC280" s="451"/>
      <c r="BD280" s="451"/>
      <c r="BE280" s="451"/>
      <c r="BF280" s="451"/>
      <c r="BG280" s="451"/>
      <c r="BH280" s="451"/>
    </row>
    <row r="281" spans="2:61" ht="18" customHeight="1">
      <c r="B281" s="1170"/>
      <c r="C281" s="1171"/>
      <c r="D281" s="1171"/>
      <c r="E281" s="909"/>
      <c r="F281" s="911"/>
      <c r="G281" s="1172"/>
      <c r="H281" s="1173"/>
      <c r="I281" s="909"/>
      <c r="J281" s="911"/>
      <c r="K281" s="909"/>
      <c r="L281" s="911"/>
      <c r="M281" s="909"/>
      <c r="N281" s="911"/>
      <c r="O281" s="909"/>
      <c r="P281" s="910"/>
      <c r="Q281" s="911"/>
      <c r="R281" s="764" t="str">
        <f t="shared" si="68"/>
        <v/>
      </c>
      <c r="S281" s="764"/>
      <c r="T281" s="764"/>
      <c r="U281" s="1178" t="str">
        <f t="shared" si="69"/>
        <v/>
      </c>
      <c r="V281" s="1179"/>
      <c r="W281" s="1180"/>
      <c r="X281" s="742"/>
      <c r="Y281" s="742"/>
      <c r="Z281" s="909"/>
      <c r="AA281" s="910"/>
      <c r="AB281" s="911"/>
      <c r="AC281" s="764" t="str">
        <f t="shared" si="70"/>
        <v/>
      </c>
      <c r="AD281" s="764"/>
      <c r="AE281" s="764"/>
      <c r="AF281" s="764" t="str">
        <f t="shared" si="75"/>
        <v/>
      </c>
      <c r="AG281" s="764"/>
      <c r="AH281" s="764"/>
      <c r="AI281" s="673"/>
      <c r="AJ281" s="673"/>
      <c r="AK281" s="673"/>
      <c r="AL281" s="673"/>
      <c r="AM281" s="673"/>
      <c r="AN281" s="673"/>
      <c r="AO281" s="673"/>
      <c r="AP281" s="673"/>
      <c r="AQ281" s="673"/>
      <c r="AR281" s="673"/>
      <c r="AS281" s="673"/>
      <c r="AT281" s="1199"/>
      <c r="AU281" s="451"/>
      <c r="AV281" s="451"/>
      <c r="AW281" s="451"/>
      <c r="AY281" s="451"/>
      <c r="AZ281" s="451"/>
      <c r="BA281" s="451"/>
      <c r="BB281" s="451"/>
      <c r="BC281" s="451"/>
      <c r="BD281" s="451"/>
      <c r="BE281" s="451"/>
      <c r="BF281" s="451"/>
      <c r="BG281" s="451"/>
      <c r="BH281" s="451"/>
    </row>
    <row r="282" spans="2:61" ht="18" customHeight="1">
      <c r="B282" s="1170"/>
      <c r="C282" s="1171"/>
      <c r="D282" s="1171"/>
      <c r="E282" s="909"/>
      <c r="F282" s="911"/>
      <c r="G282" s="1172"/>
      <c r="H282" s="1173"/>
      <c r="I282" s="909"/>
      <c r="J282" s="911"/>
      <c r="K282" s="909"/>
      <c r="L282" s="911"/>
      <c r="M282" s="909"/>
      <c r="N282" s="911"/>
      <c r="O282" s="909"/>
      <c r="P282" s="910"/>
      <c r="Q282" s="911"/>
      <c r="R282" s="764" t="str">
        <f t="shared" si="68"/>
        <v/>
      </c>
      <c r="S282" s="764"/>
      <c r="T282" s="764"/>
      <c r="U282" s="1178" t="str">
        <f t="shared" si="69"/>
        <v/>
      </c>
      <c r="V282" s="1179"/>
      <c r="W282" s="1180"/>
      <c r="X282" s="742"/>
      <c r="Y282" s="742"/>
      <c r="Z282" s="909"/>
      <c r="AA282" s="910"/>
      <c r="AB282" s="911"/>
      <c r="AC282" s="764" t="str">
        <f t="shared" si="70"/>
        <v/>
      </c>
      <c r="AD282" s="764"/>
      <c r="AE282" s="764"/>
      <c r="AF282" s="764" t="str">
        <f t="shared" si="75"/>
        <v/>
      </c>
      <c r="AG282" s="764"/>
      <c r="AH282" s="764"/>
      <c r="AI282" s="673"/>
      <c r="AJ282" s="673"/>
      <c r="AK282" s="673"/>
      <c r="AL282" s="673"/>
      <c r="AM282" s="673"/>
      <c r="AN282" s="673"/>
      <c r="AO282" s="673"/>
      <c r="AP282" s="673"/>
      <c r="AQ282" s="673"/>
      <c r="AR282" s="673"/>
      <c r="AS282" s="673"/>
      <c r="AT282" s="1199"/>
      <c r="AU282" s="451"/>
      <c r="AV282" s="451"/>
      <c r="AW282" s="451"/>
      <c r="AY282" s="451"/>
      <c r="AZ282" s="451"/>
      <c r="BA282" s="451"/>
      <c r="BB282" s="451"/>
      <c r="BC282" s="451"/>
      <c r="BD282" s="451"/>
      <c r="BE282" s="451"/>
      <c r="BF282" s="451"/>
      <c r="BG282" s="451"/>
      <c r="BH282" s="451"/>
    </row>
    <row r="283" spans="2:61" ht="18" customHeight="1">
      <c r="B283" s="1170"/>
      <c r="C283" s="1171"/>
      <c r="D283" s="1171"/>
      <c r="E283" s="909"/>
      <c r="F283" s="911"/>
      <c r="G283" s="1172"/>
      <c r="H283" s="1173"/>
      <c r="I283" s="909"/>
      <c r="J283" s="911"/>
      <c r="K283" s="909"/>
      <c r="L283" s="911"/>
      <c r="M283" s="909"/>
      <c r="N283" s="911"/>
      <c r="O283" s="909"/>
      <c r="P283" s="910"/>
      <c r="Q283" s="911"/>
      <c r="R283" s="764" t="str">
        <f t="shared" si="68"/>
        <v/>
      </c>
      <c r="S283" s="764"/>
      <c r="T283" s="764"/>
      <c r="U283" s="1178" t="str">
        <f t="shared" si="69"/>
        <v/>
      </c>
      <c r="V283" s="1179"/>
      <c r="W283" s="1180"/>
      <c r="X283" s="742"/>
      <c r="Y283" s="742"/>
      <c r="Z283" s="909"/>
      <c r="AA283" s="910"/>
      <c r="AB283" s="911"/>
      <c r="AC283" s="764" t="str">
        <f t="shared" si="70"/>
        <v/>
      </c>
      <c r="AD283" s="764"/>
      <c r="AE283" s="764"/>
      <c r="AF283" s="764" t="str">
        <f t="shared" si="75"/>
        <v/>
      </c>
      <c r="AG283" s="764"/>
      <c r="AH283" s="764"/>
      <c r="AI283" s="673"/>
      <c r="AJ283" s="673"/>
      <c r="AK283" s="673"/>
      <c r="AL283" s="673"/>
      <c r="AM283" s="673"/>
      <c r="AN283" s="673"/>
      <c r="AO283" s="673"/>
      <c r="AP283" s="673"/>
      <c r="AQ283" s="673"/>
      <c r="AR283" s="673"/>
      <c r="AS283" s="673"/>
      <c r="AT283" s="1199"/>
      <c r="AU283" s="451"/>
      <c r="AV283" s="451"/>
      <c r="AW283" s="451"/>
      <c r="AX283" s="451"/>
      <c r="AY283" s="451"/>
      <c r="AZ283" s="451"/>
      <c r="BA283" s="451"/>
      <c r="BB283" s="451"/>
      <c r="BC283" s="451"/>
      <c r="BD283" s="451"/>
      <c r="BE283" s="451"/>
      <c r="BF283" s="451"/>
      <c r="BG283" s="451"/>
      <c r="BH283" s="451"/>
    </row>
    <row r="284" spans="2:61" ht="18" customHeight="1">
      <c r="B284" s="1170"/>
      <c r="C284" s="1171"/>
      <c r="D284" s="1171"/>
      <c r="E284" s="909"/>
      <c r="F284" s="911"/>
      <c r="G284" s="1172"/>
      <c r="H284" s="1173"/>
      <c r="I284" s="909"/>
      <c r="J284" s="911"/>
      <c r="K284" s="909"/>
      <c r="L284" s="911"/>
      <c r="M284" s="909"/>
      <c r="N284" s="911"/>
      <c r="O284" s="909"/>
      <c r="P284" s="910"/>
      <c r="Q284" s="911"/>
      <c r="R284" s="764" t="str">
        <f t="shared" si="68"/>
        <v/>
      </c>
      <c r="S284" s="764"/>
      <c r="T284" s="764"/>
      <c r="U284" s="1178" t="str">
        <f t="shared" si="69"/>
        <v/>
      </c>
      <c r="V284" s="1179"/>
      <c r="W284" s="1180"/>
      <c r="X284" s="742"/>
      <c r="Y284" s="742"/>
      <c r="Z284" s="909"/>
      <c r="AA284" s="910"/>
      <c r="AB284" s="911"/>
      <c r="AC284" s="764" t="str">
        <f t="shared" si="70"/>
        <v/>
      </c>
      <c r="AD284" s="764"/>
      <c r="AE284" s="764"/>
      <c r="AF284" s="764" t="str">
        <f t="shared" si="75"/>
        <v/>
      </c>
      <c r="AG284" s="764"/>
      <c r="AH284" s="764"/>
      <c r="AI284" s="673"/>
      <c r="AJ284" s="673"/>
      <c r="AK284" s="673"/>
      <c r="AL284" s="673"/>
      <c r="AM284" s="673"/>
      <c r="AN284" s="673"/>
      <c r="AO284" s="673"/>
      <c r="AP284" s="673"/>
      <c r="AQ284" s="673"/>
      <c r="AR284" s="673"/>
      <c r="AS284" s="673"/>
      <c r="AT284" s="1199"/>
      <c r="AU284" s="451"/>
      <c r="AV284" s="451"/>
      <c r="AW284" s="451"/>
      <c r="AX284" s="451"/>
      <c r="AY284" s="451"/>
      <c r="AZ284" s="451"/>
      <c r="BA284" s="451"/>
      <c r="BB284" s="451"/>
      <c r="BC284" s="451"/>
      <c r="BD284" s="451"/>
      <c r="BE284" s="451"/>
      <c r="BF284" s="451"/>
      <c r="BG284" s="451"/>
      <c r="BH284" s="451"/>
    </row>
    <row r="285" spans="2:61" ht="18" customHeight="1">
      <c r="B285" s="1170"/>
      <c r="C285" s="1171"/>
      <c r="D285" s="1171"/>
      <c r="E285" s="909"/>
      <c r="F285" s="911"/>
      <c r="G285" s="1172"/>
      <c r="H285" s="1173"/>
      <c r="I285" s="909"/>
      <c r="J285" s="911"/>
      <c r="K285" s="909"/>
      <c r="L285" s="911"/>
      <c r="M285" s="909"/>
      <c r="N285" s="911"/>
      <c r="O285" s="909"/>
      <c r="P285" s="910"/>
      <c r="Q285" s="911"/>
      <c r="R285" s="764" t="str">
        <f t="shared" si="68"/>
        <v/>
      </c>
      <c r="S285" s="764"/>
      <c r="T285" s="764"/>
      <c r="U285" s="1178" t="str">
        <f t="shared" si="69"/>
        <v/>
      </c>
      <c r="V285" s="1179"/>
      <c r="W285" s="1180"/>
      <c r="X285" s="742"/>
      <c r="Y285" s="742"/>
      <c r="Z285" s="909"/>
      <c r="AA285" s="910"/>
      <c r="AB285" s="911"/>
      <c r="AC285" s="764" t="str">
        <f t="shared" si="70"/>
        <v/>
      </c>
      <c r="AD285" s="764"/>
      <c r="AE285" s="764"/>
      <c r="AF285" s="764" t="str">
        <f t="shared" si="75"/>
        <v/>
      </c>
      <c r="AG285" s="764"/>
      <c r="AH285" s="764"/>
      <c r="AI285" s="673"/>
      <c r="AJ285" s="673"/>
      <c r="AK285" s="673"/>
      <c r="AL285" s="673"/>
      <c r="AM285" s="673"/>
      <c r="AN285" s="673"/>
      <c r="AO285" s="673"/>
      <c r="AP285" s="673"/>
      <c r="AQ285" s="673"/>
      <c r="AR285" s="673"/>
      <c r="AS285" s="673"/>
      <c r="AT285" s="1199"/>
      <c r="AU285" s="451"/>
      <c r="AV285" s="451"/>
      <c r="AW285" s="451"/>
      <c r="AX285" s="451"/>
      <c r="AY285" s="451"/>
      <c r="AZ285" s="451"/>
      <c r="BA285" s="451"/>
      <c r="BB285" s="451"/>
      <c r="BC285" s="451"/>
      <c r="BD285" s="451"/>
      <c r="BE285" s="451"/>
      <c r="BF285" s="451"/>
      <c r="BG285" s="451"/>
      <c r="BH285" s="451"/>
    </row>
    <row r="286" spans="2:61" ht="18" customHeight="1">
      <c r="B286" s="1170"/>
      <c r="C286" s="1171"/>
      <c r="D286" s="1171"/>
      <c r="E286" s="909"/>
      <c r="F286" s="911"/>
      <c r="G286" s="1172"/>
      <c r="H286" s="1173"/>
      <c r="I286" s="909"/>
      <c r="J286" s="911"/>
      <c r="K286" s="909"/>
      <c r="L286" s="911"/>
      <c r="M286" s="909"/>
      <c r="N286" s="911"/>
      <c r="O286" s="909"/>
      <c r="P286" s="910"/>
      <c r="Q286" s="911"/>
      <c r="R286" s="764" t="str">
        <f t="shared" si="68"/>
        <v/>
      </c>
      <c r="S286" s="764"/>
      <c r="T286" s="764"/>
      <c r="U286" s="1178" t="str">
        <f t="shared" si="69"/>
        <v/>
      </c>
      <c r="V286" s="1179"/>
      <c r="W286" s="1180"/>
      <c r="X286" s="742"/>
      <c r="Y286" s="742"/>
      <c r="Z286" s="909"/>
      <c r="AA286" s="910"/>
      <c r="AB286" s="911"/>
      <c r="AC286" s="764" t="str">
        <f t="shared" si="70"/>
        <v/>
      </c>
      <c r="AD286" s="764"/>
      <c r="AE286" s="764"/>
      <c r="AF286" s="764" t="str">
        <f t="shared" si="75"/>
        <v/>
      </c>
      <c r="AG286" s="764"/>
      <c r="AH286" s="764"/>
      <c r="AI286" s="673"/>
      <c r="AJ286" s="673"/>
      <c r="AK286" s="673"/>
      <c r="AL286" s="673"/>
      <c r="AM286" s="673"/>
      <c r="AN286" s="673"/>
      <c r="AO286" s="673"/>
      <c r="AP286" s="673"/>
      <c r="AQ286" s="673"/>
      <c r="AR286" s="673"/>
      <c r="AS286" s="673"/>
      <c r="AT286" s="1199"/>
      <c r="AU286" s="451"/>
      <c r="AV286" s="451"/>
      <c r="AW286" s="451"/>
      <c r="AX286" s="451"/>
      <c r="AY286" s="451"/>
      <c r="AZ286" s="451"/>
      <c r="BA286" s="451"/>
      <c r="BB286" s="451"/>
      <c r="BC286" s="451"/>
      <c r="BD286" s="451"/>
      <c r="BE286" s="451"/>
      <c r="BF286" s="451"/>
      <c r="BG286" s="451"/>
      <c r="BH286" s="451"/>
    </row>
    <row r="287" spans="2:61" ht="18" customHeight="1">
      <c r="B287" s="1170"/>
      <c r="C287" s="1171"/>
      <c r="D287" s="1171"/>
      <c r="E287" s="909"/>
      <c r="F287" s="911"/>
      <c r="G287" s="1172"/>
      <c r="H287" s="1173"/>
      <c r="I287" s="909"/>
      <c r="J287" s="911"/>
      <c r="K287" s="909"/>
      <c r="L287" s="911"/>
      <c r="M287" s="909"/>
      <c r="N287" s="911"/>
      <c r="O287" s="909"/>
      <c r="P287" s="910"/>
      <c r="Q287" s="911"/>
      <c r="R287" s="764" t="str">
        <f t="shared" si="68"/>
        <v/>
      </c>
      <c r="S287" s="764"/>
      <c r="T287" s="764"/>
      <c r="U287" s="1178" t="str">
        <f t="shared" si="69"/>
        <v/>
      </c>
      <c r="V287" s="1179"/>
      <c r="W287" s="1180"/>
      <c r="X287" s="742"/>
      <c r="Y287" s="742"/>
      <c r="Z287" s="909"/>
      <c r="AA287" s="910"/>
      <c r="AB287" s="911"/>
      <c r="AC287" s="764" t="str">
        <f t="shared" si="70"/>
        <v/>
      </c>
      <c r="AD287" s="764"/>
      <c r="AE287" s="764"/>
      <c r="AF287" s="764" t="str">
        <f t="shared" si="75"/>
        <v/>
      </c>
      <c r="AG287" s="764"/>
      <c r="AH287" s="764"/>
      <c r="AI287" s="673"/>
      <c r="AJ287" s="673"/>
      <c r="AK287" s="673"/>
      <c r="AL287" s="673"/>
      <c r="AM287" s="673"/>
      <c r="AN287" s="673"/>
      <c r="AO287" s="673"/>
      <c r="AP287" s="673"/>
      <c r="AQ287" s="673"/>
      <c r="AR287" s="673"/>
      <c r="AS287" s="673"/>
      <c r="AT287" s="1199"/>
      <c r="AU287" s="451"/>
      <c r="AV287" s="451"/>
      <c r="AW287" s="451"/>
      <c r="AX287" s="451"/>
      <c r="AY287" s="451"/>
      <c r="AZ287" s="451"/>
      <c r="BA287" s="451"/>
      <c r="BB287" s="451"/>
      <c r="BC287" s="451"/>
      <c r="BD287" s="451"/>
      <c r="BE287" s="451"/>
      <c r="BF287" s="451"/>
      <c r="BG287" s="451"/>
      <c r="BH287" s="451"/>
    </row>
    <row r="288" spans="2:61" ht="18" customHeight="1">
      <c r="B288" s="1170"/>
      <c r="C288" s="1171"/>
      <c r="D288" s="1171"/>
      <c r="E288" s="909"/>
      <c r="F288" s="911"/>
      <c r="G288" s="1172"/>
      <c r="H288" s="1173"/>
      <c r="I288" s="909"/>
      <c r="J288" s="911"/>
      <c r="K288" s="909"/>
      <c r="L288" s="911"/>
      <c r="M288" s="909"/>
      <c r="N288" s="911"/>
      <c r="O288" s="909"/>
      <c r="P288" s="910"/>
      <c r="Q288" s="911"/>
      <c r="R288" s="764" t="str">
        <f t="shared" si="68"/>
        <v/>
      </c>
      <c r="S288" s="764"/>
      <c r="T288" s="764"/>
      <c r="U288" s="1178" t="str">
        <f t="shared" si="69"/>
        <v/>
      </c>
      <c r="V288" s="1179"/>
      <c r="W288" s="1180"/>
      <c r="X288" s="742"/>
      <c r="Y288" s="742"/>
      <c r="Z288" s="909"/>
      <c r="AA288" s="910"/>
      <c r="AB288" s="911"/>
      <c r="AC288" s="764" t="str">
        <f t="shared" si="70"/>
        <v/>
      </c>
      <c r="AD288" s="764"/>
      <c r="AE288" s="764"/>
      <c r="AF288" s="764" t="str">
        <f t="shared" si="75"/>
        <v/>
      </c>
      <c r="AG288" s="764"/>
      <c r="AH288" s="764"/>
      <c r="AI288" s="673"/>
      <c r="AJ288" s="673"/>
      <c r="AK288" s="673"/>
      <c r="AL288" s="673"/>
      <c r="AM288" s="673"/>
      <c r="AN288" s="673"/>
      <c r="AO288" s="673"/>
      <c r="AP288" s="673"/>
      <c r="AQ288" s="673"/>
      <c r="AR288" s="673"/>
      <c r="AS288" s="673"/>
      <c r="AT288" s="1199"/>
      <c r="AU288" s="451"/>
      <c r="AV288" s="451"/>
      <c r="AW288" s="451"/>
      <c r="AX288" s="451"/>
      <c r="AY288" s="451"/>
      <c r="AZ288" s="451"/>
      <c r="BA288" s="451"/>
      <c r="BB288" s="451"/>
      <c r="BC288" s="451"/>
      <c r="BD288" s="451"/>
      <c r="BE288" s="451"/>
      <c r="BF288" s="451"/>
      <c r="BG288" s="451"/>
      <c r="BH288" s="451"/>
    </row>
    <row r="289" spans="2:60" ht="18" customHeight="1">
      <c r="B289" s="1170"/>
      <c r="C289" s="1171"/>
      <c r="D289" s="1171"/>
      <c r="E289" s="909"/>
      <c r="F289" s="911"/>
      <c r="G289" s="1172"/>
      <c r="H289" s="1173"/>
      <c r="I289" s="909"/>
      <c r="J289" s="911"/>
      <c r="K289" s="909"/>
      <c r="L289" s="911"/>
      <c r="M289" s="909"/>
      <c r="N289" s="911"/>
      <c r="O289" s="909"/>
      <c r="P289" s="910"/>
      <c r="Q289" s="911"/>
      <c r="R289" s="764" t="str">
        <f t="shared" si="68"/>
        <v/>
      </c>
      <c r="S289" s="764"/>
      <c r="T289" s="764"/>
      <c r="U289" s="1178" t="str">
        <f t="shared" si="69"/>
        <v/>
      </c>
      <c r="V289" s="1179"/>
      <c r="W289" s="1180"/>
      <c r="X289" s="742"/>
      <c r="Y289" s="742"/>
      <c r="Z289" s="909"/>
      <c r="AA289" s="910"/>
      <c r="AB289" s="911"/>
      <c r="AC289" s="764" t="str">
        <f t="shared" si="70"/>
        <v/>
      </c>
      <c r="AD289" s="764"/>
      <c r="AE289" s="764"/>
      <c r="AF289" s="764" t="str">
        <f t="shared" ref="AF289:AF377" si="76">IF(G289="","",IF(AC289="","",ROUND(100*(AC289+G289)/(100+AC289),1)))</f>
        <v/>
      </c>
      <c r="AG289" s="764"/>
      <c r="AH289" s="764"/>
      <c r="AI289" s="673"/>
      <c r="AJ289" s="673"/>
      <c r="AK289" s="673"/>
      <c r="AL289" s="673"/>
      <c r="AM289" s="673"/>
      <c r="AN289" s="673"/>
      <c r="AO289" s="673"/>
      <c r="AP289" s="673"/>
      <c r="AQ289" s="673"/>
      <c r="AR289" s="673"/>
      <c r="AS289" s="673"/>
      <c r="AT289" s="1199"/>
      <c r="AU289" s="451"/>
      <c r="AV289" s="451"/>
      <c r="AW289" s="451"/>
      <c r="AX289" s="451"/>
      <c r="AY289" s="451"/>
      <c r="AZ289" s="451"/>
      <c r="BA289" s="451"/>
      <c r="BB289" s="451"/>
      <c r="BC289" s="451"/>
      <c r="BD289" s="451"/>
      <c r="BE289" s="451"/>
      <c r="BF289" s="451"/>
      <c r="BG289" s="451"/>
      <c r="BH289" s="451"/>
    </row>
    <row r="290" spans="2:60" ht="18" customHeight="1">
      <c r="B290" s="1170"/>
      <c r="C290" s="1171"/>
      <c r="D290" s="1171"/>
      <c r="E290" s="909"/>
      <c r="F290" s="911"/>
      <c r="G290" s="1172"/>
      <c r="H290" s="1173"/>
      <c r="I290" s="909"/>
      <c r="J290" s="911"/>
      <c r="K290" s="909"/>
      <c r="L290" s="911"/>
      <c r="M290" s="909"/>
      <c r="N290" s="911"/>
      <c r="O290" s="909"/>
      <c r="P290" s="910"/>
      <c r="Q290" s="911"/>
      <c r="R290" s="764" t="str">
        <f t="shared" si="68"/>
        <v/>
      </c>
      <c r="S290" s="764"/>
      <c r="T290" s="764"/>
      <c r="U290" s="1178" t="str">
        <f t="shared" si="69"/>
        <v/>
      </c>
      <c r="V290" s="1179"/>
      <c r="W290" s="1180"/>
      <c r="X290" s="742"/>
      <c r="Y290" s="742"/>
      <c r="Z290" s="909"/>
      <c r="AA290" s="910"/>
      <c r="AB290" s="911"/>
      <c r="AC290" s="764" t="str">
        <f t="shared" si="70"/>
        <v/>
      </c>
      <c r="AD290" s="764"/>
      <c r="AE290" s="764"/>
      <c r="AF290" s="764" t="str">
        <f t="shared" si="76"/>
        <v/>
      </c>
      <c r="AG290" s="764"/>
      <c r="AH290" s="764"/>
      <c r="AI290" s="673"/>
      <c r="AJ290" s="673"/>
      <c r="AK290" s="673"/>
      <c r="AL290" s="673"/>
      <c r="AM290" s="673"/>
      <c r="AN290" s="673"/>
      <c r="AO290" s="673"/>
      <c r="AP290" s="673"/>
      <c r="AQ290" s="673"/>
      <c r="AR290" s="673"/>
      <c r="AS290" s="673"/>
      <c r="AT290" s="1199"/>
      <c r="AU290" s="451"/>
      <c r="AV290" s="451"/>
      <c r="AW290" s="451"/>
      <c r="AX290" s="451"/>
      <c r="AY290" s="451"/>
      <c r="AZ290" s="451"/>
      <c r="BA290" s="451"/>
      <c r="BB290" s="451"/>
      <c r="BC290" s="451"/>
      <c r="BD290" s="451"/>
      <c r="BE290" s="451"/>
      <c r="BF290" s="451"/>
      <c r="BG290" s="451"/>
      <c r="BH290" s="451"/>
    </row>
    <row r="291" spans="2:60" ht="18" customHeight="1">
      <c r="B291" s="1170"/>
      <c r="C291" s="1171"/>
      <c r="D291" s="1171"/>
      <c r="E291" s="909"/>
      <c r="F291" s="911"/>
      <c r="G291" s="1172"/>
      <c r="H291" s="1173"/>
      <c r="I291" s="909"/>
      <c r="J291" s="911"/>
      <c r="K291" s="909"/>
      <c r="L291" s="911"/>
      <c r="M291" s="909"/>
      <c r="N291" s="911"/>
      <c r="O291" s="909"/>
      <c r="P291" s="910"/>
      <c r="Q291" s="911"/>
      <c r="R291" s="764" t="str">
        <f t="shared" si="68"/>
        <v/>
      </c>
      <c r="S291" s="764"/>
      <c r="T291" s="764"/>
      <c r="U291" s="1178" t="str">
        <f t="shared" si="69"/>
        <v/>
      </c>
      <c r="V291" s="1179"/>
      <c r="W291" s="1180"/>
      <c r="X291" s="742"/>
      <c r="Y291" s="742"/>
      <c r="Z291" s="909"/>
      <c r="AA291" s="910"/>
      <c r="AB291" s="911"/>
      <c r="AC291" s="764" t="str">
        <f t="shared" si="70"/>
        <v/>
      </c>
      <c r="AD291" s="764"/>
      <c r="AE291" s="764"/>
      <c r="AF291" s="764" t="str">
        <f t="shared" si="76"/>
        <v/>
      </c>
      <c r="AG291" s="764"/>
      <c r="AH291" s="764"/>
      <c r="AI291" s="673"/>
      <c r="AJ291" s="673"/>
      <c r="AK291" s="673"/>
      <c r="AL291" s="673"/>
      <c r="AM291" s="673"/>
      <c r="AN291" s="673"/>
      <c r="AO291" s="673"/>
      <c r="AP291" s="673"/>
      <c r="AQ291" s="673"/>
      <c r="AR291" s="673"/>
      <c r="AS291" s="673"/>
      <c r="AT291" s="1199"/>
      <c r="AU291" s="451"/>
      <c r="AV291" s="451"/>
      <c r="AW291" s="451"/>
      <c r="AX291" s="451"/>
      <c r="AY291" s="451"/>
      <c r="AZ291" s="451"/>
      <c r="BA291" s="451"/>
      <c r="BB291" s="451"/>
      <c r="BC291" s="451"/>
      <c r="BD291" s="451"/>
      <c r="BE291" s="451"/>
      <c r="BF291" s="451"/>
      <c r="BG291" s="451"/>
      <c r="BH291" s="451"/>
    </row>
    <row r="292" spans="2:60" ht="18" customHeight="1">
      <c r="B292" s="1170"/>
      <c r="C292" s="1171"/>
      <c r="D292" s="1171"/>
      <c r="E292" s="909"/>
      <c r="F292" s="911"/>
      <c r="G292" s="1172"/>
      <c r="H292" s="1173"/>
      <c r="I292" s="909"/>
      <c r="J292" s="911"/>
      <c r="K292" s="909"/>
      <c r="L292" s="911"/>
      <c r="M292" s="909"/>
      <c r="N292" s="911"/>
      <c r="O292" s="909"/>
      <c r="P292" s="910"/>
      <c r="Q292" s="911"/>
      <c r="R292" s="764" t="str">
        <f t="shared" si="68"/>
        <v/>
      </c>
      <c r="S292" s="764"/>
      <c r="T292" s="764"/>
      <c r="U292" s="1178" t="str">
        <f t="shared" si="69"/>
        <v/>
      </c>
      <c r="V292" s="1179"/>
      <c r="W292" s="1180"/>
      <c r="X292" s="742"/>
      <c r="Y292" s="742"/>
      <c r="Z292" s="909"/>
      <c r="AA292" s="910"/>
      <c r="AB292" s="911"/>
      <c r="AC292" s="764" t="str">
        <f t="shared" si="70"/>
        <v/>
      </c>
      <c r="AD292" s="764"/>
      <c r="AE292" s="764"/>
      <c r="AF292" s="764" t="str">
        <f t="shared" si="76"/>
        <v/>
      </c>
      <c r="AG292" s="764"/>
      <c r="AH292" s="764"/>
      <c r="AI292" s="673"/>
      <c r="AJ292" s="673"/>
      <c r="AK292" s="673"/>
      <c r="AL292" s="673"/>
      <c r="AM292" s="673"/>
      <c r="AN292" s="673"/>
      <c r="AO292" s="673"/>
      <c r="AP292" s="673"/>
      <c r="AQ292" s="673"/>
      <c r="AR292" s="673"/>
      <c r="AS292" s="673"/>
      <c r="AT292" s="1199"/>
      <c r="AU292" s="451"/>
      <c r="AV292" s="451"/>
      <c r="AW292" s="451"/>
      <c r="AX292" s="451"/>
      <c r="AY292" s="451"/>
      <c r="AZ292" s="451"/>
      <c r="BA292" s="451"/>
      <c r="BB292" s="451"/>
      <c r="BC292" s="451"/>
      <c r="BD292" s="451"/>
      <c r="BE292" s="451"/>
      <c r="BF292" s="451"/>
      <c r="BG292" s="451"/>
      <c r="BH292" s="451"/>
    </row>
    <row r="293" spans="2:60" ht="18" customHeight="1">
      <c r="B293" s="1170"/>
      <c r="C293" s="1171"/>
      <c r="D293" s="1171"/>
      <c r="E293" s="909"/>
      <c r="F293" s="911"/>
      <c r="G293" s="1172"/>
      <c r="H293" s="1173"/>
      <c r="I293" s="909"/>
      <c r="J293" s="911"/>
      <c r="K293" s="909"/>
      <c r="L293" s="911"/>
      <c r="M293" s="909"/>
      <c r="N293" s="911"/>
      <c r="O293" s="909"/>
      <c r="P293" s="910"/>
      <c r="Q293" s="911"/>
      <c r="R293" s="764" t="str">
        <f t="shared" si="68"/>
        <v/>
      </c>
      <c r="S293" s="764"/>
      <c r="T293" s="764"/>
      <c r="U293" s="1178" t="str">
        <f t="shared" si="69"/>
        <v/>
      </c>
      <c r="V293" s="1179"/>
      <c r="W293" s="1180"/>
      <c r="X293" s="742"/>
      <c r="Y293" s="742"/>
      <c r="Z293" s="909"/>
      <c r="AA293" s="910"/>
      <c r="AB293" s="911"/>
      <c r="AC293" s="764" t="str">
        <f t="shared" si="70"/>
        <v/>
      </c>
      <c r="AD293" s="764"/>
      <c r="AE293" s="764"/>
      <c r="AF293" s="764" t="str">
        <f t="shared" si="76"/>
        <v/>
      </c>
      <c r="AG293" s="764"/>
      <c r="AH293" s="764"/>
      <c r="AI293" s="673"/>
      <c r="AJ293" s="673"/>
      <c r="AK293" s="673"/>
      <c r="AL293" s="673"/>
      <c r="AM293" s="673"/>
      <c r="AN293" s="673"/>
      <c r="AO293" s="673"/>
      <c r="AP293" s="673"/>
      <c r="AQ293" s="673"/>
      <c r="AR293" s="673"/>
      <c r="AS293" s="673"/>
      <c r="AT293" s="1199"/>
      <c r="AU293" s="451"/>
      <c r="AV293" s="451"/>
      <c r="AW293" s="451"/>
      <c r="AX293" s="451"/>
      <c r="AY293" s="451"/>
      <c r="AZ293" s="451"/>
      <c r="BA293" s="451"/>
      <c r="BB293" s="451"/>
      <c r="BC293" s="451"/>
      <c r="BD293" s="451"/>
      <c r="BE293" s="451"/>
      <c r="BF293" s="451"/>
      <c r="BG293" s="451"/>
      <c r="BH293" s="451"/>
    </row>
    <row r="294" spans="2:60" ht="18" customHeight="1">
      <c r="B294" s="1170"/>
      <c r="C294" s="1171"/>
      <c r="D294" s="1171"/>
      <c r="E294" s="909"/>
      <c r="F294" s="911"/>
      <c r="G294" s="1172"/>
      <c r="H294" s="1173"/>
      <c r="I294" s="909"/>
      <c r="J294" s="911"/>
      <c r="K294" s="909"/>
      <c r="L294" s="911"/>
      <c r="M294" s="909"/>
      <c r="N294" s="911"/>
      <c r="O294" s="909"/>
      <c r="P294" s="910"/>
      <c r="Q294" s="911"/>
      <c r="R294" s="764" t="str">
        <f t="shared" si="68"/>
        <v/>
      </c>
      <c r="S294" s="764"/>
      <c r="T294" s="764"/>
      <c r="U294" s="1178" t="str">
        <f t="shared" si="69"/>
        <v/>
      </c>
      <c r="V294" s="1179"/>
      <c r="W294" s="1180"/>
      <c r="X294" s="742"/>
      <c r="Y294" s="742"/>
      <c r="Z294" s="909"/>
      <c r="AA294" s="910"/>
      <c r="AB294" s="911"/>
      <c r="AC294" s="764" t="str">
        <f t="shared" si="70"/>
        <v/>
      </c>
      <c r="AD294" s="764"/>
      <c r="AE294" s="764"/>
      <c r="AF294" s="764" t="str">
        <f t="shared" si="76"/>
        <v/>
      </c>
      <c r="AG294" s="764"/>
      <c r="AH294" s="764"/>
      <c r="AI294" s="673"/>
      <c r="AJ294" s="673"/>
      <c r="AK294" s="673"/>
      <c r="AL294" s="673"/>
      <c r="AM294" s="673"/>
      <c r="AN294" s="673"/>
      <c r="AO294" s="673"/>
      <c r="AP294" s="673"/>
      <c r="AQ294" s="673"/>
      <c r="AR294" s="673"/>
      <c r="AS294" s="673"/>
      <c r="AT294" s="1199"/>
      <c r="AU294" s="451"/>
      <c r="AV294" s="451"/>
      <c r="AW294" s="451"/>
      <c r="AX294" s="451"/>
      <c r="AY294" s="451"/>
      <c r="AZ294" s="451"/>
      <c r="BA294" s="451"/>
      <c r="BB294" s="451"/>
      <c r="BC294" s="451"/>
      <c r="BD294" s="451"/>
      <c r="BE294" s="451"/>
      <c r="BF294" s="451"/>
      <c r="BG294" s="451"/>
      <c r="BH294" s="451"/>
    </row>
    <row r="295" spans="2:60" ht="18" customHeight="1">
      <c r="B295" s="1170"/>
      <c r="C295" s="1171"/>
      <c r="D295" s="1171"/>
      <c r="E295" s="909"/>
      <c r="F295" s="911"/>
      <c r="G295" s="1172"/>
      <c r="H295" s="1173"/>
      <c r="I295" s="909"/>
      <c r="J295" s="911"/>
      <c r="K295" s="909"/>
      <c r="L295" s="911"/>
      <c r="M295" s="909"/>
      <c r="N295" s="911"/>
      <c r="O295" s="909"/>
      <c r="P295" s="910"/>
      <c r="Q295" s="911"/>
      <c r="R295" s="764" t="str">
        <f t="shared" si="68"/>
        <v/>
      </c>
      <c r="S295" s="764"/>
      <c r="T295" s="764"/>
      <c r="U295" s="1178" t="str">
        <f t="shared" si="69"/>
        <v/>
      </c>
      <c r="V295" s="1179"/>
      <c r="W295" s="1180"/>
      <c r="X295" s="742"/>
      <c r="Y295" s="742"/>
      <c r="Z295" s="909"/>
      <c r="AA295" s="910"/>
      <c r="AB295" s="911"/>
      <c r="AC295" s="764" t="str">
        <f t="shared" si="70"/>
        <v/>
      </c>
      <c r="AD295" s="764"/>
      <c r="AE295" s="764"/>
      <c r="AF295" s="764" t="str">
        <f t="shared" si="76"/>
        <v/>
      </c>
      <c r="AG295" s="764"/>
      <c r="AH295" s="764"/>
      <c r="AI295" s="673"/>
      <c r="AJ295" s="673"/>
      <c r="AK295" s="673"/>
      <c r="AL295" s="673"/>
      <c r="AM295" s="673"/>
      <c r="AN295" s="673"/>
      <c r="AO295" s="673"/>
      <c r="AP295" s="673"/>
      <c r="AQ295" s="673"/>
      <c r="AR295" s="673"/>
      <c r="AS295" s="673"/>
      <c r="AT295" s="1199"/>
      <c r="AU295" s="451"/>
      <c r="AV295" s="451"/>
      <c r="AW295" s="451"/>
      <c r="AX295" s="451"/>
      <c r="AY295" s="451"/>
      <c r="AZ295" s="451"/>
      <c r="BA295" s="451"/>
      <c r="BB295" s="451"/>
      <c r="BC295" s="451"/>
      <c r="BD295" s="451"/>
      <c r="BE295" s="451"/>
      <c r="BF295" s="451"/>
      <c r="BG295" s="451"/>
      <c r="BH295" s="451"/>
    </row>
    <row r="296" spans="2:60" ht="18" customHeight="1">
      <c r="B296" s="1170"/>
      <c r="C296" s="1171"/>
      <c r="D296" s="1171"/>
      <c r="E296" s="909"/>
      <c r="F296" s="911"/>
      <c r="G296" s="1172"/>
      <c r="H296" s="1173"/>
      <c r="I296" s="909"/>
      <c r="J296" s="911"/>
      <c r="K296" s="909"/>
      <c r="L296" s="911"/>
      <c r="M296" s="909"/>
      <c r="N296" s="911"/>
      <c r="O296" s="909"/>
      <c r="P296" s="910"/>
      <c r="Q296" s="911"/>
      <c r="R296" s="764" t="str">
        <f t="shared" si="68"/>
        <v/>
      </c>
      <c r="S296" s="764"/>
      <c r="T296" s="764"/>
      <c r="U296" s="1178" t="str">
        <f t="shared" si="69"/>
        <v/>
      </c>
      <c r="V296" s="1179"/>
      <c r="W296" s="1180"/>
      <c r="X296" s="742"/>
      <c r="Y296" s="742"/>
      <c r="Z296" s="909"/>
      <c r="AA296" s="910"/>
      <c r="AB296" s="911"/>
      <c r="AC296" s="764" t="str">
        <f t="shared" si="70"/>
        <v/>
      </c>
      <c r="AD296" s="764"/>
      <c r="AE296" s="764"/>
      <c r="AF296" s="764" t="str">
        <f t="shared" si="76"/>
        <v/>
      </c>
      <c r="AG296" s="764"/>
      <c r="AH296" s="764"/>
      <c r="AI296" s="673"/>
      <c r="AJ296" s="673"/>
      <c r="AK296" s="673"/>
      <c r="AL296" s="673"/>
      <c r="AM296" s="673"/>
      <c r="AN296" s="673"/>
      <c r="AO296" s="673"/>
      <c r="AP296" s="673"/>
      <c r="AQ296" s="673"/>
      <c r="AR296" s="673"/>
      <c r="AS296" s="673"/>
      <c r="AT296" s="1199"/>
      <c r="AU296" s="451"/>
      <c r="AV296" s="451"/>
      <c r="AW296" s="451"/>
      <c r="AX296" s="451"/>
      <c r="AY296" s="451"/>
      <c r="AZ296" s="451"/>
      <c r="BA296" s="451"/>
      <c r="BB296" s="451"/>
      <c r="BC296" s="451"/>
      <c r="BD296" s="451"/>
      <c r="BE296" s="451"/>
      <c r="BF296" s="451"/>
      <c r="BG296" s="451"/>
      <c r="BH296" s="451"/>
    </row>
    <row r="297" spans="2:60" ht="18" customHeight="1">
      <c r="B297" s="1170"/>
      <c r="C297" s="1171"/>
      <c r="D297" s="1171"/>
      <c r="E297" s="909"/>
      <c r="F297" s="911"/>
      <c r="G297" s="1172"/>
      <c r="H297" s="1173"/>
      <c r="I297" s="909"/>
      <c r="J297" s="911"/>
      <c r="K297" s="909"/>
      <c r="L297" s="911"/>
      <c r="M297" s="909"/>
      <c r="N297" s="911"/>
      <c r="O297" s="909"/>
      <c r="P297" s="910"/>
      <c r="Q297" s="911"/>
      <c r="R297" s="764" t="str">
        <f t="shared" si="68"/>
        <v/>
      </c>
      <c r="S297" s="764"/>
      <c r="T297" s="764"/>
      <c r="U297" s="1178" t="str">
        <f t="shared" si="69"/>
        <v/>
      </c>
      <c r="V297" s="1179"/>
      <c r="W297" s="1180"/>
      <c r="X297" s="742"/>
      <c r="Y297" s="742"/>
      <c r="Z297" s="909"/>
      <c r="AA297" s="910"/>
      <c r="AB297" s="911"/>
      <c r="AC297" s="764" t="str">
        <f t="shared" si="70"/>
        <v/>
      </c>
      <c r="AD297" s="764"/>
      <c r="AE297" s="764"/>
      <c r="AF297" s="764" t="str">
        <f t="shared" si="76"/>
        <v/>
      </c>
      <c r="AG297" s="764"/>
      <c r="AH297" s="764"/>
      <c r="AI297" s="673"/>
      <c r="AJ297" s="673"/>
      <c r="AK297" s="673"/>
      <c r="AL297" s="673"/>
      <c r="AM297" s="673"/>
      <c r="AN297" s="673"/>
      <c r="AO297" s="673"/>
      <c r="AP297" s="673"/>
      <c r="AQ297" s="673"/>
      <c r="AR297" s="673"/>
      <c r="AS297" s="673"/>
      <c r="AT297" s="1199"/>
      <c r="AU297" s="451"/>
      <c r="AV297" s="451"/>
      <c r="AW297" s="451"/>
      <c r="AX297" s="451"/>
      <c r="AY297" s="451"/>
      <c r="AZ297" s="451"/>
      <c r="BA297" s="451"/>
      <c r="BB297" s="451"/>
      <c r="BC297" s="451"/>
      <c r="BD297" s="451"/>
      <c r="BE297" s="451"/>
      <c r="BF297" s="451"/>
      <c r="BG297" s="451"/>
      <c r="BH297" s="451"/>
    </row>
    <row r="298" spans="2:60" ht="18" customHeight="1">
      <c r="B298" s="1170"/>
      <c r="C298" s="1171"/>
      <c r="D298" s="1171"/>
      <c r="E298" s="909"/>
      <c r="F298" s="911"/>
      <c r="G298" s="1172"/>
      <c r="H298" s="1173"/>
      <c r="I298" s="909"/>
      <c r="J298" s="911"/>
      <c r="K298" s="909"/>
      <c r="L298" s="911"/>
      <c r="M298" s="909"/>
      <c r="N298" s="911"/>
      <c r="O298" s="909"/>
      <c r="P298" s="910"/>
      <c r="Q298" s="911"/>
      <c r="R298" s="764" t="str">
        <f t="shared" si="68"/>
        <v/>
      </c>
      <c r="S298" s="764"/>
      <c r="T298" s="764"/>
      <c r="U298" s="1178" t="str">
        <f t="shared" si="69"/>
        <v/>
      </c>
      <c r="V298" s="1179"/>
      <c r="W298" s="1180"/>
      <c r="X298" s="742"/>
      <c r="Y298" s="742"/>
      <c r="Z298" s="909"/>
      <c r="AA298" s="910"/>
      <c r="AB298" s="911"/>
      <c r="AC298" s="764" t="str">
        <f t="shared" si="70"/>
        <v/>
      </c>
      <c r="AD298" s="764"/>
      <c r="AE298" s="764"/>
      <c r="AF298" s="764" t="str">
        <f t="shared" si="76"/>
        <v/>
      </c>
      <c r="AG298" s="764"/>
      <c r="AH298" s="764"/>
      <c r="AI298" s="673"/>
      <c r="AJ298" s="673"/>
      <c r="AK298" s="673"/>
      <c r="AL298" s="673"/>
      <c r="AM298" s="673"/>
      <c r="AN298" s="673"/>
      <c r="AO298" s="673"/>
      <c r="AP298" s="673"/>
      <c r="AQ298" s="673"/>
      <c r="AR298" s="673"/>
      <c r="AS298" s="673"/>
      <c r="AT298" s="1199"/>
      <c r="AU298" s="451"/>
      <c r="AV298" s="451"/>
      <c r="AW298" s="451"/>
      <c r="AX298" s="451"/>
      <c r="AY298" s="451"/>
      <c r="AZ298" s="451"/>
      <c r="BA298" s="451"/>
      <c r="BB298" s="451"/>
      <c r="BC298" s="451"/>
      <c r="BD298" s="451"/>
      <c r="BE298" s="451"/>
      <c r="BF298" s="451"/>
      <c r="BG298" s="451"/>
      <c r="BH298" s="451"/>
    </row>
    <row r="299" spans="2:60" ht="18" customHeight="1">
      <c r="B299" s="1170"/>
      <c r="C299" s="1171"/>
      <c r="D299" s="1171"/>
      <c r="E299" s="909"/>
      <c r="F299" s="911"/>
      <c r="G299" s="1172"/>
      <c r="H299" s="1173"/>
      <c r="I299" s="909"/>
      <c r="J299" s="911"/>
      <c r="K299" s="909"/>
      <c r="L299" s="911"/>
      <c r="M299" s="909"/>
      <c r="N299" s="911"/>
      <c r="O299" s="909"/>
      <c r="P299" s="910"/>
      <c r="Q299" s="911"/>
      <c r="R299" s="764" t="str">
        <f t="shared" si="68"/>
        <v/>
      </c>
      <c r="S299" s="764"/>
      <c r="T299" s="764"/>
      <c r="U299" s="1178" t="str">
        <f t="shared" si="69"/>
        <v/>
      </c>
      <c r="V299" s="1179"/>
      <c r="W299" s="1180"/>
      <c r="X299" s="742"/>
      <c r="Y299" s="742"/>
      <c r="Z299" s="909"/>
      <c r="AA299" s="910"/>
      <c r="AB299" s="911"/>
      <c r="AC299" s="764" t="str">
        <f t="shared" si="70"/>
        <v/>
      </c>
      <c r="AD299" s="764"/>
      <c r="AE299" s="764"/>
      <c r="AF299" s="764" t="str">
        <f t="shared" si="76"/>
        <v/>
      </c>
      <c r="AG299" s="764"/>
      <c r="AH299" s="764"/>
      <c r="AI299" s="673"/>
      <c r="AJ299" s="673"/>
      <c r="AK299" s="673"/>
      <c r="AL299" s="673"/>
      <c r="AM299" s="673"/>
      <c r="AN299" s="673"/>
      <c r="AO299" s="673"/>
      <c r="AP299" s="673"/>
      <c r="AQ299" s="673"/>
      <c r="AR299" s="673"/>
      <c r="AS299" s="673"/>
      <c r="AT299" s="1199"/>
      <c r="AU299" s="451"/>
      <c r="AV299" s="451"/>
      <c r="AW299" s="451"/>
      <c r="AX299" s="451"/>
      <c r="AY299" s="451"/>
      <c r="AZ299" s="451"/>
      <c r="BA299" s="451"/>
      <c r="BB299" s="451"/>
      <c r="BC299" s="451"/>
      <c r="BD299" s="451"/>
      <c r="BE299" s="451"/>
      <c r="BF299" s="451"/>
      <c r="BG299" s="451"/>
      <c r="BH299" s="451"/>
    </row>
    <row r="300" spans="2:60" ht="18" customHeight="1">
      <c r="B300" s="1170"/>
      <c r="C300" s="1171"/>
      <c r="D300" s="1171"/>
      <c r="E300" s="909"/>
      <c r="F300" s="911"/>
      <c r="G300" s="1172"/>
      <c r="H300" s="1173"/>
      <c r="I300" s="909"/>
      <c r="J300" s="911"/>
      <c r="K300" s="909"/>
      <c r="L300" s="911"/>
      <c r="M300" s="909"/>
      <c r="N300" s="911"/>
      <c r="O300" s="909"/>
      <c r="P300" s="910"/>
      <c r="Q300" s="911"/>
      <c r="R300" s="764" t="str">
        <f t="shared" si="68"/>
        <v/>
      </c>
      <c r="S300" s="764"/>
      <c r="T300" s="764"/>
      <c r="U300" s="1178" t="str">
        <f t="shared" si="69"/>
        <v/>
      </c>
      <c r="V300" s="1179"/>
      <c r="W300" s="1180"/>
      <c r="X300" s="742"/>
      <c r="Y300" s="742"/>
      <c r="Z300" s="909"/>
      <c r="AA300" s="910"/>
      <c r="AB300" s="911"/>
      <c r="AC300" s="764" t="str">
        <f t="shared" si="70"/>
        <v/>
      </c>
      <c r="AD300" s="764"/>
      <c r="AE300" s="764"/>
      <c r="AF300" s="764" t="str">
        <f t="shared" si="76"/>
        <v/>
      </c>
      <c r="AG300" s="764"/>
      <c r="AH300" s="764"/>
      <c r="AI300" s="673"/>
      <c r="AJ300" s="673"/>
      <c r="AK300" s="673"/>
      <c r="AL300" s="673"/>
      <c r="AM300" s="673"/>
      <c r="AN300" s="673"/>
      <c r="AO300" s="673"/>
      <c r="AP300" s="673"/>
      <c r="AQ300" s="673"/>
      <c r="AR300" s="673"/>
      <c r="AS300" s="673"/>
      <c r="AT300" s="1199"/>
      <c r="AU300" s="451"/>
      <c r="AV300" s="451"/>
      <c r="AW300" s="451"/>
      <c r="AX300" s="451"/>
      <c r="AY300" s="451"/>
      <c r="AZ300" s="451"/>
      <c r="BA300" s="451"/>
      <c r="BB300" s="451"/>
      <c r="BC300" s="451"/>
      <c r="BD300" s="451"/>
      <c r="BE300" s="451"/>
      <c r="BF300" s="451"/>
      <c r="BG300" s="451"/>
      <c r="BH300" s="451"/>
    </row>
    <row r="301" spans="2:60" ht="18" customHeight="1">
      <c r="B301" s="1170"/>
      <c r="C301" s="1171"/>
      <c r="D301" s="1171"/>
      <c r="E301" s="909"/>
      <c r="F301" s="911"/>
      <c r="G301" s="1172"/>
      <c r="H301" s="1173"/>
      <c r="I301" s="909"/>
      <c r="J301" s="911"/>
      <c r="K301" s="909"/>
      <c r="L301" s="911"/>
      <c r="M301" s="909"/>
      <c r="N301" s="911"/>
      <c r="O301" s="909"/>
      <c r="P301" s="910"/>
      <c r="Q301" s="911"/>
      <c r="R301" s="764" t="str">
        <f t="shared" si="68"/>
        <v/>
      </c>
      <c r="S301" s="764"/>
      <c r="T301" s="764"/>
      <c r="U301" s="1178" t="str">
        <f t="shared" si="69"/>
        <v/>
      </c>
      <c r="V301" s="1179"/>
      <c r="W301" s="1180"/>
      <c r="X301" s="742"/>
      <c r="Y301" s="742"/>
      <c r="Z301" s="909"/>
      <c r="AA301" s="910"/>
      <c r="AB301" s="911"/>
      <c r="AC301" s="764" t="str">
        <f t="shared" si="70"/>
        <v/>
      </c>
      <c r="AD301" s="764"/>
      <c r="AE301" s="764"/>
      <c r="AF301" s="764" t="str">
        <f t="shared" si="76"/>
        <v/>
      </c>
      <c r="AG301" s="764"/>
      <c r="AH301" s="764"/>
      <c r="AI301" s="673"/>
      <c r="AJ301" s="673"/>
      <c r="AK301" s="673"/>
      <c r="AL301" s="673"/>
      <c r="AM301" s="673"/>
      <c r="AN301" s="673"/>
      <c r="AO301" s="673"/>
      <c r="AP301" s="673"/>
      <c r="AQ301" s="673"/>
      <c r="AR301" s="673"/>
      <c r="AS301" s="673"/>
      <c r="AT301" s="1199"/>
      <c r="AU301" s="451"/>
      <c r="AV301" s="451"/>
      <c r="AW301" s="451"/>
      <c r="AX301" s="451"/>
      <c r="AY301" s="451"/>
      <c r="AZ301" s="451"/>
      <c r="BA301" s="451"/>
      <c r="BB301" s="451"/>
      <c r="BC301" s="451"/>
      <c r="BD301" s="451"/>
      <c r="BE301" s="451"/>
      <c r="BF301" s="451"/>
      <c r="BG301" s="451"/>
      <c r="BH301" s="451"/>
    </row>
    <row r="302" spans="2:60" ht="18" customHeight="1">
      <c r="B302" s="1170"/>
      <c r="C302" s="1171"/>
      <c r="D302" s="1171"/>
      <c r="E302" s="909"/>
      <c r="F302" s="911"/>
      <c r="G302" s="1172"/>
      <c r="H302" s="1173"/>
      <c r="I302" s="909"/>
      <c r="J302" s="911"/>
      <c r="K302" s="909"/>
      <c r="L302" s="911"/>
      <c r="M302" s="909"/>
      <c r="N302" s="911"/>
      <c r="O302" s="909"/>
      <c r="P302" s="910"/>
      <c r="Q302" s="911"/>
      <c r="R302" s="764" t="str">
        <f t="shared" si="68"/>
        <v/>
      </c>
      <c r="S302" s="764"/>
      <c r="T302" s="764"/>
      <c r="U302" s="1178" t="str">
        <f t="shared" si="69"/>
        <v/>
      </c>
      <c r="V302" s="1179"/>
      <c r="W302" s="1180"/>
      <c r="X302" s="742"/>
      <c r="Y302" s="742"/>
      <c r="Z302" s="909"/>
      <c r="AA302" s="910"/>
      <c r="AB302" s="911"/>
      <c r="AC302" s="764" t="str">
        <f t="shared" si="70"/>
        <v/>
      </c>
      <c r="AD302" s="764"/>
      <c r="AE302" s="764"/>
      <c r="AF302" s="764" t="str">
        <f t="shared" ref="AF302:AF304" si="77">IF(G302="","",IF(AC302="","",ROUND(100*(AC302+G302)/(100+AC302),1)))</f>
        <v/>
      </c>
      <c r="AG302" s="764"/>
      <c r="AH302" s="764"/>
      <c r="AI302" s="673"/>
      <c r="AJ302" s="673"/>
      <c r="AK302" s="673"/>
      <c r="AL302" s="673"/>
      <c r="AM302" s="673"/>
      <c r="AN302" s="673"/>
      <c r="AO302" s="673"/>
      <c r="AP302" s="673"/>
      <c r="AQ302" s="673"/>
      <c r="AR302" s="673"/>
      <c r="AS302" s="673"/>
      <c r="AT302" s="1199"/>
      <c r="AU302" s="451"/>
      <c r="AV302" s="451"/>
      <c r="AW302" s="451"/>
      <c r="AX302" s="451"/>
      <c r="AY302" s="451"/>
      <c r="AZ302" s="451"/>
      <c r="BA302" s="451"/>
      <c r="BB302" s="451"/>
      <c r="BC302" s="451"/>
      <c r="BD302" s="451"/>
      <c r="BE302" s="451"/>
      <c r="BF302" s="451"/>
      <c r="BG302" s="451"/>
      <c r="BH302" s="451"/>
    </row>
    <row r="303" spans="2:60" ht="18" customHeight="1">
      <c r="B303" s="1170"/>
      <c r="C303" s="1171"/>
      <c r="D303" s="1171"/>
      <c r="E303" s="909"/>
      <c r="F303" s="911"/>
      <c r="G303" s="1172"/>
      <c r="H303" s="1173"/>
      <c r="I303" s="909"/>
      <c r="J303" s="911"/>
      <c r="K303" s="909"/>
      <c r="L303" s="911"/>
      <c r="M303" s="909"/>
      <c r="N303" s="911"/>
      <c r="O303" s="909"/>
      <c r="P303" s="910"/>
      <c r="Q303" s="911"/>
      <c r="R303" s="764" t="str">
        <f t="shared" si="68"/>
        <v/>
      </c>
      <c r="S303" s="764"/>
      <c r="T303" s="764"/>
      <c r="U303" s="1178" t="str">
        <f t="shared" si="69"/>
        <v/>
      </c>
      <c r="V303" s="1179"/>
      <c r="W303" s="1180"/>
      <c r="X303" s="742"/>
      <c r="Y303" s="742"/>
      <c r="Z303" s="909"/>
      <c r="AA303" s="910"/>
      <c r="AB303" s="911"/>
      <c r="AC303" s="764" t="str">
        <f t="shared" si="70"/>
        <v/>
      </c>
      <c r="AD303" s="764"/>
      <c r="AE303" s="764"/>
      <c r="AF303" s="764" t="str">
        <f t="shared" si="77"/>
        <v/>
      </c>
      <c r="AG303" s="764"/>
      <c r="AH303" s="764"/>
      <c r="AI303" s="673"/>
      <c r="AJ303" s="673"/>
      <c r="AK303" s="673"/>
      <c r="AL303" s="673"/>
      <c r="AM303" s="673"/>
      <c r="AN303" s="673"/>
      <c r="AO303" s="673"/>
      <c r="AP303" s="673"/>
      <c r="AQ303" s="673"/>
      <c r="AR303" s="673"/>
      <c r="AS303" s="673"/>
      <c r="AT303" s="1199"/>
      <c r="AU303" s="451"/>
      <c r="AV303" s="451"/>
      <c r="AW303" s="451"/>
      <c r="AX303" s="451"/>
      <c r="AY303" s="451"/>
      <c r="AZ303" s="451"/>
      <c r="BA303" s="451"/>
      <c r="BB303" s="451"/>
      <c r="BC303" s="451"/>
      <c r="BD303" s="451"/>
      <c r="BE303" s="451"/>
      <c r="BF303" s="451"/>
      <c r="BG303" s="451"/>
      <c r="BH303" s="451"/>
    </row>
    <row r="304" spans="2:60" ht="18" customHeight="1">
      <c r="B304" s="1170"/>
      <c r="C304" s="1171"/>
      <c r="D304" s="1171"/>
      <c r="E304" s="909"/>
      <c r="F304" s="911"/>
      <c r="G304" s="1172"/>
      <c r="H304" s="1173"/>
      <c r="I304" s="909"/>
      <c r="J304" s="911"/>
      <c r="K304" s="909"/>
      <c r="L304" s="911"/>
      <c r="M304" s="909"/>
      <c r="N304" s="911"/>
      <c r="O304" s="909"/>
      <c r="P304" s="910"/>
      <c r="Q304" s="911"/>
      <c r="R304" s="764" t="str">
        <f t="shared" si="68"/>
        <v/>
      </c>
      <c r="S304" s="764"/>
      <c r="T304" s="764"/>
      <c r="U304" s="1178" t="str">
        <f t="shared" si="69"/>
        <v/>
      </c>
      <c r="V304" s="1179"/>
      <c r="W304" s="1180"/>
      <c r="X304" s="742"/>
      <c r="Y304" s="742"/>
      <c r="Z304" s="909"/>
      <c r="AA304" s="910"/>
      <c r="AB304" s="911"/>
      <c r="AC304" s="764" t="str">
        <f t="shared" si="70"/>
        <v/>
      </c>
      <c r="AD304" s="764"/>
      <c r="AE304" s="764"/>
      <c r="AF304" s="764" t="str">
        <f t="shared" si="77"/>
        <v/>
      </c>
      <c r="AG304" s="764"/>
      <c r="AH304" s="764"/>
      <c r="AI304" s="673"/>
      <c r="AJ304" s="673"/>
      <c r="AK304" s="673"/>
      <c r="AL304" s="673"/>
      <c r="AM304" s="673"/>
      <c r="AN304" s="673"/>
      <c r="AO304" s="673"/>
      <c r="AP304" s="673"/>
      <c r="AQ304" s="673"/>
      <c r="AR304" s="673"/>
      <c r="AS304" s="673"/>
      <c r="AT304" s="1199"/>
      <c r="AU304" s="451"/>
      <c r="AV304" s="451"/>
      <c r="AW304" s="451"/>
      <c r="AX304" s="451"/>
      <c r="AY304" s="451"/>
      <c r="AZ304" s="451"/>
      <c r="BA304" s="451"/>
      <c r="BB304" s="451"/>
      <c r="BC304" s="451"/>
      <c r="BD304" s="451"/>
      <c r="BE304" s="451"/>
      <c r="BF304" s="451"/>
      <c r="BG304" s="451"/>
      <c r="BH304" s="451"/>
    </row>
    <row r="305" spans="2:60" ht="18" customHeight="1">
      <c r="B305" s="1170"/>
      <c r="C305" s="1171"/>
      <c r="D305" s="1171"/>
      <c r="E305" s="909"/>
      <c r="F305" s="911"/>
      <c r="G305" s="1172"/>
      <c r="H305" s="1173"/>
      <c r="I305" s="909"/>
      <c r="J305" s="911"/>
      <c r="K305" s="909"/>
      <c r="L305" s="911"/>
      <c r="M305" s="909"/>
      <c r="N305" s="911"/>
      <c r="O305" s="909"/>
      <c r="P305" s="910"/>
      <c r="Q305" s="911"/>
      <c r="R305" s="764" t="str">
        <f t="shared" si="68"/>
        <v/>
      </c>
      <c r="S305" s="764"/>
      <c r="T305" s="764"/>
      <c r="U305" s="1178" t="str">
        <f t="shared" si="69"/>
        <v/>
      </c>
      <c r="V305" s="1179"/>
      <c r="W305" s="1180"/>
      <c r="X305" s="742"/>
      <c r="Y305" s="742"/>
      <c r="Z305" s="909"/>
      <c r="AA305" s="910"/>
      <c r="AB305" s="911"/>
      <c r="AC305" s="764" t="str">
        <f t="shared" si="70"/>
        <v/>
      </c>
      <c r="AD305" s="764"/>
      <c r="AE305" s="764"/>
      <c r="AF305" s="764" t="str">
        <f t="shared" si="76"/>
        <v/>
      </c>
      <c r="AG305" s="764"/>
      <c r="AH305" s="764"/>
      <c r="AI305" s="673"/>
      <c r="AJ305" s="673"/>
      <c r="AK305" s="673"/>
      <c r="AL305" s="673"/>
      <c r="AM305" s="673"/>
      <c r="AN305" s="673"/>
      <c r="AO305" s="673"/>
      <c r="AP305" s="673"/>
      <c r="AQ305" s="673"/>
      <c r="AR305" s="673"/>
      <c r="AS305" s="673"/>
      <c r="AT305" s="1199"/>
      <c r="AU305" s="451"/>
      <c r="AV305" s="451"/>
      <c r="AW305" s="451"/>
      <c r="AX305" s="451"/>
      <c r="AY305" s="451"/>
      <c r="AZ305" s="451"/>
      <c r="BA305" s="451"/>
      <c r="BB305" s="451"/>
      <c r="BC305" s="451"/>
      <c r="BD305" s="451"/>
      <c r="BE305" s="451"/>
      <c r="BF305" s="451"/>
      <c r="BG305" s="451"/>
      <c r="BH305" s="451"/>
    </row>
    <row r="306" spans="2:60" ht="18" customHeight="1">
      <c r="B306" s="1170"/>
      <c r="C306" s="1171"/>
      <c r="D306" s="1171"/>
      <c r="E306" s="909"/>
      <c r="F306" s="911"/>
      <c r="G306" s="1172"/>
      <c r="H306" s="1173"/>
      <c r="I306" s="909"/>
      <c r="J306" s="911"/>
      <c r="K306" s="909"/>
      <c r="L306" s="911"/>
      <c r="M306" s="909"/>
      <c r="N306" s="911"/>
      <c r="O306" s="909"/>
      <c r="P306" s="910"/>
      <c r="Q306" s="911"/>
      <c r="R306" s="764" t="str">
        <f t="shared" si="68"/>
        <v/>
      </c>
      <c r="S306" s="764"/>
      <c r="T306" s="764"/>
      <c r="U306" s="1178" t="str">
        <f t="shared" si="69"/>
        <v/>
      </c>
      <c r="V306" s="1179"/>
      <c r="W306" s="1180"/>
      <c r="X306" s="742"/>
      <c r="Y306" s="742"/>
      <c r="Z306" s="909"/>
      <c r="AA306" s="910"/>
      <c r="AB306" s="911"/>
      <c r="AC306" s="764" t="str">
        <f t="shared" si="70"/>
        <v/>
      </c>
      <c r="AD306" s="764"/>
      <c r="AE306" s="764"/>
      <c r="AF306" s="764" t="str">
        <f t="shared" si="76"/>
        <v/>
      </c>
      <c r="AG306" s="764"/>
      <c r="AH306" s="764"/>
      <c r="AI306" s="673"/>
      <c r="AJ306" s="673"/>
      <c r="AK306" s="673"/>
      <c r="AL306" s="673"/>
      <c r="AM306" s="673"/>
      <c r="AN306" s="673"/>
      <c r="AO306" s="673"/>
      <c r="AP306" s="673"/>
      <c r="AQ306" s="673"/>
      <c r="AR306" s="673"/>
      <c r="AS306" s="673"/>
      <c r="AT306" s="1199"/>
      <c r="AU306" s="451"/>
      <c r="AV306" s="451"/>
      <c r="AW306" s="451"/>
      <c r="AX306" s="451"/>
      <c r="AY306" s="451"/>
      <c r="AZ306" s="451"/>
      <c r="BA306" s="451"/>
      <c r="BB306" s="451"/>
      <c r="BC306" s="451"/>
      <c r="BD306" s="451"/>
      <c r="BE306" s="451"/>
      <c r="BF306" s="451"/>
      <c r="BG306" s="451"/>
      <c r="BH306" s="451"/>
    </row>
    <row r="307" spans="2:60" ht="18" customHeight="1">
      <c r="B307" s="1170"/>
      <c r="C307" s="1171"/>
      <c r="D307" s="1171"/>
      <c r="E307" s="909"/>
      <c r="F307" s="911"/>
      <c r="G307" s="1172"/>
      <c r="H307" s="1173"/>
      <c r="I307" s="909"/>
      <c r="J307" s="911"/>
      <c r="K307" s="909"/>
      <c r="L307" s="911"/>
      <c r="M307" s="909"/>
      <c r="N307" s="911"/>
      <c r="O307" s="909"/>
      <c r="P307" s="910"/>
      <c r="Q307" s="911"/>
      <c r="R307" s="764" t="str">
        <f t="shared" si="68"/>
        <v/>
      </c>
      <c r="S307" s="764"/>
      <c r="T307" s="764"/>
      <c r="U307" s="1178" t="str">
        <f t="shared" si="69"/>
        <v/>
      </c>
      <c r="V307" s="1179"/>
      <c r="W307" s="1180"/>
      <c r="X307" s="742"/>
      <c r="Y307" s="742"/>
      <c r="Z307" s="909"/>
      <c r="AA307" s="910"/>
      <c r="AB307" s="911"/>
      <c r="AC307" s="764" t="str">
        <f t="shared" si="70"/>
        <v/>
      </c>
      <c r="AD307" s="764"/>
      <c r="AE307" s="764"/>
      <c r="AF307" s="764" t="str">
        <f t="shared" ref="AF307:AF363" si="78">IF(G307="","",IF(AC307="","",ROUND(100*(AC307+G307)/(100+AC307),1)))</f>
        <v/>
      </c>
      <c r="AG307" s="764"/>
      <c r="AH307" s="764"/>
      <c r="AI307" s="673"/>
      <c r="AJ307" s="673"/>
      <c r="AK307" s="673"/>
      <c r="AL307" s="673"/>
      <c r="AM307" s="673"/>
      <c r="AN307" s="673"/>
      <c r="AO307" s="673"/>
      <c r="AP307" s="673"/>
      <c r="AQ307" s="673"/>
      <c r="AR307" s="673"/>
      <c r="AS307" s="673"/>
      <c r="AT307" s="1199"/>
      <c r="AU307" s="451"/>
      <c r="AV307" s="451"/>
      <c r="AW307" s="451"/>
      <c r="AX307" s="451"/>
      <c r="AY307" s="451"/>
      <c r="AZ307" s="451"/>
      <c r="BA307" s="451"/>
      <c r="BB307" s="451"/>
      <c r="BC307" s="451"/>
      <c r="BD307" s="451"/>
      <c r="BE307" s="451"/>
      <c r="BF307" s="451"/>
      <c r="BG307" s="451"/>
      <c r="BH307" s="451"/>
    </row>
    <row r="308" spans="2:60" ht="18" customHeight="1">
      <c r="B308" s="1170"/>
      <c r="C308" s="1171"/>
      <c r="D308" s="1171"/>
      <c r="E308" s="909"/>
      <c r="F308" s="911"/>
      <c r="G308" s="1172"/>
      <c r="H308" s="1173"/>
      <c r="I308" s="909"/>
      <c r="J308" s="911"/>
      <c r="K308" s="909"/>
      <c r="L308" s="911"/>
      <c r="M308" s="909"/>
      <c r="N308" s="911"/>
      <c r="O308" s="909"/>
      <c r="P308" s="910"/>
      <c r="Q308" s="911"/>
      <c r="R308" s="764" t="str">
        <f t="shared" si="68"/>
        <v/>
      </c>
      <c r="S308" s="764"/>
      <c r="T308" s="764"/>
      <c r="U308" s="1178" t="str">
        <f t="shared" si="69"/>
        <v/>
      </c>
      <c r="V308" s="1179"/>
      <c r="W308" s="1180"/>
      <c r="X308" s="742"/>
      <c r="Y308" s="742"/>
      <c r="Z308" s="909"/>
      <c r="AA308" s="910"/>
      <c r="AB308" s="911"/>
      <c r="AC308" s="764" t="str">
        <f t="shared" si="70"/>
        <v/>
      </c>
      <c r="AD308" s="764"/>
      <c r="AE308" s="764"/>
      <c r="AF308" s="764" t="str">
        <f t="shared" si="78"/>
        <v/>
      </c>
      <c r="AG308" s="764"/>
      <c r="AH308" s="764"/>
      <c r="AI308" s="673"/>
      <c r="AJ308" s="673"/>
      <c r="AK308" s="673"/>
      <c r="AL308" s="673"/>
      <c r="AM308" s="673"/>
      <c r="AN308" s="673"/>
      <c r="AO308" s="673"/>
      <c r="AP308" s="673"/>
      <c r="AQ308" s="673"/>
      <c r="AR308" s="673"/>
      <c r="AS308" s="673"/>
      <c r="AT308" s="1199"/>
      <c r="AU308" s="451"/>
      <c r="AV308" s="451"/>
      <c r="AW308" s="451"/>
      <c r="AX308" s="451"/>
      <c r="AY308" s="451"/>
      <c r="AZ308" s="451"/>
      <c r="BA308" s="451"/>
      <c r="BB308" s="451"/>
      <c r="BC308" s="451"/>
      <c r="BD308" s="451"/>
      <c r="BE308" s="451"/>
      <c r="BF308" s="451"/>
      <c r="BG308" s="451"/>
      <c r="BH308" s="451"/>
    </row>
    <row r="309" spans="2:60" ht="18" customHeight="1">
      <c r="B309" s="1170"/>
      <c r="C309" s="1171"/>
      <c r="D309" s="1171"/>
      <c r="E309" s="909"/>
      <c r="F309" s="911"/>
      <c r="G309" s="1172"/>
      <c r="H309" s="1173"/>
      <c r="I309" s="909"/>
      <c r="J309" s="911"/>
      <c r="K309" s="909"/>
      <c r="L309" s="911"/>
      <c r="M309" s="909"/>
      <c r="N309" s="911"/>
      <c r="O309" s="909"/>
      <c r="P309" s="910"/>
      <c r="Q309" s="911"/>
      <c r="R309" s="764" t="str">
        <f t="shared" si="68"/>
        <v/>
      </c>
      <c r="S309" s="764"/>
      <c r="T309" s="764"/>
      <c r="U309" s="1178" t="str">
        <f t="shared" si="69"/>
        <v/>
      </c>
      <c r="V309" s="1179"/>
      <c r="W309" s="1180"/>
      <c r="X309" s="742"/>
      <c r="Y309" s="742"/>
      <c r="Z309" s="909"/>
      <c r="AA309" s="910"/>
      <c r="AB309" s="911"/>
      <c r="AC309" s="764" t="str">
        <f t="shared" si="70"/>
        <v/>
      </c>
      <c r="AD309" s="764"/>
      <c r="AE309" s="764"/>
      <c r="AF309" s="764" t="str">
        <f t="shared" si="78"/>
        <v/>
      </c>
      <c r="AG309" s="764"/>
      <c r="AH309" s="764"/>
      <c r="AI309" s="673"/>
      <c r="AJ309" s="673"/>
      <c r="AK309" s="673"/>
      <c r="AL309" s="673"/>
      <c r="AM309" s="673"/>
      <c r="AN309" s="673"/>
      <c r="AO309" s="673"/>
      <c r="AP309" s="673"/>
      <c r="AQ309" s="673"/>
      <c r="AR309" s="673"/>
      <c r="AS309" s="673"/>
      <c r="AT309" s="1199"/>
      <c r="AU309" s="451"/>
      <c r="AV309" s="451"/>
      <c r="AW309" s="451"/>
      <c r="AX309" s="451"/>
      <c r="AY309" s="451"/>
      <c r="AZ309" s="451"/>
      <c r="BA309" s="451"/>
      <c r="BB309" s="451"/>
      <c r="BC309" s="451"/>
      <c r="BD309" s="451"/>
      <c r="BE309" s="451"/>
      <c r="BF309" s="451"/>
      <c r="BG309" s="451"/>
      <c r="BH309" s="451"/>
    </row>
    <row r="310" spans="2:60" ht="18" customHeight="1">
      <c r="B310" s="1170"/>
      <c r="C310" s="1171"/>
      <c r="D310" s="1171"/>
      <c r="E310" s="909"/>
      <c r="F310" s="911"/>
      <c r="G310" s="1172"/>
      <c r="H310" s="1173"/>
      <c r="I310" s="909"/>
      <c r="J310" s="911"/>
      <c r="K310" s="909"/>
      <c r="L310" s="911"/>
      <c r="M310" s="909"/>
      <c r="N310" s="911"/>
      <c r="O310" s="909"/>
      <c r="P310" s="910"/>
      <c r="Q310" s="911"/>
      <c r="R310" s="764" t="str">
        <f t="shared" si="68"/>
        <v/>
      </c>
      <c r="S310" s="764"/>
      <c r="T310" s="764"/>
      <c r="U310" s="1178" t="str">
        <f t="shared" si="69"/>
        <v/>
      </c>
      <c r="V310" s="1179"/>
      <c r="W310" s="1180"/>
      <c r="X310" s="742"/>
      <c r="Y310" s="742"/>
      <c r="Z310" s="909"/>
      <c r="AA310" s="910"/>
      <c r="AB310" s="911"/>
      <c r="AC310" s="764" t="str">
        <f t="shared" si="70"/>
        <v/>
      </c>
      <c r="AD310" s="764"/>
      <c r="AE310" s="764"/>
      <c r="AF310" s="764" t="str">
        <f t="shared" si="78"/>
        <v/>
      </c>
      <c r="AG310" s="764"/>
      <c r="AH310" s="764"/>
      <c r="AI310" s="673"/>
      <c r="AJ310" s="673"/>
      <c r="AK310" s="673"/>
      <c r="AL310" s="673"/>
      <c r="AM310" s="673"/>
      <c r="AN310" s="673"/>
      <c r="AO310" s="673"/>
      <c r="AP310" s="673"/>
      <c r="AQ310" s="673"/>
      <c r="AR310" s="673"/>
      <c r="AS310" s="673"/>
      <c r="AT310" s="1199"/>
      <c r="AU310" s="451"/>
      <c r="AV310" s="451"/>
      <c r="AW310" s="451"/>
      <c r="AX310" s="451"/>
      <c r="AY310" s="451"/>
      <c r="AZ310" s="451"/>
      <c r="BA310" s="451"/>
      <c r="BB310" s="451"/>
      <c r="BC310" s="451"/>
      <c r="BD310" s="451"/>
      <c r="BE310" s="451"/>
      <c r="BF310" s="451"/>
      <c r="BG310" s="451"/>
      <c r="BH310" s="451"/>
    </row>
    <row r="311" spans="2:60" ht="18" customHeight="1">
      <c r="B311" s="1170"/>
      <c r="C311" s="1171"/>
      <c r="D311" s="1171"/>
      <c r="E311" s="909"/>
      <c r="F311" s="911"/>
      <c r="G311" s="1172"/>
      <c r="H311" s="1173"/>
      <c r="I311" s="909"/>
      <c r="J311" s="911"/>
      <c r="K311" s="909"/>
      <c r="L311" s="911"/>
      <c r="M311" s="909"/>
      <c r="N311" s="911"/>
      <c r="O311" s="909"/>
      <c r="P311" s="910"/>
      <c r="Q311" s="911"/>
      <c r="R311" s="764" t="str">
        <f t="shared" si="68"/>
        <v/>
      </c>
      <c r="S311" s="764"/>
      <c r="T311" s="764"/>
      <c r="U311" s="1178" t="str">
        <f t="shared" si="69"/>
        <v/>
      </c>
      <c r="V311" s="1179"/>
      <c r="W311" s="1180"/>
      <c r="X311" s="742"/>
      <c r="Y311" s="742"/>
      <c r="Z311" s="909"/>
      <c r="AA311" s="910"/>
      <c r="AB311" s="911"/>
      <c r="AC311" s="764" t="str">
        <f t="shared" si="70"/>
        <v/>
      </c>
      <c r="AD311" s="764"/>
      <c r="AE311" s="764"/>
      <c r="AF311" s="764" t="str">
        <f t="shared" si="78"/>
        <v/>
      </c>
      <c r="AG311" s="764"/>
      <c r="AH311" s="764"/>
      <c r="AI311" s="673"/>
      <c r="AJ311" s="673"/>
      <c r="AK311" s="673"/>
      <c r="AL311" s="673"/>
      <c r="AM311" s="673"/>
      <c r="AN311" s="673"/>
      <c r="AO311" s="673"/>
      <c r="AP311" s="673"/>
      <c r="AQ311" s="673"/>
      <c r="AR311" s="673"/>
      <c r="AS311" s="673"/>
      <c r="AT311" s="1199"/>
      <c r="AU311" s="451"/>
      <c r="AV311" s="451"/>
      <c r="AW311" s="451"/>
      <c r="AX311" s="451"/>
      <c r="AY311" s="451"/>
      <c r="AZ311" s="451"/>
      <c r="BA311" s="451"/>
      <c r="BB311" s="451"/>
      <c r="BC311" s="451"/>
      <c r="BD311" s="451"/>
      <c r="BE311" s="451"/>
      <c r="BF311" s="451"/>
      <c r="BG311" s="451"/>
      <c r="BH311" s="451"/>
    </row>
    <row r="312" spans="2:60" ht="18" customHeight="1">
      <c r="B312" s="1170"/>
      <c r="C312" s="1171"/>
      <c r="D312" s="1171"/>
      <c r="E312" s="909"/>
      <c r="F312" s="911"/>
      <c r="G312" s="1172"/>
      <c r="H312" s="1173"/>
      <c r="I312" s="909"/>
      <c r="J312" s="911"/>
      <c r="K312" s="909"/>
      <c r="L312" s="911"/>
      <c r="M312" s="909"/>
      <c r="N312" s="911"/>
      <c r="O312" s="909"/>
      <c r="P312" s="910"/>
      <c r="Q312" s="911"/>
      <c r="R312" s="764" t="str">
        <f t="shared" si="68"/>
        <v/>
      </c>
      <c r="S312" s="764"/>
      <c r="T312" s="764"/>
      <c r="U312" s="1178" t="str">
        <f t="shared" si="69"/>
        <v/>
      </c>
      <c r="V312" s="1179"/>
      <c r="W312" s="1180"/>
      <c r="X312" s="742"/>
      <c r="Y312" s="742"/>
      <c r="Z312" s="909"/>
      <c r="AA312" s="910"/>
      <c r="AB312" s="911"/>
      <c r="AC312" s="764" t="str">
        <f t="shared" si="70"/>
        <v/>
      </c>
      <c r="AD312" s="764"/>
      <c r="AE312" s="764"/>
      <c r="AF312" s="764" t="str">
        <f t="shared" si="78"/>
        <v/>
      </c>
      <c r="AG312" s="764"/>
      <c r="AH312" s="764"/>
      <c r="AI312" s="673"/>
      <c r="AJ312" s="673"/>
      <c r="AK312" s="673"/>
      <c r="AL312" s="673"/>
      <c r="AM312" s="673"/>
      <c r="AN312" s="673"/>
      <c r="AO312" s="673"/>
      <c r="AP312" s="673"/>
      <c r="AQ312" s="673"/>
      <c r="AR312" s="673"/>
      <c r="AS312" s="673"/>
      <c r="AT312" s="1199"/>
      <c r="AU312" s="451"/>
      <c r="AV312" s="451"/>
      <c r="AW312" s="451"/>
      <c r="AX312" s="451"/>
      <c r="AY312" s="451"/>
      <c r="AZ312" s="451"/>
      <c r="BA312" s="451"/>
      <c r="BB312" s="451"/>
      <c r="BC312" s="451"/>
      <c r="BD312" s="451"/>
      <c r="BE312" s="451"/>
      <c r="BF312" s="451"/>
      <c r="BG312" s="451"/>
      <c r="BH312" s="451"/>
    </row>
    <row r="313" spans="2:60" ht="18" customHeight="1">
      <c r="B313" s="1170"/>
      <c r="C313" s="1171"/>
      <c r="D313" s="1171"/>
      <c r="E313" s="909"/>
      <c r="F313" s="911"/>
      <c r="G313" s="1172"/>
      <c r="H313" s="1173"/>
      <c r="I313" s="909"/>
      <c r="J313" s="911"/>
      <c r="K313" s="909"/>
      <c r="L313" s="911"/>
      <c r="M313" s="909"/>
      <c r="N313" s="911"/>
      <c r="O313" s="909"/>
      <c r="P313" s="910"/>
      <c r="Q313" s="911"/>
      <c r="R313" s="764" t="str">
        <f t="shared" si="68"/>
        <v/>
      </c>
      <c r="S313" s="764"/>
      <c r="T313" s="764"/>
      <c r="U313" s="1178" t="str">
        <f t="shared" si="69"/>
        <v/>
      </c>
      <c r="V313" s="1179"/>
      <c r="W313" s="1180"/>
      <c r="X313" s="742"/>
      <c r="Y313" s="742"/>
      <c r="Z313" s="909"/>
      <c r="AA313" s="910"/>
      <c r="AB313" s="911"/>
      <c r="AC313" s="764" t="str">
        <f t="shared" si="70"/>
        <v/>
      </c>
      <c r="AD313" s="764"/>
      <c r="AE313" s="764"/>
      <c r="AF313" s="764" t="str">
        <f t="shared" si="78"/>
        <v/>
      </c>
      <c r="AG313" s="764"/>
      <c r="AH313" s="764"/>
      <c r="AI313" s="673"/>
      <c r="AJ313" s="673"/>
      <c r="AK313" s="673"/>
      <c r="AL313" s="673"/>
      <c r="AM313" s="673"/>
      <c r="AN313" s="673"/>
      <c r="AO313" s="673"/>
      <c r="AP313" s="673"/>
      <c r="AQ313" s="673"/>
      <c r="AR313" s="673"/>
      <c r="AS313" s="673"/>
      <c r="AT313" s="1199"/>
      <c r="AU313" s="451"/>
      <c r="AV313" s="451"/>
      <c r="AW313" s="451"/>
      <c r="AX313" s="451"/>
      <c r="AY313" s="451"/>
      <c r="AZ313" s="451"/>
      <c r="BA313" s="451"/>
      <c r="BB313" s="451"/>
      <c r="BC313" s="451"/>
      <c r="BD313" s="451"/>
      <c r="BE313" s="451"/>
      <c r="BF313" s="451"/>
      <c r="BG313" s="451"/>
      <c r="BH313" s="451"/>
    </row>
    <row r="314" spans="2:60" ht="18" customHeight="1">
      <c r="B314" s="1170"/>
      <c r="C314" s="1171"/>
      <c r="D314" s="1171"/>
      <c r="E314" s="909"/>
      <c r="F314" s="911"/>
      <c r="G314" s="1172"/>
      <c r="H314" s="1173"/>
      <c r="I314" s="909"/>
      <c r="J314" s="911"/>
      <c r="K314" s="909"/>
      <c r="L314" s="911"/>
      <c r="M314" s="909"/>
      <c r="N314" s="911"/>
      <c r="O314" s="909"/>
      <c r="P314" s="910"/>
      <c r="Q314" s="911"/>
      <c r="R314" s="764" t="str">
        <f t="shared" si="68"/>
        <v/>
      </c>
      <c r="S314" s="764"/>
      <c r="T314" s="764"/>
      <c r="U314" s="1178" t="str">
        <f t="shared" si="69"/>
        <v/>
      </c>
      <c r="V314" s="1179"/>
      <c r="W314" s="1180"/>
      <c r="X314" s="742"/>
      <c r="Y314" s="742"/>
      <c r="Z314" s="909"/>
      <c r="AA314" s="910"/>
      <c r="AB314" s="911"/>
      <c r="AC314" s="764" t="str">
        <f t="shared" si="70"/>
        <v/>
      </c>
      <c r="AD314" s="764"/>
      <c r="AE314" s="764"/>
      <c r="AF314" s="764" t="str">
        <f t="shared" si="78"/>
        <v/>
      </c>
      <c r="AG314" s="764"/>
      <c r="AH314" s="764"/>
      <c r="AI314" s="673"/>
      <c r="AJ314" s="673"/>
      <c r="AK314" s="673"/>
      <c r="AL314" s="673"/>
      <c r="AM314" s="673"/>
      <c r="AN314" s="673"/>
      <c r="AO314" s="673"/>
      <c r="AP314" s="673"/>
      <c r="AQ314" s="673"/>
      <c r="AR314" s="673"/>
      <c r="AS314" s="673"/>
      <c r="AT314" s="1199"/>
      <c r="AU314" s="451"/>
      <c r="AV314" s="451"/>
      <c r="AW314" s="451"/>
      <c r="AX314" s="451"/>
      <c r="AY314" s="451"/>
      <c r="AZ314" s="451"/>
      <c r="BA314" s="451"/>
      <c r="BB314" s="451"/>
      <c r="BC314" s="451"/>
      <c r="BD314" s="451"/>
      <c r="BE314" s="451"/>
      <c r="BF314" s="451"/>
      <c r="BG314" s="451"/>
      <c r="BH314" s="451"/>
    </row>
    <row r="315" spans="2:60" ht="18" customHeight="1">
      <c r="B315" s="1170"/>
      <c r="C315" s="1171"/>
      <c r="D315" s="1171"/>
      <c r="E315" s="909"/>
      <c r="F315" s="911"/>
      <c r="G315" s="1172"/>
      <c r="H315" s="1173"/>
      <c r="I315" s="909"/>
      <c r="J315" s="911"/>
      <c r="K315" s="909"/>
      <c r="L315" s="911"/>
      <c r="M315" s="909"/>
      <c r="N315" s="911"/>
      <c r="O315" s="909"/>
      <c r="P315" s="910"/>
      <c r="Q315" s="911"/>
      <c r="R315" s="764" t="str">
        <f t="shared" si="68"/>
        <v/>
      </c>
      <c r="S315" s="764"/>
      <c r="T315" s="764"/>
      <c r="U315" s="1178" t="str">
        <f t="shared" si="69"/>
        <v/>
      </c>
      <c r="V315" s="1179"/>
      <c r="W315" s="1180"/>
      <c r="X315" s="742"/>
      <c r="Y315" s="742"/>
      <c r="Z315" s="909"/>
      <c r="AA315" s="910"/>
      <c r="AB315" s="911"/>
      <c r="AC315" s="764" t="str">
        <f t="shared" si="70"/>
        <v/>
      </c>
      <c r="AD315" s="764"/>
      <c r="AE315" s="764"/>
      <c r="AF315" s="764" t="str">
        <f t="shared" si="78"/>
        <v/>
      </c>
      <c r="AG315" s="764"/>
      <c r="AH315" s="764"/>
      <c r="AI315" s="673"/>
      <c r="AJ315" s="673"/>
      <c r="AK315" s="673"/>
      <c r="AL315" s="673"/>
      <c r="AM315" s="673"/>
      <c r="AN315" s="673"/>
      <c r="AO315" s="673"/>
      <c r="AP315" s="673"/>
      <c r="AQ315" s="673"/>
      <c r="AR315" s="673"/>
      <c r="AS315" s="673"/>
      <c r="AT315" s="1199"/>
      <c r="AU315" s="451"/>
      <c r="AV315" s="451"/>
      <c r="AW315" s="451"/>
      <c r="AX315" s="451"/>
      <c r="AY315" s="451"/>
      <c r="AZ315" s="451"/>
      <c r="BA315" s="451"/>
      <c r="BB315" s="451"/>
      <c r="BC315" s="451"/>
      <c r="BD315" s="451"/>
      <c r="BE315" s="451"/>
      <c r="BF315" s="451"/>
      <c r="BG315" s="451"/>
      <c r="BH315" s="451"/>
    </row>
    <row r="316" spans="2:60" ht="18" customHeight="1">
      <c r="B316" s="1170"/>
      <c r="C316" s="1171"/>
      <c r="D316" s="1171"/>
      <c r="E316" s="909"/>
      <c r="F316" s="911"/>
      <c r="G316" s="1172"/>
      <c r="H316" s="1173"/>
      <c r="I316" s="909"/>
      <c r="J316" s="911"/>
      <c r="K316" s="909"/>
      <c r="L316" s="911"/>
      <c r="M316" s="909"/>
      <c r="N316" s="911"/>
      <c r="O316" s="909"/>
      <c r="P316" s="910"/>
      <c r="Q316" s="911"/>
      <c r="R316" s="764" t="str">
        <f t="shared" si="68"/>
        <v/>
      </c>
      <c r="S316" s="764"/>
      <c r="T316" s="764"/>
      <c r="U316" s="1178" t="str">
        <f t="shared" si="69"/>
        <v/>
      </c>
      <c r="V316" s="1179"/>
      <c r="W316" s="1180"/>
      <c r="X316" s="742"/>
      <c r="Y316" s="742"/>
      <c r="Z316" s="909"/>
      <c r="AA316" s="910"/>
      <c r="AB316" s="911"/>
      <c r="AC316" s="764" t="str">
        <f t="shared" si="70"/>
        <v/>
      </c>
      <c r="AD316" s="764"/>
      <c r="AE316" s="764"/>
      <c r="AF316" s="764" t="str">
        <f t="shared" si="78"/>
        <v/>
      </c>
      <c r="AG316" s="764"/>
      <c r="AH316" s="764"/>
      <c r="AI316" s="673"/>
      <c r="AJ316" s="673"/>
      <c r="AK316" s="673"/>
      <c r="AL316" s="673"/>
      <c r="AM316" s="673"/>
      <c r="AN316" s="673"/>
      <c r="AO316" s="673"/>
      <c r="AP316" s="673"/>
      <c r="AQ316" s="673"/>
      <c r="AR316" s="673"/>
      <c r="AS316" s="673"/>
      <c r="AT316" s="1199"/>
      <c r="AU316" s="451"/>
      <c r="AV316" s="451"/>
      <c r="AW316" s="451"/>
      <c r="AX316" s="451"/>
      <c r="AY316" s="451"/>
      <c r="AZ316" s="451"/>
      <c r="BA316" s="451"/>
      <c r="BB316" s="451"/>
      <c r="BC316" s="451"/>
      <c r="BD316" s="451"/>
      <c r="BE316" s="451"/>
      <c r="BF316" s="451"/>
      <c r="BG316" s="451"/>
      <c r="BH316" s="451"/>
    </row>
    <row r="317" spans="2:60" ht="18" customHeight="1">
      <c r="B317" s="1170"/>
      <c r="C317" s="1171"/>
      <c r="D317" s="1171"/>
      <c r="E317" s="909"/>
      <c r="F317" s="911"/>
      <c r="G317" s="1172"/>
      <c r="H317" s="1173"/>
      <c r="I317" s="909"/>
      <c r="J317" s="911"/>
      <c r="K317" s="909"/>
      <c r="L317" s="911"/>
      <c r="M317" s="909"/>
      <c r="N317" s="911"/>
      <c r="O317" s="909"/>
      <c r="P317" s="910"/>
      <c r="Q317" s="911"/>
      <c r="R317" s="764" t="str">
        <f t="shared" si="68"/>
        <v/>
      </c>
      <c r="S317" s="764"/>
      <c r="T317" s="764"/>
      <c r="U317" s="1178" t="str">
        <f t="shared" si="69"/>
        <v/>
      </c>
      <c r="V317" s="1179"/>
      <c r="W317" s="1180"/>
      <c r="X317" s="742"/>
      <c r="Y317" s="742"/>
      <c r="Z317" s="909"/>
      <c r="AA317" s="910"/>
      <c r="AB317" s="911"/>
      <c r="AC317" s="764" t="str">
        <f t="shared" si="70"/>
        <v/>
      </c>
      <c r="AD317" s="764"/>
      <c r="AE317" s="764"/>
      <c r="AF317" s="764" t="str">
        <f t="shared" si="78"/>
        <v/>
      </c>
      <c r="AG317" s="764"/>
      <c r="AH317" s="764"/>
      <c r="AI317" s="673"/>
      <c r="AJ317" s="673"/>
      <c r="AK317" s="673"/>
      <c r="AL317" s="673"/>
      <c r="AM317" s="673"/>
      <c r="AN317" s="673"/>
      <c r="AO317" s="673"/>
      <c r="AP317" s="673"/>
      <c r="AQ317" s="673"/>
      <c r="AR317" s="673"/>
      <c r="AS317" s="673"/>
      <c r="AT317" s="1199"/>
      <c r="AU317" s="451"/>
      <c r="AV317" s="451"/>
      <c r="AW317" s="451"/>
      <c r="AX317" s="451"/>
      <c r="AY317" s="451"/>
      <c r="AZ317" s="451"/>
      <c r="BA317" s="451"/>
      <c r="BB317" s="451"/>
      <c r="BC317" s="451"/>
      <c r="BD317" s="451"/>
      <c r="BE317" s="451"/>
      <c r="BF317" s="451"/>
      <c r="BG317" s="451"/>
      <c r="BH317" s="451"/>
    </row>
    <row r="318" spans="2:60" ht="18" customHeight="1">
      <c r="B318" s="1170"/>
      <c r="C318" s="1171"/>
      <c r="D318" s="1171"/>
      <c r="E318" s="909"/>
      <c r="F318" s="911"/>
      <c r="G318" s="1172"/>
      <c r="H318" s="1173"/>
      <c r="I318" s="909"/>
      <c r="J318" s="911"/>
      <c r="K318" s="909"/>
      <c r="L318" s="911"/>
      <c r="M318" s="909"/>
      <c r="N318" s="911"/>
      <c r="O318" s="909"/>
      <c r="P318" s="910"/>
      <c r="Q318" s="911"/>
      <c r="R318" s="764" t="str">
        <f t="shared" si="68"/>
        <v/>
      </c>
      <c r="S318" s="764"/>
      <c r="T318" s="764"/>
      <c r="U318" s="1178" t="str">
        <f t="shared" si="69"/>
        <v/>
      </c>
      <c r="V318" s="1179"/>
      <c r="W318" s="1180"/>
      <c r="X318" s="742"/>
      <c r="Y318" s="742"/>
      <c r="Z318" s="909"/>
      <c r="AA318" s="910"/>
      <c r="AB318" s="911"/>
      <c r="AC318" s="764" t="str">
        <f t="shared" si="70"/>
        <v/>
      </c>
      <c r="AD318" s="764"/>
      <c r="AE318" s="764"/>
      <c r="AF318" s="764" t="str">
        <f t="shared" si="78"/>
        <v/>
      </c>
      <c r="AG318" s="764"/>
      <c r="AH318" s="764"/>
      <c r="AI318" s="673"/>
      <c r="AJ318" s="673"/>
      <c r="AK318" s="673"/>
      <c r="AL318" s="673"/>
      <c r="AM318" s="673"/>
      <c r="AN318" s="673"/>
      <c r="AO318" s="673"/>
      <c r="AP318" s="673"/>
      <c r="AQ318" s="673"/>
      <c r="AR318" s="673"/>
      <c r="AS318" s="673"/>
      <c r="AT318" s="1199"/>
      <c r="AU318" s="451"/>
      <c r="AV318" s="451"/>
      <c r="AW318" s="451"/>
      <c r="AX318" s="451"/>
      <c r="AY318" s="451"/>
      <c r="AZ318" s="451"/>
      <c r="BA318" s="451"/>
      <c r="BB318" s="451"/>
      <c r="BC318" s="451"/>
      <c r="BD318" s="451"/>
      <c r="BE318" s="451"/>
      <c r="BF318" s="451"/>
      <c r="BG318" s="451"/>
      <c r="BH318" s="451"/>
    </row>
    <row r="319" spans="2:60" ht="18" customHeight="1">
      <c r="B319" s="1170"/>
      <c r="C319" s="1171"/>
      <c r="D319" s="1171"/>
      <c r="E319" s="909"/>
      <c r="F319" s="911"/>
      <c r="G319" s="1172"/>
      <c r="H319" s="1173"/>
      <c r="I319" s="909"/>
      <c r="J319" s="911"/>
      <c r="K319" s="909"/>
      <c r="L319" s="911"/>
      <c r="M319" s="909"/>
      <c r="N319" s="911"/>
      <c r="O319" s="909"/>
      <c r="P319" s="910"/>
      <c r="Q319" s="911"/>
      <c r="R319" s="764" t="str">
        <f t="shared" si="68"/>
        <v/>
      </c>
      <c r="S319" s="764"/>
      <c r="T319" s="764"/>
      <c r="U319" s="1178" t="str">
        <f t="shared" si="69"/>
        <v/>
      </c>
      <c r="V319" s="1179"/>
      <c r="W319" s="1180"/>
      <c r="X319" s="742"/>
      <c r="Y319" s="742"/>
      <c r="Z319" s="909"/>
      <c r="AA319" s="910"/>
      <c r="AB319" s="911"/>
      <c r="AC319" s="764" t="str">
        <f t="shared" si="70"/>
        <v/>
      </c>
      <c r="AD319" s="764"/>
      <c r="AE319" s="764"/>
      <c r="AF319" s="764" t="str">
        <f t="shared" si="78"/>
        <v/>
      </c>
      <c r="AG319" s="764"/>
      <c r="AH319" s="764"/>
      <c r="AI319" s="673"/>
      <c r="AJ319" s="673"/>
      <c r="AK319" s="673"/>
      <c r="AL319" s="673"/>
      <c r="AM319" s="673"/>
      <c r="AN319" s="673"/>
      <c r="AO319" s="673"/>
      <c r="AP319" s="673"/>
      <c r="AQ319" s="673"/>
      <c r="AR319" s="673"/>
      <c r="AS319" s="673"/>
      <c r="AT319" s="1199"/>
      <c r="AU319" s="451"/>
      <c r="AV319" s="451"/>
      <c r="AW319" s="451"/>
      <c r="AX319" s="451"/>
      <c r="AY319" s="451"/>
      <c r="AZ319" s="451"/>
      <c r="BA319" s="451"/>
      <c r="BB319" s="451"/>
      <c r="BC319" s="451"/>
      <c r="BD319" s="451"/>
      <c r="BE319" s="451"/>
      <c r="BF319" s="451"/>
      <c r="BG319" s="451"/>
      <c r="BH319" s="451"/>
    </row>
    <row r="320" spans="2:60" ht="18" customHeight="1">
      <c r="B320" s="1170"/>
      <c r="C320" s="1171"/>
      <c r="D320" s="1171"/>
      <c r="E320" s="909"/>
      <c r="F320" s="911"/>
      <c r="G320" s="1172"/>
      <c r="H320" s="1173"/>
      <c r="I320" s="909"/>
      <c r="J320" s="911"/>
      <c r="K320" s="909"/>
      <c r="L320" s="911"/>
      <c r="M320" s="909"/>
      <c r="N320" s="911"/>
      <c r="O320" s="909"/>
      <c r="P320" s="910"/>
      <c r="Q320" s="911"/>
      <c r="R320" s="764" t="str">
        <f t="shared" si="68"/>
        <v/>
      </c>
      <c r="S320" s="764"/>
      <c r="T320" s="764"/>
      <c r="U320" s="1178" t="str">
        <f t="shared" si="69"/>
        <v/>
      </c>
      <c r="V320" s="1179"/>
      <c r="W320" s="1180"/>
      <c r="X320" s="742"/>
      <c r="Y320" s="742"/>
      <c r="Z320" s="909"/>
      <c r="AA320" s="910"/>
      <c r="AB320" s="911"/>
      <c r="AC320" s="764" t="str">
        <f t="shared" si="70"/>
        <v/>
      </c>
      <c r="AD320" s="764"/>
      <c r="AE320" s="764"/>
      <c r="AF320" s="764" t="str">
        <f t="shared" si="78"/>
        <v/>
      </c>
      <c r="AG320" s="764"/>
      <c r="AH320" s="764"/>
      <c r="AI320" s="673"/>
      <c r="AJ320" s="673"/>
      <c r="AK320" s="673"/>
      <c r="AL320" s="673"/>
      <c r="AM320" s="673"/>
      <c r="AN320" s="673"/>
      <c r="AO320" s="673"/>
      <c r="AP320" s="673"/>
      <c r="AQ320" s="673"/>
      <c r="AR320" s="673"/>
      <c r="AS320" s="673"/>
      <c r="AT320" s="1199"/>
      <c r="AU320" s="451"/>
      <c r="AV320" s="451"/>
      <c r="AW320" s="451"/>
      <c r="AX320" s="451"/>
      <c r="AY320" s="451"/>
      <c r="AZ320" s="451"/>
      <c r="BA320" s="451"/>
      <c r="BB320" s="451"/>
      <c r="BC320" s="451"/>
      <c r="BD320" s="451"/>
      <c r="BE320" s="451"/>
      <c r="BF320" s="451"/>
      <c r="BG320" s="451"/>
      <c r="BH320" s="451"/>
    </row>
    <row r="321" spans="2:60" ht="18" customHeight="1">
      <c r="B321" s="1170"/>
      <c r="C321" s="1171"/>
      <c r="D321" s="1171"/>
      <c r="E321" s="909"/>
      <c r="F321" s="911"/>
      <c r="G321" s="1172"/>
      <c r="H321" s="1173"/>
      <c r="I321" s="909"/>
      <c r="J321" s="911"/>
      <c r="K321" s="909"/>
      <c r="L321" s="911"/>
      <c r="M321" s="909"/>
      <c r="N321" s="911"/>
      <c r="O321" s="909"/>
      <c r="P321" s="910"/>
      <c r="Q321" s="911"/>
      <c r="R321" s="764" t="str">
        <f t="shared" si="68"/>
        <v/>
      </c>
      <c r="S321" s="764"/>
      <c r="T321" s="764"/>
      <c r="U321" s="1178" t="str">
        <f t="shared" si="69"/>
        <v/>
      </c>
      <c r="V321" s="1179"/>
      <c r="W321" s="1180"/>
      <c r="X321" s="742"/>
      <c r="Y321" s="742"/>
      <c r="Z321" s="909"/>
      <c r="AA321" s="910"/>
      <c r="AB321" s="911"/>
      <c r="AC321" s="764" t="str">
        <f t="shared" si="70"/>
        <v/>
      </c>
      <c r="AD321" s="764"/>
      <c r="AE321" s="764"/>
      <c r="AF321" s="764" t="str">
        <f t="shared" si="78"/>
        <v/>
      </c>
      <c r="AG321" s="764"/>
      <c r="AH321" s="764"/>
      <c r="AI321" s="673"/>
      <c r="AJ321" s="673"/>
      <c r="AK321" s="673"/>
      <c r="AL321" s="673"/>
      <c r="AM321" s="673"/>
      <c r="AN321" s="673"/>
      <c r="AO321" s="673"/>
      <c r="AP321" s="673"/>
      <c r="AQ321" s="673"/>
      <c r="AR321" s="673"/>
      <c r="AS321" s="673"/>
      <c r="AT321" s="1199"/>
      <c r="AU321" s="451"/>
      <c r="AV321" s="451"/>
      <c r="AW321" s="451"/>
      <c r="AX321" s="451"/>
      <c r="AY321" s="451"/>
      <c r="AZ321" s="451"/>
      <c r="BA321" s="451"/>
      <c r="BB321" s="451"/>
      <c r="BC321" s="451"/>
      <c r="BD321" s="451"/>
      <c r="BE321" s="451"/>
      <c r="BF321" s="451"/>
      <c r="BG321" s="451"/>
      <c r="BH321" s="451"/>
    </row>
    <row r="322" spans="2:60" ht="18" customHeight="1">
      <c r="B322" s="1170"/>
      <c r="C322" s="1171"/>
      <c r="D322" s="1171"/>
      <c r="E322" s="909"/>
      <c r="F322" s="911"/>
      <c r="G322" s="1172"/>
      <c r="H322" s="1173"/>
      <c r="I322" s="909"/>
      <c r="J322" s="911"/>
      <c r="K322" s="909"/>
      <c r="L322" s="911"/>
      <c r="M322" s="909"/>
      <c r="N322" s="911"/>
      <c r="O322" s="909"/>
      <c r="P322" s="910"/>
      <c r="Q322" s="911"/>
      <c r="R322" s="764" t="str">
        <f t="shared" si="68"/>
        <v/>
      </c>
      <c r="S322" s="764"/>
      <c r="T322" s="764"/>
      <c r="U322" s="1178" t="str">
        <f t="shared" si="69"/>
        <v/>
      </c>
      <c r="V322" s="1179"/>
      <c r="W322" s="1180"/>
      <c r="X322" s="742"/>
      <c r="Y322" s="742"/>
      <c r="Z322" s="909"/>
      <c r="AA322" s="910"/>
      <c r="AB322" s="911"/>
      <c r="AC322" s="764" t="str">
        <f t="shared" si="70"/>
        <v/>
      </c>
      <c r="AD322" s="764"/>
      <c r="AE322" s="764"/>
      <c r="AF322" s="764" t="str">
        <f t="shared" si="78"/>
        <v/>
      </c>
      <c r="AG322" s="764"/>
      <c r="AH322" s="764"/>
      <c r="AI322" s="673"/>
      <c r="AJ322" s="673"/>
      <c r="AK322" s="673"/>
      <c r="AL322" s="673"/>
      <c r="AM322" s="673"/>
      <c r="AN322" s="673"/>
      <c r="AO322" s="673"/>
      <c r="AP322" s="673"/>
      <c r="AQ322" s="673"/>
      <c r="AR322" s="673"/>
      <c r="AS322" s="673"/>
      <c r="AT322" s="1199"/>
      <c r="AU322" s="451"/>
      <c r="AV322" s="451"/>
      <c r="AW322" s="451"/>
      <c r="AX322" s="451"/>
      <c r="AY322" s="451"/>
      <c r="AZ322" s="451"/>
      <c r="BA322" s="451"/>
      <c r="BB322" s="451"/>
      <c r="BC322" s="451"/>
      <c r="BD322" s="451"/>
      <c r="BE322" s="451"/>
      <c r="BF322" s="451"/>
      <c r="BG322" s="451"/>
      <c r="BH322" s="451"/>
    </row>
    <row r="323" spans="2:60" ht="18" customHeight="1">
      <c r="B323" s="1170"/>
      <c r="C323" s="1171"/>
      <c r="D323" s="1171"/>
      <c r="E323" s="909"/>
      <c r="F323" s="911"/>
      <c r="G323" s="1172"/>
      <c r="H323" s="1173"/>
      <c r="I323" s="909"/>
      <c r="J323" s="911"/>
      <c r="K323" s="909"/>
      <c r="L323" s="911"/>
      <c r="M323" s="909"/>
      <c r="N323" s="911"/>
      <c r="O323" s="909"/>
      <c r="P323" s="910"/>
      <c r="Q323" s="911"/>
      <c r="R323" s="764" t="str">
        <f t="shared" si="68"/>
        <v/>
      </c>
      <c r="S323" s="764"/>
      <c r="T323" s="764"/>
      <c r="U323" s="1178" t="str">
        <f t="shared" si="69"/>
        <v/>
      </c>
      <c r="V323" s="1179"/>
      <c r="W323" s="1180"/>
      <c r="X323" s="742"/>
      <c r="Y323" s="742"/>
      <c r="Z323" s="909"/>
      <c r="AA323" s="910"/>
      <c r="AB323" s="911"/>
      <c r="AC323" s="764" t="str">
        <f t="shared" si="70"/>
        <v/>
      </c>
      <c r="AD323" s="764"/>
      <c r="AE323" s="764"/>
      <c r="AF323" s="764" t="str">
        <f t="shared" si="78"/>
        <v/>
      </c>
      <c r="AG323" s="764"/>
      <c r="AH323" s="764"/>
      <c r="AI323" s="673"/>
      <c r="AJ323" s="673"/>
      <c r="AK323" s="673"/>
      <c r="AL323" s="673"/>
      <c r="AM323" s="673"/>
      <c r="AN323" s="673"/>
      <c r="AO323" s="673"/>
      <c r="AP323" s="673"/>
      <c r="AQ323" s="673"/>
      <c r="AR323" s="673"/>
      <c r="AS323" s="673"/>
      <c r="AT323" s="1199"/>
      <c r="AU323" s="451"/>
      <c r="AV323" s="451"/>
      <c r="AW323" s="451"/>
      <c r="AX323" s="451"/>
      <c r="AY323" s="451"/>
      <c r="AZ323" s="451"/>
      <c r="BA323" s="451"/>
      <c r="BB323" s="451"/>
      <c r="BC323" s="451"/>
      <c r="BD323" s="451"/>
      <c r="BE323" s="451"/>
      <c r="BF323" s="451"/>
      <c r="BG323" s="451"/>
      <c r="BH323" s="451"/>
    </row>
    <row r="324" spans="2:60" ht="18" customHeight="1">
      <c r="B324" s="1170"/>
      <c r="C324" s="1171"/>
      <c r="D324" s="1171"/>
      <c r="E324" s="909"/>
      <c r="F324" s="911"/>
      <c r="G324" s="1172"/>
      <c r="H324" s="1173"/>
      <c r="I324" s="909"/>
      <c r="J324" s="911"/>
      <c r="K324" s="909"/>
      <c r="L324" s="911"/>
      <c r="M324" s="909"/>
      <c r="N324" s="911"/>
      <c r="O324" s="909"/>
      <c r="P324" s="910"/>
      <c r="Q324" s="911"/>
      <c r="R324" s="764" t="str">
        <f t="shared" si="68"/>
        <v/>
      </c>
      <c r="S324" s="764"/>
      <c r="T324" s="764"/>
      <c r="U324" s="1178" t="str">
        <f t="shared" si="69"/>
        <v/>
      </c>
      <c r="V324" s="1179"/>
      <c r="W324" s="1180"/>
      <c r="X324" s="742"/>
      <c r="Y324" s="742"/>
      <c r="Z324" s="909"/>
      <c r="AA324" s="910"/>
      <c r="AB324" s="911"/>
      <c r="AC324" s="764" t="str">
        <f t="shared" si="70"/>
        <v/>
      </c>
      <c r="AD324" s="764"/>
      <c r="AE324" s="764"/>
      <c r="AF324" s="764" t="str">
        <f t="shared" si="78"/>
        <v/>
      </c>
      <c r="AG324" s="764"/>
      <c r="AH324" s="764"/>
      <c r="AI324" s="673"/>
      <c r="AJ324" s="673"/>
      <c r="AK324" s="673"/>
      <c r="AL324" s="673"/>
      <c r="AM324" s="673"/>
      <c r="AN324" s="673"/>
      <c r="AO324" s="673"/>
      <c r="AP324" s="673"/>
      <c r="AQ324" s="673"/>
      <c r="AR324" s="673"/>
      <c r="AS324" s="673"/>
      <c r="AT324" s="1199"/>
      <c r="AU324" s="451"/>
      <c r="AV324" s="451"/>
      <c r="AW324" s="451"/>
      <c r="AX324" s="451"/>
      <c r="AY324" s="451"/>
      <c r="AZ324" s="451"/>
      <c r="BA324" s="451"/>
      <c r="BB324" s="451"/>
      <c r="BC324" s="451"/>
      <c r="BD324" s="451"/>
      <c r="BE324" s="451"/>
      <c r="BF324" s="451"/>
      <c r="BG324" s="451"/>
      <c r="BH324" s="451"/>
    </row>
    <row r="325" spans="2:60" ht="18" customHeight="1">
      <c r="B325" s="1170"/>
      <c r="C325" s="1171"/>
      <c r="D325" s="1171"/>
      <c r="E325" s="909"/>
      <c r="F325" s="911"/>
      <c r="G325" s="1172"/>
      <c r="H325" s="1173"/>
      <c r="I325" s="909"/>
      <c r="J325" s="911"/>
      <c r="K325" s="909"/>
      <c r="L325" s="911"/>
      <c r="M325" s="909"/>
      <c r="N325" s="911"/>
      <c r="O325" s="909"/>
      <c r="P325" s="910"/>
      <c r="Q325" s="911"/>
      <c r="R325" s="764" t="str">
        <f t="shared" si="68"/>
        <v/>
      </c>
      <c r="S325" s="764"/>
      <c r="T325" s="764"/>
      <c r="U325" s="1178" t="str">
        <f t="shared" si="69"/>
        <v/>
      </c>
      <c r="V325" s="1179"/>
      <c r="W325" s="1180"/>
      <c r="X325" s="742"/>
      <c r="Y325" s="742"/>
      <c r="Z325" s="909"/>
      <c r="AA325" s="910"/>
      <c r="AB325" s="911"/>
      <c r="AC325" s="764" t="str">
        <f t="shared" si="70"/>
        <v/>
      </c>
      <c r="AD325" s="764"/>
      <c r="AE325" s="764"/>
      <c r="AF325" s="764" t="str">
        <f t="shared" si="78"/>
        <v/>
      </c>
      <c r="AG325" s="764"/>
      <c r="AH325" s="764"/>
      <c r="AI325" s="673"/>
      <c r="AJ325" s="673"/>
      <c r="AK325" s="673"/>
      <c r="AL325" s="673"/>
      <c r="AM325" s="673"/>
      <c r="AN325" s="673"/>
      <c r="AO325" s="673"/>
      <c r="AP325" s="673"/>
      <c r="AQ325" s="673"/>
      <c r="AR325" s="673"/>
      <c r="AS325" s="673"/>
      <c r="AT325" s="1199"/>
      <c r="AU325" s="451"/>
      <c r="AV325" s="451"/>
      <c r="AW325" s="451"/>
      <c r="AX325" s="451"/>
      <c r="AY325" s="451"/>
      <c r="AZ325" s="451"/>
      <c r="BA325" s="451"/>
      <c r="BB325" s="451"/>
      <c r="BC325" s="451"/>
      <c r="BD325" s="451"/>
      <c r="BE325" s="451"/>
      <c r="BF325" s="451"/>
      <c r="BG325" s="451"/>
      <c r="BH325" s="451"/>
    </row>
    <row r="326" spans="2:60" ht="18" customHeight="1">
      <c r="B326" s="1170"/>
      <c r="C326" s="1171"/>
      <c r="D326" s="1171"/>
      <c r="E326" s="909"/>
      <c r="F326" s="911"/>
      <c r="G326" s="1172"/>
      <c r="H326" s="1173"/>
      <c r="I326" s="909"/>
      <c r="J326" s="911"/>
      <c r="K326" s="909"/>
      <c r="L326" s="911"/>
      <c r="M326" s="909"/>
      <c r="N326" s="911"/>
      <c r="O326" s="909"/>
      <c r="P326" s="910"/>
      <c r="Q326" s="911"/>
      <c r="R326" s="764" t="str">
        <f t="shared" si="68"/>
        <v/>
      </c>
      <c r="S326" s="764"/>
      <c r="T326" s="764"/>
      <c r="U326" s="1178" t="str">
        <f t="shared" si="69"/>
        <v/>
      </c>
      <c r="V326" s="1179"/>
      <c r="W326" s="1180"/>
      <c r="X326" s="742"/>
      <c r="Y326" s="742"/>
      <c r="Z326" s="909"/>
      <c r="AA326" s="910"/>
      <c r="AB326" s="911"/>
      <c r="AC326" s="764" t="str">
        <f t="shared" si="70"/>
        <v/>
      </c>
      <c r="AD326" s="764"/>
      <c r="AE326" s="764"/>
      <c r="AF326" s="764" t="str">
        <f t="shared" si="78"/>
        <v/>
      </c>
      <c r="AG326" s="764"/>
      <c r="AH326" s="764"/>
      <c r="AI326" s="673"/>
      <c r="AJ326" s="673"/>
      <c r="AK326" s="673"/>
      <c r="AL326" s="673"/>
      <c r="AM326" s="673"/>
      <c r="AN326" s="673"/>
      <c r="AO326" s="673"/>
      <c r="AP326" s="673"/>
      <c r="AQ326" s="673"/>
      <c r="AR326" s="673"/>
      <c r="AS326" s="673"/>
      <c r="AT326" s="1199"/>
      <c r="AU326" s="451"/>
      <c r="AV326" s="451"/>
      <c r="AW326" s="451"/>
      <c r="AX326" s="451"/>
      <c r="AY326" s="451"/>
      <c r="AZ326" s="451"/>
      <c r="BA326" s="451"/>
      <c r="BB326" s="451"/>
      <c r="BC326" s="451"/>
      <c r="BD326" s="451"/>
      <c r="BE326" s="451"/>
      <c r="BF326" s="451"/>
      <c r="BG326" s="451"/>
      <c r="BH326" s="451"/>
    </row>
    <row r="327" spans="2:60" ht="18" customHeight="1">
      <c r="B327" s="1170"/>
      <c r="C327" s="1171"/>
      <c r="D327" s="1171"/>
      <c r="E327" s="909"/>
      <c r="F327" s="911"/>
      <c r="G327" s="1172"/>
      <c r="H327" s="1173"/>
      <c r="I327" s="909"/>
      <c r="J327" s="911"/>
      <c r="K327" s="909"/>
      <c r="L327" s="911"/>
      <c r="M327" s="909"/>
      <c r="N327" s="911"/>
      <c r="O327" s="909"/>
      <c r="P327" s="910"/>
      <c r="Q327" s="911"/>
      <c r="R327" s="764" t="str">
        <f t="shared" si="68"/>
        <v/>
      </c>
      <c r="S327" s="764"/>
      <c r="T327" s="764"/>
      <c r="U327" s="1178" t="str">
        <f t="shared" si="69"/>
        <v/>
      </c>
      <c r="V327" s="1179"/>
      <c r="W327" s="1180"/>
      <c r="X327" s="742"/>
      <c r="Y327" s="742"/>
      <c r="Z327" s="909"/>
      <c r="AA327" s="910"/>
      <c r="AB327" s="911"/>
      <c r="AC327" s="764" t="str">
        <f t="shared" si="70"/>
        <v/>
      </c>
      <c r="AD327" s="764"/>
      <c r="AE327" s="764"/>
      <c r="AF327" s="764" t="str">
        <f t="shared" si="78"/>
        <v/>
      </c>
      <c r="AG327" s="764"/>
      <c r="AH327" s="764"/>
      <c r="AI327" s="673"/>
      <c r="AJ327" s="673"/>
      <c r="AK327" s="673"/>
      <c r="AL327" s="673"/>
      <c r="AM327" s="673"/>
      <c r="AN327" s="673"/>
      <c r="AO327" s="673"/>
      <c r="AP327" s="673"/>
      <c r="AQ327" s="673"/>
      <c r="AR327" s="673"/>
      <c r="AS327" s="673"/>
      <c r="AT327" s="1199"/>
      <c r="AU327" s="451"/>
      <c r="AV327" s="451"/>
      <c r="AW327" s="451"/>
      <c r="AX327" s="451"/>
      <c r="AY327" s="451"/>
      <c r="AZ327" s="451"/>
      <c r="BA327" s="451"/>
      <c r="BB327" s="451"/>
      <c r="BC327" s="451"/>
      <c r="BD327" s="451"/>
      <c r="BE327" s="451"/>
      <c r="BF327" s="451"/>
      <c r="BG327" s="451"/>
      <c r="BH327" s="451"/>
    </row>
    <row r="328" spans="2:60" ht="18" customHeight="1">
      <c r="B328" s="1170"/>
      <c r="C328" s="1171"/>
      <c r="D328" s="1171"/>
      <c r="E328" s="909"/>
      <c r="F328" s="911"/>
      <c r="G328" s="1172"/>
      <c r="H328" s="1173"/>
      <c r="I328" s="909"/>
      <c r="J328" s="911"/>
      <c r="K328" s="909"/>
      <c r="L328" s="911"/>
      <c r="M328" s="909"/>
      <c r="N328" s="911"/>
      <c r="O328" s="909"/>
      <c r="P328" s="910"/>
      <c r="Q328" s="911"/>
      <c r="R328" s="764" t="str">
        <f t="shared" si="68"/>
        <v/>
      </c>
      <c r="S328" s="764"/>
      <c r="T328" s="764"/>
      <c r="U328" s="1178" t="str">
        <f t="shared" si="69"/>
        <v/>
      </c>
      <c r="V328" s="1179"/>
      <c r="W328" s="1180"/>
      <c r="X328" s="742"/>
      <c r="Y328" s="742"/>
      <c r="Z328" s="909"/>
      <c r="AA328" s="910"/>
      <c r="AB328" s="911"/>
      <c r="AC328" s="764" t="str">
        <f t="shared" si="70"/>
        <v/>
      </c>
      <c r="AD328" s="764"/>
      <c r="AE328" s="764"/>
      <c r="AF328" s="764" t="str">
        <f t="shared" si="78"/>
        <v/>
      </c>
      <c r="AG328" s="764"/>
      <c r="AH328" s="764"/>
      <c r="AI328" s="673"/>
      <c r="AJ328" s="673"/>
      <c r="AK328" s="673"/>
      <c r="AL328" s="673"/>
      <c r="AM328" s="673"/>
      <c r="AN328" s="673"/>
      <c r="AO328" s="673"/>
      <c r="AP328" s="673"/>
      <c r="AQ328" s="673"/>
      <c r="AR328" s="673"/>
      <c r="AS328" s="673"/>
      <c r="AT328" s="1199"/>
      <c r="AU328" s="451"/>
      <c r="AV328" s="451"/>
      <c r="AW328" s="451"/>
      <c r="AX328" s="451"/>
      <c r="AY328" s="451"/>
      <c r="AZ328" s="451"/>
      <c r="BA328" s="451"/>
      <c r="BB328" s="451"/>
      <c r="BC328" s="451"/>
      <c r="BD328" s="451"/>
      <c r="BE328" s="451"/>
      <c r="BF328" s="451"/>
      <c r="BG328" s="451"/>
      <c r="BH328" s="451"/>
    </row>
    <row r="329" spans="2:60" ht="18" customHeight="1">
      <c r="B329" s="1170"/>
      <c r="C329" s="1171"/>
      <c r="D329" s="1171"/>
      <c r="E329" s="909"/>
      <c r="F329" s="911"/>
      <c r="G329" s="1172"/>
      <c r="H329" s="1173"/>
      <c r="I329" s="909"/>
      <c r="J329" s="911"/>
      <c r="K329" s="909"/>
      <c r="L329" s="911"/>
      <c r="M329" s="909"/>
      <c r="N329" s="911"/>
      <c r="O329" s="909"/>
      <c r="P329" s="910"/>
      <c r="Q329" s="911"/>
      <c r="R329" s="764" t="str">
        <f t="shared" si="68"/>
        <v/>
      </c>
      <c r="S329" s="764"/>
      <c r="T329" s="764"/>
      <c r="U329" s="1178" t="str">
        <f t="shared" si="69"/>
        <v/>
      </c>
      <c r="V329" s="1179"/>
      <c r="W329" s="1180"/>
      <c r="X329" s="742"/>
      <c r="Y329" s="742"/>
      <c r="Z329" s="909"/>
      <c r="AA329" s="910"/>
      <c r="AB329" s="911"/>
      <c r="AC329" s="764" t="str">
        <f t="shared" si="70"/>
        <v/>
      </c>
      <c r="AD329" s="764"/>
      <c r="AE329" s="764"/>
      <c r="AF329" s="764" t="str">
        <f t="shared" si="78"/>
        <v/>
      </c>
      <c r="AG329" s="764"/>
      <c r="AH329" s="764"/>
      <c r="AI329" s="673"/>
      <c r="AJ329" s="673"/>
      <c r="AK329" s="673"/>
      <c r="AL329" s="673"/>
      <c r="AM329" s="673"/>
      <c r="AN329" s="673"/>
      <c r="AO329" s="673"/>
      <c r="AP329" s="673"/>
      <c r="AQ329" s="673"/>
      <c r="AR329" s="673"/>
      <c r="AS329" s="673"/>
      <c r="AT329" s="1199"/>
      <c r="AU329" s="451"/>
      <c r="AV329" s="451"/>
      <c r="AW329" s="451"/>
      <c r="AX329" s="451"/>
      <c r="AY329" s="451"/>
      <c r="AZ329" s="451"/>
      <c r="BA329" s="451"/>
      <c r="BB329" s="451"/>
      <c r="BC329" s="451"/>
      <c r="BD329" s="451"/>
      <c r="BE329" s="451"/>
      <c r="BF329" s="451"/>
      <c r="BG329" s="451"/>
      <c r="BH329" s="451"/>
    </row>
    <row r="330" spans="2:60" ht="18" customHeight="1">
      <c r="B330" s="1170"/>
      <c r="C330" s="1171"/>
      <c r="D330" s="1171"/>
      <c r="E330" s="909"/>
      <c r="F330" s="911"/>
      <c r="G330" s="1172"/>
      <c r="H330" s="1173"/>
      <c r="I330" s="909"/>
      <c r="J330" s="911"/>
      <c r="K330" s="909"/>
      <c r="L330" s="911"/>
      <c r="M330" s="909"/>
      <c r="N330" s="911"/>
      <c r="O330" s="909"/>
      <c r="P330" s="910"/>
      <c r="Q330" s="911"/>
      <c r="R330" s="764" t="str">
        <f t="shared" si="68"/>
        <v/>
      </c>
      <c r="S330" s="764"/>
      <c r="T330" s="764"/>
      <c r="U330" s="1178" t="str">
        <f t="shared" si="69"/>
        <v/>
      </c>
      <c r="V330" s="1179"/>
      <c r="W330" s="1180"/>
      <c r="X330" s="742"/>
      <c r="Y330" s="742"/>
      <c r="Z330" s="909"/>
      <c r="AA330" s="910"/>
      <c r="AB330" s="911"/>
      <c r="AC330" s="764" t="str">
        <f t="shared" si="70"/>
        <v/>
      </c>
      <c r="AD330" s="764"/>
      <c r="AE330" s="764"/>
      <c r="AF330" s="764" t="str">
        <f t="shared" si="78"/>
        <v/>
      </c>
      <c r="AG330" s="764"/>
      <c r="AH330" s="764"/>
      <c r="AI330" s="673"/>
      <c r="AJ330" s="673"/>
      <c r="AK330" s="673"/>
      <c r="AL330" s="673"/>
      <c r="AM330" s="673"/>
      <c r="AN330" s="673"/>
      <c r="AO330" s="673"/>
      <c r="AP330" s="673"/>
      <c r="AQ330" s="673"/>
      <c r="AR330" s="673"/>
      <c r="AS330" s="673"/>
      <c r="AT330" s="1199"/>
      <c r="AU330" s="451"/>
      <c r="AV330" s="451"/>
      <c r="AW330" s="451"/>
      <c r="AX330" s="451"/>
      <c r="AY330" s="451"/>
      <c r="AZ330" s="451"/>
      <c r="BA330" s="451"/>
      <c r="BB330" s="451"/>
      <c r="BC330" s="451"/>
      <c r="BD330" s="451"/>
      <c r="BE330" s="451"/>
      <c r="BF330" s="451"/>
      <c r="BG330" s="451"/>
      <c r="BH330" s="451"/>
    </row>
    <row r="331" spans="2:60" ht="18" customHeight="1">
      <c r="B331" s="1170"/>
      <c r="C331" s="1171"/>
      <c r="D331" s="1171"/>
      <c r="E331" s="909"/>
      <c r="F331" s="911"/>
      <c r="G331" s="1172"/>
      <c r="H331" s="1173"/>
      <c r="I331" s="909"/>
      <c r="J331" s="911"/>
      <c r="K331" s="909"/>
      <c r="L331" s="911"/>
      <c r="M331" s="909"/>
      <c r="N331" s="911"/>
      <c r="O331" s="909"/>
      <c r="P331" s="910"/>
      <c r="Q331" s="911"/>
      <c r="R331" s="764" t="str">
        <f t="shared" si="68"/>
        <v/>
      </c>
      <c r="S331" s="764"/>
      <c r="T331" s="764"/>
      <c r="U331" s="1178" t="str">
        <f t="shared" si="69"/>
        <v/>
      </c>
      <c r="V331" s="1179"/>
      <c r="W331" s="1180"/>
      <c r="X331" s="742"/>
      <c r="Y331" s="742"/>
      <c r="Z331" s="909"/>
      <c r="AA331" s="910"/>
      <c r="AB331" s="911"/>
      <c r="AC331" s="764" t="str">
        <f t="shared" si="70"/>
        <v/>
      </c>
      <c r="AD331" s="764"/>
      <c r="AE331" s="764"/>
      <c r="AF331" s="764" t="str">
        <f t="shared" si="78"/>
        <v/>
      </c>
      <c r="AG331" s="764"/>
      <c r="AH331" s="764"/>
      <c r="AI331" s="673"/>
      <c r="AJ331" s="673"/>
      <c r="AK331" s="673"/>
      <c r="AL331" s="673"/>
      <c r="AM331" s="673"/>
      <c r="AN331" s="673"/>
      <c r="AO331" s="673"/>
      <c r="AP331" s="673"/>
      <c r="AQ331" s="673"/>
      <c r="AR331" s="673"/>
      <c r="AS331" s="673"/>
      <c r="AT331" s="1199"/>
      <c r="AU331" s="451"/>
      <c r="AV331" s="451"/>
      <c r="AW331" s="451"/>
      <c r="AX331" s="451"/>
      <c r="AY331" s="451"/>
      <c r="AZ331" s="451"/>
      <c r="BA331" s="451"/>
      <c r="BB331" s="451"/>
      <c r="BC331" s="451"/>
      <c r="BD331" s="451"/>
      <c r="BE331" s="451"/>
      <c r="BF331" s="451"/>
      <c r="BG331" s="451"/>
      <c r="BH331" s="451"/>
    </row>
    <row r="332" spans="2:60" ht="18" customHeight="1">
      <c r="B332" s="1170"/>
      <c r="C332" s="1171"/>
      <c r="D332" s="1171"/>
      <c r="E332" s="909"/>
      <c r="F332" s="911"/>
      <c r="G332" s="1172"/>
      <c r="H332" s="1173"/>
      <c r="I332" s="909"/>
      <c r="J332" s="911"/>
      <c r="K332" s="909"/>
      <c r="L332" s="911"/>
      <c r="M332" s="909"/>
      <c r="N332" s="911"/>
      <c r="O332" s="909"/>
      <c r="P332" s="910"/>
      <c r="Q332" s="911"/>
      <c r="R332" s="764" t="str">
        <f t="shared" si="68"/>
        <v/>
      </c>
      <c r="S332" s="764"/>
      <c r="T332" s="764"/>
      <c r="U332" s="1178" t="str">
        <f t="shared" si="69"/>
        <v/>
      </c>
      <c r="V332" s="1179"/>
      <c r="W332" s="1180"/>
      <c r="X332" s="742"/>
      <c r="Y332" s="742"/>
      <c r="Z332" s="909"/>
      <c r="AA332" s="910"/>
      <c r="AB332" s="911"/>
      <c r="AC332" s="764" t="str">
        <f t="shared" si="70"/>
        <v/>
      </c>
      <c r="AD332" s="764"/>
      <c r="AE332" s="764"/>
      <c r="AF332" s="764" t="str">
        <f t="shared" si="78"/>
        <v/>
      </c>
      <c r="AG332" s="764"/>
      <c r="AH332" s="764"/>
      <c r="AI332" s="673"/>
      <c r="AJ332" s="673"/>
      <c r="AK332" s="673"/>
      <c r="AL332" s="673"/>
      <c r="AM332" s="673"/>
      <c r="AN332" s="673"/>
      <c r="AO332" s="673"/>
      <c r="AP332" s="673"/>
      <c r="AQ332" s="673"/>
      <c r="AR332" s="673"/>
      <c r="AS332" s="673"/>
      <c r="AT332" s="1199"/>
      <c r="AU332" s="451"/>
      <c r="AV332" s="451"/>
      <c r="AW332" s="451"/>
      <c r="AX332" s="451"/>
      <c r="AY332" s="451"/>
      <c r="AZ332" s="451"/>
      <c r="BA332" s="451"/>
      <c r="BB332" s="451"/>
      <c r="BC332" s="451"/>
      <c r="BD332" s="451"/>
      <c r="BE332" s="451"/>
      <c r="BF332" s="451"/>
      <c r="BG332" s="451"/>
      <c r="BH332" s="451"/>
    </row>
    <row r="333" spans="2:60" ht="18" customHeight="1">
      <c r="B333" s="1170"/>
      <c r="C333" s="1171"/>
      <c r="D333" s="1171"/>
      <c r="E333" s="909"/>
      <c r="F333" s="911"/>
      <c r="G333" s="1172"/>
      <c r="H333" s="1173"/>
      <c r="I333" s="909"/>
      <c r="J333" s="911"/>
      <c r="K333" s="909"/>
      <c r="L333" s="911"/>
      <c r="M333" s="909"/>
      <c r="N333" s="911"/>
      <c r="O333" s="909"/>
      <c r="P333" s="910"/>
      <c r="Q333" s="911"/>
      <c r="R333" s="764" t="str">
        <f t="shared" si="68"/>
        <v/>
      </c>
      <c r="S333" s="764"/>
      <c r="T333" s="764"/>
      <c r="U333" s="1178" t="str">
        <f t="shared" si="69"/>
        <v/>
      </c>
      <c r="V333" s="1179"/>
      <c r="W333" s="1180"/>
      <c r="X333" s="742"/>
      <c r="Y333" s="742"/>
      <c r="Z333" s="909"/>
      <c r="AA333" s="910"/>
      <c r="AB333" s="911"/>
      <c r="AC333" s="764" t="str">
        <f t="shared" si="70"/>
        <v/>
      </c>
      <c r="AD333" s="764"/>
      <c r="AE333" s="764"/>
      <c r="AF333" s="764" t="str">
        <f t="shared" si="78"/>
        <v/>
      </c>
      <c r="AG333" s="764"/>
      <c r="AH333" s="764"/>
      <c r="AI333" s="673"/>
      <c r="AJ333" s="673"/>
      <c r="AK333" s="673"/>
      <c r="AL333" s="673"/>
      <c r="AM333" s="673"/>
      <c r="AN333" s="673"/>
      <c r="AO333" s="673"/>
      <c r="AP333" s="673"/>
      <c r="AQ333" s="673"/>
      <c r="AR333" s="673"/>
      <c r="AS333" s="673"/>
      <c r="AT333" s="1199"/>
      <c r="AU333" s="451"/>
      <c r="AV333" s="451"/>
      <c r="AW333" s="451"/>
      <c r="AX333" s="451"/>
      <c r="AY333" s="451"/>
      <c r="AZ333" s="451"/>
      <c r="BA333" s="451"/>
      <c r="BB333" s="451"/>
      <c r="BC333" s="451"/>
      <c r="BD333" s="451"/>
      <c r="BE333" s="451"/>
      <c r="BF333" s="451"/>
      <c r="BG333" s="451"/>
      <c r="BH333" s="451"/>
    </row>
    <row r="334" spans="2:60" ht="18" customHeight="1">
      <c r="B334" s="1170"/>
      <c r="C334" s="1171"/>
      <c r="D334" s="1171"/>
      <c r="E334" s="909"/>
      <c r="F334" s="911"/>
      <c r="G334" s="1172"/>
      <c r="H334" s="1173"/>
      <c r="I334" s="909"/>
      <c r="J334" s="911"/>
      <c r="K334" s="909"/>
      <c r="L334" s="911"/>
      <c r="M334" s="909"/>
      <c r="N334" s="911"/>
      <c r="O334" s="909"/>
      <c r="P334" s="910"/>
      <c r="Q334" s="911"/>
      <c r="R334" s="764" t="str">
        <f t="shared" si="68"/>
        <v/>
      </c>
      <c r="S334" s="764"/>
      <c r="T334" s="764"/>
      <c r="U334" s="1178" t="str">
        <f t="shared" si="69"/>
        <v/>
      </c>
      <c r="V334" s="1179"/>
      <c r="W334" s="1180"/>
      <c r="X334" s="742"/>
      <c r="Y334" s="742"/>
      <c r="Z334" s="909"/>
      <c r="AA334" s="910"/>
      <c r="AB334" s="911"/>
      <c r="AC334" s="764" t="str">
        <f t="shared" si="70"/>
        <v/>
      </c>
      <c r="AD334" s="764"/>
      <c r="AE334" s="764"/>
      <c r="AF334" s="764" t="str">
        <f t="shared" si="78"/>
        <v/>
      </c>
      <c r="AG334" s="764"/>
      <c r="AH334" s="764"/>
      <c r="AI334" s="673"/>
      <c r="AJ334" s="673"/>
      <c r="AK334" s="673"/>
      <c r="AL334" s="673"/>
      <c r="AM334" s="673"/>
      <c r="AN334" s="673"/>
      <c r="AO334" s="673"/>
      <c r="AP334" s="673"/>
      <c r="AQ334" s="673"/>
      <c r="AR334" s="673"/>
      <c r="AS334" s="673"/>
      <c r="AT334" s="1199"/>
      <c r="AU334" s="451"/>
      <c r="AV334" s="451"/>
      <c r="AW334" s="451"/>
      <c r="AX334" s="451"/>
      <c r="AY334" s="451"/>
      <c r="AZ334" s="451"/>
      <c r="BA334" s="451"/>
      <c r="BB334" s="451"/>
      <c r="BC334" s="451"/>
      <c r="BD334" s="451"/>
      <c r="BE334" s="451"/>
      <c r="BF334" s="451"/>
      <c r="BG334" s="451"/>
      <c r="BH334" s="451"/>
    </row>
    <row r="335" spans="2:60" ht="18" customHeight="1">
      <c r="B335" s="1170"/>
      <c r="C335" s="1171"/>
      <c r="D335" s="1171"/>
      <c r="E335" s="909"/>
      <c r="F335" s="911"/>
      <c r="G335" s="1172"/>
      <c r="H335" s="1173"/>
      <c r="I335" s="909"/>
      <c r="J335" s="911"/>
      <c r="K335" s="909"/>
      <c r="L335" s="911"/>
      <c r="M335" s="909"/>
      <c r="N335" s="911"/>
      <c r="O335" s="909"/>
      <c r="P335" s="910"/>
      <c r="Q335" s="911"/>
      <c r="R335" s="764" t="str">
        <f t="shared" si="68"/>
        <v/>
      </c>
      <c r="S335" s="764"/>
      <c r="T335" s="764"/>
      <c r="U335" s="1178" t="str">
        <f t="shared" si="69"/>
        <v/>
      </c>
      <c r="V335" s="1179"/>
      <c r="W335" s="1180"/>
      <c r="X335" s="742"/>
      <c r="Y335" s="742"/>
      <c r="Z335" s="909"/>
      <c r="AA335" s="910"/>
      <c r="AB335" s="911"/>
      <c r="AC335" s="764" t="str">
        <f t="shared" si="70"/>
        <v/>
      </c>
      <c r="AD335" s="764"/>
      <c r="AE335" s="764"/>
      <c r="AF335" s="764" t="str">
        <f t="shared" si="78"/>
        <v/>
      </c>
      <c r="AG335" s="764"/>
      <c r="AH335" s="764"/>
      <c r="AI335" s="673"/>
      <c r="AJ335" s="673"/>
      <c r="AK335" s="673"/>
      <c r="AL335" s="673"/>
      <c r="AM335" s="673"/>
      <c r="AN335" s="673"/>
      <c r="AO335" s="673"/>
      <c r="AP335" s="673"/>
      <c r="AQ335" s="673"/>
      <c r="AR335" s="673"/>
      <c r="AS335" s="673"/>
      <c r="AT335" s="1199"/>
      <c r="AU335" s="451"/>
      <c r="AV335" s="451"/>
      <c r="AW335" s="451"/>
      <c r="AX335" s="451"/>
      <c r="AY335" s="451"/>
      <c r="AZ335" s="451"/>
      <c r="BA335" s="451"/>
      <c r="BB335" s="451"/>
      <c r="BC335" s="451"/>
      <c r="BD335" s="451"/>
      <c r="BE335" s="451"/>
      <c r="BF335" s="451"/>
      <c r="BG335" s="451"/>
      <c r="BH335" s="451"/>
    </row>
    <row r="336" spans="2:60" ht="18" customHeight="1">
      <c r="B336" s="1170"/>
      <c r="C336" s="1171"/>
      <c r="D336" s="1171"/>
      <c r="E336" s="909"/>
      <c r="F336" s="911"/>
      <c r="G336" s="1172"/>
      <c r="H336" s="1173"/>
      <c r="I336" s="909"/>
      <c r="J336" s="911"/>
      <c r="K336" s="909"/>
      <c r="L336" s="911"/>
      <c r="M336" s="909"/>
      <c r="N336" s="911"/>
      <c r="O336" s="909"/>
      <c r="P336" s="910"/>
      <c r="Q336" s="911"/>
      <c r="R336" s="764" t="str">
        <f t="shared" ref="R336:R370" si="79">IF($E336="","",IF($O336="","",ROUND(($O336-$E336)/$E336*100,1)))</f>
        <v/>
      </c>
      <c r="S336" s="764"/>
      <c r="T336" s="764"/>
      <c r="U336" s="1178" t="str">
        <f t="shared" ref="U336:U368" si="80">IF(G336="","",IF(R336="","",ROUND(100*(R336+G336)/(100+R336),1)))</f>
        <v/>
      </c>
      <c r="V336" s="1179"/>
      <c r="W336" s="1180"/>
      <c r="X336" s="742"/>
      <c r="Y336" s="742"/>
      <c r="Z336" s="909"/>
      <c r="AA336" s="910"/>
      <c r="AB336" s="911"/>
      <c r="AC336" s="764" t="str">
        <f t="shared" ref="AC336:AC370" si="81">IF($E336="","",IF($Z336="","",ROUND(($Z336-$E336)/$E336*100,1)))</f>
        <v/>
      </c>
      <c r="AD336" s="764"/>
      <c r="AE336" s="764"/>
      <c r="AF336" s="764" t="str">
        <f t="shared" ref="AF336:AF358" si="82">IF(G336="","",IF(AC336="","",ROUND(100*(AC336+G336)/(100+AC336),1)))</f>
        <v/>
      </c>
      <c r="AG336" s="764"/>
      <c r="AH336" s="764"/>
      <c r="AI336" s="673"/>
      <c r="AJ336" s="673"/>
      <c r="AK336" s="673"/>
      <c r="AL336" s="673"/>
      <c r="AM336" s="673"/>
      <c r="AN336" s="673"/>
      <c r="AO336" s="673"/>
      <c r="AP336" s="673"/>
      <c r="AQ336" s="673"/>
      <c r="AR336" s="673"/>
      <c r="AS336" s="673"/>
      <c r="AT336" s="1199"/>
      <c r="AU336" s="451"/>
      <c r="AV336" s="451"/>
      <c r="AW336" s="451"/>
      <c r="AX336" s="451"/>
      <c r="AY336" s="451"/>
      <c r="AZ336" s="451"/>
      <c r="BA336" s="451"/>
      <c r="BB336" s="451"/>
      <c r="BC336" s="451"/>
      <c r="BD336" s="451"/>
      <c r="BE336" s="451"/>
      <c r="BF336" s="451"/>
      <c r="BG336" s="451"/>
      <c r="BH336" s="451"/>
    </row>
    <row r="337" spans="2:60" ht="18" customHeight="1">
      <c r="B337" s="1170"/>
      <c r="C337" s="1171"/>
      <c r="D337" s="1171"/>
      <c r="E337" s="909"/>
      <c r="F337" s="911"/>
      <c r="G337" s="1172"/>
      <c r="H337" s="1173"/>
      <c r="I337" s="909"/>
      <c r="J337" s="911"/>
      <c r="K337" s="909"/>
      <c r="L337" s="911"/>
      <c r="M337" s="909"/>
      <c r="N337" s="911"/>
      <c r="O337" s="909"/>
      <c r="P337" s="910"/>
      <c r="Q337" s="911"/>
      <c r="R337" s="764" t="str">
        <f t="shared" si="79"/>
        <v/>
      </c>
      <c r="S337" s="764"/>
      <c r="T337" s="764"/>
      <c r="U337" s="1178" t="str">
        <f t="shared" si="80"/>
        <v/>
      </c>
      <c r="V337" s="1179"/>
      <c r="W337" s="1180"/>
      <c r="X337" s="742"/>
      <c r="Y337" s="742"/>
      <c r="Z337" s="909"/>
      <c r="AA337" s="910"/>
      <c r="AB337" s="911"/>
      <c r="AC337" s="764" t="str">
        <f t="shared" si="81"/>
        <v/>
      </c>
      <c r="AD337" s="764"/>
      <c r="AE337" s="764"/>
      <c r="AF337" s="764" t="str">
        <f t="shared" si="82"/>
        <v/>
      </c>
      <c r="AG337" s="764"/>
      <c r="AH337" s="764"/>
      <c r="AI337" s="673"/>
      <c r="AJ337" s="673"/>
      <c r="AK337" s="673"/>
      <c r="AL337" s="673"/>
      <c r="AM337" s="673"/>
      <c r="AN337" s="673"/>
      <c r="AO337" s="673"/>
      <c r="AP337" s="673"/>
      <c r="AQ337" s="673"/>
      <c r="AR337" s="673"/>
      <c r="AS337" s="673"/>
      <c r="AT337" s="1199"/>
      <c r="AU337" s="451"/>
      <c r="AV337" s="451"/>
      <c r="AW337" s="451"/>
      <c r="AX337" s="451"/>
      <c r="AY337" s="451"/>
      <c r="AZ337" s="451"/>
      <c r="BA337" s="451"/>
      <c r="BB337" s="451"/>
      <c r="BC337" s="451"/>
      <c r="BD337" s="451"/>
      <c r="BE337" s="451"/>
      <c r="BF337" s="451"/>
      <c r="BG337" s="451"/>
      <c r="BH337" s="451"/>
    </row>
    <row r="338" spans="2:60" ht="18" customHeight="1">
      <c r="B338" s="1170"/>
      <c r="C338" s="1171"/>
      <c r="D338" s="1171"/>
      <c r="E338" s="909"/>
      <c r="F338" s="911"/>
      <c r="G338" s="1172"/>
      <c r="H338" s="1173"/>
      <c r="I338" s="909"/>
      <c r="J338" s="911"/>
      <c r="K338" s="909"/>
      <c r="L338" s="911"/>
      <c r="M338" s="909"/>
      <c r="N338" s="911"/>
      <c r="O338" s="909"/>
      <c r="P338" s="910"/>
      <c r="Q338" s="911"/>
      <c r="R338" s="764" t="str">
        <f t="shared" si="79"/>
        <v/>
      </c>
      <c r="S338" s="764"/>
      <c r="T338" s="764"/>
      <c r="U338" s="1178" t="str">
        <f t="shared" si="80"/>
        <v/>
      </c>
      <c r="V338" s="1179"/>
      <c r="W338" s="1180"/>
      <c r="X338" s="742"/>
      <c r="Y338" s="742"/>
      <c r="Z338" s="909"/>
      <c r="AA338" s="910"/>
      <c r="AB338" s="911"/>
      <c r="AC338" s="764" t="str">
        <f t="shared" si="81"/>
        <v/>
      </c>
      <c r="AD338" s="764"/>
      <c r="AE338" s="764"/>
      <c r="AF338" s="764" t="str">
        <f t="shared" si="82"/>
        <v/>
      </c>
      <c r="AG338" s="764"/>
      <c r="AH338" s="764"/>
      <c r="AI338" s="673"/>
      <c r="AJ338" s="673"/>
      <c r="AK338" s="673"/>
      <c r="AL338" s="673"/>
      <c r="AM338" s="673"/>
      <c r="AN338" s="673"/>
      <c r="AO338" s="673"/>
      <c r="AP338" s="673"/>
      <c r="AQ338" s="673"/>
      <c r="AR338" s="673"/>
      <c r="AS338" s="673"/>
      <c r="AT338" s="1199"/>
      <c r="AU338" s="451"/>
      <c r="AV338" s="451"/>
      <c r="AW338" s="451"/>
      <c r="AX338" s="451"/>
      <c r="AY338" s="451"/>
      <c r="AZ338" s="451"/>
      <c r="BA338" s="451"/>
      <c r="BB338" s="451"/>
      <c r="BC338" s="451"/>
      <c r="BD338" s="451"/>
      <c r="BE338" s="451"/>
      <c r="BF338" s="451"/>
      <c r="BG338" s="451"/>
      <c r="BH338" s="451"/>
    </row>
    <row r="339" spans="2:60" ht="18" customHeight="1">
      <c r="B339" s="1170"/>
      <c r="C339" s="1171"/>
      <c r="D339" s="1171"/>
      <c r="E339" s="909"/>
      <c r="F339" s="911"/>
      <c r="G339" s="1172"/>
      <c r="H339" s="1173"/>
      <c r="I339" s="909"/>
      <c r="J339" s="911"/>
      <c r="K339" s="909"/>
      <c r="L339" s="911"/>
      <c r="M339" s="909"/>
      <c r="N339" s="911"/>
      <c r="O339" s="909"/>
      <c r="P339" s="910"/>
      <c r="Q339" s="911"/>
      <c r="R339" s="764" t="str">
        <f t="shared" si="79"/>
        <v/>
      </c>
      <c r="S339" s="764"/>
      <c r="T339" s="764"/>
      <c r="U339" s="1178" t="str">
        <f t="shared" si="80"/>
        <v/>
      </c>
      <c r="V339" s="1179"/>
      <c r="W339" s="1180"/>
      <c r="X339" s="742"/>
      <c r="Y339" s="742"/>
      <c r="Z339" s="909"/>
      <c r="AA339" s="910"/>
      <c r="AB339" s="911"/>
      <c r="AC339" s="764" t="str">
        <f t="shared" si="81"/>
        <v/>
      </c>
      <c r="AD339" s="764"/>
      <c r="AE339" s="764"/>
      <c r="AF339" s="764" t="str">
        <f t="shared" si="82"/>
        <v/>
      </c>
      <c r="AG339" s="764"/>
      <c r="AH339" s="764"/>
      <c r="AI339" s="673"/>
      <c r="AJ339" s="673"/>
      <c r="AK339" s="673"/>
      <c r="AL339" s="673"/>
      <c r="AM339" s="673"/>
      <c r="AN339" s="673"/>
      <c r="AO339" s="673"/>
      <c r="AP339" s="673"/>
      <c r="AQ339" s="673"/>
      <c r="AR339" s="673"/>
      <c r="AS339" s="673"/>
      <c r="AT339" s="1199"/>
      <c r="AU339" s="451"/>
      <c r="AV339" s="451"/>
      <c r="AW339" s="451"/>
      <c r="AX339" s="451"/>
      <c r="AY339" s="451"/>
      <c r="AZ339" s="451"/>
      <c r="BA339" s="451"/>
      <c r="BB339" s="451"/>
      <c r="BC339" s="451"/>
      <c r="BD339" s="451"/>
      <c r="BE339" s="451"/>
      <c r="BF339" s="451"/>
      <c r="BG339" s="451"/>
      <c r="BH339" s="451"/>
    </row>
    <row r="340" spans="2:60" ht="18" customHeight="1">
      <c r="B340" s="1170"/>
      <c r="C340" s="1171"/>
      <c r="D340" s="1171"/>
      <c r="E340" s="909"/>
      <c r="F340" s="911"/>
      <c r="G340" s="1172"/>
      <c r="H340" s="1173"/>
      <c r="I340" s="909"/>
      <c r="J340" s="911"/>
      <c r="K340" s="909"/>
      <c r="L340" s="911"/>
      <c r="M340" s="909"/>
      <c r="N340" s="911"/>
      <c r="O340" s="909"/>
      <c r="P340" s="910"/>
      <c r="Q340" s="911"/>
      <c r="R340" s="764" t="str">
        <f t="shared" si="79"/>
        <v/>
      </c>
      <c r="S340" s="764"/>
      <c r="T340" s="764"/>
      <c r="U340" s="1178" t="str">
        <f t="shared" si="80"/>
        <v/>
      </c>
      <c r="V340" s="1179"/>
      <c r="W340" s="1180"/>
      <c r="X340" s="742"/>
      <c r="Y340" s="742"/>
      <c r="Z340" s="909"/>
      <c r="AA340" s="910"/>
      <c r="AB340" s="911"/>
      <c r="AC340" s="764" t="str">
        <f t="shared" si="81"/>
        <v/>
      </c>
      <c r="AD340" s="764"/>
      <c r="AE340" s="764"/>
      <c r="AF340" s="764" t="str">
        <f t="shared" si="82"/>
        <v/>
      </c>
      <c r="AG340" s="764"/>
      <c r="AH340" s="764"/>
      <c r="AI340" s="673"/>
      <c r="AJ340" s="673"/>
      <c r="AK340" s="673"/>
      <c r="AL340" s="673"/>
      <c r="AM340" s="673"/>
      <c r="AN340" s="673"/>
      <c r="AO340" s="673"/>
      <c r="AP340" s="673"/>
      <c r="AQ340" s="673"/>
      <c r="AR340" s="673"/>
      <c r="AS340" s="673"/>
      <c r="AT340" s="1199"/>
      <c r="AU340" s="451"/>
      <c r="AV340" s="451"/>
      <c r="AW340" s="451"/>
      <c r="AX340" s="451"/>
      <c r="AY340" s="451"/>
      <c r="AZ340" s="451"/>
      <c r="BA340" s="451"/>
      <c r="BB340" s="451"/>
      <c r="BC340" s="451"/>
      <c r="BD340" s="451"/>
      <c r="BE340" s="451"/>
      <c r="BF340" s="451"/>
      <c r="BG340" s="451"/>
      <c r="BH340" s="451"/>
    </row>
    <row r="341" spans="2:60" ht="18" customHeight="1">
      <c r="B341" s="1170"/>
      <c r="C341" s="1171"/>
      <c r="D341" s="1171"/>
      <c r="E341" s="909"/>
      <c r="F341" s="911"/>
      <c r="G341" s="1172"/>
      <c r="H341" s="1173"/>
      <c r="I341" s="909"/>
      <c r="J341" s="911"/>
      <c r="K341" s="909"/>
      <c r="L341" s="911"/>
      <c r="M341" s="909"/>
      <c r="N341" s="911"/>
      <c r="O341" s="909"/>
      <c r="P341" s="910"/>
      <c r="Q341" s="911"/>
      <c r="R341" s="764" t="str">
        <f t="shared" si="79"/>
        <v/>
      </c>
      <c r="S341" s="764"/>
      <c r="T341" s="764"/>
      <c r="U341" s="1178" t="str">
        <f t="shared" si="80"/>
        <v/>
      </c>
      <c r="V341" s="1179"/>
      <c r="W341" s="1180"/>
      <c r="X341" s="742"/>
      <c r="Y341" s="742"/>
      <c r="Z341" s="909"/>
      <c r="AA341" s="910"/>
      <c r="AB341" s="911"/>
      <c r="AC341" s="764" t="str">
        <f t="shared" si="81"/>
        <v/>
      </c>
      <c r="AD341" s="764"/>
      <c r="AE341" s="764"/>
      <c r="AF341" s="764" t="str">
        <f t="shared" si="82"/>
        <v/>
      </c>
      <c r="AG341" s="764"/>
      <c r="AH341" s="764"/>
      <c r="AI341" s="673"/>
      <c r="AJ341" s="673"/>
      <c r="AK341" s="673"/>
      <c r="AL341" s="673"/>
      <c r="AM341" s="673"/>
      <c r="AN341" s="673"/>
      <c r="AO341" s="673"/>
      <c r="AP341" s="673"/>
      <c r="AQ341" s="673"/>
      <c r="AR341" s="673"/>
      <c r="AS341" s="673"/>
      <c r="AT341" s="1199"/>
      <c r="AU341" s="451"/>
      <c r="AV341" s="451"/>
      <c r="AW341" s="451"/>
      <c r="AX341" s="451"/>
      <c r="AY341" s="451"/>
      <c r="AZ341" s="451"/>
      <c r="BA341" s="451"/>
      <c r="BB341" s="451"/>
      <c r="BC341" s="451"/>
      <c r="BD341" s="451"/>
      <c r="BE341" s="451"/>
      <c r="BF341" s="451"/>
      <c r="BG341" s="451"/>
      <c r="BH341" s="451"/>
    </row>
    <row r="342" spans="2:60" ht="18" customHeight="1">
      <c r="B342" s="1170"/>
      <c r="C342" s="1171"/>
      <c r="D342" s="1171"/>
      <c r="E342" s="909"/>
      <c r="F342" s="911"/>
      <c r="G342" s="1172"/>
      <c r="H342" s="1173"/>
      <c r="I342" s="909"/>
      <c r="J342" s="911"/>
      <c r="K342" s="909"/>
      <c r="L342" s="911"/>
      <c r="M342" s="909"/>
      <c r="N342" s="911"/>
      <c r="O342" s="909"/>
      <c r="P342" s="910"/>
      <c r="Q342" s="911"/>
      <c r="R342" s="764" t="str">
        <f t="shared" si="79"/>
        <v/>
      </c>
      <c r="S342" s="764"/>
      <c r="T342" s="764"/>
      <c r="U342" s="1178" t="str">
        <f t="shared" si="80"/>
        <v/>
      </c>
      <c r="V342" s="1179"/>
      <c r="W342" s="1180"/>
      <c r="X342" s="742"/>
      <c r="Y342" s="742"/>
      <c r="Z342" s="909"/>
      <c r="AA342" s="910"/>
      <c r="AB342" s="911"/>
      <c r="AC342" s="764" t="str">
        <f t="shared" si="81"/>
        <v/>
      </c>
      <c r="AD342" s="764"/>
      <c r="AE342" s="764"/>
      <c r="AF342" s="764" t="str">
        <f t="shared" si="82"/>
        <v/>
      </c>
      <c r="AG342" s="764"/>
      <c r="AH342" s="764"/>
      <c r="AI342" s="673"/>
      <c r="AJ342" s="673"/>
      <c r="AK342" s="673"/>
      <c r="AL342" s="673"/>
      <c r="AM342" s="673"/>
      <c r="AN342" s="673"/>
      <c r="AO342" s="673"/>
      <c r="AP342" s="673"/>
      <c r="AQ342" s="673"/>
      <c r="AR342" s="673"/>
      <c r="AS342" s="673"/>
      <c r="AT342" s="1199"/>
      <c r="AU342" s="451"/>
      <c r="AV342" s="451"/>
      <c r="AW342" s="451"/>
      <c r="AX342" s="451"/>
      <c r="AY342" s="451"/>
      <c r="AZ342" s="451"/>
      <c r="BA342" s="451"/>
      <c r="BB342" s="451"/>
      <c r="BC342" s="451"/>
      <c r="BD342" s="451"/>
      <c r="BE342" s="451"/>
      <c r="BF342" s="451"/>
      <c r="BG342" s="451"/>
      <c r="BH342" s="451"/>
    </row>
    <row r="343" spans="2:60" ht="18" customHeight="1">
      <c r="B343" s="1170"/>
      <c r="C343" s="1171"/>
      <c r="D343" s="1171"/>
      <c r="E343" s="909"/>
      <c r="F343" s="911"/>
      <c r="G343" s="1172"/>
      <c r="H343" s="1173"/>
      <c r="I343" s="909"/>
      <c r="J343" s="911"/>
      <c r="K343" s="909"/>
      <c r="L343" s="911"/>
      <c r="M343" s="909"/>
      <c r="N343" s="911"/>
      <c r="O343" s="909"/>
      <c r="P343" s="910"/>
      <c r="Q343" s="911"/>
      <c r="R343" s="764" t="str">
        <f t="shared" si="79"/>
        <v/>
      </c>
      <c r="S343" s="764"/>
      <c r="T343" s="764"/>
      <c r="U343" s="1178" t="str">
        <f t="shared" si="80"/>
        <v/>
      </c>
      <c r="V343" s="1179"/>
      <c r="W343" s="1180"/>
      <c r="X343" s="742"/>
      <c r="Y343" s="742"/>
      <c r="Z343" s="909"/>
      <c r="AA343" s="910"/>
      <c r="AB343" s="911"/>
      <c r="AC343" s="764" t="str">
        <f t="shared" si="81"/>
        <v/>
      </c>
      <c r="AD343" s="764"/>
      <c r="AE343" s="764"/>
      <c r="AF343" s="764" t="str">
        <f t="shared" si="82"/>
        <v/>
      </c>
      <c r="AG343" s="764"/>
      <c r="AH343" s="764"/>
      <c r="AI343" s="673"/>
      <c r="AJ343" s="673"/>
      <c r="AK343" s="673"/>
      <c r="AL343" s="673"/>
      <c r="AM343" s="673"/>
      <c r="AN343" s="673"/>
      <c r="AO343" s="673"/>
      <c r="AP343" s="673"/>
      <c r="AQ343" s="673"/>
      <c r="AR343" s="673"/>
      <c r="AS343" s="673"/>
      <c r="AT343" s="1199"/>
      <c r="AU343" s="451"/>
      <c r="AV343" s="451"/>
      <c r="AW343" s="451"/>
      <c r="AX343" s="451"/>
      <c r="AY343" s="451"/>
      <c r="AZ343" s="451"/>
      <c r="BA343" s="451"/>
      <c r="BB343" s="451"/>
      <c r="BC343" s="451"/>
      <c r="BD343" s="451"/>
      <c r="BE343" s="451"/>
      <c r="BF343" s="451"/>
      <c r="BG343" s="451"/>
      <c r="BH343" s="451"/>
    </row>
    <row r="344" spans="2:60" ht="18" customHeight="1">
      <c r="B344" s="1170"/>
      <c r="C344" s="1171"/>
      <c r="D344" s="1171"/>
      <c r="E344" s="909"/>
      <c r="F344" s="911"/>
      <c r="G344" s="1172"/>
      <c r="H344" s="1173"/>
      <c r="I344" s="909"/>
      <c r="J344" s="911"/>
      <c r="K344" s="909"/>
      <c r="L344" s="911"/>
      <c r="M344" s="909"/>
      <c r="N344" s="911"/>
      <c r="O344" s="909"/>
      <c r="P344" s="910"/>
      <c r="Q344" s="911"/>
      <c r="R344" s="764" t="str">
        <f t="shared" si="79"/>
        <v/>
      </c>
      <c r="S344" s="764"/>
      <c r="T344" s="764"/>
      <c r="U344" s="1178" t="str">
        <f t="shared" si="80"/>
        <v/>
      </c>
      <c r="V344" s="1179"/>
      <c r="W344" s="1180"/>
      <c r="X344" s="742"/>
      <c r="Y344" s="742"/>
      <c r="Z344" s="909"/>
      <c r="AA344" s="910"/>
      <c r="AB344" s="911"/>
      <c r="AC344" s="764" t="str">
        <f t="shared" si="81"/>
        <v/>
      </c>
      <c r="AD344" s="764"/>
      <c r="AE344" s="764"/>
      <c r="AF344" s="764" t="str">
        <f t="shared" si="82"/>
        <v/>
      </c>
      <c r="AG344" s="764"/>
      <c r="AH344" s="764"/>
      <c r="AI344" s="673"/>
      <c r="AJ344" s="673"/>
      <c r="AK344" s="673"/>
      <c r="AL344" s="673"/>
      <c r="AM344" s="673"/>
      <c r="AN344" s="673"/>
      <c r="AO344" s="673"/>
      <c r="AP344" s="673"/>
      <c r="AQ344" s="673"/>
      <c r="AR344" s="673"/>
      <c r="AS344" s="673"/>
      <c r="AT344" s="1199"/>
      <c r="AU344" s="451"/>
      <c r="AV344" s="451"/>
      <c r="AW344" s="451"/>
      <c r="AX344" s="451"/>
      <c r="AY344" s="451"/>
      <c r="AZ344" s="451"/>
      <c r="BA344" s="451"/>
      <c r="BB344" s="451"/>
      <c r="BC344" s="451"/>
      <c r="BD344" s="451"/>
      <c r="BE344" s="451"/>
      <c r="BF344" s="451"/>
      <c r="BG344" s="451"/>
      <c r="BH344" s="451"/>
    </row>
    <row r="345" spans="2:60" ht="18" customHeight="1">
      <c r="B345" s="1170"/>
      <c r="C345" s="1171"/>
      <c r="D345" s="1171"/>
      <c r="E345" s="909"/>
      <c r="F345" s="911"/>
      <c r="G345" s="1172"/>
      <c r="H345" s="1173"/>
      <c r="I345" s="909"/>
      <c r="J345" s="911"/>
      <c r="K345" s="909"/>
      <c r="L345" s="911"/>
      <c r="M345" s="909"/>
      <c r="N345" s="911"/>
      <c r="O345" s="909"/>
      <c r="P345" s="910"/>
      <c r="Q345" s="911"/>
      <c r="R345" s="764" t="str">
        <f t="shared" si="79"/>
        <v/>
      </c>
      <c r="S345" s="764"/>
      <c r="T345" s="764"/>
      <c r="U345" s="1178" t="str">
        <f t="shared" si="80"/>
        <v/>
      </c>
      <c r="V345" s="1179"/>
      <c r="W345" s="1180"/>
      <c r="X345" s="742"/>
      <c r="Y345" s="742"/>
      <c r="Z345" s="909"/>
      <c r="AA345" s="910"/>
      <c r="AB345" s="911"/>
      <c r="AC345" s="764" t="str">
        <f t="shared" si="81"/>
        <v/>
      </c>
      <c r="AD345" s="764"/>
      <c r="AE345" s="764"/>
      <c r="AF345" s="764" t="str">
        <f t="shared" si="82"/>
        <v/>
      </c>
      <c r="AG345" s="764"/>
      <c r="AH345" s="764"/>
      <c r="AI345" s="673"/>
      <c r="AJ345" s="673"/>
      <c r="AK345" s="673"/>
      <c r="AL345" s="673"/>
      <c r="AM345" s="673"/>
      <c r="AN345" s="673"/>
      <c r="AO345" s="673"/>
      <c r="AP345" s="673"/>
      <c r="AQ345" s="673"/>
      <c r="AR345" s="673"/>
      <c r="AS345" s="673"/>
      <c r="AT345" s="1199"/>
      <c r="AU345" s="451"/>
      <c r="AV345" s="451"/>
      <c r="AW345" s="451"/>
      <c r="AX345" s="451"/>
      <c r="AY345" s="451"/>
      <c r="AZ345" s="451"/>
      <c r="BA345" s="451"/>
      <c r="BB345" s="451"/>
      <c r="BC345" s="451"/>
      <c r="BD345" s="451"/>
      <c r="BE345" s="451"/>
      <c r="BF345" s="451"/>
      <c r="BG345" s="451"/>
      <c r="BH345" s="451"/>
    </row>
    <row r="346" spans="2:60" ht="18" customHeight="1">
      <c r="B346" s="1170"/>
      <c r="C346" s="1171"/>
      <c r="D346" s="1171"/>
      <c r="E346" s="909"/>
      <c r="F346" s="911"/>
      <c r="G346" s="1172"/>
      <c r="H346" s="1173"/>
      <c r="I346" s="909"/>
      <c r="J346" s="911"/>
      <c r="K346" s="909"/>
      <c r="L346" s="911"/>
      <c r="M346" s="909"/>
      <c r="N346" s="911"/>
      <c r="O346" s="909"/>
      <c r="P346" s="910"/>
      <c r="Q346" s="911"/>
      <c r="R346" s="764" t="str">
        <f t="shared" si="79"/>
        <v/>
      </c>
      <c r="S346" s="764"/>
      <c r="T346" s="764"/>
      <c r="U346" s="1178" t="str">
        <f t="shared" si="80"/>
        <v/>
      </c>
      <c r="V346" s="1179"/>
      <c r="W346" s="1180"/>
      <c r="X346" s="742"/>
      <c r="Y346" s="742"/>
      <c r="Z346" s="909"/>
      <c r="AA346" s="910"/>
      <c r="AB346" s="911"/>
      <c r="AC346" s="764" t="str">
        <f t="shared" si="81"/>
        <v/>
      </c>
      <c r="AD346" s="764"/>
      <c r="AE346" s="764"/>
      <c r="AF346" s="764" t="str">
        <f t="shared" si="82"/>
        <v/>
      </c>
      <c r="AG346" s="764"/>
      <c r="AH346" s="764"/>
      <c r="AI346" s="673"/>
      <c r="AJ346" s="673"/>
      <c r="AK346" s="673"/>
      <c r="AL346" s="673"/>
      <c r="AM346" s="673"/>
      <c r="AN346" s="673"/>
      <c r="AO346" s="673"/>
      <c r="AP346" s="673"/>
      <c r="AQ346" s="673"/>
      <c r="AR346" s="673"/>
      <c r="AS346" s="673"/>
      <c r="AT346" s="1199"/>
      <c r="AU346" s="451"/>
      <c r="AV346" s="451"/>
      <c r="AW346" s="451"/>
      <c r="AX346" s="451"/>
      <c r="AY346" s="451"/>
      <c r="AZ346" s="451"/>
      <c r="BA346" s="451"/>
      <c r="BB346" s="451"/>
      <c r="BC346" s="451"/>
      <c r="BD346" s="451"/>
      <c r="BE346" s="451"/>
      <c r="BF346" s="451"/>
      <c r="BG346" s="451"/>
      <c r="BH346" s="451"/>
    </row>
    <row r="347" spans="2:60" ht="18" customHeight="1">
      <c r="B347" s="1170"/>
      <c r="C347" s="1171"/>
      <c r="D347" s="1171"/>
      <c r="E347" s="909"/>
      <c r="F347" s="911"/>
      <c r="G347" s="1172"/>
      <c r="H347" s="1173"/>
      <c r="I347" s="909"/>
      <c r="J347" s="911"/>
      <c r="K347" s="909"/>
      <c r="L347" s="911"/>
      <c r="M347" s="909"/>
      <c r="N347" s="911"/>
      <c r="O347" s="909"/>
      <c r="P347" s="910"/>
      <c r="Q347" s="911"/>
      <c r="R347" s="764" t="str">
        <f t="shared" si="79"/>
        <v/>
      </c>
      <c r="S347" s="764"/>
      <c r="T347" s="764"/>
      <c r="U347" s="1178" t="str">
        <f t="shared" si="80"/>
        <v/>
      </c>
      <c r="V347" s="1179"/>
      <c r="W347" s="1180"/>
      <c r="X347" s="742"/>
      <c r="Y347" s="742"/>
      <c r="Z347" s="909"/>
      <c r="AA347" s="910"/>
      <c r="AB347" s="911"/>
      <c r="AC347" s="764" t="str">
        <f t="shared" si="81"/>
        <v/>
      </c>
      <c r="AD347" s="764"/>
      <c r="AE347" s="764"/>
      <c r="AF347" s="764" t="str">
        <f t="shared" si="82"/>
        <v/>
      </c>
      <c r="AG347" s="764"/>
      <c r="AH347" s="764"/>
      <c r="AI347" s="673"/>
      <c r="AJ347" s="673"/>
      <c r="AK347" s="673"/>
      <c r="AL347" s="673"/>
      <c r="AM347" s="673"/>
      <c r="AN347" s="673"/>
      <c r="AO347" s="673"/>
      <c r="AP347" s="673"/>
      <c r="AQ347" s="673"/>
      <c r="AR347" s="673"/>
      <c r="AS347" s="673"/>
      <c r="AT347" s="1199"/>
      <c r="AU347" s="451"/>
      <c r="AV347" s="451"/>
      <c r="AW347" s="451"/>
      <c r="AX347" s="451"/>
      <c r="AY347" s="451"/>
      <c r="AZ347" s="451"/>
      <c r="BA347" s="451"/>
      <c r="BB347" s="451"/>
      <c r="BC347" s="451"/>
      <c r="BD347" s="451"/>
      <c r="BE347" s="451"/>
      <c r="BF347" s="451"/>
      <c r="BG347" s="451"/>
      <c r="BH347" s="451"/>
    </row>
    <row r="348" spans="2:60" ht="18" customHeight="1">
      <c r="B348" s="1170"/>
      <c r="C348" s="1171"/>
      <c r="D348" s="1171"/>
      <c r="E348" s="909"/>
      <c r="F348" s="911"/>
      <c r="G348" s="1172"/>
      <c r="H348" s="1173"/>
      <c r="I348" s="909"/>
      <c r="J348" s="911"/>
      <c r="K348" s="909"/>
      <c r="L348" s="911"/>
      <c r="M348" s="909"/>
      <c r="N348" s="911"/>
      <c r="O348" s="909"/>
      <c r="P348" s="910"/>
      <c r="Q348" s="911"/>
      <c r="R348" s="764" t="str">
        <f t="shared" si="79"/>
        <v/>
      </c>
      <c r="S348" s="764"/>
      <c r="T348" s="764"/>
      <c r="U348" s="1178" t="str">
        <f t="shared" si="80"/>
        <v/>
      </c>
      <c r="V348" s="1179"/>
      <c r="W348" s="1180"/>
      <c r="X348" s="742"/>
      <c r="Y348" s="742"/>
      <c r="Z348" s="909"/>
      <c r="AA348" s="910"/>
      <c r="AB348" s="911"/>
      <c r="AC348" s="764" t="str">
        <f t="shared" si="81"/>
        <v/>
      </c>
      <c r="AD348" s="764"/>
      <c r="AE348" s="764"/>
      <c r="AF348" s="764" t="str">
        <f t="shared" si="82"/>
        <v/>
      </c>
      <c r="AG348" s="764"/>
      <c r="AH348" s="764"/>
      <c r="AI348" s="673"/>
      <c r="AJ348" s="673"/>
      <c r="AK348" s="673"/>
      <c r="AL348" s="673"/>
      <c r="AM348" s="673"/>
      <c r="AN348" s="673"/>
      <c r="AO348" s="673"/>
      <c r="AP348" s="673"/>
      <c r="AQ348" s="673"/>
      <c r="AR348" s="673"/>
      <c r="AS348" s="673"/>
      <c r="AT348" s="1199"/>
      <c r="AU348" s="451"/>
      <c r="AV348" s="451"/>
      <c r="AW348" s="451"/>
      <c r="AX348" s="451"/>
      <c r="AY348" s="451"/>
      <c r="AZ348" s="451"/>
      <c r="BA348" s="451"/>
      <c r="BB348" s="451"/>
      <c r="BC348" s="451"/>
      <c r="BD348" s="451"/>
      <c r="BE348" s="451"/>
      <c r="BF348" s="451"/>
      <c r="BG348" s="451"/>
      <c r="BH348" s="451"/>
    </row>
    <row r="349" spans="2:60" ht="18" customHeight="1">
      <c r="B349" s="1170"/>
      <c r="C349" s="1171"/>
      <c r="D349" s="1171"/>
      <c r="E349" s="909"/>
      <c r="F349" s="911"/>
      <c r="G349" s="1172"/>
      <c r="H349" s="1173"/>
      <c r="I349" s="909"/>
      <c r="J349" s="911"/>
      <c r="K349" s="909"/>
      <c r="L349" s="911"/>
      <c r="M349" s="909"/>
      <c r="N349" s="911"/>
      <c r="O349" s="909"/>
      <c r="P349" s="910"/>
      <c r="Q349" s="911"/>
      <c r="R349" s="764" t="str">
        <f t="shared" si="79"/>
        <v/>
      </c>
      <c r="S349" s="764"/>
      <c r="T349" s="764"/>
      <c r="U349" s="1178" t="str">
        <f t="shared" ref="U349:U357" si="83">IF(G349="","",IF(R349="","",ROUND(100*(R349+G349)/(100+R349),1)))</f>
        <v/>
      </c>
      <c r="V349" s="1179"/>
      <c r="W349" s="1180"/>
      <c r="X349" s="742"/>
      <c r="Y349" s="742"/>
      <c r="Z349" s="909"/>
      <c r="AA349" s="910"/>
      <c r="AB349" s="911"/>
      <c r="AC349" s="764" t="str">
        <f t="shared" si="81"/>
        <v/>
      </c>
      <c r="AD349" s="764"/>
      <c r="AE349" s="764"/>
      <c r="AF349" s="764" t="str">
        <f t="shared" ref="AF349:AF357" si="84">IF(G349="","",IF(AC349="","",ROUND(100*(AC349+G349)/(100+AC349),1)))</f>
        <v/>
      </c>
      <c r="AG349" s="764"/>
      <c r="AH349" s="764"/>
      <c r="AI349" s="673"/>
      <c r="AJ349" s="673"/>
      <c r="AK349" s="673"/>
      <c r="AL349" s="673"/>
      <c r="AM349" s="673"/>
      <c r="AN349" s="673"/>
      <c r="AO349" s="673"/>
      <c r="AP349" s="673"/>
      <c r="AQ349" s="673"/>
      <c r="AR349" s="673"/>
      <c r="AS349" s="673"/>
      <c r="AT349" s="1199"/>
      <c r="AU349" s="451"/>
      <c r="AV349" s="451"/>
      <c r="AW349" s="451"/>
      <c r="AX349" s="451"/>
      <c r="AY349" s="451"/>
      <c r="AZ349" s="451"/>
      <c r="BA349" s="451"/>
      <c r="BB349" s="451"/>
      <c r="BC349" s="451"/>
      <c r="BD349" s="451"/>
      <c r="BE349" s="451"/>
      <c r="BF349" s="451"/>
      <c r="BG349" s="451"/>
      <c r="BH349" s="451"/>
    </row>
    <row r="350" spans="2:60" ht="18" customHeight="1">
      <c r="B350" s="1170"/>
      <c r="C350" s="1171"/>
      <c r="D350" s="1171"/>
      <c r="E350" s="909"/>
      <c r="F350" s="911"/>
      <c r="G350" s="1172"/>
      <c r="H350" s="1173"/>
      <c r="I350" s="909"/>
      <c r="J350" s="911"/>
      <c r="K350" s="909"/>
      <c r="L350" s="911"/>
      <c r="M350" s="909"/>
      <c r="N350" s="911"/>
      <c r="O350" s="909"/>
      <c r="P350" s="910"/>
      <c r="Q350" s="911"/>
      <c r="R350" s="764" t="str">
        <f t="shared" si="79"/>
        <v/>
      </c>
      <c r="S350" s="764"/>
      <c r="T350" s="764"/>
      <c r="U350" s="1178" t="str">
        <f t="shared" si="83"/>
        <v/>
      </c>
      <c r="V350" s="1179"/>
      <c r="W350" s="1180"/>
      <c r="X350" s="742"/>
      <c r="Y350" s="742"/>
      <c r="Z350" s="909"/>
      <c r="AA350" s="910"/>
      <c r="AB350" s="911"/>
      <c r="AC350" s="764" t="str">
        <f t="shared" si="81"/>
        <v/>
      </c>
      <c r="AD350" s="764"/>
      <c r="AE350" s="764"/>
      <c r="AF350" s="764" t="str">
        <f t="shared" si="84"/>
        <v/>
      </c>
      <c r="AG350" s="764"/>
      <c r="AH350" s="764"/>
      <c r="AI350" s="673"/>
      <c r="AJ350" s="673"/>
      <c r="AK350" s="673"/>
      <c r="AL350" s="673"/>
      <c r="AM350" s="673"/>
      <c r="AN350" s="673"/>
      <c r="AO350" s="673"/>
      <c r="AP350" s="673"/>
      <c r="AQ350" s="673"/>
      <c r="AR350" s="673"/>
      <c r="AS350" s="673"/>
      <c r="AT350" s="1199"/>
      <c r="AU350" s="451"/>
      <c r="AV350" s="451"/>
      <c r="AW350" s="451"/>
      <c r="AX350" s="451"/>
      <c r="AY350" s="451"/>
      <c r="AZ350" s="451"/>
      <c r="BA350" s="451"/>
      <c r="BB350" s="451"/>
      <c r="BC350" s="451"/>
      <c r="BD350" s="451"/>
      <c r="BE350" s="451"/>
      <c r="BF350" s="451"/>
      <c r="BG350" s="451"/>
      <c r="BH350" s="451"/>
    </row>
    <row r="351" spans="2:60" ht="18" customHeight="1">
      <c r="B351" s="1170"/>
      <c r="C351" s="1171"/>
      <c r="D351" s="1171"/>
      <c r="E351" s="909"/>
      <c r="F351" s="911"/>
      <c r="G351" s="1172"/>
      <c r="H351" s="1173"/>
      <c r="I351" s="909"/>
      <c r="J351" s="911"/>
      <c r="K351" s="909"/>
      <c r="L351" s="911"/>
      <c r="M351" s="909"/>
      <c r="N351" s="911"/>
      <c r="O351" s="909"/>
      <c r="P351" s="910"/>
      <c r="Q351" s="911"/>
      <c r="R351" s="764" t="str">
        <f t="shared" si="79"/>
        <v/>
      </c>
      <c r="S351" s="764"/>
      <c r="T351" s="764"/>
      <c r="U351" s="1178" t="str">
        <f t="shared" si="83"/>
        <v/>
      </c>
      <c r="V351" s="1179"/>
      <c r="W351" s="1180"/>
      <c r="X351" s="742"/>
      <c r="Y351" s="742"/>
      <c r="Z351" s="909"/>
      <c r="AA351" s="910"/>
      <c r="AB351" s="911"/>
      <c r="AC351" s="764" t="str">
        <f t="shared" si="81"/>
        <v/>
      </c>
      <c r="AD351" s="764"/>
      <c r="AE351" s="764"/>
      <c r="AF351" s="764" t="str">
        <f t="shared" si="84"/>
        <v/>
      </c>
      <c r="AG351" s="764"/>
      <c r="AH351" s="764"/>
      <c r="AI351" s="673"/>
      <c r="AJ351" s="673"/>
      <c r="AK351" s="673"/>
      <c r="AL351" s="673"/>
      <c r="AM351" s="673"/>
      <c r="AN351" s="673"/>
      <c r="AO351" s="673"/>
      <c r="AP351" s="673"/>
      <c r="AQ351" s="673"/>
      <c r="AR351" s="673"/>
      <c r="AS351" s="673"/>
      <c r="AT351" s="1199"/>
      <c r="AU351" s="451"/>
      <c r="AV351" s="451"/>
      <c r="AW351" s="451"/>
      <c r="AX351" s="451"/>
      <c r="AY351" s="451"/>
      <c r="AZ351" s="451"/>
      <c r="BA351" s="451"/>
      <c r="BB351" s="451"/>
      <c r="BC351" s="451"/>
      <c r="BD351" s="451"/>
      <c r="BE351" s="451"/>
      <c r="BF351" s="451"/>
      <c r="BG351" s="451"/>
      <c r="BH351" s="451"/>
    </row>
    <row r="352" spans="2:60" ht="18" customHeight="1">
      <c r="B352" s="1170"/>
      <c r="C352" s="1171"/>
      <c r="D352" s="1171"/>
      <c r="E352" s="909"/>
      <c r="F352" s="911"/>
      <c r="G352" s="1172"/>
      <c r="H352" s="1173"/>
      <c r="I352" s="909"/>
      <c r="J352" s="911"/>
      <c r="K352" s="909"/>
      <c r="L352" s="911"/>
      <c r="M352" s="909"/>
      <c r="N352" s="911"/>
      <c r="O352" s="909"/>
      <c r="P352" s="910"/>
      <c r="Q352" s="911"/>
      <c r="R352" s="764" t="str">
        <f t="shared" si="79"/>
        <v/>
      </c>
      <c r="S352" s="764"/>
      <c r="T352" s="764"/>
      <c r="U352" s="1178" t="str">
        <f t="shared" si="83"/>
        <v/>
      </c>
      <c r="V352" s="1179"/>
      <c r="W352" s="1180"/>
      <c r="X352" s="742"/>
      <c r="Y352" s="742"/>
      <c r="Z352" s="909"/>
      <c r="AA352" s="910"/>
      <c r="AB352" s="911"/>
      <c r="AC352" s="764" t="str">
        <f t="shared" si="81"/>
        <v/>
      </c>
      <c r="AD352" s="764"/>
      <c r="AE352" s="764"/>
      <c r="AF352" s="764" t="str">
        <f t="shared" si="84"/>
        <v/>
      </c>
      <c r="AG352" s="764"/>
      <c r="AH352" s="764"/>
      <c r="AI352" s="673"/>
      <c r="AJ352" s="673"/>
      <c r="AK352" s="673"/>
      <c r="AL352" s="673"/>
      <c r="AM352" s="673"/>
      <c r="AN352" s="673"/>
      <c r="AO352" s="673"/>
      <c r="AP352" s="673"/>
      <c r="AQ352" s="673"/>
      <c r="AR352" s="673"/>
      <c r="AS352" s="673"/>
      <c r="AT352" s="1199"/>
      <c r="AU352" s="451"/>
      <c r="AV352" s="451"/>
      <c r="AW352" s="451"/>
      <c r="AX352" s="451"/>
      <c r="AY352" s="451"/>
      <c r="AZ352" s="451"/>
      <c r="BA352" s="451"/>
      <c r="BB352" s="451"/>
      <c r="BC352" s="451"/>
      <c r="BD352" s="451"/>
      <c r="BE352" s="451"/>
      <c r="BF352" s="451"/>
      <c r="BG352" s="451"/>
      <c r="BH352" s="451"/>
    </row>
    <row r="353" spans="2:60" ht="18" customHeight="1">
      <c r="B353" s="1170"/>
      <c r="C353" s="1171"/>
      <c r="D353" s="1171"/>
      <c r="E353" s="909"/>
      <c r="F353" s="911"/>
      <c r="G353" s="1172"/>
      <c r="H353" s="1173"/>
      <c r="I353" s="909"/>
      <c r="J353" s="911"/>
      <c r="K353" s="909"/>
      <c r="L353" s="911"/>
      <c r="M353" s="909"/>
      <c r="N353" s="911"/>
      <c r="O353" s="909"/>
      <c r="P353" s="910"/>
      <c r="Q353" s="911"/>
      <c r="R353" s="764" t="str">
        <f t="shared" si="79"/>
        <v/>
      </c>
      <c r="S353" s="764"/>
      <c r="T353" s="764"/>
      <c r="U353" s="1178" t="str">
        <f t="shared" si="83"/>
        <v/>
      </c>
      <c r="V353" s="1179"/>
      <c r="W353" s="1180"/>
      <c r="X353" s="742"/>
      <c r="Y353" s="742"/>
      <c r="Z353" s="909"/>
      <c r="AA353" s="910"/>
      <c r="AB353" s="911"/>
      <c r="AC353" s="764" t="str">
        <f t="shared" si="81"/>
        <v/>
      </c>
      <c r="AD353" s="764"/>
      <c r="AE353" s="764"/>
      <c r="AF353" s="764" t="str">
        <f t="shared" si="84"/>
        <v/>
      </c>
      <c r="AG353" s="764"/>
      <c r="AH353" s="764"/>
      <c r="AI353" s="673"/>
      <c r="AJ353" s="673"/>
      <c r="AK353" s="673"/>
      <c r="AL353" s="673"/>
      <c r="AM353" s="673"/>
      <c r="AN353" s="673"/>
      <c r="AO353" s="673"/>
      <c r="AP353" s="673"/>
      <c r="AQ353" s="673"/>
      <c r="AR353" s="673"/>
      <c r="AS353" s="673"/>
      <c r="AT353" s="1199"/>
      <c r="AU353" s="451"/>
      <c r="AV353" s="451"/>
      <c r="AW353" s="451"/>
      <c r="AX353" s="451"/>
      <c r="AY353" s="451"/>
      <c r="AZ353" s="451"/>
      <c r="BA353" s="451"/>
      <c r="BB353" s="451"/>
      <c r="BC353" s="451"/>
      <c r="BD353" s="451"/>
      <c r="BE353" s="451"/>
      <c r="BF353" s="451"/>
      <c r="BG353" s="451"/>
      <c r="BH353" s="451"/>
    </row>
    <row r="354" spans="2:60" ht="18" customHeight="1">
      <c r="B354" s="1170"/>
      <c r="C354" s="1171"/>
      <c r="D354" s="1171"/>
      <c r="E354" s="909"/>
      <c r="F354" s="911"/>
      <c r="G354" s="1172"/>
      <c r="H354" s="1173"/>
      <c r="I354" s="909"/>
      <c r="J354" s="911"/>
      <c r="K354" s="909"/>
      <c r="L354" s="911"/>
      <c r="M354" s="909"/>
      <c r="N354" s="911"/>
      <c r="O354" s="909"/>
      <c r="P354" s="910"/>
      <c r="Q354" s="911"/>
      <c r="R354" s="764" t="str">
        <f t="shared" si="79"/>
        <v/>
      </c>
      <c r="S354" s="764"/>
      <c r="T354" s="764"/>
      <c r="U354" s="1178" t="str">
        <f t="shared" si="83"/>
        <v/>
      </c>
      <c r="V354" s="1179"/>
      <c r="W354" s="1180"/>
      <c r="X354" s="742"/>
      <c r="Y354" s="742"/>
      <c r="Z354" s="909"/>
      <c r="AA354" s="910"/>
      <c r="AB354" s="911"/>
      <c r="AC354" s="764" t="str">
        <f t="shared" si="81"/>
        <v/>
      </c>
      <c r="AD354" s="764"/>
      <c r="AE354" s="764"/>
      <c r="AF354" s="764" t="str">
        <f t="shared" si="84"/>
        <v/>
      </c>
      <c r="AG354" s="764"/>
      <c r="AH354" s="764"/>
      <c r="AI354" s="673"/>
      <c r="AJ354" s="673"/>
      <c r="AK354" s="673"/>
      <c r="AL354" s="673"/>
      <c r="AM354" s="673"/>
      <c r="AN354" s="673"/>
      <c r="AO354" s="673"/>
      <c r="AP354" s="673"/>
      <c r="AQ354" s="673"/>
      <c r="AR354" s="673"/>
      <c r="AS354" s="673"/>
      <c r="AT354" s="1199"/>
      <c r="AU354" s="451"/>
      <c r="AV354" s="451"/>
      <c r="AW354" s="451"/>
      <c r="AX354" s="451"/>
      <c r="AY354" s="451"/>
      <c r="AZ354" s="451"/>
      <c r="BA354" s="451"/>
      <c r="BB354" s="451"/>
      <c r="BC354" s="451"/>
      <c r="BD354" s="451"/>
      <c r="BE354" s="451"/>
      <c r="BF354" s="451"/>
      <c r="BG354" s="451"/>
      <c r="BH354" s="451"/>
    </row>
    <row r="355" spans="2:60" ht="18" customHeight="1">
      <c r="B355" s="1170"/>
      <c r="C355" s="1171"/>
      <c r="D355" s="1171"/>
      <c r="E355" s="909"/>
      <c r="F355" s="911"/>
      <c r="G355" s="1172"/>
      <c r="H355" s="1173"/>
      <c r="I355" s="909"/>
      <c r="J355" s="911"/>
      <c r="K355" s="909"/>
      <c r="L355" s="911"/>
      <c r="M355" s="909"/>
      <c r="N355" s="911"/>
      <c r="O355" s="909"/>
      <c r="P355" s="910"/>
      <c r="Q355" s="911"/>
      <c r="R355" s="764" t="str">
        <f t="shared" si="79"/>
        <v/>
      </c>
      <c r="S355" s="764"/>
      <c r="T355" s="764"/>
      <c r="U355" s="1178" t="str">
        <f t="shared" si="83"/>
        <v/>
      </c>
      <c r="V355" s="1179"/>
      <c r="W355" s="1180"/>
      <c r="X355" s="742"/>
      <c r="Y355" s="742"/>
      <c r="Z355" s="909"/>
      <c r="AA355" s="910"/>
      <c r="AB355" s="911"/>
      <c r="AC355" s="764" t="str">
        <f t="shared" si="81"/>
        <v/>
      </c>
      <c r="AD355" s="764"/>
      <c r="AE355" s="764"/>
      <c r="AF355" s="764" t="str">
        <f t="shared" si="84"/>
        <v/>
      </c>
      <c r="AG355" s="764"/>
      <c r="AH355" s="764"/>
      <c r="AI355" s="673"/>
      <c r="AJ355" s="673"/>
      <c r="AK355" s="673"/>
      <c r="AL355" s="673"/>
      <c r="AM355" s="673"/>
      <c r="AN355" s="673"/>
      <c r="AO355" s="673"/>
      <c r="AP355" s="673"/>
      <c r="AQ355" s="673"/>
      <c r="AR355" s="673"/>
      <c r="AS355" s="673"/>
      <c r="AT355" s="1199"/>
      <c r="AU355" s="451"/>
      <c r="AV355" s="451"/>
      <c r="AW355" s="451"/>
      <c r="AX355" s="451"/>
      <c r="AY355" s="451"/>
      <c r="AZ355" s="451"/>
      <c r="BA355" s="451"/>
      <c r="BB355" s="451"/>
      <c r="BC355" s="451"/>
      <c r="BD355" s="451"/>
      <c r="BE355" s="451"/>
      <c r="BF355" s="451"/>
      <c r="BG355" s="451"/>
      <c r="BH355" s="451"/>
    </row>
    <row r="356" spans="2:60" ht="18" customHeight="1">
      <c r="B356" s="1170"/>
      <c r="C356" s="1171"/>
      <c r="D356" s="1171"/>
      <c r="E356" s="909"/>
      <c r="F356" s="911"/>
      <c r="G356" s="1172"/>
      <c r="H356" s="1173"/>
      <c r="I356" s="909"/>
      <c r="J356" s="911"/>
      <c r="K356" s="909"/>
      <c r="L356" s="911"/>
      <c r="M356" s="909"/>
      <c r="N356" s="911"/>
      <c r="O356" s="909"/>
      <c r="P356" s="910"/>
      <c r="Q356" s="911"/>
      <c r="R356" s="764" t="str">
        <f t="shared" si="79"/>
        <v/>
      </c>
      <c r="S356" s="764"/>
      <c r="T356" s="764"/>
      <c r="U356" s="1178" t="str">
        <f t="shared" si="83"/>
        <v/>
      </c>
      <c r="V356" s="1179"/>
      <c r="W356" s="1180"/>
      <c r="X356" s="742"/>
      <c r="Y356" s="742"/>
      <c r="Z356" s="909"/>
      <c r="AA356" s="910"/>
      <c r="AB356" s="911"/>
      <c r="AC356" s="764" t="str">
        <f t="shared" si="81"/>
        <v/>
      </c>
      <c r="AD356" s="764"/>
      <c r="AE356" s="764"/>
      <c r="AF356" s="764" t="str">
        <f t="shared" si="84"/>
        <v/>
      </c>
      <c r="AG356" s="764"/>
      <c r="AH356" s="764"/>
      <c r="AI356" s="673"/>
      <c r="AJ356" s="673"/>
      <c r="AK356" s="673"/>
      <c r="AL356" s="673"/>
      <c r="AM356" s="673"/>
      <c r="AN356" s="673"/>
      <c r="AO356" s="673"/>
      <c r="AP356" s="673"/>
      <c r="AQ356" s="673"/>
      <c r="AR356" s="673"/>
      <c r="AS356" s="673"/>
      <c r="AT356" s="1199"/>
      <c r="AU356" s="451"/>
      <c r="AV356" s="451"/>
      <c r="AW356" s="451"/>
      <c r="AX356" s="451"/>
      <c r="AY356" s="451"/>
      <c r="AZ356" s="451"/>
      <c r="BA356" s="451"/>
      <c r="BB356" s="451"/>
      <c r="BC356" s="451"/>
      <c r="BD356" s="451"/>
      <c r="BE356" s="451"/>
      <c r="BF356" s="451"/>
      <c r="BG356" s="451"/>
      <c r="BH356" s="451"/>
    </row>
    <row r="357" spans="2:60" ht="18" customHeight="1">
      <c r="B357" s="1170"/>
      <c r="C357" s="1171"/>
      <c r="D357" s="1171"/>
      <c r="E357" s="909"/>
      <c r="F357" s="911"/>
      <c r="G357" s="1172"/>
      <c r="H357" s="1173"/>
      <c r="I357" s="909"/>
      <c r="J357" s="911"/>
      <c r="K357" s="909"/>
      <c r="L357" s="911"/>
      <c r="M357" s="909"/>
      <c r="N357" s="911"/>
      <c r="O357" s="909"/>
      <c r="P357" s="910"/>
      <c r="Q357" s="911"/>
      <c r="R357" s="764" t="str">
        <f t="shared" si="79"/>
        <v/>
      </c>
      <c r="S357" s="764"/>
      <c r="T357" s="764"/>
      <c r="U357" s="1178" t="str">
        <f t="shared" si="83"/>
        <v/>
      </c>
      <c r="V357" s="1179"/>
      <c r="W357" s="1180"/>
      <c r="X357" s="742"/>
      <c r="Y357" s="742"/>
      <c r="Z357" s="909"/>
      <c r="AA357" s="910"/>
      <c r="AB357" s="911"/>
      <c r="AC357" s="764" t="str">
        <f t="shared" si="81"/>
        <v/>
      </c>
      <c r="AD357" s="764"/>
      <c r="AE357" s="764"/>
      <c r="AF357" s="764" t="str">
        <f t="shared" si="84"/>
        <v/>
      </c>
      <c r="AG357" s="764"/>
      <c r="AH357" s="764"/>
      <c r="AI357" s="673"/>
      <c r="AJ357" s="673"/>
      <c r="AK357" s="673"/>
      <c r="AL357" s="673"/>
      <c r="AM357" s="673"/>
      <c r="AN357" s="673"/>
      <c r="AO357" s="673"/>
      <c r="AP357" s="673"/>
      <c r="AQ357" s="673"/>
      <c r="AR357" s="673"/>
      <c r="AS357" s="673"/>
      <c r="AT357" s="1199"/>
      <c r="AU357" s="451"/>
      <c r="AV357" s="451"/>
      <c r="AW357" s="451"/>
      <c r="AX357" s="451"/>
      <c r="AY357" s="451"/>
      <c r="AZ357" s="451"/>
      <c r="BA357" s="451"/>
      <c r="BB357" s="451"/>
      <c r="BC357" s="451"/>
      <c r="BD357" s="451"/>
      <c r="BE357" s="451"/>
      <c r="BF357" s="451"/>
      <c r="BG357" s="451"/>
      <c r="BH357" s="451"/>
    </row>
    <row r="358" spans="2:60" ht="18" customHeight="1">
      <c r="B358" s="1170"/>
      <c r="C358" s="1171"/>
      <c r="D358" s="1171"/>
      <c r="E358" s="909"/>
      <c r="F358" s="911"/>
      <c r="G358" s="1172"/>
      <c r="H358" s="1173"/>
      <c r="I358" s="909"/>
      <c r="J358" s="911"/>
      <c r="K358" s="909"/>
      <c r="L358" s="911"/>
      <c r="M358" s="909"/>
      <c r="N358" s="911"/>
      <c r="O358" s="909"/>
      <c r="P358" s="910"/>
      <c r="Q358" s="911"/>
      <c r="R358" s="764" t="str">
        <f t="shared" si="79"/>
        <v/>
      </c>
      <c r="S358" s="764"/>
      <c r="T358" s="764"/>
      <c r="U358" s="1178" t="str">
        <f t="shared" si="80"/>
        <v/>
      </c>
      <c r="V358" s="1179"/>
      <c r="W358" s="1180"/>
      <c r="X358" s="742"/>
      <c r="Y358" s="742"/>
      <c r="Z358" s="909"/>
      <c r="AA358" s="910"/>
      <c r="AB358" s="911"/>
      <c r="AC358" s="764" t="str">
        <f t="shared" si="81"/>
        <v/>
      </c>
      <c r="AD358" s="764"/>
      <c r="AE358" s="764"/>
      <c r="AF358" s="764" t="str">
        <f t="shared" si="82"/>
        <v/>
      </c>
      <c r="AG358" s="764"/>
      <c r="AH358" s="764"/>
      <c r="AI358" s="673"/>
      <c r="AJ358" s="673"/>
      <c r="AK358" s="673"/>
      <c r="AL358" s="673"/>
      <c r="AM358" s="673"/>
      <c r="AN358" s="673"/>
      <c r="AO358" s="673"/>
      <c r="AP358" s="673"/>
      <c r="AQ358" s="673"/>
      <c r="AR358" s="673"/>
      <c r="AS358" s="673"/>
      <c r="AT358" s="1199"/>
      <c r="AU358" s="451"/>
      <c r="AV358" s="451"/>
      <c r="AW358" s="451"/>
      <c r="AX358" s="451"/>
      <c r="AY358" s="451"/>
      <c r="AZ358" s="451"/>
      <c r="BA358" s="451"/>
      <c r="BB358" s="451"/>
      <c r="BC358" s="451"/>
      <c r="BD358" s="451"/>
      <c r="BE358" s="451"/>
      <c r="BF358" s="451"/>
      <c r="BG358" s="451"/>
      <c r="BH358" s="451"/>
    </row>
    <row r="359" spans="2:60" ht="18" customHeight="1">
      <c r="B359" s="1170"/>
      <c r="C359" s="1171"/>
      <c r="D359" s="1171"/>
      <c r="E359" s="909"/>
      <c r="F359" s="911"/>
      <c r="G359" s="1172"/>
      <c r="H359" s="1173"/>
      <c r="I359" s="909"/>
      <c r="J359" s="911"/>
      <c r="K359" s="909"/>
      <c r="L359" s="911"/>
      <c r="M359" s="909"/>
      <c r="N359" s="911"/>
      <c r="O359" s="909"/>
      <c r="P359" s="910"/>
      <c r="Q359" s="911"/>
      <c r="R359" s="764" t="str">
        <f t="shared" si="79"/>
        <v/>
      </c>
      <c r="S359" s="764"/>
      <c r="T359" s="764"/>
      <c r="U359" s="1178" t="str">
        <f t="shared" si="80"/>
        <v/>
      </c>
      <c r="V359" s="1179"/>
      <c r="W359" s="1180"/>
      <c r="X359" s="742"/>
      <c r="Y359" s="742"/>
      <c r="Z359" s="909"/>
      <c r="AA359" s="910"/>
      <c r="AB359" s="911"/>
      <c r="AC359" s="764" t="str">
        <f t="shared" si="81"/>
        <v/>
      </c>
      <c r="AD359" s="764"/>
      <c r="AE359" s="764"/>
      <c r="AF359" s="764" t="str">
        <f t="shared" si="78"/>
        <v/>
      </c>
      <c r="AG359" s="764"/>
      <c r="AH359" s="764"/>
      <c r="AI359" s="673"/>
      <c r="AJ359" s="673"/>
      <c r="AK359" s="673"/>
      <c r="AL359" s="673"/>
      <c r="AM359" s="673"/>
      <c r="AN359" s="673"/>
      <c r="AO359" s="673"/>
      <c r="AP359" s="673"/>
      <c r="AQ359" s="673"/>
      <c r="AR359" s="673"/>
      <c r="AS359" s="673"/>
      <c r="AT359" s="1199"/>
      <c r="AU359" s="451"/>
      <c r="AV359" s="451"/>
      <c r="AW359" s="451"/>
      <c r="AX359" s="451"/>
      <c r="AY359" s="451"/>
      <c r="AZ359" s="451"/>
      <c r="BA359" s="451"/>
      <c r="BB359" s="451"/>
      <c r="BC359" s="451"/>
      <c r="BD359" s="451"/>
      <c r="BE359" s="451"/>
      <c r="BF359" s="451"/>
      <c r="BG359" s="451"/>
      <c r="BH359" s="451"/>
    </row>
    <row r="360" spans="2:60" ht="18" customHeight="1">
      <c r="B360" s="1170"/>
      <c r="C360" s="1171"/>
      <c r="D360" s="1171"/>
      <c r="E360" s="909"/>
      <c r="F360" s="911"/>
      <c r="G360" s="1172"/>
      <c r="H360" s="1173"/>
      <c r="I360" s="909"/>
      <c r="J360" s="911"/>
      <c r="K360" s="909"/>
      <c r="L360" s="911"/>
      <c r="M360" s="909"/>
      <c r="N360" s="911"/>
      <c r="O360" s="909"/>
      <c r="P360" s="910"/>
      <c r="Q360" s="911"/>
      <c r="R360" s="764" t="str">
        <f t="shared" si="79"/>
        <v/>
      </c>
      <c r="S360" s="764"/>
      <c r="T360" s="764"/>
      <c r="U360" s="1178" t="str">
        <f t="shared" si="80"/>
        <v/>
      </c>
      <c r="V360" s="1179"/>
      <c r="W360" s="1180"/>
      <c r="X360" s="742"/>
      <c r="Y360" s="742"/>
      <c r="Z360" s="909"/>
      <c r="AA360" s="910"/>
      <c r="AB360" s="911"/>
      <c r="AC360" s="764" t="str">
        <f t="shared" si="81"/>
        <v/>
      </c>
      <c r="AD360" s="764"/>
      <c r="AE360" s="764"/>
      <c r="AF360" s="764" t="str">
        <f t="shared" si="78"/>
        <v/>
      </c>
      <c r="AG360" s="764"/>
      <c r="AH360" s="764"/>
      <c r="AI360" s="673"/>
      <c r="AJ360" s="673"/>
      <c r="AK360" s="673"/>
      <c r="AL360" s="673"/>
      <c r="AM360" s="673"/>
      <c r="AN360" s="673"/>
      <c r="AO360" s="673"/>
      <c r="AP360" s="673"/>
      <c r="AQ360" s="673"/>
      <c r="AR360" s="673"/>
      <c r="AS360" s="673"/>
      <c r="AT360" s="1199"/>
      <c r="AU360" s="451"/>
      <c r="AV360" s="451"/>
      <c r="AW360" s="451"/>
      <c r="AX360" s="451"/>
      <c r="AY360" s="451"/>
      <c r="AZ360" s="451"/>
      <c r="BA360" s="451"/>
      <c r="BB360" s="451"/>
      <c r="BC360" s="451"/>
      <c r="BD360" s="451"/>
      <c r="BE360" s="451"/>
      <c r="BF360" s="451"/>
      <c r="BG360" s="451"/>
      <c r="BH360" s="451"/>
    </row>
    <row r="361" spans="2:60" ht="18" customHeight="1">
      <c r="B361" s="1170"/>
      <c r="C361" s="1171"/>
      <c r="D361" s="1171"/>
      <c r="E361" s="909"/>
      <c r="F361" s="911"/>
      <c r="G361" s="1172"/>
      <c r="H361" s="1173"/>
      <c r="I361" s="909"/>
      <c r="J361" s="911"/>
      <c r="K361" s="909"/>
      <c r="L361" s="911"/>
      <c r="M361" s="909"/>
      <c r="N361" s="911"/>
      <c r="O361" s="909"/>
      <c r="P361" s="910"/>
      <c r="Q361" s="911"/>
      <c r="R361" s="764" t="str">
        <f t="shared" si="79"/>
        <v/>
      </c>
      <c r="S361" s="764"/>
      <c r="T361" s="764"/>
      <c r="U361" s="1178" t="str">
        <f t="shared" si="80"/>
        <v/>
      </c>
      <c r="V361" s="1179"/>
      <c r="W361" s="1180"/>
      <c r="X361" s="742"/>
      <c r="Y361" s="742"/>
      <c r="Z361" s="909"/>
      <c r="AA361" s="910"/>
      <c r="AB361" s="911"/>
      <c r="AC361" s="764" t="str">
        <f t="shared" si="81"/>
        <v/>
      </c>
      <c r="AD361" s="764"/>
      <c r="AE361" s="764"/>
      <c r="AF361" s="764" t="str">
        <f t="shared" si="78"/>
        <v/>
      </c>
      <c r="AG361" s="764"/>
      <c r="AH361" s="764"/>
      <c r="AI361" s="673"/>
      <c r="AJ361" s="673"/>
      <c r="AK361" s="673"/>
      <c r="AL361" s="673"/>
      <c r="AM361" s="673"/>
      <c r="AN361" s="673"/>
      <c r="AO361" s="673"/>
      <c r="AP361" s="673"/>
      <c r="AQ361" s="673"/>
      <c r="AR361" s="673"/>
      <c r="AS361" s="673"/>
      <c r="AT361" s="1199"/>
      <c r="AU361" s="451"/>
      <c r="AV361" s="451"/>
      <c r="AW361" s="451"/>
      <c r="AX361" s="451"/>
      <c r="AY361" s="451"/>
      <c r="AZ361" s="451"/>
      <c r="BA361" s="451"/>
      <c r="BB361" s="451"/>
      <c r="BC361" s="451"/>
      <c r="BD361" s="451"/>
      <c r="BE361" s="451"/>
      <c r="BF361" s="451"/>
      <c r="BG361" s="451"/>
      <c r="BH361" s="451"/>
    </row>
    <row r="362" spans="2:60" ht="18" customHeight="1">
      <c r="B362" s="1170"/>
      <c r="C362" s="1171"/>
      <c r="D362" s="1171"/>
      <c r="E362" s="909"/>
      <c r="F362" s="911"/>
      <c r="G362" s="1172"/>
      <c r="H362" s="1173"/>
      <c r="I362" s="909"/>
      <c r="J362" s="911"/>
      <c r="K362" s="909"/>
      <c r="L362" s="911"/>
      <c r="M362" s="909"/>
      <c r="N362" s="911"/>
      <c r="O362" s="909"/>
      <c r="P362" s="910"/>
      <c r="Q362" s="911"/>
      <c r="R362" s="764" t="str">
        <f t="shared" si="79"/>
        <v/>
      </c>
      <c r="S362" s="764"/>
      <c r="T362" s="764"/>
      <c r="U362" s="1178" t="str">
        <f t="shared" ref="U362" si="85">IF(G362="","",IF(R362="","",ROUND(100*(R362+G362)/(100+R362),1)))</f>
        <v/>
      </c>
      <c r="V362" s="1179"/>
      <c r="W362" s="1180"/>
      <c r="X362" s="742"/>
      <c r="Y362" s="742"/>
      <c r="Z362" s="909"/>
      <c r="AA362" s="910"/>
      <c r="AB362" s="911"/>
      <c r="AC362" s="764" t="str">
        <f t="shared" si="81"/>
        <v/>
      </c>
      <c r="AD362" s="764"/>
      <c r="AE362" s="764"/>
      <c r="AF362" s="764" t="str">
        <f t="shared" ref="AF362" si="86">IF(G362="","",IF(AC362="","",ROUND(100*(AC362+G362)/(100+AC362),1)))</f>
        <v/>
      </c>
      <c r="AG362" s="764"/>
      <c r="AH362" s="764"/>
      <c r="AI362" s="673"/>
      <c r="AJ362" s="673"/>
      <c r="AK362" s="673"/>
      <c r="AL362" s="673"/>
      <c r="AM362" s="673"/>
      <c r="AN362" s="673"/>
      <c r="AO362" s="673"/>
      <c r="AP362" s="673"/>
      <c r="AQ362" s="673"/>
      <c r="AR362" s="673"/>
      <c r="AS362" s="673"/>
      <c r="AT362" s="1199"/>
      <c r="AU362" s="451"/>
      <c r="AV362" s="451"/>
      <c r="AW362" s="451"/>
      <c r="AX362" s="451"/>
      <c r="AY362" s="451"/>
      <c r="AZ362" s="451"/>
      <c r="BA362" s="451"/>
      <c r="BB362" s="451"/>
      <c r="BC362" s="451"/>
      <c r="BD362" s="451"/>
      <c r="BE362" s="451"/>
      <c r="BF362" s="451"/>
      <c r="BG362" s="451"/>
      <c r="BH362" s="451"/>
    </row>
    <row r="363" spans="2:60" ht="18" customHeight="1">
      <c r="B363" s="1170"/>
      <c r="C363" s="1171"/>
      <c r="D363" s="1171"/>
      <c r="E363" s="909"/>
      <c r="F363" s="911"/>
      <c r="G363" s="1172"/>
      <c r="H363" s="1173"/>
      <c r="I363" s="909"/>
      <c r="J363" s="911"/>
      <c r="K363" s="909"/>
      <c r="L363" s="911"/>
      <c r="M363" s="909"/>
      <c r="N363" s="911"/>
      <c r="O363" s="909"/>
      <c r="P363" s="910"/>
      <c r="Q363" s="911"/>
      <c r="R363" s="764" t="str">
        <f t="shared" si="79"/>
        <v/>
      </c>
      <c r="S363" s="764"/>
      <c r="T363" s="764"/>
      <c r="U363" s="1178" t="str">
        <f t="shared" si="80"/>
        <v/>
      </c>
      <c r="V363" s="1179"/>
      <c r="W363" s="1180"/>
      <c r="X363" s="742"/>
      <c r="Y363" s="742"/>
      <c r="Z363" s="909"/>
      <c r="AA363" s="910"/>
      <c r="AB363" s="911"/>
      <c r="AC363" s="764" t="str">
        <f t="shared" si="81"/>
        <v/>
      </c>
      <c r="AD363" s="764"/>
      <c r="AE363" s="764"/>
      <c r="AF363" s="764" t="str">
        <f t="shared" si="78"/>
        <v/>
      </c>
      <c r="AG363" s="764"/>
      <c r="AH363" s="764"/>
      <c r="AI363" s="673"/>
      <c r="AJ363" s="673"/>
      <c r="AK363" s="673"/>
      <c r="AL363" s="673"/>
      <c r="AM363" s="673"/>
      <c r="AN363" s="673"/>
      <c r="AO363" s="673"/>
      <c r="AP363" s="673"/>
      <c r="AQ363" s="673"/>
      <c r="AR363" s="673"/>
      <c r="AS363" s="673"/>
      <c r="AT363" s="1199"/>
      <c r="AU363" s="451"/>
      <c r="AV363" s="451"/>
      <c r="AW363" s="451"/>
      <c r="AX363" s="451"/>
      <c r="AY363" s="451"/>
      <c r="AZ363" s="451"/>
      <c r="BA363" s="451"/>
      <c r="BB363" s="451"/>
      <c r="BC363" s="451"/>
      <c r="BD363" s="451"/>
      <c r="BE363" s="451"/>
      <c r="BF363" s="451"/>
      <c r="BG363" s="451"/>
      <c r="BH363" s="451"/>
    </row>
    <row r="364" spans="2:60" ht="18" customHeight="1">
      <c r="B364" s="1170"/>
      <c r="C364" s="1171"/>
      <c r="D364" s="1171"/>
      <c r="E364" s="909"/>
      <c r="F364" s="911"/>
      <c r="G364" s="1172"/>
      <c r="H364" s="1173"/>
      <c r="I364" s="909"/>
      <c r="J364" s="911"/>
      <c r="K364" s="909"/>
      <c r="L364" s="911"/>
      <c r="M364" s="909"/>
      <c r="N364" s="911"/>
      <c r="O364" s="909"/>
      <c r="P364" s="910"/>
      <c r="Q364" s="911"/>
      <c r="R364" s="764" t="str">
        <f t="shared" si="79"/>
        <v/>
      </c>
      <c r="S364" s="764"/>
      <c r="T364" s="764"/>
      <c r="U364" s="1178" t="str">
        <f t="shared" si="80"/>
        <v/>
      </c>
      <c r="V364" s="1179"/>
      <c r="W364" s="1180"/>
      <c r="X364" s="742"/>
      <c r="Y364" s="742"/>
      <c r="Z364" s="909"/>
      <c r="AA364" s="910"/>
      <c r="AB364" s="911"/>
      <c r="AC364" s="764" t="str">
        <f t="shared" si="81"/>
        <v/>
      </c>
      <c r="AD364" s="764"/>
      <c r="AE364" s="764"/>
      <c r="AF364" s="764" t="str">
        <f t="shared" si="76"/>
        <v/>
      </c>
      <c r="AG364" s="764"/>
      <c r="AH364" s="764"/>
      <c r="AI364" s="673"/>
      <c r="AJ364" s="673"/>
      <c r="AK364" s="673"/>
      <c r="AL364" s="673"/>
      <c r="AM364" s="673"/>
      <c r="AN364" s="673"/>
      <c r="AO364" s="673"/>
      <c r="AP364" s="673"/>
      <c r="AQ364" s="673"/>
      <c r="AR364" s="673"/>
      <c r="AS364" s="673"/>
      <c r="AT364" s="1199"/>
      <c r="AU364" s="451"/>
      <c r="AV364" s="451"/>
      <c r="AW364" s="451"/>
      <c r="AX364" s="451"/>
      <c r="AY364" s="451"/>
      <c r="AZ364" s="451"/>
      <c r="BA364" s="451"/>
      <c r="BB364" s="451"/>
      <c r="BC364" s="451"/>
      <c r="BD364" s="451"/>
      <c r="BE364" s="451"/>
      <c r="BF364" s="451"/>
      <c r="BG364" s="451"/>
      <c r="BH364" s="451"/>
    </row>
    <row r="365" spans="2:60" ht="18" customHeight="1">
      <c r="B365" s="1170"/>
      <c r="C365" s="1171"/>
      <c r="D365" s="1171"/>
      <c r="E365" s="909"/>
      <c r="F365" s="911"/>
      <c r="G365" s="1172"/>
      <c r="H365" s="1173"/>
      <c r="I365" s="909"/>
      <c r="J365" s="911"/>
      <c r="K365" s="909"/>
      <c r="L365" s="911"/>
      <c r="M365" s="909"/>
      <c r="N365" s="911"/>
      <c r="O365" s="909"/>
      <c r="P365" s="910"/>
      <c r="Q365" s="911"/>
      <c r="R365" s="764" t="str">
        <f t="shared" si="79"/>
        <v/>
      </c>
      <c r="S365" s="764"/>
      <c r="T365" s="764"/>
      <c r="U365" s="1178" t="str">
        <f t="shared" si="80"/>
        <v/>
      </c>
      <c r="V365" s="1179"/>
      <c r="W365" s="1180"/>
      <c r="X365" s="742"/>
      <c r="Y365" s="742"/>
      <c r="Z365" s="909"/>
      <c r="AA365" s="910"/>
      <c r="AB365" s="911"/>
      <c r="AC365" s="764" t="str">
        <f t="shared" si="81"/>
        <v/>
      </c>
      <c r="AD365" s="764"/>
      <c r="AE365" s="764"/>
      <c r="AF365" s="764" t="str">
        <f t="shared" si="76"/>
        <v/>
      </c>
      <c r="AG365" s="764"/>
      <c r="AH365" s="764"/>
      <c r="AI365" s="673"/>
      <c r="AJ365" s="673"/>
      <c r="AK365" s="673"/>
      <c r="AL365" s="673"/>
      <c r="AM365" s="673"/>
      <c r="AN365" s="673"/>
      <c r="AO365" s="673"/>
      <c r="AP365" s="673"/>
      <c r="AQ365" s="673"/>
      <c r="AR365" s="673"/>
      <c r="AS365" s="673"/>
      <c r="AT365" s="1199"/>
      <c r="AU365" s="451"/>
      <c r="AV365" s="451"/>
      <c r="AW365" s="451"/>
      <c r="AX365" s="451"/>
      <c r="AY365" s="451"/>
      <c r="AZ365" s="451"/>
      <c r="BA365" s="451"/>
      <c r="BB365" s="451"/>
      <c r="BC365" s="451"/>
      <c r="BD365" s="451"/>
      <c r="BE365" s="451"/>
      <c r="BF365" s="451"/>
      <c r="BG365" s="451"/>
      <c r="BH365" s="451"/>
    </row>
    <row r="366" spans="2:60" ht="18" customHeight="1">
      <c r="B366" s="1170"/>
      <c r="C366" s="1171"/>
      <c r="D366" s="1171"/>
      <c r="E366" s="909"/>
      <c r="F366" s="911"/>
      <c r="G366" s="1172"/>
      <c r="H366" s="1173"/>
      <c r="I366" s="909"/>
      <c r="J366" s="911"/>
      <c r="K366" s="909"/>
      <c r="L366" s="911"/>
      <c r="M366" s="909"/>
      <c r="N366" s="911"/>
      <c r="O366" s="909"/>
      <c r="P366" s="910"/>
      <c r="Q366" s="911"/>
      <c r="R366" s="764" t="str">
        <f t="shared" si="79"/>
        <v/>
      </c>
      <c r="S366" s="764"/>
      <c r="T366" s="764"/>
      <c r="U366" s="1178" t="str">
        <f t="shared" si="80"/>
        <v/>
      </c>
      <c r="V366" s="1179"/>
      <c r="W366" s="1180"/>
      <c r="X366" s="742"/>
      <c r="Y366" s="742"/>
      <c r="Z366" s="909"/>
      <c r="AA366" s="910"/>
      <c r="AB366" s="911"/>
      <c r="AC366" s="764" t="str">
        <f t="shared" si="81"/>
        <v/>
      </c>
      <c r="AD366" s="764"/>
      <c r="AE366" s="764"/>
      <c r="AF366" s="764" t="str">
        <f t="shared" si="76"/>
        <v/>
      </c>
      <c r="AG366" s="764"/>
      <c r="AH366" s="764"/>
      <c r="AI366" s="673"/>
      <c r="AJ366" s="673"/>
      <c r="AK366" s="673"/>
      <c r="AL366" s="673"/>
      <c r="AM366" s="673"/>
      <c r="AN366" s="673"/>
      <c r="AO366" s="673"/>
      <c r="AP366" s="673"/>
      <c r="AQ366" s="673"/>
      <c r="AR366" s="673"/>
      <c r="AS366" s="673"/>
      <c r="AT366" s="1199"/>
      <c r="AU366" s="451"/>
      <c r="AV366" s="451"/>
      <c r="AW366" s="451"/>
      <c r="AX366" s="451"/>
      <c r="AY366" s="451"/>
      <c r="AZ366" s="451"/>
      <c r="BA366" s="451"/>
      <c r="BB366" s="451"/>
      <c r="BC366" s="451"/>
      <c r="BD366" s="451"/>
      <c r="BE366" s="451"/>
      <c r="BF366" s="451"/>
      <c r="BG366" s="451"/>
      <c r="BH366" s="451"/>
    </row>
    <row r="367" spans="2:60" ht="18" customHeight="1">
      <c r="B367" s="1170"/>
      <c r="C367" s="1171"/>
      <c r="D367" s="1171"/>
      <c r="E367" s="909"/>
      <c r="F367" s="911"/>
      <c r="G367" s="1172"/>
      <c r="H367" s="1173"/>
      <c r="I367" s="909"/>
      <c r="J367" s="911"/>
      <c r="K367" s="909"/>
      <c r="L367" s="911"/>
      <c r="M367" s="909"/>
      <c r="N367" s="911"/>
      <c r="O367" s="909"/>
      <c r="P367" s="910"/>
      <c r="Q367" s="911"/>
      <c r="R367" s="764" t="str">
        <f t="shared" si="79"/>
        <v/>
      </c>
      <c r="S367" s="764"/>
      <c r="T367" s="764"/>
      <c r="U367" s="1178" t="str">
        <f t="shared" si="80"/>
        <v/>
      </c>
      <c r="V367" s="1179"/>
      <c r="W367" s="1180"/>
      <c r="X367" s="742"/>
      <c r="Y367" s="742"/>
      <c r="Z367" s="909"/>
      <c r="AA367" s="910"/>
      <c r="AB367" s="911"/>
      <c r="AC367" s="764" t="str">
        <f t="shared" si="81"/>
        <v/>
      </c>
      <c r="AD367" s="764"/>
      <c r="AE367" s="764"/>
      <c r="AF367" s="764" t="str">
        <f t="shared" si="76"/>
        <v/>
      </c>
      <c r="AG367" s="764"/>
      <c r="AH367" s="764"/>
      <c r="AI367" s="673"/>
      <c r="AJ367" s="673"/>
      <c r="AK367" s="673"/>
      <c r="AL367" s="673"/>
      <c r="AM367" s="673"/>
      <c r="AN367" s="673"/>
      <c r="AO367" s="673"/>
      <c r="AP367" s="673"/>
      <c r="AQ367" s="673"/>
      <c r="AR367" s="673"/>
      <c r="AS367" s="673"/>
      <c r="AT367" s="1199"/>
      <c r="AU367" s="451"/>
      <c r="AV367" s="451"/>
      <c r="AW367" s="451"/>
      <c r="AX367" s="451"/>
      <c r="AY367" s="451"/>
      <c r="AZ367" s="451"/>
      <c r="BA367" s="451"/>
      <c r="BB367" s="451"/>
      <c r="BC367" s="451"/>
      <c r="BD367" s="451"/>
      <c r="BE367" s="451"/>
      <c r="BF367" s="451"/>
      <c r="BG367" s="451"/>
      <c r="BH367" s="451"/>
    </row>
    <row r="368" spans="2:60" ht="18" customHeight="1">
      <c r="B368" s="1170"/>
      <c r="C368" s="1171"/>
      <c r="D368" s="1171"/>
      <c r="E368" s="909"/>
      <c r="F368" s="911"/>
      <c r="G368" s="1172"/>
      <c r="H368" s="1173"/>
      <c r="I368" s="909"/>
      <c r="J368" s="911"/>
      <c r="K368" s="909"/>
      <c r="L368" s="911"/>
      <c r="M368" s="909"/>
      <c r="N368" s="911"/>
      <c r="O368" s="909"/>
      <c r="P368" s="910"/>
      <c r="Q368" s="911"/>
      <c r="R368" s="764" t="str">
        <f t="shared" si="79"/>
        <v/>
      </c>
      <c r="S368" s="764"/>
      <c r="T368" s="764"/>
      <c r="U368" s="1178" t="str">
        <f t="shared" si="80"/>
        <v/>
      </c>
      <c r="V368" s="1179"/>
      <c r="W368" s="1180"/>
      <c r="X368" s="742"/>
      <c r="Y368" s="742"/>
      <c r="Z368" s="909"/>
      <c r="AA368" s="910"/>
      <c r="AB368" s="911"/>
      <c r="AC368" s="764" t="str">
        <f t="shared" si="81"/>
        <v/>
      </c>
      <c r="AD368" s="764"/>
      <c r="AE368" s="764"/>
      <c r="AF368" s="764" t="str">
        <f t="shared" si="76"/>
        <v/>
      </c>
      <c r="AG368" s="764"/>
      <c r="AH368" s="764"/>
      <c r="AI368" s="673"/>
      <c r="AJ368" s="673"/>
      <c r="AK368" s="673"/>
      <c r="AL368" s="673"/>
      <c r="AM368" s="673"/>
      <c r="AN368" s="673"/>
      <c r="AO368" s="673"/>
      <c r="AP368" s="673"/>
      <c r="AQ368" s="673"/>
      <c r="AR368" s="673"/>
      <c r="AS368" s="673"/>
      <c r="AT368" s="1199"/>
      <c r="AU368" s="451"/>
      <c r="AV368" s="451"/>
      <c r="AW368" s="451"/>
      <c r="AX368" s="451"/>
      <c r="AY368" s="451"/>
      <c r="AZ368" s="451"/>
      <c r="BA368" s="451"/>
      <c r="BB368" s="451"/>
      <c r="BC368" s="451"/>
      <c r="BD368" s="451"/>
      <c r="BE368" s="451"/>
      <c r="BF368" s="451"/>
      <c r="BG368" s="451"/>
      <c r="BH368" s="451"/>
    </row>
    <row r="369" spans="2:60" ht="18" customHeight="1">
      <c r="B369" s="1170"/>
      <c r="C369" s="1171"/>
      <c r="D369" s="1171"/>
      <c r="E369" s="909"/>
      <c r="F369" s="911"/>
      <c r="G369" s="1172"/>
      <c r="H369" s="1173"/>
      <c r="I369" s="909"/>
      <c r="J369" s="911"/>
      <c r="K369" s="909"/>
      <c r="L369" s="911"/>
      <c r="M369" s="909"/>
      <c r="N369" s="911"/>
      <c r="O369" s="909"/>
      <c r="P369" s="910"/>
      <c r="Q369" s="911"/>
      <c r="R369" s="764" t="str">
        <f t="shared" si="79"/>
        <v/>
      </c>
      <c r="S369" s="764"/>
      <c r="T369" s="764"/>
      <c r="U369" s="1178" t="str">
        <f t="shared" ref="U369:U378" si="87">IF(G369="","",IF(R369="","",ROUND(100*(R369+G369)/(100+R369),1)))</f>
        <v/>
      </c>
      <c r="V369" s="1179"/>
      <c r="W369" s="1180"/>
      <c r="X369" s="742"/>
      <c r="Y369" s="742"/>
      <c r="Z369" s="909"/>
      <c r="AA369" s="910"/>
      <c r="AB369" s="911"/>
      <c r="AC369" s="764" t="str">
        <f t="shared" si="81"/>
        <v/>
      </c>
      <c r="AD369" s="764"/>
      <c r="AE369" s="764"/>
      <c r="AF369" s="764" t="str">
        <f t="shared" si="76"/>
        <v/>
      </c>
      <c r="AG369" s="764"/>
      <c r="AH369" s="764"/>
      <c r="AI369" s="673"/>
      <c r="AJ369" s="673"/>
      <c r="AK369" s="673"/>
      <c r="AL369" s="673"/>
      <c r="AM369" s="673"/>
      <c r="AN369" s="673"/>
      <c r="AO369" s="673"/>
      <c r="AP369" s="673"/>
      <c r="AQ369" s="673"/>
      <c r="AR369" s="673"/>
      <c r="AS369" s="673"/>
      <c r="AT369" s="1199"/>
      <c r="AU369" s="451"/>
      <c r="AV369" s="451"/>
      <c r="AW369" s="451"/>
      <c r="AX369" s="451"/>
      <c r="AY369" s="451"/>
      <c r="AZ369" s="451"/>
      <c r="BA369" s="451"/>
      <c r="BB369" s="451"/>
      <c r="BC369" s="451"/>
      <c r="BD369" s="451"/>
      <c r="BE369" s="451"/>
      <c r="BF369" s="451"/>
      <c r="BG369" s="451"/>
      <c r="BH369" s="451"/>
    </row>
    <row r="370" spans="2:60" ht="18" customHeight="1">
      <c r="B370" s="1170"/>
      <c r="C370" s="1171"/>
      <c r="D370" s="1171"/>
      <c r="E370" s="909"/>
      <c r="F370" s="911"/>
      <c r="G370" s="1172"/>
      <c r="H370" s="1173"/>
      <c r="I370" s="909"/>
      <c r="J370" s="911"/>
      <c r="K370" s="909"/>
      <c r="L370" s="911"/>
      <c r="M370" s="909"/>
      <c r="N370" s="911"/>
      <c r="O370" s="909"/>
      <c r="P370" s="910"/>
      <c r="Q370" s="911"/>
      <c r="R370" s="764" t="str">
        <f t="shared" si="79"/>
        <v/>
      </c>
      <c r="S370" s="764"/>
      <c r="T370" s="764"/>
      <c r="U370" s="1178" t="str">
        <f t="shared" si="87"/>
        <v/>
      </c>
      <c r="V370" s="1179"/>
      <c r="W370" s="1180"/>
      <c r="X370" s="742"/>
      <c r="Y370" s="742"/>
      <c r="Z370" s="909"/>
      <c r="AA370" s="910"/>
      <c r="AB370" s="911"/>
      <c r="AC370" s="764" t="str">
        <f t="shared" si="81"/>
        <v/>
      </c>
      <c r="AD370" s="764"/>
      <c r="AE370" s="764"/>
      <c r="AF370" s="764" t="str">
        <f t="shared" si="76"/>
        <v/>
      </c>
      <c r="AG370" s="764"/>
      <c r="AH370" s="764"/>
      <c r="AI370" s="673"/>
      <c r="AJ370" s="673"/>
      <c r="AK370" s="673"/>
      <c r="AL370" s="673"/>
      <c r="AM370" s="673"/>
      <c r="AN370" s="673"/>
      <c r="AO370" s="673"/>
      <c r="AP370" s="673"/>
      <c r="AQ370" s="673"/>
      <c r="AR370" s="673"/>
      <c r="AS370" s="673"/>
      <c r="AT370" s="1199"/>
      <c r="AU370" s="451"/>
      <c r="AV370" s="451"/>
      <c r="AW370" s="451"/>
      <c r="AX370" s="451"/>
      <c r="AY370" s="451"/>
      <c r="AZ370" s="451"/>
      <c r="BA370" s="451"/>
      <c r="BB370" s="451"/>
      <c r="BC370" s="451"/>
      <c r="BD370" s="451"/>
      <c r="BE370" s="451"/>
      <c r="BF370" s="451"/>
      <c r="BG370" s="451"/>
      <c r="BH370" s="451"/>
    </row>
    <row r="371" spans="2:60" ht="18" customHeight="1">
      <c r="B371" s="1170"/>
      <c r="C371" s="889" t="s">
        <v>432</v>
      </c>
      <c r="D371" s="890"/>
      <c r="E371" s="1193">
        <f>SUMIF(C271:D370,C371,E271:F370)</f>
        <v>0</v>
      </c>
      <c r="F371" s="1195"/>
      <c r="G371" s="1201" t="str">
        <f>IFERROR(AVERAGEIF(C$271:D$370,C371,G$271:H$370),"")</f>
        <v/>
      </c>
      <c r="H371" s="1202"/>
      <c r="I371" s="1193" t="str">
        <f>IFERROR(AVERAGEIF(C$271:D$370,C371,I$271:J$370),"")</f>
        <v/>
      </c>
      <c r="J371" s="1195"/>
      <c r="K371" s="1193" t="str">
        <f>IFERROR(AVERAGEIF(C$271:D$370,C371,K$271:L$370),"")</f>
        <v/>
      </c>
      <c r="L371" s="1195"/>
      <c r="M371" s="1193" t="str">
        <f>IFERROR(AVERAGEIF(C$271:D$370,C371,M$271:N$370),"")</f>
        <v/>
      </c>
      <c r="N371" s="1195"/>
      <c r="O371" s="1193">
        <f>SUMIF(C271:D370,C371,O271:Q370)</f>
        <v>0</v>
      </c>
      <c r="P371" s="1194"/>
      <c r="Q371" s="1195"/>
      <c r="R371" s="764" t="str">
        <f>IF($E371=0,"",IF($O371=0,"",ROUND(($O371-$E371)/$E371*100,1)))</f>
        <v/>
      </c>
      <c r="S371" s="764"/>
      <c r="T371" s="764"/>
      <c r="U371" s="1178" t="str">
        <f t="shared" si="87"/>
        <v/>
      </c>
      <c r="V371" s="1179"/>
      <c r="W371" s="1180"/>
      <c r="X371" s="872" t="str">
        <f>IFERROR(AVERAGEIF(C$271:D$370,C371,X$271:Y$370),"")</f>
        <v/>
      </c>
      <c r="Y371" s="872"/>
      <c r="Z371" s="1193">
        <f>SUMIF(C$271:D$370,C371,Z$271:AB$370)</f>
        <v>0</v>
      </c>
      <c r="AA371" s="1194"/>
      <c r="AB371" s="1195"/>
      <c r="AC371" s="764" t="str">
        <f>IF($E371=0,"",IF($Z371=0,"",ROUND(($Z371-$E371)/$E371*100,1)))</f>
        <v/>
      </c>
      <c r="AD371" s="764"/>
      <c r="AE371" s="764"/>
      <c r="AF371" s="1200" t="str">
        <f>IF(G371="","",IF(AC371="","",ROUND(100*(AC371+G371)/(100+AC371),1)))</f>
        <v/>
      </c>
      <c r="AG371" s="1200"/>
      <c r="AH371" s="1200"/>
      <c r="AI371" s="683" t="s">
        <v>418</v>
      </c>
      <c r="AJ371" s="684"/>
      <c r="AK371" s="685"/>
      <c r="AL371" s="1193" t="str">
        <f>IF(AL271="","",AL271)</f>
        <v/>
      </c>
      <c r="AM371" s="1194"/>
      <c r="AN371" s="1195"/>
      <c r="AO371" s="1193" t="str">
        <f t="shared" ref="AO371" si="88">IF(AO271="","",AO271)</f>
        <v/>
      </c>
      <c r="AP371" s="1194"/>
      <c r="AQ371" s="1195"/>
      <c r="AR371" s="1193" t="str">
        <f t="shared" ref="AR371" si="89">IF(AR271="","",AR271)</f>
        <v/>
      </c>
      <c r="AS371" s="1194"/>
      <c r="AT371" s="1195"/>
      <c r="AU371" s="451"/>
      <c r="AV371" s="451"/>
      <c r="AW371" s="451"/>
      <c r="AX371" s="451"/>
      <c r="AY371" s="451"/>
      <c r="AZ371" s="451"/>
      <c r="BA371" s="451"/>
      <c r="BB371" s="451"/>
      <c r="BC371" s="451"/>
      <c r="BD371" s="451"/>
      <c r="BE371" s="451"/>
      <c r="BF371" s="451"/>
      <c r="BG371" s="451"/>
      <c r="BH371" s="451"/>
    </row>
    <row r="372" spans="2:60" ht="18" customHeight="1">
      <c r="B372" s="1170"/>
      <c r="C372" s="889" t="s">
        <v>425</v>
      </c>
      <c r="D372" s="890"/>
      <c r="E372" s="1193">
        <f>SUMIF(C271:D370,C372,E271:F370)</f>
        <v>0</v>
      </c>
      <c r="F372" s="1195"/>
      <c r="G372" s="1201" t="str">
        <f t="shared" ref="G372:G377" si="90">IFERROR(AVERAGEIF(C$271:D$370,C372,G$271:H$370),"")</f>
        <v/>
      </c>
      <c r="H372" s="1202"/>
      <c r="I372" s="1193" t="str">
        <f t="shared" ref="I372:I377" si="91">IFERROR(AVERAGEIF(C$271:D$370,C372,I$271:J$370),"")</f>
        <v/>
      </c>
      <c r="J372" s="1195"/>
      <c r="K372" s="1193" t="str">
        <f t="shared" ref="K372:K377" si="92">IFERROR(AVERAGEIF(C$271:D$370,C372,K$271:L$370),"")</f>
        <v/>
      </c>
      <c r="L372" s="1195"/>
      <c r="M372" s="1193" t="str">
        <f t="shared" ref="M372:M378" si="93">IFERROR(AVERAGEIF(C$271:D$370,C372,M$271:N$370),"")</f>
        <v/>
      </c>
      <c r="N372" s="1195"/>
      <c r="O372" s="1193">
        <f>SUMIF(C271:D370,C372,O271:Q370)</f>
        <v>0</v>
      </c>
      <c r="P372" s="1194"/>
      <c r="Q372" s="1195"/>
      <c r="R372" s="764" t="str">
        <f t="shared" ref="R372:R377" si="94">IF($E372=0,"",IF($O372=0,"",ROUND(($O372-$E372)/$E372*100,1)))</f>
        <v/>
      </c>
      <c r="S372" s="764"/>
      <c r="T372" s="764"/>
      <c r="U372" s="1178" t="str">
        <f t="shared" si="87"/>
        <v/>
      </c>
      <c r="V372" s="1179"/>
      <c r="W372" s="1180"/>
      <c r="X372" s="872" t="str">
        <f t="shared" ref="X372:X378" si="95">IFERROR(AVERAGEIF(C$271:D$370,C372,X$271:Y$370),"")</f>
        <v/>
      </c>
      <c r="Y372" s="872"/>
      <c r="Z372" s="1193">
        <f t="shared" ref="Z372:Z378" si="96">SUMIF(C$271:D$370,C372,Z$271:AB$370)</f>
        <v>0</v>
      </c>
      <c r="AA372" s="1194"/>
      <c r="AB372" s="1195"/>
      <c r="AC372" s="764" t="str">
        <f t="shared" ref="AC372:AC377" si="97">IF($E372=0,"",IF($Z372=0,"",ROUND(($Z372-$E372)/$E372*100,1)))</f>
        <v/>
      </c>
      <c r="AD372" s="764"/>
      <c r="AE372" s="764"/>
      <c r="AF372" s="1200" t="str">
        <f t="shared" si="76"/>
        <v/>
      </c>
      <c r="AG372" s="1200"/>
      <c r="AH372" s="1200"/>
      <c r="AI372" s="683" t="s">
        <v>269</v>
      </c>
      <c r="AJ372" s="684"/>
      <c r="AK372" s="685"/>
      <c r="AL372" s="1193" t="str">
        <f t="shared" ref="AL372:AL378" si="98">IF(AL272="","",AL272)</f>
        <v/>
      </c>
      <c r="AM372" s="1194"/>
      <c r="AN372" s="1195"/>
      <c r="AO372" s="1193" t="str">
        <f t="shared" ref="AO372" si="99">IF(AO272="","",AO272)</f>
        <v/>
      </c>
      <c r="AP372" s="1194"/>
      <c r="AQ372" s="1195"/>
      <c r="AR372" s="1193" t="str">
        <f t="shared" ref="AR372" si="100">IF(AR272="","",AR272)</f>
        <v/>
      </c>
      <c r="AS372" s="1194"/>
      <c r="AT372" s="1195"/>
      <c r="AU372" s="451"/>
      <c r="AV372" s="451"/>
      <c r="AW372" s="451"/>
      <c r="AX372" s="451"/>
      <c r="AY372" s="451"/>
      <c r="AZ372" s="451"/>
      <c r="BA372" s="451"/>
      <c r="BB372" s="451"/>
      <c r="BC372" s="451"/>
      <c r="BD372" s="451"/>
      <c r="BE372" s="451"/>
      <c r="BF372" s="451"/>
      <c r="BG372" s="451"/>
      <c r="BH372" s="451"/>
    </row>
    <row r="373" spans="2:60" ht="18" customHeight="1">
      <c r="B373" s="1170"/>
      <c r="C373" s="889" t="s">
        <v>426</v>
      </c>
      <c r="D373" s="890"/>
      <c r="E373" s="1193">
        <f>SUMIF(C271:D370,C373,E271:F370)</f>
        <v>0</v>
      </c>
      <c r="F373" s="1195"/>
      <c r="G373" s="1201" t="str">
        <f t="shared" si="90"/>
        <v/>
      </c>
      <c r="H373" s="1202"/>
      <c r="I373" s="1193" t="str">
        <f t="shared" si="91"/>
        <v/>
      </c>
      <c r="J373" s="1195"/>
      <c r="K373" s="1193" t="str">
        <f t="shared" si="92"/>
        <v/>
      </c>
      <c r="L373" s="1195"/>
      <c r="M373" s="1193" t="str">
        <f t="shared" si="93"/>
        <v/>
      </c>
      <c r="N373" s="1195"/>
      <c r="O373" s="1193">
        <f>SUMIF(C271:D370,C373,O271:Q370)</f>
        <v>0</v>
      </c>
      <c r="P373" s="1194"/>
      <c r="Q373" s="1195"/>
      <c r="R373" s="764" t="str">
        <f t="shared" si="94"/>
        <v/>
      </c>
      <c r="S373" s="764"/>
      <c r="T373" s="764"/>
      <c r="U373" s="1178" t="str">
        <f t="shared" si="87"/>
        <v/>
      </c>
      <c r="V373" s="1179"/>
      <c r="W373" s="1180"/>
      <c r="X373" s="872" t="str">
        <f t="shared" si="95"/>
        <v/>
      </c>
      <c r="Y373" s="872"/>
      <c r="Z373" s="1193">
        <f t="shared" si="96"/>
        <v>0</v>
      </c>
      <c r="AA373" s="1194"/>
      <c r="AB373" s="1195"/>
      <c r="AC373" s="764" t="str">
        <f t="shared" si="97"/>
        <v/>
      </c>
      <c r="AD373" s="764"/>
      <c r="AE373" s="764"/>
      <c r="AF373" s="1200" t="str">
        <f t="shared" si="76"/>
        <v/>
      </c>
      <c r="AG373" s="1200"/>
      <c r="AH373" s="1200"/>
      <c r="AI373" s="683" t="s">
        <v>422</v>
      </c>
      <c r="AJ373" s="684"/>
      <c r="AK373" s="685"/>
      <c r="AL373" s="1193" t="str">
        <f t="shared" si="98"/>
        <v/>
      </c>
      <c r="AM373" s="1194"/>
      <c r="AN373" s="1195"/>
      <c r="AO373" s="1193" t="str">
        <f t="shared" ref="AO373" si="101">IF(AO273="","",AO273)</f>
        <v/>
      </c>
      <c r="AP373" s="1194"/>
      <c r="AQ373" s="1195"/>
      <c r="AR373" s="1193" t="str">
        <f t="shared" ref="AR373" si="102">IF(AR273="","",AR273)</f>
        <v/>
      </c>
      <c r="AS373" s="1194"/>
      <c r="AT373" s="1195"/>
      <c r="AU373" s="451"/>
      <c r="AV373" s="451"/>
      <c r="AW373" s="451"/>
      <c r="AX373" s="451"/>
      <c r="AY373" s="451"/>
      <c r="AZ373" s="451"/>
      <c r="BA373" s="451"/>
      <c r="BB373" s="451"/>
      <c r="BC373" s="451"/>
      <c r="BD373" s="451"/>
      <c r="BE373" s="451"/>
      <c r="BF373" s="451"/>
      <c r="BG373" s="451"/>
      <c r="BH373" s="451"/>
    </row>
    <row r="374" spans="2:60" ht="18" customHeight="1">
      <c r="B374" s="1170"/>
      <c r="C374" s="871" t="s">
        <v>427</v>
      </c>
      <c r="D374" s="871"/>
      <c r="E374" s="1193">
        <f>SUMIF(C271:D370,C374,E271:F370)</f>
        <v>0</v>
      </c>
      <c r="F374" s="1195"/>
      <c r="G374" s="1201" t="str">
        <f t="shared" si="90"/>
        <v/>
      </c>
      <c r="H374" s="1202"/>
      <c r="I374" s="1193" t="str">
        <f t="shared" si="91"/>
        <v/>
      </c>
      <c r="J374" s="1195"/>
      <c r="K374" s="1193" t="str">
        <f t="shared" si="92"/>
        <v/>
      </c>
      <c r="L374" s="1195"/>
      <c r="M374" s="1193" t="str">
        <f t="shared" si="93"/>
        <v/>
      </c>
      <c r="N374" s="1195"/>
      <c r="O374" s="1193">
        <f>SUMIF(C271:D370,C374,O271:Q370)</f>
        <v>0</v>
      </c>
      <c r="P374" s="1194"/>
      <c r="Q374" s="1195"/>
      <c r="R374" s="764" t="str">
        <f t="shared" si="94"/>
        <v/>
      </c>
      <c r="S374" s="764"/>
      <c r="T374" s="764"/>
      <c r="U374" s="1178" t="str">
        <f t="shared" si="87"/>
        <v/>
      </c>
      <c r="V374" s="1179"/>
      <c r="W374" s="1180"/>
      <c r="X374" s="872" t="str">
        <f t="shared" si="95"/>
        <v/>
      </c>
      <c r="Y374" s="872"/>
      <c r="Z374" s="1193">
        <f t="shared" si="96"/>
        <v>0</v>
      </c>
      <c r="AA374" s="1194"/>
      <c r="AB374" s="1195"/>
      <c r="AC374" s="764" t="str">
        <f t="shared" si="97"/>
        <v/>
      </c>
      <c r="AD374" s="764"/>
      <c r="AE374" s="764"/>
      <c r="AF374" s="1200" t="str">
        <f t="shared" si="76"/>
        <v/>
      </c>
      <c r="AG374" s="1200"/>
      <c r="AH374" s="1200"/>
      <c r="AI374" s="683" t="s">
        <v>423</v>
      </c>
      <c r="AJ374" s="684"/>
      <c r="AK374" s="685"/>
      <c r="AL374" s="1193" t="str">
        <f t="shared" si="98"/>
        <v/>
      </c>
      <c r="AM374" s="1194"/>
      <c r="AN374" s="1195"/>
      <c r="AO374" s="1193" t="str">
        <f t="shared" ref="AO374" si="103">IF(AO274="","",AO274)</f>
        <v/>
      </c>
      <c r="AP374" s="1194"/>
      <c r="AQ374" s="1195"/>
      <c r="AR374" s="1193" t="str">
        <f t="shared" ref="AR374" si="104">IF(AR274="","",AR274)</f>
        <v/>
      </c>
      <c r="AS374" s="1194"/>
      <c r="AT374" s="1195"/>
      <c r="AU374" s="451"/>
      <c r="AV374" s="451"/>
      <c r="AW374" s="451"/>
      <c r="AX374" s="451"/>
      <c r="AY374" s="451"/>
      <c r="AZ374" s="451"/>
      <c r="BA374" s="451"/>
      <c r="BB374" s="451"/>
      <c r="BC374" s="451"/>
      <c r="BD374" s="451"/>
      <c r="BE374" s="451"/>
      <c r="BF374" s="451"/>
      <c r="BG374" s="451"/>
      <c r="BH374" s="451"/>
    </row>
    <row r="375" spans="2:60" ht="18" customHeight="1">
      <c r="B375" s="1170"/>
      <c r="C375" s="889" t="s">
        <v>428</v>
      </c>
      <c r="D375" s="890"/>
      <c r="E375" s="1193">
        <f>SUMIF(C271:D370,C375,E271:F370)</f>
        <v>0</v>
      </c>
      <c r="F375" s="1195"/>
      <c r="G375" s="1201" t="str">
        <f t="shared" si="90"/>
        <v/>
      </c>
      <c r="H375" s="1202"/>
      <c r="I375" s="1193" t="str">
        <f t="shared" si="91"/>
        <v/>
      </c>
      <c r="J375" s="1195"/>
      <c r="K375" s="1193" t="str">
        <f t="shared" si="92"/>
        <v/>
      </c>
      <c r="L375" s="1195"/>
      <c r="M375" s="1193" t="str">
        <f t="shared" si="93"/>
        <v/>
      </c>
      <c r="N375" s="1195"/>
      <c r="O375" s="1193">
        <f>SUMIF(C271:D370,C375,O271:Q370)</f>
        <v>0</v>
      </c>
      <c r="P375" s="1194"/>
      <c r="Q375" s="1195"/>
      <c r="R375" s="764" t="str">
        <f t="shared" si="94"/>
        <v/>
      </c>
      <c r="S375" s="764"/>
      <c r="T375" s="764"/>
      <c r="U375" s="1178" t="str">
        <f t="shared" si="87"/>
        <v/>
      </c>
      <c r="V375" s="1179"/>
      <c r="W375" s="1180"/>
      <c r="X375" s="872" t="str">
        <f t="shared" si="95"/>
        <v/>
      </c>
      <c r="Y375" s="872"/>
      <c r="Z375" s="1193">
        <f t="shared" si="96"/>
        <v>0</v>
      </c>
      <c r="AA375" s="1194"/>
      <c r="AB375" s="1195"/>
      <c r="AC375" s="764" t="str">
        <f t="shared" si="97"/>
        <v/>
      </c>
      <c r="AD375" s="764"/>
      <c r="AE375" s="764"/>
      <c r="AF375" s="1200" t="str">
        <f t="shared" si="76"/>
        <v/>
      </c>
      <c r="AG375" s="1200"/>
      <c r="AH375" s="1200"/>
      <c r="AI375" s="683" t="s">
        <v>424</v>
      </c>
      <c r="AJ375" s="684"/>
      <c r="AK375" s="685"/>
      <c r="AL375" s="1193" t="str">
        <f t="shared" si="98"/>
        <v/>
      </c>
      <c r="AM375" s="1194"/>
      <c r="AN375" s="1195"/>
      <c r="AO375" s="1193" t="str">
        <f t="shared" ref="AO375" si="105">IF(AO275="","",AO275)</f>
        <v/>
      </c>
      <c r="AP375" s="1194"/>
      <c r="AQ375" s="1195"/>
      <c r="AR375" s="1193" t="str">
        <f t="shared" ref="AR375" si="106">IF(AR275="","",AR275)</f>
        <v/>
      </c>
      <c r="AS375" s="1194"/>
      <c r="AT375" s="1195"/>
      <c r="AU375" s="451"/>
      <c r="AV375" s="451"/>
      <c r="AW375" s="451"/>
      <c r="AX375" s="451"/>
      <c r="AY375" s="451"/>
      <c r="AZ375" s="451"/>
      <c r="BA375" s="451"/>
      <c r="BB375" s="451"/>
      <c r="BC375" s="451"/>
      <c r="BD375" s="451"/>
      <c r="BE375" s="451"/>
      <c r="BF375" s="451"/>
      <c r="BG375" s="451"/>
      <c r="BH375" s="451"/>
    </row>
    <row r="376" spans="2:60" ht="18" customHeight="1">
      <c r="B376" s="1170"/>
      <c r="C376" s="889" t="s">
        <v>429</v>
      </c>
      <c r="D376" s="890"/>
      <c r="E376" s="1193">
        <f>SUMIF(C271:D370,C376,E271:F370)</f>
        <v>0</v>
      </c>
      <c r="F376" s="1195"/>
      <c r="G376" s="1201" t="str">
        <f t="shared" si="90"/>
        <v/>
      </c>
      <c r="H376" s="1202"/>
      <c r="I376" s="1193" t="str">
        <f t="shared" si="91"/>
        <v/>
      </c>
      <c r="J376" s="1195"/>
      <c r="K376" s="1193" t="str">
        <f t="shared" si="92"/>
        <v/>
      </c>
      <c r="L376" s="1195"/>
      <c r="M376" s="1193" t="str">
        <f t="shared" si="93"/>
        <v/>
      </c>
      <c r="N376" s="1195"/>
      <c r="O376" s="1193">
        <f>SUMIF(C271:D370,C376,O271:Q370)</f>
        <v>0</v>
      </c>
      <c r="P376" s="1194"/>
      <c r="Q376" s="1195"/>
      <c r="R376" s="764" t="str">
        <f t="shared" si="94"/>
        <v/>
      </c>
      <c r="S376" s="764"/>
      <c r="T376" s="764"/>
      <c r="U376" s="1178" t="str">
        <f t="shared" si="87"/>
        <v/>
      </c>
      <c r="V376" s="1179"/>
      <c r="W376" s="1180"/>
      <c r="X376" s="872" t="str">
        <f t="shared" si="95"/>
        <v/>
      </c>
      <c r="Y376" s="872"/>
      <c r="Z376" s="1193">
        <f t="shared" si="96"/>
        <v>0</v>
      </c>
      <c r="AA376" s="1194"/>
      <c r="AB376" s="1195"/>
      <c r="AC376" s="764" t="str">
        <f t="shared" si="97"/>
        <v/>
      </c>
      <c r="AD376" s="764"/>
      <c r="AE376" s="764"/>
      <c r="AF376" s="1200" t="str">
        <f t="shared" si="76"/>
        <v/>
      </c>
      <c r="AG376" s="1200"/>
      <c r="AH376" s="1200"/>
      <c r="AI376" s="683" t="s">
        <v>420</v>
      </c>
      <c r="AJ376" s="684"/>
      <c r="AK376" s="685"/>
      <c r="AL376" s="1193" t="str">
        <f t="shared" si="98"/>
        <v/>
      </c>
      <c r="AM376" s="1194"/>
      <c r="AN376" s="1195"/>
      <c r="AO376" s="1193" t="str">
        <f t="shared" ref="AO376" si="107">IF(AO276="","",AO276)</f>
        <v/>
      </c>
      <c r="AP376" s="1194"/>
      <c r="AQ376" s="1195"/>
      <c r="AR376" s="1193" t="str">
        <f t="shared" ref="AR376" si="108">IF(AR276="","",AR276)</f>
        <v/>
      </c>
      <c r="AS376" s="1194"/>
      <c r="AT376" s="1195"/>
      <c r="AU376" s="451"/>
      <c r="AV376" s="451"/>
      <c r="AW376" s="451"/>
      <c r="AX376" s="451"/>
      <c r="AY376" s="451"/>
      <c r="AZ376" s="451"/>
      <c r="BA376" s="451"/>
      <c r="BB376" s="451"/>
      <c r="BC376" s="451"/>
      <c r="BD376" s="451"/>
      <c r="BE376" s="451"/>
      <c r="BF376" s="451"/>
      <c r="BG376" s="451"/>
      <c r="BH376" s="451"/>
    </row>
    <row r="377" spans="2:60" ht="18" customHeight="1">
      <c r="B377" s="1170"/>
      <c r="C377" s="871" t="s">
        <v>430</v>
      </c>
      <c r="D377" s="871"/>
      <c r="E377" s="1193">
        <f>SUMIF(C271:D370,C377,E271:F370)</f>
        <v>0</v>
      </c>
      <c r="F377" s="1195"/>
      <c r="G377" s="1201" t="str">
        <f t="shared" si="90"/>
        <v/>
      </c>
      <c r="H377" s="1202"/>
      <c r="I377" s="1193" t="str">
        <f t="shared" si="91"/>
        <v/>
      </c>
      <c r="J377" s="1195"/>
      <c r="K377" s="1193" t="str">
        <f t="shared" si="92"/>
        <v/>
      </c>
      <c r="L377" s="1195"/>
      <c r="M377" s="1193" t="str">
        <f t="shared" si="93"/>
        <v/>
      </c>
      <c r="N377" s="1195"/>
      <c r="O377" s="1193">
        <f>SUMIF(C271:D370,C377,O271:Q370)</f>
        <v>0</v>
      </c>
      <c r="P377" s="1194"/>
      <c r="Q377" s="1195"/>
      <c r="R377" s="764" t="str">
        <f t="shared" si="94"/>
        <v/>
      </c>
      <c r="S377" s="764"/>
      <c r="T377" s="764"/>
      <c r="U377" s="1178" t="str">
        <f t="shared" si="87"/>
        <v/>
      </c>
      <c r="V377" s="1179"/>
      <c r="W377" s="1180"/>
      <c r="X377" s="872" t="str">
        <f t="shared" si="95"/>
        <v/>
      </c>
      <c r="Y377" s="872"/>
      <c r="Z377" s="1193">
        <f t="shared" si="96"/>
        <v>0</v>
      </c>
      <c r="AA377" s="1194"/>
      <c r="AB377" s="1195"/>
      <c r="AC377" s="764" t="str">
        <f t="shared" si="97"/>
        <v/>
      </c>
      <c r="AD377" s="764"/>
      <c r="AE377" s="764"/>
      <c r="AF377" s="1200" t="str">
        <f t="shared" si="76"/>
        <v/>
      </c>
      <c r="AG377" s="1200"/>
      <c r="AH377" s="1200"/>
      <c r="AI377" s="683" t="s">
        <v>421</v>
      </c>
      <c r="AJ377" s="684"/>
      <c r="AK377" s="685"/>
      <c r="AL377" s="1193" t="str">
        <f t="shared" si="98"/>
        <v/>
      </c>
      <c r="AM377" s="1194"/>
      <c r="AN377" s="1195"/>
      <c r="AO377" s="1193" t="str">
        <f t="shared" ref="AO377" si="109">IF(AO277="","",AO277)</f>
        <v/>
      </c>
      <c r="AP377" s="1194"/>
      <c r="AQ377" s="1195"/>
      <c r="AR377" s="1193" t="str">
        <f t="shared" ref="AR377" si="110">IF(AR277="","",AR277)</f>
        <v/>
      </c>
      <c r="AS377" s="1194"/>
      <c r="AT377" s="1195"/>
      <c r="AU377" s="451"/>
      <c r="AV377" s="451"/>
      <c r="AW377" s="451"/>
      <c r="AX377" s="451"/>
      <c r="AY377" s="451"/>
      <c r="AZ377" s="451"/>
      <c r="BA377" s="451"/>
      <c r="BB377" s="451"/>
      <c r="BC377" s="451"/>
      <c r="BD377" s="451"/>
      <c r="BE377" s="451"/>
      <c r="BF377" s="451"/>
      <c r="BG377" s="451"/>
      <c r="BH377" s="451"/>
    </row>
    <row r="378" spans="2:60" ht="18" customHeight="1">
      <c r="B378" s="1170"/>
      <c r="C378" s="1181" t="s">
        <v>431</v>
      </c>
      <c r="D378" s="1181"/>
      <c r="E378" s="1182">
        <f>SUMIF(C271:D370,C378,E271:F370)</f>
        <v>0</v>
      </c>
      <c r="F378" s="1182"/>
      <c r="G378" s="1183" t="str">
        <f>IFERROR(AVERAGEIF(C$271:D$370,C378,G$271:H$370),"")</f>
        <v/>
      </c>
      <c r="H378" s="1184"/>
      <c r="I378" s="1185" t="str">
        <f>IFERROR(AVERAGEIF(C$271:D$370,C378,I$271:J$370),"")</f>
        <v/>
      </c>
      <c r="J378" s="1186"/>
      <c r="K378" s="1185" t="str">
        <f>IFERROR(AVERAGEIF(C$271:D$370,C378,K$271:L$370),"")</f>
        <v/>
      </c>
      <c r="L378" s="1186"/>
      <c r="M378" s="1185" t="str">
        <f t="shared" si="93"/>
        <v/>
      </c>
      <c r="N378" s="1186"/>
      <c r="O378" s="1185">
        <f>SUMIF(C271:D370,C378,O271:Q370)</f>
        <v>0</v>
      </c>
      <c r="P378" s="1187"/>
      <c r="Q378" s="1186"/>
      <c r="R378" s="1188" t="str">
        <f>IF($E378=0,"",IF($O378=0,"",ROUND(($O378-$E378)/$E378*100,1)))</f>
        <v/>
      </c>
      <c r="S378" s="1188"/>
      <c r="T378" s="1188"/>
      <c r="U378" s="1189" t="str">
        <f t="shared" si="87"/>
        <v/>
      </c>
      <c r="V378" s="1190"/>
      <c r="W378" s="1191"/>
      <c r="X378" s="1182" t="str">
        <f t="shared" si="95"/>
        <v/>
      </c>
      <c r="Y378" s="1182"/>
      <c r="Z378" s="1185">
        <f t="shared" si="96"/>
        <v>0</v>
      </c>
      <c r="AA378" s="1187"/>
      <c r="AB378" s="1186"/>
      <c r="AC378" s="1188" t="str">
        <f>IF($E378=0,"",IF($Z378=0,"",ROUND(($Z378-$E378)/$E378*100,1)))</f>
        <v/>
      </c>
      <c r="AD378" s="1188"/>
      <c r="AE378" s="1188"/>
      <c r="AF378" s="1192" t="str">
        <f t="shared" si="71"/>
        <v/>
      </c>
      <c r="AG378" s="1192"/>
      <c r="AH378" s="1192"/>
      <c r="AI378" s="683" t="s">
        <v>419</v>
      </c>
      <c r="AJ378" s="684"/>
      <c r="AK378" s="685"/>
      <c r="AL378" s="1193" t="str">
        <f t="shared" si="98"/>
        <v/>
      </c>
      <c r="AM378" s="1194"/>
      <c r="AN378" s="1195"/>
      <c r="AO378" s="1193" t="str">
        <f t="shared" ref="AO378" si="111">IF(AO278="","",AO278)</f>
        <v/>
      </c>
      <c r="AP378" s="1194"/>
      <c r="AQ378" s="1195"/>
      <c r="AR378" s="1193" t="str">
        <f t="shared" ref="AR378" si="112">IF(AR278="","",AR278)</f>
        <v/>
      </c>
      <c r="AS378" s="1194"/>
      <c r="AT378" s="1195"/>
      <c r="BF378" s="2"/>
      <c r="BG378" s="2"/>
      <c r="BH378" s="2"/>
    </row>
    <row r="379" spans="2:60" ht="18" customHeight="1">
      <c r="B379" s="463"/>
      <c r="C379" s="871" t="s">
        <v>72</v>
      </c>
      <c r="D379" s="871"/>
      <c r="E379" s="891" t="s">
        <v>279</v>
      </c>
      <c r="F379" s="821"/>
      <c r="G379" s="891" t="s">
        <v>94</v>
      </c>
      <c r="H379" s="743"/>
      <c r="I379" s="743" t="s">
        <v>76</v>
      </c>
      <c r="J379" s="743"/>
      <c r="K379" s="743"/>
      <c r="L379" s="743"/>
      <c r="M379" s="743" t="s">
        <v>77</v>
      </c>
      <c r="N379" s="743"/>
      <c r="O379" s="743"/>
      <c r="P379" s="743"/>
      <c r="Q379" s="743"/>
      <c r="R379" s="743"/>
      <c r="S379" s="743"/>
      <c r="T379" s="743"/>
      <c r="U379" s="743"/>
      <c r="V379" s="743"/>
      <c r="W379" s="743"/>
      <c r="X379" s="680" t="s">
        <v>78</v>
      </c>
      <c r="Y379" s="681"/>
      <c r="Z379" s="681"/>
      <c r="AA379" s="681"/>
      <c r="AB379" s="681"/>
      <c r="AC379" s="681"/>
      <c r="AD379" s="681"/>
      <c r="AE379" s="681"/>
      <c r="AF379" s="681"/>
      <c r="AG379" s="681"/>
      <c r="AH379" s="681"/>
      <c r="AI379" s="681"/>
      <c r="AJ379" s="681"/>
      <c r="AK379" s="681"/>
      <c r="AL379" s="681"/>
      <c r="AM379" s="681"/>
      <c r="AN379" s="681"/>
      <c r="AO379" s="681"/>
      <c r="AP379" s="681"/>
      <c r="AQ379" s="681"/>
      <c r="AR379" s="575"/>
      <c r="AS379" s="575"/>
      <c r="AT379" s="682"/>
      <c r="AU379" s="451"/>
      <c r="AV379" s="451"/>
      <c r="AW379" s="451"/>
      <c r="AX379" s="451"/>
      <c r="AY379" s="451"/>
      <c r="AZ379" s="451"/>
      <c r="BA379" s="451"/>
      <c r="BB379" s="451"/>
      <c r="BC379" s="451"/>
      <c r="BD379" s="451"/>
      <c r="BE379" s="451"/>
    </row>
    <row r="380" spans="2:60" ht="18" customHeight="1">
      <c r="B380" s="464"/>
      <c r="C380" s="871"/>
      <c r="D380" s="871"/>
      <c r="E380" s="821"/>
      <c r="F380" s="821"/>
      <c r="G380" s="743"/>
      <c r="H380" s="743"/>
      <c r="I380" s="743" t="s">
        <v>274</v>
      </c>
      <c r="J380" s="743"/>
      <c r="K380" s="743" t="s">
        <v>79</v>
      </c>
      <c r="L380" s="743"/>
      <c r="M380" s="743" t="s">
        <v>79</v>
      </c>
      <c r="N380" s="743"/>
      <c r="O380" s="891" t="s">
        <v>278</v>
      </c>
      <c r="P380" s="821"/>
      <c r="Q380" s="821"/>
      <c r="R380" s="820" t="s">
        <v>270</v>
      </c>
      <c r="S380" s="820"/>
      <c r="T380" s="820"/>
      <c r="U380" s="820" t="s">
        <v>275</v>
      </c>
      <c r="V380" s="820"/>
      <c r="W380" s="820"/>
      <c r="X380" s="743" t="s">
        <v>79</v>
      </c>
      <c r="Y380" s="743"/>
      <c r="Z380" s="891" t="s">
        <v>91</v>
      </c>
      <c r="AA380" s="821"/>
      <c r="AB380" s="821"/>
      <c r="AC380" s="820" t="s">
        <v>167</v>
      </c>
      <c r="AD380" s="820"/>
      <c r="AE380" s="820"/>
      <c r="AF380" s="820" t="s">
        <v>276</v>
      </c>
      <c r="AG380" s="820"/>
      <c r="AH380" s="820"/>
      <c r="AI380" s="674" t="s">
        <v>434</v>
      </c>
      <c r="AJ380" s="675"/>
      <c r="AK380" s="676"/>
      <c r="AL380" s="891" t="s">
        <v>95</v>
      </c>
      <c r="AM380" s="821"/>
      <c r="AN380" s="821"/>
      <c r="AO380" s="820" t="s">
        <v>168</v>
      </c>
      <c r="AP380" s="820"/>
      <c r="AQ380" s="820"/>
      <c r="AR380" s="820" t="s">
        <v>277</v>
      </c>
      <c r="AS380" s="820"/>
      <c r="AT380" s="892"/>
      <c r="AU380" s="451"/>
      <c r="AV380" s="451"/>
      <c r="AW380" s="451"/>
      <c r="AX380" s="451"/>
      <c r="AY380" s="451"/>
      <c r="AZ380" s="451"/>
      <c r="BA380" s="451"/>
      <c r="BB380" s="451"/>
      <c r="BC380" s="451"/>
      <c r="BD380" s="451"/>
      <c r="BE380" s="451"/>
      <c r="BF380" s="451"/>
      <c r="BG380" s="451"/>
      <c r="BH380" s="451"/>
    </row>
    <row r="381" spans="2:60" ht="18" customHeight="1" thickBot="1">
      <c r="B381" s="465"/>
      <c r="C381" s="874"/>
      <c r="D381" s="874"/>
      <c r="E381" s="1204"/>
      <c r="F381" s="1204"/>
      <c r="G381" s="752"/>
      <c r="H381" s="752"/>
      <c r="I381" s="752"/>
      <c r="J381" s="752"/>
      <c r="K381" s="752"/>
      <c r="L381" s="752"/>
      <c r="M381" s="752"/>
      <c r="N381" s="752"/>
      <c r="O381" s="1204"/>
      <c r="P381" s="1204"/>
      <c r="Q381" s="1204"/>
      <c r="R381" s="1203"/>
      <c r="S381" s="1203"/>
      <c r="T381" s="1203"/>
      <c r="U381" s="1203"/>
      <c r="V381" s="1203"/>
      <c r="W381" s="1203"/>
      <c r="X381" s="752"/>
      <c r="Y381" s="752"/>
      <c r="Z381" s="1204"/>
      <c r="AA381" s="1204"/>
      <c r="AB381" s="1204"/>
      <c r="AC381" s="1203"/>
      <c r="AD381" s="1203"/>
      <c r="AE381" s="1203"/>
      <c r="AF381" s="1203"/>
      <c r="AG381" s="1203"/>
      <c r="AH381" s="1203"/>
      <c r="AI381" s="677"/>
      <c r="AJ381" s="678"/>
      <c r="AK381" s="679"/>
      <c r="AL381" s="1204"/>
      <c r="AM381" s="1204"/>
      <c r="AN381" s="1204"/>
      <c r="AO381" s="1203"/>
      <c r="AP381" s="1203"/>
      <c r="AQ381" s="1203"/>
      <c r="AR381" s="1203"/>
      <c r="AS381" s="1203"/>
      <c r="AT381" s="1205"/>
      <c r="AU381" s="451"/>
      <c r="AV381" s="451"/>
      <c r="AW381" s="451"/>
      <c r="AX381" s="451"/>
      <c r="AY381" s="451"/>
      <c r="AZ381" s="451"/>
      <c r="BA381" s="451"/>
      <c r="BB381" s="451"/>
      <c r="BC381" s="451"/>
      <c r="BD381" s="451"/>
      <c r="BE381" s="451"/>
      <c r="BF381" s="451"/>
      <c r="BG381" s="451"/>
      <c r="BH381" s="451"/>
    </row>
  </sheetData>
  <sheetProtection algorithmName="SHA-512" hashValue="zeSBk/cEeLBVN+6v+eBmYFkNT5b7Fj15WcXjhaDgafzLWtgODfTUw+jhwlUzL7ZQDTRDqzGt7aaH9AekxRlOLw==" saltValue="8j2wwsIoNo+J4Y3CKCnTAw==" spinCount="100000" sheet="1" formatCells="0"/>
  <protectedRanges>
    <protectedRange sqref="A135:Y135 N134 P134 R134 T134 V134 X134 D145:H151 D134:L134 D137:N137 A136:AL136 D138:E138 I27:M28 H138" name="範囲1_21_21_22_22"/>
    <protectedRange sqref="I29:M29" name="範囲1_21_21_22_22_1"/>
    <protectedRange sqref="F138:G138" name="範囲1_21_21_22_22_1_1"/>
  </protectedRanges>
  <mergeCells count="2833">
    <mergeCell ref="A8:C8"/>
    <mergeCell ref="AF380:AH381"/>
    <mergeCell ref="AL380:AN381"/>
    <mergeCell ref="AO380:AQ381"/>
    <mergeCell ref="AR380:AT381"/>
    <mergeCell ref="O357:Q357"/>
    <mergeCell ref="R357:T357"/>
    <mergeCell ref="U357:W357"/>
    <mergeCell ref="C379:D381"/>
    <mergeCell ref="E379:F381"/>
    <mergeCell ref="G379:H381"/>
    <mergeCell ref="I379:L379"/>
    <mergeCell ref="M379:W379"/>
    <mergeCell ref="I380:J381"/>
    <mergeCell ref="K380:L381"/>
    <mergeCell ref="M380:N381"/>
    <mergeCell ref="O380:Q381"/>
    <mergeCell ref="R380:T381"/>
    <mergeCell ref="U380:W381"/>
    <mergeCell ref="X380:Y381"/>
    <mergeCell ref="Z380:AB381"/>
    <mergeCell ref="AC380:AE381"/>
    <mergeCell ref="K358:L358"/>
    <mergeCell ref="M358:N358"/>
    <mergeCell ref="O358:Q358"/>
    <mergeCell ref="R358:T358"/>
    <mergeCell ref="K361:L361"/>
    <mergeCell ref="M361:N361"/>
    <mergeCell ref="O361:Q361"/>
    <mergeCell ref="R361:T361"/>
    <mergeCell ref="K359:L359"/>
    <mergeCell ref="M359:N359"/>
    <mergeCell ref="O359:Q359"/>
    <mergeCell ref="X357:Y357"/>
    <mergeCell ref="Z357:AB357"/>
    <mergeCell ref="AC357:AE357"/>
    <mergeCell ref="AF357:AH357"/>
    <mergeCell ref="AL357:AN357"/>
    <mergeCell ref="AO357:AQ357"/>
    <mergeCell ref="AR357:AT357"/>
    <mergeCell ref="C362:D362"/>
    <mergeCell ref="E362:F362"/>
    <mergeCell ref="G362:H362"/>
    <mergeCell ref="I362:J362"/>
    <mergeCell ref="K362:L362"/>
    <mergeCell ref="M362:N362"/>
    <mergeCell ref="O362:Q362"/>
    <mergeCell ref="R362:T362"/>
    <mergeCell ref="U362:W362"/>
    <mergeCell ref="X362:Y362"/>
    <mergeCell ref="Z362:AB362"/>
    <mergeCell ref="AC362:AE362"/>
    <mergeCell ref="AF362:AH362"/>
    <mergeCell ref="AL362:AN362"/>
    <mergeCell ref="AO362:AQ362"/>
    <mergeCell ref="AR362:AT362"/>
    <mergeCell ref="C357:D357"/>
    <mergeCell ref="E357:F357"/>
    <mergeCell ref="G357:H357"/>
    <mergeCell ref="I357:J357"/>
    <mergeCell ref="K357:L357"/>
    <mergeCell ref="M357:N357"/>
    <mergeCell ref="X358:Y358"/>
    <mergeCell ref="Z358:AB358"/>
    <mergeCell ref="AC358:AE358"/>
    <mergeCell ref="X355:Y355"/>
    <mergeCell ref="Z355:AB355"/>
    <mergeCell ref="AC355:AE355"/>
    <mergeCell ref="AF355:AH355"/>
    <mergeCell ref="AL355:AN355"/>
    <mergeCell ref="AO355:AQ355"/>
    <mergeCell ref="AR355:AT355"/>
    <mergeCell ref="C356:D356"/>
    <mergeCell ref="E356:F356"/>
    <mergeCell ref="G356:H356"/>
    <mergeCell ref="I356:J356"/>
    <mergeCell ref="K356:L356"/>
    <mergeCell ref="M356:N356"/>
    <mergeCell ref="O356:Q356"/>
    <mergeCell ref="R356:T356"/>
    <mergeCell ref="U356:W356"/>
    <mergeCell ref="X356:Y356"/>
    <mergeCell ref="Z356:AB356"/>
    <mergeCell ref="AC356:AE356"/>
    <mergeCell ref="AF356:AH356"/>
    <mergeCell ref="AL356:AN356"/>
    <mergeCell ref="AO356:AQ356"/>
    <mergeCell ref="AR356:AT356"/>
    <mergeCell ref="C355:D355"/>
    <mergeCell ref="E355:F355"/>
    <mergeCell ref="G355:H355"/>
    <mergeCell ref="I355:J355"/>
    <mergeCell ref="K355:L355"/>
    <mergeCell ref="M355:N355"/>
    <mergeCell ref="O355:Q355"/>
    <mergeCell ref="R355:T355"/>
    <mergeCell ref="U355:W355"/>
    <mergeCell ref="X353:Y353"/>
    <mergeCell ref="Z353:AB353"/>
    <mergeCell ref="AC353:AE353"/>
    <mergeCell ref="AF353:AH353"/>
    <mergeCell ref="AL353:AN353"/>
    <mergeCell ref="AO353:AQ353"/>
    <mergeCell ref="AR353:AT353"/>
    <mergeCell ref="C354:D354"/>
    <mergeCell ref="E354:F354"/>
    <mergeCell ref="G354:H354"/>
    <mergeCell ref="I354:J354"/>
    <mergeCell ref="K354:L354"/>
    <mergeCell ref="M354:N354"/>
    <mergeCell ref="O354:Q354"/>
    <mergeCell ref="R354:T354"/>
    <mergeCell ref="U354:W354"/>
    <mergeCell ref="X354:Y354"/>
    <mergeCell ref="Z354:AB354"/>
    <mergeCell ref="AC354:AE354"/>
    <mergeCell ref="AF354:AH354"/>
    <mergeCell ref="AL354:AN354"/>
    <mergeCell ref="AO354:AQ354"/>
    <mergeCell ref="AR354:AT354"/>
    <mergeCell ref="C353:D353"/>
    <mergeCell ref="E353:F353"/>
    <mergeCell ref="G353:H353"/>
    <mergeCell ref="I353:J353"/>
    <mergeCell ref="K353:L353"/>
    <mergeCell ref="M353:N353"/>
    <mergeCell ref="O353:Q353"/>
    <mergeCell ref="R353:T353"/>
    <mergeCell ref="U353:W353"/>
    <mergeCell ref="X351:Y351"/>
    <mergeCell ref="Z351:AB351"/>
    <mergeCell ref="AC351:AE351"/>
    <mergeCell ref="AF351:AH351"/>
    <mergeCell ref="AL351:AN351"/>
    <mergeCell ref="AO351:AQ351"/>
    <mergeCell ref="AR351:AT351"/>
    <mergeCell ref="C352:D352"/>
    <mergeCell ref="E352:F352"/>
    <mergeCell ref="G352:H352"/>
    <mergeCell ref="I352:J352"/>
    <mergeCell ref="K352:L352"/>
    <mergeCell ref="M352:N352"/>
    <mergeCell ref="O352:Q352"/>
    <mergeCell ref="R352:T352"/>
    <mergeCell ref="U352:W352"/>
    <mergeCell ref="X352:Y352"/>
    <mergeCell ref="Z352:AB352"/>
    <mergeCell ref="AC352:AE352"/>
    <mergeCell ref="AF352:AH352"/>
    <mergeCell ref="AL352:AN352"/>
    <mergeCell ref="AO352:AQ352"/>
    <mergeCell ref="AR352:AT352"/>
    <mergeCell ref="C351:D351"/>
    <mergeCell ref="E351:F351"/>
    <mergeCell ref="G351:H351"/>
    <mergeCell ref="I351:J351"/>
    <mergeCell ref="K351:L351"/>
    <mergeCell ref="M351:N351"/>
    <mergeCell ref="O351:Q351"/>
    <mergeCell ref="R351:T351"/>
    <mergeCell ref="U351:W351"/>
    <mergeCell ref="X349:Y349"/>
    <mergeCell ref="Z349:AB349"/>
    <mergeCell ref="AC349:AE349"/>
    <mergeCell ref="AF349:AH349"/>
    <mergeCell ref="AL349:AN349"/>
    <mergeCell ref="AO349:AQ349"/>
    <mergeCell ref="AR349:AT349"/>
    <mergeCell ref="C350:D350"/>
    <mergeCell ref="E350:F350"/>
    <mergeCell ref="G350:H350"/>
    <mergeCell ref="I350:J350"/>
    <mergeCell ref="K350:L350"/>
    <mergeCell ref="M350:N350"/>
    <mergeCell ref="O350:Q350"/>
    <mergeCell ref="R350:T350"/>
    <mergeCell ref="U350:W350"/>
    <mergeCell ref="X350:Y350"/>
    <mergeCell ref="Z350:AB350"/>
    <mergeCell ref="AC350:AE350"/>
    <mergeCell ref="AF350:AH350"/>
    <mergeCell ref="AL350:AN350"/>
    <mergeCell ref="AO350:AQ350"/>
    <mergeCell ref="AR350:AT350"/>
    <mergeCell ref="C349:D349"/>
    <mergeCell ref="E349:F349"/>
    <mergeCell ref="G349:H349"/>
    <mergeCell ref="I349:J349"/>
    <mergeCell ref="K349:L349"/>
    <mergeCell ref="M349:N349"/>
    <mergeCell ref="O349:Q349"/>
    <mergeCell ref="R349:T349"/>
    <mergeCell ref="U349:W349"/>
    <mergeCell ref="AR347:AT347"/>
    <mergeCell ref="C348:D348"/>
    <mergeCell ref="E348:F348"/>
    <mergeCell ref="G348:H348"/>
    <mergeCell ref="I348:J348"/>
    <mergeCell ref="K348:L348"/>
    <mergeCell ref="M348:N348"/>
    <mergeCell ref="O348:Q348"/>
    <mergeCell ref="R348:T348"/>
    <mergeCell ref="U348:W348"/>
    <mergeCell ref="X348:Y348"/>
    <mergeCell ref="Z348:AB348"/>
    <mergeCell ref="AC348:AE348"/>
    <mergeCell ref="AF348:AH348"/>
    <mergeCell ref="AL348:AN348"/>
    <mergeCell ref="AO348:AQ348"/>
    <mergeCell ref="AR348:AT348"/>
    <mergeCell ref="E347:F347"/>
    <mergeCell ref="G347:H347"/>
    <mergeCell ref="I347:J347"/>
    <mergeCell ref="K347:L347"/>
    <mergeCell ref="M347:N347"/>
    <mergeCell ref="O347:Q347"/>
    <mergeCell ref="R347:T347"/>
    <mergeCell ref="U347:W347"/>
    <mergeCell ref="X347:Y347"/>
    <mergeCell ref="AF358:AH358"/>
    <mergeCell ref="AL358:AN358"/>
    <mergeCell ref="AO358:AQ358"/>
    <mergeCell ref="AR358:AT358"/>
    <mergeCell ref="C346:D346"/>
    <mergeCell ref="E346:F346"/>
    <mergeCell ref="G346:H346"/>
    <mergeCell ref="I346:J346"/>
    <mergeCell ref="K346:L346"/>
    <mergeCell ref="M346:N346"/>
    <mergeCell ref="O346:Q346"/>
    <mergeCell ref="R346:T346"/>
    <mergeCell ref="U346:W346"/>
    <mergeCell ref="X346:Y346"/>
    <mergeCell ref="Z346:AB346"/>
    <mergeCell ref="AC346:AE346"/>
    <mergeCell ref="AF346:AH346"/>
    <mergeCell ref="AL346:AN346"/>
    <mergeCell ref="AO346:AQ346"/>
    <mergeCell ref="AR346:AT346"/>
    <mergeCell ref="C347:D347"/>
    <mergeCell ref="C358:D358"/>
    <mergeCell ref="E358:F358"/>
    <mergeCell ref="G358:H358"/>
    <mergeCell ref="I358:J358"/>
    <mergeCell ref="Z347:AB347"/>
    <mergeCell ref="AC347:AE347"/>
    <mergeCell ref="AF347:AH347"/>
    <mergeCell ref="AL347:AN347"/>
    <mergeCell ref="U358:W358"/>
    <mergeCell ref="AI358:AK358"/>
    <mergeCell ref="AO347:AQ347"/>
    <mergeCell ref="X344:Y344"/>
    <mergeCell ref="Z344:AB344"/>
    <mergeCell ref="AC344:AE344"/>
    <mergeCell ref="AF344:AH344"/>
    <mergeCell ref="AL344:AN344"/>
    <mergeCell ref="AO344:AQ344"/>
    <mergeCell ref="AR344:AT344"/>
    <mergeCell ref="C345:D345"/>
    <mergeCell ref="E345:F345"/>
    <mergeCell ref="G345:H345"/>
    <mergeCell ref="I345:J345"/>
    <mergeCell ref="K345:L345"/>
    <mergeCell ref="M345:N345"/>
    <mergeCell ref="O345:Q345"/>
    <mergeCell ref="R345:T345"/>
    <mergeCell ref="U345:W345"/>
    <mergeCell ref="X345:Y345"/>
    <mergeCell ref="Z345:AB345"/>
    <mergeCell ref="AC345:AE345"/>
    <mergeCell ref="AF345:AH345"/>
    <mergeCell ref="AL345:AN345"/>
    <mergeCell ref="AO345:AQ345"/>
    <mergeCell ref="AR345:AT345"/>
    <mergeCell ref="C344:D344"/>
    <mergeCell ref="E344:F344"/>
    <mergeCell ref="G344:H344"/>
    <mergeCell ref="I344:J344"/>
    <mergeCell ref="K344:L344"/>
    <mergeCell ref="M344:N344"/>
    <mergeCell ref="O344:Q344"/>
    <mergeCell ref="R344:T344"/>
    <mergeCell ref="U344:W344"/>
    <mergeCell ref="X342:Y342"/>
    <mergeCell ref="Z342:AB342"/>
    <mergeCell ref="AC342:AE342"/>
    <mergeCell ref="AF342:AH342"/>
    <mergeCell ref="AL342:AN342"/>
    <mergeCell ref="AO342:AQ342"/>
    <mergeCell ref="AR342:AT342"/>
    <mergeCell ref="C343:D343"/>
    <mergeCell ref="E343:F343"/>
    <mergeCell ref="G343:H343"/>
    <mergeCell ref="I343:J343"/>
    <mergeCell ref="K343:L343"/>
    <mergeCell ref="M343:N343"/>
    <mergeCell ref="O343:Q343"/>
    <mergeCell ref="R343:T343"/>
    <mergeCell ref="U343:W343"/>
    <mergeCell ref="X343:Y343"/>
    <mergeCell ref="Z343:AB343"/>
    <mergeCell ref="AC343:AE343"/>
    <mergeCell ref="AF343:AH343"/>
    <mergeCell ref="AL343:AN343"/>
    <mergeCell ref="AO343:AQ343"/>
    <mergeCell ref="AR343:AT343"/>
    <mergeCell ref="C342:D342"/>
    <mergeCell ref="E342:F342"/>
    <mergeCell ref="G342:H342"/>
    <mergeCell ref="I342:J342"/>
    <mergeCell ref="K342:L342"/>
    <mergeCell ref="M342:N342"/>
    <mergeCell ref="O342:Q342"/>
    <mergeCell ref="R342:T342"/>
    <mergeCell ref="U342:W342"/>
    <mergeCell ref="X340:Y340"/>
    <mergeCell ref="Z340:AB340"/>
    <mergeCell ref="AC340:AE340"/>
    <mergeCell ref="AF340:AH340"/>
    <mergeCell ref="AL340:AN340"/>
    <mergeCell ref="AO340:AQ340"/>
    <mergeCell ref="AR340:AT340"/>
    <mergeCell ref="C341:D341"/>
    <mergeCell ref="E341:F341"/>
    <mergeCell ref="G341:H341"/>
    <mergeCell ref="I341:J341"/>
    <mergeCell ref="K341:L341"/>
    <mergeCell ref="M341:N341"/>
    <mergeCell ref="O341:Q341"/>
    <mergeCell ref="R341:T341"/>
    <mergeCell ref="U341:W341"/>
    <mergeCell ref="X341:Y341"/>
    <mergeCell ref="Z341:AB341"/>
    <mergeCell ref="AC341:AE341"/>
    <mergeCell ref="AF341:AH341"/>
    <mergeCell ref="AL341:AN341"/>
    <mergeCell ref="AO341:AQ341"/>
    <mergeCell ref="AR341:AT341"/>
    <mergeCell ref="C340:D340"/>
    <mergeCell ref="E340:F340"/>
    <mergeCell ref="G340:H340"/>
    <mergeCell ref="I340:J340"/>
    <mergeCell ref="K340:L340"/>
    <mergeCell ref="M340:N340"/>
    <mergeCell ref="O340:Q340"/>
    <mergeCell ref="R340:T340"/>
    <mergeCell ref="U340:W340"/>
    <mergeCell ref="X338:Y338"/>
    <mergeCell ref="Z338:AB338"/>
    <mergeCell ref="AC338:AE338"/>
    <mergeCell ref="AF338:AH338"/>
    <mergeCell ref="AL338:AN338"/>
    <mergeCell ref="AO338:AQ338"/>
    <mergeCell ref="AR338:AT338"/>
    <mergeCell ref="C339:D339"/>
    <mergeCell ref="E339:F339"/>
    <mergeCell ref="G339:H339"/>
    <mergeCell ref="I339:J339"/>
    <mergeCell ref="K339:L339"/>
    <mergeCell ref="M339:N339"/>
    <mergeCell ref="O339:Q339"/>
    <mergeCell ref="R339:T339"/>
    <mergeCell ref="U339:W339"/>
    <mergeCell ref="X339:Y339"/>
    <mergeCell ref="Z339:AB339"/>
    <mergeCell ref="AC339:AE339"/>
    <mergeCell ref="AF339:AH339"/>
    <mergeCell ref="AL339:AN339"/>
    <mergeCell ref="AO339:AQ339"/>
    <mergeCell ref="AR339:AT339"/>
    <mergeCell ref="C338:D338"/>
    <mergeCell ref="E338:F338"/>
    <mergeCell ref="G338:H338"/>
    <mergeCell ref="I338:J338"/>
    <mergeCell ref="K338:L338"/>
    <mergeCell ref="M338:N338"/>
    <mergeCell ref="O338:Q338"/>
    <mergeCell ref="R338:T338"/>
    <mergeCell ref="U338:W338"/>
    <mergeCell ref="X336:Y336"/>
    <mergeCell ref="Z336:AB336"/>
    <mergeCell ref="AC336:AE336"/>
    <mergeCell ref="AF336:AH336"/>
    <mergeCell ref="AL336:AN336"/>
    <mergeCell ref="AO336:AQ336"/>
    <mergeCell ref="AR336:AT336"/>
    <mergeCell ref="C337:D337"/>
    <mergeCell ref="E337:F337"/>
    <mergeCell ref="G337:H337"/>
    <mergeCell ref="I337:J337"/>
    <mergeCell ref="K337:L337"/>
    <mergeCell ref="M337:N337"/>
    <mergeCell ref="O337:Q337"/>
    <mergeCell ref="R337:T337"/>
    <mergeCell ref="U337:W337"/>
    <mergeCell ref="X337:Y337"/>
    <mergeCell ref="Z337:AB337"/>
    <mergeCell ref="AC337:AE337"/>
    <mergeCell ref="AF337:AH337"/>
    <mergeCell ref="AL337:AN337"/>
    <mergeCell ref="AO337:AQ337"/>
    <mergeCell ref="AR337:AT337"/>
    <mergeCell ref="C336:D336"/>
    <mergeCell ref="E336:F336"/>
    <mergeCell ref="G336:H336"/>
    <mergeCell ref="I336:J336"/>
    <mergeCell ref="K336:L336"/>
    <mergeCell ref="M336:N336"/>
    <mergeCell ref="O336:Q336"/>
    <mergeCell ref="R336:T336"/>
    <mergeCell ref="U336:W336"/>
    <mergeCell ref="X334:Y334"/>
    <mergeCell ref="Z334:AB334"/>
    <mergeCell ref="AC334:AE334"/>
    <mergeCell ref="AF334:AH334"/>
    <mergeCell ref="AL334:AN334"/>
    <mergeCell ref="AO334:AQ334"/>
    <mergeCell ref="AR334:AT334"/>
    <mergeCell ref="C335:D335"/>
    <mergeCell ref="E335:F335"/>
    <mergeCell ref="G335:H335"/>
    <mergeCell ref="I335:J335"/>
    <mergeCell ref="K335:L335"/>
    <mergeCell ref="M335:N335"/>
    <mergeCell ref="O335:Q335"/>
    <mergeCell ref="R335:T335"/>
    <mergeCell ref="U335:W335"/>
    <mergeCell ref="X335:Y335"/>
    <mergeCell ref="Z335:AB335"/>
    <mergeCell ref="AC335:AE335"/>
    <mergeCell ref="AF335:AH335"/>
    <mergeCell ref="AL335:AN335"/>
    <mergeCell ref="AO335:AQ335"/>
    <mergeCell ref="AR335:AT335"/>
    <mergeCell ref="C334:D334"/>
    <mergeCell ref="E334:F334"/>
    <mergeCell ref="G334:H334"/>
    <mergeCell ref="I334:J334"/>
    <mergeCell ref="K334:L334"/>
    <mergeCell ref="M334:N334"/>
    <mergeCell ref="O334:Q334"/>
    <mergeCell ref="R334:T334"/>
    <mergeCell ref="U334:W334"/>
    <mergeCell ref="X332:Y332"/>
    <mergeCell ref="Z332:AB332"/>
    <mergeCell ref="AC332:AE332"/>
    <mergeCell ref="AF332:AH332"/>
    <mergeCell ref="AL332:AN332"/>
    <mergeCell ref="AO332:AQ332"/>
    <mergeCell ref="AR332:AT332"/>
    <mergeCell ref="C333:D333"/>
    <mergeCell ref="E333:F333"/>
    <mergeCell ref="G333:H333"/>
    <mergeCell ref="I333:J333"/>
    <mergeCell ref="K333:L333"/>
    <mergeCell ref="M333:N333"/>
    <mergeCell ref="O333:Q333"/>
    <mergeCell ref="R333:T333"/>
    <mergeCell ref="U333:W333"/>
    <mergeCell ref="X333:Y333"/>
    <mergeCell ref="Z333:AB333"/>
    <mergeCell ref="AC333:AE333"/>
    <mergeCell ref="AF333:AH333"/>
    <mergeCell ref="AL333:AN333"/>
    <mergeCell ref="AO333:AQ333"/>
    <mergeCell ref="AR333:AT333"/>
    <mergeCell ref="C332:D332"/>
    <mergeCell ref="E332:F332"/>
    <mergeCell ref="G332:H332"/>
    <mergeCell ref="I332:J332"/>
    <mergeCell ref="K332:L332"/>
    <mergeCell ref="M332:N332"/>
    <mergeCell ref="O332:Q332"/>
    <mergeCell ref="R332:T332"/>
    <mergeCell ref="U332:W332"/>
    <mergeCell ref="X330:Y330"/>
    <mergeCell ref="Z330:AB330"/>
    <mergeCell ref="AC330:AE330"/>
    <mergeCell ref="AF330:AH330"/>
    <mergeCell ref="AL330:AN330"/>
    <mergeCell ref="AO330:AQ330"/>
    <mergeCell ref="AR330:AT330"/>
    <mergeCell ref="C331:D331"/>
    <mergeCell ref="E331:F331"/>
    <mergeCell ref="G331:H331"/>
    <mergeCell ref="I331:J331"/>
    <mergeCell ref="K331:L331"/>
    <mergeCell ref="M331:N331"/>
    <mergeCell ref="O331:Q331"/>
    <mergeCell ref="R331:T331"/>
    <mergeCell ref="U331:W331"/>
    <mergeCell ref="X331:Y331"/>
    <mergeCell ref="Z331:AB331"/>
    <mergeCell ref="AC331:AE331"/>
    <mergeCell ref="AF331:AH331"/>
    <mergeCell ref="AL331:AN331"/>
    <mergeCell ref="AO331:AQ331"/>
    <mergeCell ref="AR331:AT331"/>
    <mergeCell ref="C330:D330"/>
    <mergeCell ref="E330:F330"/>
    <mergeCell ref="G330:H330"/>
    <mergeCell ref="I330:J330"/>
    <mergeCell ref="K330:L330"/>
    <mergeCell ref="M330:N330"/>
    <mergeCell ref="O330:Q330"/>
    <mergeCell ref="R330:T330"/>
    <mergeCell ref="U330:W330"/>
    <mergeCell ref="X328:Y328"/>
    <mergeCell ref="Z328:AB328"/>
    <mergeCell ref="AC328:AE328"/>
    <mergeCell ref="AF328:AH328"/>
    <mergeCell ref="AL328:AN328"/>
    <mergeCell ref="AO328:AQ328"/>
    <mergeCell ref="AR328:AT328"/>
    <mergeCell ref="C329:D329"/>
    <mergeCell ref="E329:F329"/>
    <mergeCell ref="G329:H329"/>
    <mergeCell ref="I329:J329"/>
    <mergeCell ref="K329:L329"/>
    <mergeCell ref="M329:N329"/>
    <mergeCell ref="O329:Q329"/>
    <mergeCell ref="R329:T329"/>
    <mergeCell ref="U329:W329"/>
    <mergeCell ref="X329:Y329"/>
    <mergeCell ref="Z329:AB329"/>
    <mergeCell ref="AC329:AE329"/>
    <mergeCell ref="AF329:AH329"/>
    <mergeCell ref="AL329:AN329"/>
    <mergeCell ref="AO329:AQ329"/>
    <mergeCell ref="AR329:AT329"/>
    <mergeCell ref="C328:D328"/>
    <mergeCell ref="E328:F328"/>
    <mergeCell ref="G328:H328"/>
    <mergeCell ref="I328:J328"/>
    <mergeCell ref="K328:L328"/>
    <mergeCell ref="M328:N328"/>
    <mergeCell ref="O328:Q328"/>
    <mergeCell ref="R328:T328"/>
    <mergeCell ref="U328:W328"/>
    <mergeCell ref="X326:Y326"/>
    <mergeCell ref="Z326:AB326"/>
    <mergeCell ref="AC326:AE326"/>
    <mergeCell ref="AF326:AH326"/>
    <mergeCell ref="AL326:AN326"/>
    <mergeCell ref="AO326:AQ326"/>
    <mergeCell ref="AR326:AT326"/>
    <mergeCell ref="C327:D327"/>
    <mergeCell ref="E327:F327"/>
    <mergeCell ref="G327:H327"/>
    <mergeCell ref="I327:J327"/>
    <mergeCell ref="K327:L327"/>
    <mergeCell ref="M327:N327"/>
    <mergeCell ref="O327:Q327"/>
    <mergeCell ref="R327:T327"/>
    <mergeCell ref="U327:W327"/>
    <mergeCell ref="X327:Y327"/>
    <mergeCell ref="Z327:AB327"/>
    <mergeCell ref="AC327:AE327"/>
    <mergeCell ref="AF327:AH327"/>
    <mergeCell ref="AL327:AN327"/>
    <mergeCell ref="AO327:AQ327"/>
    <mergeCell ref="AR327:AT327"/>
    <mergeCell ref="C326:D326"/>
    <mergeCell ref="E326:F326"/>
    <mergeCell ref="G326:H326"/>
    <mergeCell ref="I326:J326"/>
    <mergeCell ref="K326:L326"/>
    <mergeCell ref="M326:N326"/>
    <mergeCell ref="O326:Q326"/>
    <mergeCell ref="R326:T326"/>
    <mergeCell ref="U326:W326"/>
    <mergeCell ref="X324:Y324"/>
    <mergeCell ref="Z324:AB324"/>
    <mergeCell ref="AC324:AE324"/>
    <mergeCell ref="AF324:AH324"/>
    <mergeCell ref="AL324:AN324"/>
    <mergeCell ref="AO324:AQ324"/>
    <mergeCell ref="AR324:AT324"/>
    <mergeCell ref="C325:D325"/>
    <mergeCell ref="E325:F325"/>
    <mergeCell ref="G325:H325"/>
    <mergeCell ref="I325:J325"/>
    <mergeCell ref="K325:L325"/>
    <mergeCell ref="M325:N325"/>
    <mergeCell ref="O325:Q325"/>
    <mergeCell ref="R325:T325"/>
    <mergeCell ref="U325:W325"/>
    <mergeCell ref="X325:Y325"/>
    <mergeCell ref="Z325:AB325"/>
    <mergeCell ref="AC325:AE325"/>
    <mergeCell ref="AF325:AH325"/>
    <mergeCell ref="AL325:AN325"/>
    <mergeCell ref="AO325:AQ325"/>
    <mergeCell ref="AR325:AT325"/>
    <mergeCell ref="C324:D324"/>
    <mergeCell ref="E324:F324"/>
    <mergeCell ref="G324:H324"/>
    <mergeCell ref="I324:J324"/>
    <mergeCell ref="K324:L324"/>
    <mergeCell ref="M324:N324"/>
    <mergeCell ref="O324:Q324"/>
    <mergeCell ref="R324:T324"/>
    <mergeCell ref="U324:W324"/>
    <mergeCell ref="X322:Y322"/>
    <mergeCell ref="Z322:AB322"/>
    <mergeCell ref="AC322:AE322"/>
    <mergeCell ref="AF322:AH322"/>
    <mergeCell ref="AL322:AN322"/>
    <mergeCell ref="AO322:AQ322"/>
    <mergeCell ref="AR322:AT322"/>
    <mergeCell ref="C323:D323"/>
    <mergeCell ref="E323:F323"/>
    <mergeCell ref="G323:H323"/>
    <mergeCell ref="I323:J323"/>
    <mergeCell ref="K323:L323"/>
    <mergeCell ref="M323:N323"/>
    <mergeCell ref="O323:Q323"/>
    <mergeCell ref="R323:T323"/>
    <mergeCell ref="U323:W323"/>
    <mergeCell ref="X323:Y323"/>
    <mergeCell ref="Z323:AB323"/>
    <mergeCell ref="AC323:AE323"/>
    <mergeCell ref="AF323:AH323"/>
    <mergeCell ref="AL323:AN323"/>
    <mergeCell ref="AO323:AQ323"/>
    <mergeCell ref="AR323:AT323"/>
    <mergeCell ref="C322:D322"/>
    <mergeCell ref="E322:F322"/>
    <mergeCell ref="G322:H322"/>
    <mergeCell ref="I322:J322"/>
    <mergeCell ref="K322:L322"/>
    <mergeCell ref="M322:N322"/>
    <mergeCell ref="O322:Q322"/>
    <mergeCell ref="R322:T322"/>
    <mergeCell ref="X320:Y320"/>
    <mergeCell ref="Z320:AB320"/>
    <mergeCell ref="AC320:AE320"/>
    <mergeCell ref="AF320:AH320"/>
    <mergeCell ref="AL320:AN320"/>
    <mergeCell ref="AO320:AQ320"/>
    <mergeCell ref="AR320:AT320"/>
    <mergeCell ref="C321:D321"/>
    <mergeCell ref="E321:F321"/>
    <mergeCell ref="G321:H321"/>
    <mergeCell ref="I321:J321"/>
    <mergeCell ref="K321:L321"/>
    <mergeCell ref="M321:N321"/>
    <mergeCell ref="O321:Q321"/>
    <mergeCell ref="R321:T321"/>
    <mergeCell ref="U321:W321"/>
    <mergeCell ref="X321:Y321"/>
    <mergeCell ref="Z321:AB321"/>
    <mergeCell ref="AC321:AE321"/>
    <mergeCell ref="AF321:AH321"/>
    <mergeCell ref="AL321:AN321"/>
    <mergeCell ref="AO321:AQ321"/>
    <mergeCell ref="AR321:AT321"/>
    <mergeCell ref="C320:D320"/>
    <mergeCell ref="E320:F320"/>
    <mergeCell ref="G320:H320"/>
    <mergeCell ref="I320:J320"/>
    <mergeCell ref="K320:L320"/>
    <mergeCell ref="M320:N320"/>
    <mergeCell ref="O320:Q320"/>
    <mergeCell ref="R320:T320"/>
    <mergeCell ref="U320:W320"/>
    <mergeCell ref="X361:Y361"/>
    <mergeCell ref="Z361:AB361"/>
    <mergeCell ref="AC361:AE361"/>
    <mergeCell ref="AF361:AH361"/>
    <mergeCell ref="AL361:AN361"/>
    <mergeCell ref="AO361:AQ361"/>
    <mergeCell ref="AR361:AT361"/>
    <mergeCell ref="C363:D363"/>
    <mergeCell ref="E363:F363"/>
    <mergeCell ref="G363:H363"/>
    <mergeCell ref="I363:J363"/>
    <mergeCell ref="K363:L363"/>
    <mergeCell ref="M363:N363"/>
    <mergeCell ref="O363:Q363"/>
    <mergeCell ref="R363:T363"/>
    <mergeCell ref="U363:W363"/>
    <mergeCell ref="X363:Y363"/>
    <mergeCell ref="Z363:AB363"/>
    <mergeCell ref="AC363:AE363"/>
    <mergeCell ref="AF363:AH363"/>
    <mergeCell ref="AL363:AN363"/>
    <mergeCell ref="AO363:AQ363"/>
    <mergeCell ref="AR363:AT363"/>
    <mergeCell ref="C361:D361"/>
    <mergeCell ref="E361:F361"/>
    <mergeCell ref="G361:H361"/>
    <mergeCell ref="I361:J361"/>
    <mergeCell ref="AI361:AK361"/>
    <mergeCell ref="AI362:AK362"/>
    <mergeCell ref="AI359:AK359"/>
    <mergeCell ref="AI360:AK360"/>
    <mergeCell ref="U322:W322"/>
    <mergeCell ref="U361:W361"/>
    <mergeCell ref="X359:Y359"/>
    <mergeCell ref="Z359:AB359"/>
    <mergeCell ref="AC359:AE359"/>
    <mergeCell ref="AF359:AH359"/>
    <mergeCell ref="AL359:AN359"/>
    <mergeCell ref="AO359:AQ359"/>
    <mergeCell ref="AR359:AT359"/>
    <mergeCell ref="C360:D360"/>
    <mergeCell ref="E360:F360"/>
    <mergeCell ref="G360:H360"/>
    <mergeCell ref="I360:J360"/>
    <mergeCell ref="K360:L360"/>
    <mergeCell ref="M360:N360"/>
    <mergeCell ref="O360:Q360"/>
    <mergeCell ref="R360:T360"/>
    <mergeCell ref="U360:W360"/>
    <mergeCell ref="X360:Y360"/>
    <mergeCell ref="Z360:AB360"/>
    <mergeCell ref="AC360:AE360"/>
    <mergeCell ref="AF360:AH360"/>
    <mergeCell ref="AL360:AN360"/>
    <mergeCell ref="AO360:AQ360"/>
    <mergeCell ref="AR360:AT360"/>
    <mergeCell ref="C359:D359"/>
    <mergeCell ref="E359:F359"/>
    <mergeCell ref="G359:H359"/>
    <mergeCell ref="I359:J359"/>
    <mergeCell ref="R359:T359"/>
    <mergeCell ref="U359:W359"/>
    <mergeCell ref="X318:Y318"/>
    <mergeCell ref="Z318:AB318"/>
    <mergeCell ref="AC318:AE318"/>
    <mergeCell ref="AF318:AH318"/>
    <mergeCell ref="AL318:AN318"/>
    <mergeCell ref="AO318:AQ318"/>
    <mergeCell ref="AR318:AT318"/>
    <mergeCell ref="C319:D319"/>
    <mergeCell ref="E319:F319"/>
    <mergeCell ref="G319:H319"/>
    <mergeCell ref="I319:J319"/>
    <mergeCell ref="K319:L319"/>
    <mergeCell ref="M319:N319"/>
    <mergeCell ref="O319:Q319"/>
    <mergeCell ref="R319:T319"/>
    <mergeCell ref="U319:W319"/>
    <mergeCell ref="X319:Y319"/>
    <mergeCell ref="Z319:AB319"/>
    <mergeCell ref="AC319:AE319"/>
    <mergeCell ref="AF319:AH319"/>
    <mergeCell ref="AL319:AN319"/>
    <mergeCell ref="AO319:AQ319"/>
    <mergeCell ref="AR319:AT319"/>
    <mergeCell ref="C318:D318"/>
    <mergeCell ref="E318:F318"/>
    <mergeCell ref="G318:H318"/>
    <mergeCell ref="I318:J318"/>
    <mergeCell ref="K318:L318"/>
    <mergeCell ref="M318:N318"/>
    <mergeCell ref="O318:Q318"/>
    <mergeCell ref="R318:T318"/>
    <mergeCell ref="U318:W318"/>
    <mergeCell ref="X316:Y316"/>
    <mergeCell ref="Z316:AB316"/>
    <mergeCell ref="AC316:AE316"/>
    <mergeCell ref="AF316:AH316"/>
    <mergeCell ref="AL316:AN316"/>
    <mergeCell ref="AO316:AQ316"/>
    <mergeCell ref="AR316:AT316"/>
    <mergeCell ref="C317:D317"/>
    <mergeCell ref="E317:F317"/>
    <mergeCell ref="G317:H317"/>
    <mergeCell ref="I317:J317"/>
    <mergeCell ref="K317:L317"/>
    <mergeCell ref="M317:N317"/>
    <mergeCell ref="O317:Q317"/>
    <mergeCell ref="R317:T317"/>
    <mergeCell ref="U317:W317"/>
    <mergeCell ref="X317:Y317"/>
    <mergeCell ref="Z317:AB317"/>
    <mergeCell ref="AC317:AE317"/>
    <mergeCell ref="AF317:AH317"/>
    <mergeCell ref="AL317:AN317"/>
    <mergeCell ref="AO317:AQ317"/>
    <mergeCell ref="AR317:AT317"/>
    <mergeCell ref="C316:D316"/>
    <mergeCell ref="E316:F316"/>
    <mergeCell ref="G316:H316"/>
    <mergeCell ref="I316:J316"/>
    <mergeCell ref="K316:L316"/>
    <mergeCell ref="M316:N316"/>
    <mergeCell ref="O316:Q316"/>
    <mergeCell ref="R316:T316"/>
    <mergeCell ref="U316:W316"/>
    <mergeCell ref="X314:Y314"/>
    <mergeCell ref="Z314:AB314"/>
    <mergeCell ref="AC314:AE314"/>
    <mergeCell ref="AF314:AH314"/>
    <mergeCell ref="AL314:AN314"/>
    <mergeCell ref="AO314:AQ314"/>
    <mergeCell ref="AR314:AT314"/>
    <mergeCell ref="C315:D315"/>
    <mergeCell ref="E315:F315"/>
    <mergeCell ref="G315:H315"/>
    <mergeCell ref="I315:J315"/>
    <mergeCell ref="K315:L315"/>
    <mergeCell ref="M315:N315"/>
    <mergeCell ref="O315:Q315"/>
    <mergeCell ref="R315:T315"/>
    <mergeCell ref="U315:W315"/>
    <mergeCell ref="X315:Y315"/>
    <mergeCell ref="Z315:AB315"/>
    <mergeCell ref="AC315:AE315"/>
    <mergeCell ref="AF315:AH315"/>
    <mergeCell ref="AL315:AN315"/>
    <mergeCell ref="AO315:AQ315"/>
    <mergeCell ref="AR315:AT315"/>
    <mergeCell ref="C314:D314"/>
    <mergeCell ref="E314:F314"/>
    <mergeCell ref="G314:H314"/>
    <mergeCell ref="I314:J314"/>
    <mergeCell ref="K314:L314"/>
    <mergeCell ref="M314:N314"/>
    <mergeCell ref="O314:Q314"/>
    <mergeCell ref="R314:T314"/>
    <mergeCell ref="U314:W314"/>
    <mergeCell ref="X312:Y312"/>
    <mergeCell ref="Z312:AB312"/>
    <mergeCell ref="AC312:AE312"/>
    <mergeCell ref="AF312:AH312"/>
    <mergeCell ref="AL312:AN312"/>
    <mergeCell ref="AO312:AQ312"/>
    <mergeCell ref="AR312:AT312"/>
    <mergeCell ref="C313:D313"/>
    <mergeCell ref="E313:F313"/>
    <mergeCell ref="G313:H313"/>
    <mergeCell ref="I313:J313"/>
    <mergeCell ref="K313:L313"/>
    <mergeCell ref="M313:N313"/>
    <mergeCell ref="O313:Q313"/>
    <mergeCell ref="R313:T313"/>
    <mergeCell ref="U313:W313"/>
    <mergeCell ref="X313:Y313"/>
    <mergeCell ref="Z313:AB313"/>
    <mergeCell ref="AC313:AE313"/>
    <mergeCell ref="AF313:AH313"/>
    <mergeCell ref="AL313:AN313"/>
    <mergeCell ref="AO313:AQ313"/>
    <mergeCell ref="AR313:AT313"/>
    <mergeCell ref="C312:D312"/>
    <mergeCell ref="E312:F312"/>
    <mergeCell ref="G312:H312"/>
    <mergeCell ref="I312:J312"/>
    <mergeCell ref="K312:L312"/>
    <mergeCell ref="M312:N312"/>
    <mergeCell ref="O312:Q312"/>
    <mergeCell ref="R312:T312"/>
    <mergeCell ref="U312:W312"/>
    <mergeCell ref="X310:Y310"/>
    <mergeCell ref="Z310:AB310"/>
    <mergeCell ref="AC310:AE310"/>
    <mergeCell ref="AF310:AH310"/>
    <mergeCell ref="AL310:AN310"/>
    <mergeCell ref="AO310:AQ310"/>
    <mergeCell ref="AR310:AT310"/>
    <mergeCell ref="C311:D311"/>
    <mergeCell ref="E311:F311"/>
    <mergeCell ref="G311:H311"/>
    <mergeCell ref="I311:J311"/>
    <mergeCell ref="K311:L311"/>
    <mergeCell ref="M311:N311"/>
    <mergeCell ref="O311:Q311"/>
    <mergeCell ref="R311:T311"/>
    <mergeCell ref="U311:W311"/>
    <mergeCell ref="X311:Y311"/>
    <mergeCell ref="Z311:AB311"/>
    <mergeCell ref="AC311:AE311"/>
    <mergeCell ref="AF311:AH311"/>
    <mergeCell ref="AL311:AN311"/>
    <mergeCell ref="AO311:AQ311"/>
    <mergeCell ref="AR311:AT311"/>
    <mergeCell ref="C310:D310"/>
    <mergeCell ref="E310:F310"/>
    <mergeCell ref="G310:H310"/>
    <mergeCell ref="I310:J310"/>
    <mergeCell ref="K310:L310"/>
    <mergeCell ref="M310:N310"/>
    <mergeCell ref="O310:Q310"/>
    <mergeCell ref="R310:T310"/>
    <mergeCell ref="U310:W310"/>
    <mergeCell ref="Z308:AB308"/>
    <mergeCell ref="AC308:AE308"/>
    <mergeCell ref="AF308:AH308"/>
    <mergeCell ref="AL308:AN308"/>
    <mergeCell ref="AO308:AQ308"/>
    <mergeCell ref="AR308:AT308"/>
    <mergeCell ref="C309:D309"/>
    <mergeCell ref="E309:F309"/>
    <mergeCell ref="G309:H309"/>
    <mergeCell ref="I309:J309"/>
    <mergeCell ref="K309:L309"/>
    <mergeCell ref="M309:N309"/>
    <mergeCell ref="O309:Q309"/>
    <mergeCell ref="R309:T309"/>
    <mergeCell ref="U309:W309"/>
    <mergeCell ref="X309:Y309"/>
    <mergeCell ref="Z309:AB309"/>
    <mergeCell ref="AC309:AE309"/>
    <mergeCell ref="AF309:AH309"/>
    <mergeCell ref="AL309:AN309"/>
    <mergeCell ref="AO309:AQ309"/>
    <mergeCell ref="AR309:AT309"/>
    <mergeCell ref="E308:F308"/>
    <mergeCell ref="G308:H308"/>
    <mergeCell ref="I308:J308"/>
    <mergeCell ref="K308:L308"/>
    <mergeCell ref="M308:N308"/>
    <mergeCell ref="O308:Q308"/>
    <mergeCell ref="R308:T308"/>
    <mergeCell ref="U308:W308"/>
    <mergeCell ref="X308:Y308"/>
    <mergeCell ref="X304:Y304"/>
    <mergeCell ref="Z304:AB304"/>
    <mergeCell ref="AC304:AE304"/>
    <mergeCell ref="AF304:AH304"/>
    <mergeCell ref="AL304:AN304"/>
    <mergeCell ref="AO304:AQ304"/>
    <mergeCell ref="AR304:AT304"/>
    <mergeCell ref="C307:D307"/>
    <mergeCell ref="E307:F307"/>
    <mergeCell ref="G307:H307"/>
    <mergeCell ref="I307:J307"/>
    <mergeCell ref="K307:L307"/>
    <mergeCell ref="M307:N307"/>
    <mergeCell ref="O307:Q307"/>
    <mergeCell ref="R307:T307"/>
    <mergeCell ref="U307:W307"/>
    <mergeCell ref="X307:Y307"/>
    <mergeCell ref="Z307:AB307"/>
    <mergeCell ref="AC307:AE307"/>
    <mergeCell ref="AF307:AH307"/>
    <mergeCell ref="AL307:AN307"/>
    <mergeCell ref="AO307:AQ307"/>
    <mergeCell ref="AR307:AT307"/>
    <mergeCell ref="C304:D304"/>
    <mergeCell ref="E304:F304"/>
    <mergeCell ref="G304:H304"/>
    <mergeCell ref="I304:J304"/>
    <mergeCell ref="K304:L304"/>
    <mergeCell ref="M304:N304"/>
    <mergeCell ref="O304:Q304"/>
    <mergeCell ref="R304:T304"/>
    <mergeCell ref="U304:W304"/>
    <mergeCell ref="X302:Y302"/>
    <mergeCell ref="Z302:AB302"/>
    <mergeCell ref="AC302:AE302"/>
    <mergeCell ref="AF302:AH302"/>
    <mergeCell ref="AL302:AN302"/>
    <mergeCell ref="AO302:AQ302"/>
    <mergeCell ref="AR302:AT302"/>
    <mergeCell ref="C303:D303"/>
    <mergeCell ref="E303:F303"/>
    <mergeCell ref="G303:H303"/>
    <mergeCell ref="I303:J303"/>
    <mergeCell ref="K303:L303"/>
    <mergeCell ref="M303:N303"/>
    <mergeCell ref="O303:Q303"/>
    <mergeCell ref="R303:T303"/>
    <mergeCell ref="U303:W303"/>
    <mergeCell ref="X303:Y303"/>
    <mergeCell ref="Z303:AB303"/>
    <mergeCell ref="AC303:AE303"/>
    <mergeCell ref="AF303:AH303"/>
    <mergeCell ref="AL303:AN303"/>
    <mergeCell ref="AO303:AQ303"/>
    <mergeCell ref="AR303:AT303"/>
    <mergeCell ref="C302:D302"/>
    <mergeCell ref="E302:F302"/>
    <mergeCell ref="G302:H302"/>
    <mergeCell ref="I302:J302"/>
    <mergeCell ref="K302:L302"/>
    <mergeCell ref="M302:N302"/>
    <mergeCell ref="O302:Q302"/>
    <mergeCell ref="R302:T302"/>
    <mergeCell ref="U302:W302"/>
    <mergeCell ref="X300:Y300"/>
    <mergeCell ref="Z300:AB300"/>
    <mergeCell ref="AC300:AE300"/>
    <mergeCell ref="AF300:AH300"/>
    <mergeCell ref="AL300:AN300"/>
    <mergeCell ref="AO300:AQ300"/>
    <mergeCell ref="AR300:AT300"/>
    <mergeCell ref="C301:D301"/>
    <mergeCell ref="E301:F301"/>
    <mergeCell ref="G301:H301"/>
    <mergeCell ref="I301:J301"/>
    <mergeCell ref="K301:L301"/>
    <mergeCell ref="M301:N301"/>
    <mergeCell ref="O301:Q301"/>
    <mergeCell ref="R301:T301"/>
    <mergeCell ref="U301:W301"/>
    <mergeCell ref="X301:Y301"/>
    <mergeCell ref="Z301:AB301"/>
    <mergeCell ref="AC301:AE301"/>
    <mergeCell ref="AF301:AH301"/>
    <mergeCell ref="AL301:AN301"/>
    <mergeCell ref="AO301:AQ301"/>
    <mergeCell ref="AR301:AT301"/>
    <mergeCell ref="C300:D300"/>
    <mergeCell ref="E300:F300"/>
    <mergeCell ref="G300:H300"/>
    <mergeCell ref="I300:J300"/>
    <mergeCell ref="K300:L300"/>
    <mergeCell ref="M300:N300"/>
    <mergeCell ref="O300:Q300"/>
    <mergeCell ref="R300:T300"/>
    <mergeCell ref="U300:W300"/>
    <mergeCell ref="X298:Y298"/>
    <mergeCell ref="Z298:AB298"/>
    <mergeCell ref="AC298:AE298"/>
    <mergeCell ref="AF298:AH298"/>
    <mergeCell ref="AL298:AN298"/>
    <mergeCell ref="AO298:AQ298"/>
    <mergeCell ref="AR298:AT298"/>
    <mergeCell ref="C299:D299"/>
    <mergeCell ref="E299:F299"/>
    <mergeCell ref="G299:H299"/>
    <mergeCell ref="I299:J299"/>
    <mergeCell ref="K299:L299"/>
    <mergeCell ref="M299:N299"/>
    <mergeCell ref="O299:Q299"/>
    <mergeCell ref="R299:T299"/>
    <mergeCell ref="U299:W299"/>
    <mergeCell ref="X299:Y299"/>
    <mergeCell ref="Z299:AB299"/>
    <mergeCell ref="AC299:AE299"/>
    <mergeCell ref="AF299:AH299"/>
    <mergeCell ref="AL299:AN299"/>
    <mergeCell ref="AO299:AQ299"/>
    <mergeCell ref="AR299:AT299"/>
    <mergeCell ref="C298:D298"/>
    <mergeCell ref="E298:F298"/>
    <mergeCell ref="G298:H298"/>
    <mergeCell ref="I298:J298"/>
    <mergeCell ref="K298:L298"/>
    <mergeCell ref="M298:N298"/>
    <mergeCell ref="O298:Q298"/>
    <mergeCell ref="R298:T298"/>
    <mergeCell ref="U298:W298"/>
    <mergeCell ref="X296:Y296"/>
    <mergeCell ref="Z296:AB296"/>
    <mergeCell ref="AC296:AE296"/>
    <mergeCell ref="AF296:AH296"/>
    <mergeCell ref="AL296:AN296"/>
    <mergeCell ref="AO296:AQ296"/>
    <mergeCell ref="AR296:AT296"/>
    <mergeCell ref="C297:D297"/>
    <mergeCell ref="E297:F297"/>
    <mergeCell ref="G297:H297"/>
    <mergeCell ref="I297:J297"/>
    <mergeCell ref="K297:L297"/>
    <mergeCell ref="M297:N297"/>
    <mergeCell ref="O297:Q297"/>
    <mergeCell ref="R297:T297"/>
    <mergeCell ref="U297:W297"/>
    <mergeCell ref="X297:Y297"/>
    <mergeCell ref="Z297:AB297"/>
    <mergeCell ref="AC297:AE297"/>
    <mergeCell ref="AF297:AH297"/>
    <mergeCell ref="AL297:AN297"/>
    <mergeCell ref="AO297:AQ297"/>
    <mergeCell ref="AR297:AT297"/>
    <mergeCell ref="C296:D296"/>
    <mergeCell ref="E296:F296"/>
    <mergeCell ref="G296:H296"/>
    <mergeCell ref="I296:J296"/>
    <mergeCell ref="K296:L296"/>
    <mergeCell ref="M296:N296"/>
    <mergeCell ref="O296:Q296"/>
    <mergeCell ref="R296:T296"/>
    <mergeCell ref="U296:W296"/>
    <mergeCell ref="X294:Y294"/>
    <mergeCell ref="Z294:AB294"/>
    <mergeCell ref="AC294:AE294"/>
    <mergeCell ref="AF294:AH294"/>
    <mergeCell ref="AL294:AN294"/>
    <mergeCell ref="AO294:AQ294"/>
    <mergeCell ref="AR294:AT294"/>
    <mergeCell ref="C295:D295"/>
    <mergeCell ref="E295:F295"/>
    <mergeCell ref="G295:H295"/>
    <mergeCell ref="I295:J295"/>
    <mergeCell ref="K295:L295"/>
    <mergeCell ref="M295:N295"/>
    <mergeCell ref="O295:Q295"/>
    <mergeCell ref="R295:T295"/>
    <mergeCell ref="U295:W295"/>
    <mergeCell ref="X295:Y295"/>
    <mergeCell ref="Z295:AB295"/>
    <mergeCell ref="AC295:AE295"/>
    <mergeCell ref="AF295:AH295"/>
    <mergeCell ref="AL295:AN295"/>
    <mergeCell ref="AO295:AQ295"/>
    <mergeCell ref="AR295:AT295"/>
    <mergeCell ref="C294:D294"/>
    <mergeCell ref="E294:F294"/>
    <mergeCell ref="G294:H294"/>
    <mergeCell ref="I294:J294"/>
    <mergeCell ref="K294:L294"/>
    <mergeCell ref="M294:N294"/>
    <mergeCell ref="O294:Q294"/>
    <mergeCell ref="R294:T294"/>
    <mergeCell ref="U294:W294"/>
    <mergeCell ref="AC292:AE292"/>
    <mergeCell ref="AF292:AH292"/>
    <mergeCell ref="AL292:AN292"/>
    <mergeCell ref="AO292:AQ292"/>
    <mergeCell ref="AR292:AT292"/>
    <mergeCell ref="C293:D293"/>
    <mergeCell ref="E293:F293"/>
    <mergeCell ref="G293:H293"/>
    <mergeCell ref="I293:J293"/>
    <mergeCell ref="K293:L293"/>
    <mergeCell ref="M293:N293"/>
    <mergeCell ref="O293:Q293"/>
    <mergeCell ref="R293:T293"/>
    <mergeCell ref="U293:W293"/>
    <mergeCell ref="X293:Y293"/>
    <mergeCell ref="Z293:AB293"/>
    <mergeCell ref="AC293:AE293"/>
    <mergeCell ref="AF293:AH293"/>
    <mergeCell ref="AL293:AN293"/>
    <mergeCell ref="AO293:AQ293"/>
    <mergeCell ref="AR293:AT293"/>
    <mergeCell ref="G292:H292"/>
    <mergeCell ref="I292:J292"/>
    <mergeCell ref="K292:L292"/>
    <mergeCell ref="M292:N292"/>
    <mergeCell ref="O292:Q292"/>
    <mergeCell ref="R292:T292"/>
    <mergeCell ref="U292:W292"/>
    <mergeCell ref="X292:Y292"/>
    <mergeCell ref="Z292:AB292"/>
    <mergeCell ref="X373:Y373"/>
    <mergeCell ref="Z373:AB373"/>
    <mergeCell ref="AC373:AE373"/>
    <mergeCell ref="AF373:AH373"/>
    <mergeCell ref="AL373:AN373"/>
    <mergeCell ref="AO373:AQ373"/>
    <mergeCell ref="AR373:AT373"/>
    <mergeCell ref="C374:D374"/>
    <mergeCell ref="E374:F374"/>
    <mergeCell ref="G374:H374"/>
    <mergeCell ref="I374:J374"/>
    <mergeCell ref="K374:L374"/>
    <mergeCell ref="M374:N374"/>
    <mergeCell ref="O374:Q374"/>
    <mergeCell ref="R374:T374"/>
    <mergeCell ref="U374:W374"/>
    <mergeCell ref="X374:Y374"/>
    <mergeCell ref="Z374:AB374"/>
    <mergeCell ref="AC374:AE374"/>
    <mergeCell ref="AF374:AH374"/>
    <mergeCell ref="AL374:AN374"/>
    <mergeCell ref="AO374:AQ374"/>
    <mergeCell ref="AR374:AT374"/>
    <mergeCell ref="C373:D373"/>
    <mergeCell ref="E373:F373"/>
    <mergeCell ref="G373:H373"/>
    <mergeCell ref="I373:J373"/>
    <mergeCell ref="K373:L373"/>
    <mergeCell ref="M373:N373"/>
    <mergeCell ref="O373:Q373"/>
    <mergeCell ref="R373:T373"/>
    <mergeCell ref="U373:W373"/>
    <mergeCell ref="X371:Y371"/>
    <mergeCell ref="Z371:AB371"/>
    <mergeCell ref="AC371:AE371"/>
    <mergeCell ref="AF371:AH371"/>
    <mergeCell ref="AL371:AN371"/>
    <mergeCell ref="AO371:AQ371"/>
    <mergeCell ref="AR371:AT371"/>
    <mergeCell ref="C372:D372"/>
    <mergeCell ref="E372:F372"/>
    <mergeCell ref="G372:H372"/>
    <mergeCell ref="I372:J372"/>
    <mergeCell ref="K372:L372"/>
    <mergeCell ref="M372:N372"/>
    <mergeCell ref="O372:Q372"/>
    <mergeCell ref="R372:T372"/>
    <mergeCell ref="U372:W372"/>
    <mergeCell ref="X372:Y372"/>
    <mergeCell ref="Z372:AB372"/>
    <mergeCell ref="AC372:AE372"/>
    <mergeCell ref="AF372:AH372"/>
    <mergeCell ref="AL372:AN372"/>
    <mergeCell ref="AO372:AQ372"/>
    <mergeCell ref="AR372:AT372"/>
    <mergeCell ref="C371:D371"/>
    <mergeCell ref="E371:F371"/>
    <mergeCell ref="G371:H371"/>
    <mergeCell ref="I371:J371"/>
    <mergeCell ref="K371:L371"/>
    <mergeCell ref="M371:N371"/>
    <mergeCell ref="O371:Q371"/>
    <mergeCell ref="R371:T371"/>
    <mergeCell ref="U371:W371"/>
    <mergeCell ref="X369:Y369"/>
    <mergeCell ref="Z369:AB369"/>
    <mergeCell ref="AC369:AE369"/>
    <mergeCell ref="AF369:AH369"/>
    <mergeCell ref="AL369:AN369"/>
    <mergeCell ref="AO369:AQ369"/>
    <mergeCell ref="AR369:AT369"/>
    <mergeCell ref="C370:D370"/>
    <mergeCell ref="E370:F370"/>
    <mergeCell ref="G370:H370"/>
    <mergeCell ref="I370:J370"/>
    <mergeCell ref="K370:L370"/>
    <mergeCell ref="M370:N370"/>
    <mergeCell ref="O370:Q370"/>
    <mergeCell ref="R370:T370"/>
    <mergeCell ref="U370:W370"/>
    <mergeCell ref="X370:Y370"/>
    <mergeCell ref="Z370:AB370"/>
    <mergeCell ref="AC370:AE370"/>
    <mergeCell ref="AF370:AH370"/>
    <mergeCell ref="AL370:AN370"/>
    <mergeCell ref="AO370:AQ370"/>
    <mergeCell ref="AR370:AT370"/>
    <mergeCell ref="C369:D369"/>
    <mergeCell ref="E369:F369"/>
    <mergeCell ref="G369:H369"/>
    <mergeCell ref="I369:J369"/>
    <mergeCell ref="K369:L369"/>
    <mergeCell ref="M369:N369"/>
    <mergeCell ref="O369:Q369"/>
    <mergeCell ref="R369:T369"/>
    <mergeCell ref="U369:W369"/>
    <mergeCell ref="X367:Y367"/>
    <mergeCell ref="Z367:AB367"/>
    <mergeCell ref="AC367:AE367"/>
    <mergeCell ref="AF367:AH367"/>
    <mergeCell ref="AL367:AN367"/>
    <mergeCell ref="AO367:AQ367"/>
    <mergeCell ref="AR367:AT367"/>
    <mergeCell ref="C368:D368"/>
    <mergeCell ref="E368:F368"/>
    <mergeCell ref="G368:H368"/>
    <mergeCell ref="I368:J368"/>
    <mergeCell ref="K368:L368"/>
    <mergeCell ref="M368:N368"/>
    <mergeCell ref="O368:Q368"/>
    <mergeCell ref="R368:T368"/>
    <mergeCell ref="U368:W368"/>
    <mergeCell ref="X368:Y368"/>
    <mergeCell ref="Z368:AB368"/>
    <mergeCell ref="AC368:AE368"/>
    <mergeCell ref="AF368:AH368"/>
    <mergeCell ref="AL368:AN368"/>
    <mergeCell ref="AO368:AQ368"/>
    <mergeCell ref="AR368:AT368"/>
    <mergeCell ref="C367:D367"/>
    <mergeCell ref="E367:F367"/>
    <mergeCell ref="G367:H367"/>
    <mergeCell ref="I367:J367"/>
    <mergeCell ref="K367:L367"/>
    <mergeCell ref="M367:N367"/>
    <mergeCell ref="O367:Q367"/>
    <mergeCell ref="R367:T367"/>
    <mergeCell ref="U367:W367"/>
    <mergeCell ref="X365:Y365"/>
    <mergeCell ref="Z365:AB365"/>
    <mergeCell ref="AC365:AE365"/>
    <mergeCell ref="AF365:AH365"/>
    <mergeCell ref="AL365:AN365"/>
    <mergeCell ref="AO365:AQ365"/>
    <mergeCell ref="AR365:AT365"/>
    <mergeCell ref="C366:D366"/>
    <mergeCell ref="E366:F366"/>
    <mergeCell ref="G366:H366"/>
    <mergeCell ref="I366:J366"/>
    <mergeCell ref="K366:L366"/>
    <mergeCell ref="M366:N366"/>
    <mergeCell ref="O366:Q366"/>
    <mergeCell ref="R366:T366"/>
    <mergeCell ref="U366:W366"/>
    <mergeCell ref="X366:Y366"/>
    <mergeCell ref="Z366:AB366"/>
    <mergeCell ref="AC366:AE366"/>
    <mergeCell ref="AF366:AH366"/>
    <mergeCell ref="AL366:AN366"/>
    <mergeCell ref="AO366:AQ366"/>
    <mergeCell ref="AR366:AT366"/>
    <mergeCell ref="C365:D365"/>
    <mergeCell ref="E365:F365"/>
    <mergeCell ref="G365:H365"/>
    <mergeCell ref="I365:J365"/>
    <mergeCell ref="K365:L365"/>
    <mergeCell ref="M365:N365"/>
    <mergeCell ref="O365:Q365"/>
    <mergeCell ref="R365:T365"/>
    <mergeCell ref="U365:W365"/>
    <mergeCell ref="X306:Y306"/>
    <mergeCell ref="Z306:AB306"/>
    <mergeCell ref="AC306:AE306"/>
    <mergeCell ref="AF306:AH306"/>
    <mergeCell ref="AL306:AN306"/>
    <mergeCell ref="AO306:AQ306"/>
    <mergeCell ref="AR306:AT306"/>
    <mergeCell ref="C364:D364"/>
    <mergeCell ref="E364:F364"/>
    <mergeCell ref="G364:H364"/>
    <mergeCell ref="I364:J364"/>
    <mergeCell ref="K364:L364"/>
    <mergeCell ref="M364:N364"/>
    <mergeCell ref="O364:Q364"/>
    <mergeCell ref="R364:T364"/>
    <mergeCell ref="U364:W364"/>
    <mergeCell ref="X364:Y364"/>
    <mergeCell ref="Z364:AB364"/>
    <mergeCell ref="AC364:AE364"/>
    <mergeCell ref="AF364:AH364"/>
    <mergeCell ref="AL364:AN364"/>
    <mergeCell ref="AO364:AQ364"/>
    <mergeCell ref="AR364:AT364"/>
    <mergeCell ref="C308:D308"/>
    <mergeCell ref="C306:D306"/>
    <mergeCell ref="E306:F306"/>
    <mergeCell ref="G306:H306"/>
    <mergeCell ref="I306:J306"/>
    <mergeCell ref="K306:L306"/>
    <mergeCell ref="M306:N306"/>
    <mergeCell ref="O306:Q306"/>
    <mergeCell ref="R306:T306"/>
    <mergeCell ref="U306:W306"/>
    <mergeCell ref="Z291:AB291"/>
    <mergeCell ref="AC291:AE291"/>
    <mergeCell ref="AF291:AH291"/>
    <mergeCell ref="AL291:AN291"/>
    <mergeCell ref="AO291:AQ291"/>
    <mergeCell ref="AR291:AT291"/>
    <mergeCell ref="C305:D305"/>
    <mergeCell ref="E305:F305"/>
    <mergeCell ref="G305:H305"/>
    <mergeCell ref="I305:J305"/>
    <mergeCell ref="K305:L305"/>
    <mergeCell ref="M305:N305"/>
    <mergeCell ref="O305:Q305"/>
    <mergeCell ref="R305:T305"/>
    <mergeCell ref="U305:W305"/>
    <mergeCell ref="X305:Y305"/>
    <mergeCell ref="Z305:AB305"/>
    <mergeCell ref="AC305:AE305"/>
    <mergeCell ref="AF305:AH305"/>
    <mergeCell ref="AL305:AN305"/>
    <mergeCell ref="AO305:AQ305"/>
    <mergeCell ref="AR305:AT305"/>
    <mergeCell ref="C292:D292"/>
    <mergeCell ref="E292:F292"/>
    <mergeCell ref="E291:F291"/>
    <mergeCell ref="G291:H291"/>
    <mergeCell ref="I291:J291"/>
    <mergeCell ref="K291:L291"/>
    <mergeCell ref="M291:N291"/>
    <mergeCell ref="O291:Q291"/>
    <mergeCell ref="R291:T291"/>
    <mergeCell ref="U291:W291"/>
    <mergeCell ref="X291:Y291"/>
    <mergeCell ref="X377:Y377"/>
    <mergeCell ref="Z377:AB377"/>
    <mergeCell ref="AC377:AE377"/>
    <mergeCell ref="AF377:AH377"/>
    <mergeCell ref="AL377:AN377"/>
    <mergeCell ref="AO377:AQ377"/>
    <mergeCell ref="AR377:AT377"/>
    <mergeCell ref="C290:D290"/>
    <mergeCell ref="E290:F290"/>
    <mergeCell ref="G290:H290"/>
    <mergeCell ref="I290:J290"/>
    <mergeCell ref="K290:L290"/>
    <mergeCell ref="M290:N290"/>
    <mergeCell ref="O290:Q290"/>
    <mergeCell ref="R290:T290"/>
    <mergeCell ref="U290:W290"/>
    <mergeCell ref="X290:Y290"/>
    <mergeCell ref="Z290:AB290"/>
    <mergeCell ref="AC290:AE290"/>
    <mergeCell ref="AF290:AH290"/>
    <mergeCell ref="AL290:AN290"/>
    <mergeCell ref="AO290:AQ290"/>
    <mergeCell ref="AR290:AT290"/>
    <mergeCell ref="C291:D291"/>
    <mergeCell ref="C377:D377"/>
    <mergeCell ref="E377:F377"/>
    <mergeCell ref="G377:H377"/>
    <mergeCell ref="I377:J377"/>
    <mergeCell ref="K377:L377"/>
    <mergeCell ref="M377:N377"/>
    <mergeCell ref="O377:Q377"/>
    <mergeCell ref="R377:T377"/>
    <mergeCell ref="U377:W377"/>
    <mergeCell ref="X375:Y375"/>
    <mergeCell ref="Z375:AB375"/>
    <mergeCell ref="AC375:AE375"/>
    <mergeCell ref="AF375:AH375"/>
    <mergeCell ref="AL375:AN375"/>
    <mergeCell ref="AO375:AQ375"/>
    <mergeCell ref="AR375:AT375"/>
    <mergeCell ref="C376:D376"/>
    <mergeCell ref="E376:F376"/>
    <mergeCell ref="G376:H376"/>
    <mergeCell ref="I376:J376"/>
    <mergeCell ref="K376:L376"/>
    <mergeCell ref="M376:N376"/>
    <mergeCell ref="O376:Q376"/>
    <mergeCell ref="R376:T376"/>
    <mergeCell ref="U376:W376"/>
    <mergeCell ref="X376:Y376"/>
    <mergeCell ref="Z376:AB376"/>
    <mergeCell ref="AC376:AE376"/>
    <mergeCell ref="AF376:AH376"/>
    <mergeCell ref="AL376:AN376"/>
    <mergeCell ref="AO376:AQ376"/>
    <mergeCell ref="AR376:AT376"/>
    <mergeCell ref="C375:D375"/>
    <mergeCell ref="E375:F375"/>
    <mergeCell ref="G375:H375"/>
    <mergeCell ref="I375:J375"/>
    <mergeCell ref="K375:L375"/>
    <mergeCell ref="M375:N375"/>
    <mergeCell ref="O375:Q375"/>
    <mergeCell ref="R375:T375"/>
    <mergeCell ref="U375:W375"/>
    <mergeCell ref="X288:Y288"/>
    <mergeCell ref="Z288:AB288"/>
    <mergeCell ref="AC288:AE288"/>
    <mergeCell ref="AF288:AH288"/>
    <mergeCell ref="AL288:AN288"/>
    <mergeCell ref="AO288:AQ288"/>
    <mergeCell ref="AR288:AT288"/>
    <mergeCell ref="C289:D289"/>
    <mergeCell ref="E289:F289"/>
    <mergeCell ref="G289:H289"/>
    <mergeCell ref="I289:J289"/>
    <mergeCell ref="K289:L289"/>
    <mergeCell ref="M289:N289"/>
    <mergeCell ref="O289:Q289"/>
    <mergeCell ref="R289:T289"/>
    <mergeCell ref="U289:W289"/>
    <mergeCell ref="X289:Y289"/>
    <mergeCell ref="Z289:AB289"/>
    <mergeCell ref="AC289:AE289"/>
    <mergeCell ref="AF289:AH289"/>
    <mergeCell ref="AL289:AN289"/>
    <mergeCell ref="AO289:AQ289"/>
    <mergeCell ref="AR289:AT289"/>
    <mergeCell ref="C288:D288"/>
    <mergeCell ref="E288:F288"/>
    <mergeCell ref="G288:H288"/>
    <mergeCell ref="I288:J288"/>
    <mergeCell ref="K288:L288"/>
    <mergeCell ref="M288:N288"/>
    <mergeCell ref="O288:Q288"/>
    <mergeCell ref="R288:T288"/>
    <mergeCell ref="U288:W288"/>
    <mergeCell ref="X286:Y286"/>
    <mergeCell ref="Z286:AB286"/>
    <mergeCell ref="AC286:AE286"/>
    <mergeCell ref="AF286:AH286"/>
    <mergeCell ref="AL286:AN286"/>
    <mergeCell ref="AO286:AQ286"/>
    <mergeCell ref="AR286:AT286"/>
    <mergeCell ref="C287:D287"/>
    <mergeCell ref="E287:F287"/>
    <mergeCell ref="G287:H287"/>
    <mergeCell ref="I287:J287"/>
    <mergeCell ref="K287:L287"/>
    <mergeCell ref="M287:N287"/>
    <mergeCell ref="O287:Q287"/>
    <mergeCell ref="R287:T287"/>
    <mergeCell ref="U287:W287"/>
    <mergeCell ref="X287:Y287"/>
    <mergeCell ref="Z287:AB287"/>
    <mergeCell ref="AC287:AE287"/>
    <mergeCell ref="AF287:AH287"/>
    <mergeCell ref="AL287:AN287"/>
    <mergeCell ref="AO287:AQ287"/>
    <mergeCell ref="AR287:AT287"/>
    <mergeCell ref="C286:D286"/>
    <mergeCell ref="E286:F286"/>
    <mergeCell ref="G286:H286"/>
    <mergeCell ref="I286:J286"/>
    <mergeCell ref="K286:L286"/>
    <mergeCell ref="M286:N286"/>
    <mergeCell ref="O286:Q286"/>
    <mergeCell ref="R286:T286"/>
    <mergeCell ref="U286:W286"/>
    <mergeCell ref="X284:Y284"/>
    <mergeCell ref="Z284:AB284"/>
    <mergeCell ref="AC284:AE284"/>
    <mergeCell ref="AF284:AH284"/>
    <mergeCell ref="AL284:AN284"/>
    <mergeCell ref="AO284:AQ284"/>
    <mergeCell ref="AR284:AT284"/>
    <mergeCell ref="C285:D285"/>
    <mergeCell ref="E285:F285"/>
    <mergeCell ref="G285:H285"/>
    <mergeCell ref="I285:J285"/>
    <mergeCell ref="K285:L285"/>
    <mergeCell ref="M285:N285"/>
    <mergeCell ref="O285:Q285"/>
    <mergeCell ref="R285:T285"/>
    <mergeCell ref="U285:W285"/>
    <mergeCell ref="X285:Y285"/>
    <mergeCell ref="Z285:AB285"/>
    <mergeCell ref="AC285:AE285"/>
    <mergeCell ref="AF285:AH285"/>
    <mergeCell ref="AL285:AN285"/>
    <mergeCell ref="AO285:AQ285"/>
    <mergeCell ref="AR285:AT285"/>
    <mergeCell ref="C284:D284"/>
    <mergeCell ref="E284:F284"/>
    <mergeCell ref="G284:H284"/>
    <mergeCell ref="I284:J284"/>
    <mergeCell ref="K284:L284"/>
    <mergeCell ref="M284:N284"/>
    <mergeCell ref="O284:Q284"/>
    <mergeCell ref="R284:T284"/>
    <mergeCell ref="U284:W284"/>
    <mergeCell ref="X282:Y282"/>
    <mergeCell ref="Z282:AB282"/>
    <mergeCell ref="AC282:AE282"/>
    <mergeCell ref="AF282:AH282"/>
    <mergeCell ref="AL282:AN282"/>
    <mergeCell ref="AO282:AQ282"/>
    <mergeCell ref="AR282:AT282"/>
    <mergeCell ref="C283:D283"/>
    <mergeCell ref="E283:F283"/>
    <mergeCell ref="G283:H283"/>
    <mergeCell ref="I283:J283"/>
    <mergeCell ref="K283:L283"/>
    <mergeCell ref="M283:N283"/>
    <mergeCell ref="O283:Q283"/>
    <mergeCell ref="R283:T283"/>
    <mergeCell ref="U283:W283"/>
    <mergeCell ref="X283:Y283"/>
    <mergeCell ref="Z283:AB283"/>
    <mergeCell ref="AC283:AE283"/>
    <mergeCell ref="AF283:AH283"/>
    <mergeCell ref="AL283:AN283"/>
    <mergeCell ref="AO283:AQ283"/>
    <mergeCell ref="AR283:AT283"/>
    <mergeCell ref="C282:D282"/>
    <mergeCell ref="E282:F282"/>
    <mergeCell ref="G282:H282"/>
    <mergeCell ref="I282:J282"/>
    <mergeCell ref="K282:L282"/>
    <mergeCell ref="M282:N282"/>
    <mergeCell ref="O282:Q282"/>
    <mergeCell ref="R282:T282"/>
    <mergeCell ref="U282:W282"/>
    <mergeCell ref="X280:Y280"/>
    <mergeCell ref="Z280:AB280"/>
    <mergeCell ref="AC280:AE280"/>
    <mergeCell ref="AF280:AH280"/>
    <mergeCell ref="AL280:AN280"/>
    <mergeCell ref="AO280:AQ280"/>
    <mergeCell ref="AR280:AT280"/>
    <mergeCell ref="C281:D281"/>
    <mergeCell ref="E281:F281"/>
    <mergeCell ref="G281:H281"/>
    <mergeCell ref="I281:J281"/>
    <mergeCell ref="K281:L281"/>
    <mergeCell ref="M281:N281"/>
    <mergeCell ref="O281:Q281"/>
    <mergeCell ref="R281:T281"/>
    <mergeCell ref="U281:W281"/>
    <mergeCell ref="X281:Y281"/>
    <mergeCell ref="Z281:AB281"/>
    <mergeCell ref="AC281:AE281"/>
    <mergeCell ref="AF281:AH281"/>
    <mergeCell ref="AL281:AN281"/>
    <mergeCell ref="AO281:AQ281"/>
    <mergeCell ref="AR281:AT281"/>
    <mergeCell ref="C280:D280"/>
    <mergeCell ref="E280:F280"/>
    <mergeCell ref="G280:H280"/>
    <mergeCell ref="I280:J280"/>
    <mergeCell ref="K280:L280"/>
    <mergeCell ref="M280:N280"/>
    <mergeCell ref="O280:Q280"/>
    <mergeCell ref="R280:T280"/>
    <mergeCell ref="U280:W280"/>
    <mergeCell ref="Z278:AB278"/>
    <mergeCell ref="AC278:AE278"/>
    <mergeCell ref="AF278:AH278"/>
    <mergeCell ref="AL278:AN278"/>
    <mergeCell ref="AO278:AQ278"/>
    <mergeCell ref="AR278:AT278"/>
    <mergeCell ref="C279:D279"/>
    <mergeCell ref="E279:F279"/>
    <mergeCell ref="G279:H279"/>
    <mergeCell ref="I279:J279"/>
    <mergeCell ref="K279:L279"/>
    <mergeCell ref="M279:N279"/>
    <mergeCell ref="O279:Q279"/>
    <mergeCell ref="R279:T279"/>
    <mergeCell ref="U279:W279"/>
    <mergeCell ref="X279:Y279"/>
    <mergeCell ref="Z279:AB279"/>
    <mergeCell ref="AC279:AE279"/>
    <mergeCell ref="AF279:AH279"/>
    <mergeCell ref="AL279:AN279"/>
    <mergeCell ref="AO279:AQ279"/>
    <mergeCell ref="AR279:AT279"/>
    <mergeCell ref="E278:F278"/>
    <mergeCell ref="G278:H278"/>
    <mergeCell ref="I278:J278"/>
    <mergeCell ref="K278:L278"/>
    <mergeCell ref="M278:N278"/>
    <mergeCell ref="O278:Q278"/>
    <mergeCell ref="R278:T278"/>
    <mergeCell ref="U278:W278"/>
    <mergeCell ref="X278:Y278"/>
    <mergeCell ref="X277:Y277"/>
    <mergeCell ref="Z277:AB277"/>
    <mergeCell ref="AC277:AE277"/>
    <mergeCell ref="AF277:AH277"/>
    <mergeCell ref="AL277:AN277"/>
    <mergeCell ref="AO277:AQ277"/>
    <mergeCell ref="AR277:AT277"/>
    <mergeCell ref="C378:D378"/>
    <mergeCell ref="E378:F378"/>
    <mergeCell ref="G378:H378"/>
    <mergeCell ref="I378:J378"/>
    <mergeCell ref="K378:L378"/>
    <mergeCell ref="M378:N378"/>
    <mergeCell ref="O378:Q378"/>
    <mergeCell ref="R378:T378"/>
    <mergeCell ref="U378:W378"/>
    <mergeCell ref="X378:Y378"/>
    <mergeCell ref="Z378:AB378"/>
    <mergeCell ref="AC378:AE378"/>
    <mergeCell ref="AF378:AH378"/>
    <mergeCell ref="AL378:AN378"/>
    <mergeCell ref="AO378:AQ378"/>
    <mergeCell ref="AR378:AT378"/>
    <mergeCell ref="C278:D278"/>
    <mergeCell ref="C277:D277"/>
    <mergeCell ref="E277:F277"/>
    <mergeCell ref="G277:H277"/>
    <mergeCell ref="I277:J277"/>
    <mergeCell ref="K277:L277"/>
    <mergeCell ref="M277:N277"/>
    <mergeCell ref="U277:W277"/>
    <mergeCell ref="X275:Y275"/>
    <mergeCell ref="Z275:AB275"/>
    <mergeCell ref="AC275:AE275"/>
    <mergeCell ref="AF275:AH275"/>
    <mergeCell ref="AL275:AN275"/>
    <mergeCell ref="AO275:AQ275"/>
    <mergeCell ref="AR275:AT275"/>
    <mergeCell ref="C276:D276"/>
    <mergeCell ref="E276:F276"/>
    <mergeCell ref="G276:H276"/>
    <mergeCell ref="I276:J276"/>
    <mergeCell ref="K276:L276"/>
    <mergeCell ref="M276:N276"/>
    <mergeCell ref="O276:Q276"/>
    <mergeCell ref="R276:T276"/>
    <mergeCell ref="U276:W276"/>
    <mergeCell ref="X276:Y276"/>
    <mergeCell ref="Z276:AB276"/>
    <mergeCell ref="AC276:AE276"/>
    <mergeCell ref="AF276:AH276"/>
    <mergeCell ref="AL276:AN276"/>
    <mergeCell ref="AO276:AQ276"/>
    <mergeCell ref="AR276:AT276"/>
    <mergeCell ref="C275:D275"/>
    <mergeCell ref="E275:F275"/>
    <mergeCell ref="G275:H275"/>
    <mergeCell ref="I275:J275"/>
    <mergeCell ref="K275:L275"/>
    <mergeCell ref="M275:N275"/>
    <mergeCell ref="AR272:AT272"/>
    <mergeCell ref="K271:L271"/>
    <mergeCell ref="M271:N271"/>
    <mergeCell ref="O271:Q271"/>
    <mergeCell ref="R271:T271"/>
    <mergeCell ref="U271:W271"/>
    <mergeCell ref="X271:Y271"/>
    <mergeCell ref="Z271:AB271"/>
    <mergeCell ref="AC271:AE271"/>
    <mergeCell ref="AF271:AH271"/>
    <mergeCell ref="O275:Q275"/>
    <mergeCell ref="R275:T275"/>
    <mergeCell ref="U275:W275"/>
    <mergeCell ref="X273:Y273"/>
    <mergeCell ref="Z273:AB273"/>
    <mergeCell ref="AC273:AE273"/>
    <mergeCell ref="AF273:AH273"/>
    <mergeCell ref="AL273:AN273"/>
    <mergeCell ref="AO273:AQ273"/>
    <mergeCell ref="AR273:AT273"/>
    <mergeCell ref="K274:L274"/>
    <mergeCell ref="M274:N274"/>
    <mergeCell ref="O274:Q274"/>
    <mergeCell ref="R274:T274"/>
    <mergeCell ref="U274:W274"/>
    <mergeCell ref="X274:Y274"/>
    <mergeCell ref="Z274:AB274"/>
    <mergeCell ref="AC274:AE274"/>
    <mergeCell ref="AF274:AH274"/>
    <mergeCell ref="AL274:AN274"/>
    <mergeCell ref="AO274:AQ274"/>
    <mergeCell ref="AR274:AT274"/>
    <mergeCell ref="AO269:AQ270"/>
    <mergeCell ref="AL272:AN272"/>
    <mergeCell ref="AO272:AQ272"/>
    <mergeCell ref="C274:D274"/>
    <mergeCell ref="E274:F274"/>
    <mergeCell ref="G274:H274"/>
    <mergeCell ref="I274:J274"/>
    <mergeCell ref="AR269:AT270"/>
    <mergeCell ref="C271:D271"/>
    <mergeCell ref="E271:F271"/>
    <mergeCell ref="G271:H271"/>
    <mergeCell ref="I271:J271"/>
    <mergeCell ref="AI269:AK270"/>
    <mergeCell ref="AI271:AK271"/>
    <mergeCell ref="AI272:AK272"/>
    <mergeCell ref="AI273:AK273"/>
    <mergeCell ref="AI274:AK274"/>
    <mergeCell ref="O273:Q273"/>
    <mergeCell ref="R273:T273"/>
    <mergeCell ref="U273:W273"/>
    <mergeCell ref="AL271:AN271"/>
    <mergeCell ref="AO271:AQ271"/>
    <mergeCell ref="AR271:AT271"/>
    <mergeCell ref="C272:D272"/>
    <mergeCell ref="E272:F272"/>
    <mergeCell ref="G272:H272"/>
    <mergeCell ref="I272:J272"/>
    <mergeCell ref="K272:L272"/>
    <mergeCell ref="M272:N272"/>
    <mergeCell ref="O272:Q272"/>
    <mergeCell ref="R272:T272"/>
    <mergeCell ref="U272:W272"/>
    <mergeCell ref="B268:B378"/>
    <mergeCell ref="C268:D270"/>
    <mergeCell ref="E268:F270"/>
    <mergeCell ref="G268:H270"/>
    <mergeCell ref="I268:L268"/>
    <mergeCell ref="M268:W268"/>
    <mergeCell ref="I269:J270"/>
    <mergeCell ref="K269:L270"/>
    <mergeCell ref="M269:N270"/>
    <mergeCell ref="O269:Q270"/>
    <mergeCell ref="R269:T270"/>
    <mergeCell ref="U269:W270"/>
    <mergeCell ref="X269:Y270"/>
    <mergeCell ref="Z269:AB270"/>
    <mergeCell ref="AC269:AE270"/>
    <mergeCell ref="AF269:AH270"/>
    <mergeCell ref="AL269:AN270"/>
    <mergeCell ref="AI275:AK275"/>
    <mergeCell ref="AI276:AK276"/>
    <mergeCell ref="AI277:AK277"/>
    <mergeCell ref="X272:Y272"/>
    <mergeCell ref="Z272:AB272"/>
    <mergeCell ref="AC272:AE272"/>
    <mergeCell ref="AF272:AH272"/>
    <mergeCell ref="C273:D273"/>
    <mergeCell ref="E273:F273"/>
    <mergeCell ref="G273:H273"/>
    <mergeCell ref="I273:J273"/>
    <mergeCell ref="K273:L273"/>
    <mergeCell ref="M273:N273"/>
    <mergeCell ref="O277:Q277"/>
    <mergeCell ref="R277:T277"/>
    <mergeCell ref="E123:G124"/>
    <mergeCell ref="H123:H124"/>
    <mergeCell ref="L123:M124"/>
    <mergeCell ref="Q123:S124"/>
    <mergeCell ref="N123:P124"/>
    <mergeCell ref="T123:V124"/>
    <mergeCell ref="AX101:AY101"/>
    <mergeCell ref="AV102:AW102"/>
    <mergeCell ref="L110:N110"/>
    <mergeCell ref="L111:M111"/>
    <mergeCell ref="L112:N112"/>
    <mergeCell ref="L113:N113"/>
    <mergeCell ref="L114:N114"/>
    <mergeCell ref="L115:N115"/>
    <mergeCell ref="L116:N116"/>
    <mergeCell ref="O110:Q110"/>
    <mergeCell ref="O111:P111"/>
    <mergeCell ref="O112:Q112"/>
    <mergeCell ref="O113:Q113"/>
    <mergeCell ref="O114:Q114"/>
    <mergeCell ref="O115:Q115"/>
    <mergeCell ref="O116:Q116"/>
    <mergeCell ref="AN106:AQ106"/>
    <mergeCell ref="AR101:AS101"/>
    <mergeCell ref="AN101:AO101"/>
    <mergeCell ref="AP101:AQ101"/>
    <mergeCell ref="AN102:AO102"/>
    <mergeCell ref="AP102:AQ102"/>
    <mergeCell ref="AN103:AO103"/>
    <mergeCell ref="AP103:AQ103"/>
    <mergeCell ref="AF106:AI106"/>
    <mergeCell ref="AJ105:AM105"/>
    <mergeCell ref="AZ95:BC95"/>
    <mergeCell ref="AZ97:BC97"/>
    <mergeCell ref="AZ98:BB98"/>
    <mergeCell ref="AZ99:BA99"/>
    <mergeCell ref="BB99:BC99"/>
    <mergeCell ref="AZ100:BA100"/>
    <mergeCell ref="BB100:BC100"/>
    <mergeCell ref="AZ106:BC106"/>
    <mergeCell ref="AV101:AW101"/>
    <mergeCell ref="AR92:AU92"/>
    <mergeCell ref="AR93:AU93"/>
    <mergeCell ref="AR94:AU94"/>
    <mergeCell ref="AR95:AU95"/>
    <mergeCell ref="AR97:AU97"/>
    <mergeCell ref="AR98:AT98"/>
    <mergeCell ref="AR99:AS99"/>
    <mergeCell ref="AT99:AU99"/>
    <mergeCell ref="AT104:AU104"/>
    <mergeCell ref="AR105:AU105"/>
    <mergeCell ref="AR106:AU106"/>
    <mergeCell ref="AZ101:BA101"/>
    <mergeCell ref="BB101:BC101"/>
    <mergeCell ref="AZ102:BA102"/>
    <mergeCell ref="BB102:BC102"/>
    <mergeCell ref="AZ103:BA103"/>
    <mergeCell ref="BB103:BC103"/>
    <mergeCell ref="AZ104:BA104"/>
    <mergeCell ref="BB104:BC104"/>
    <mergeCell ref="AZ105:BC105"/>
    <mergeCell ref="AZ92:BC92"/>
    <mergeCell ref="AZ93:BC93"/>
    <mergeCell ref="AZ94:BC94"/>
    <mergeCell ref="AN92:AQ92"/>
    <mergeCell ref="AN93:AQ93"/>
    <mergeCell ref="AN94:AQ94"/>
    <mergeCell ref="AN95:AQ95"/>
    <mergeCell ref="AN97:AQ97"/>
    <mergeCell ref="AN98:AP98"/>
    <mergeCell ref="AN99:AO99"/>
    <mergeCell ref="AP99:AQ99"/>
    <mergeCell ref="AN100:AO100"/>
    <mergeCell ref="AP100:AQ100"/>
    <mergeCell ref="AN96:AQ96"/>
    <mergeCell ref="AV100:AW100"/>
    <mergeCell ref="AX100:AY100"/>
    <mergeCell ref="AV106:AY106"/>
    <mergeCell ref="AN104:AO104"/>
    <mergeCell ref="AP104:AQ104"/>
    <mergeCell ref="AN105:AQ105"/>
    <mergeCell ref="AJ97:AM97"/>
    <mergeCell ref="AJ98:AL98"/>
    <mergeCell ref="AJ99:AK99"/>
    <mergeCell ref="AL99:AM99"/>
    <mergeCell ref="AJ100:AK100"/>
    <mergeCell ref="AL100:AM100"/>
    <mergeCell ref="AJ101:AK101"/>
    <mergeCell ref="AL101:AM101"/>
    <mergeCell ref="AJ102:AK102"/>
    <mergeCell ref="AL102:AM102"/>
    <mergeCell ref="AJ103:AK103"/>
    <mergeCell ref="AL103:AM103"/>
    <mergeCell ref="AR100:AS100"/>
    <mergeCell ref="AT100:AU100"/>
    <mergeCell ref="AR96:AU96"/>
    <mergeCell ref="AR102:AS102"/>
    <mergeCell ref="AT102:AU102"/>
    <mergeCell ref="AR103:AS103"/>
    <mergeCell ref="AT103:AU103"/>
    <mergeCell ref="V97:AA97"/>
    <mergeCell ref="V98:AA98"/>
    <mergeCell ref="V99:AA99"/>
    <mergeCell ref="V100:AA100"/>
    <mergeCell ref="AJ106:AM106"/>
    <mergeCell ref="AF101:AG101"/>
    <mergeCell ref="AH101:AI101"/>
    <mergeCell ref="AF102:AG102"/>
    <mergeCell ref="AF105:AI105"/>
    <mergeCell ref="AF92:AI92"/>
    <mergeCell ref="AF93:AI93"/>
    <mergeCell ref="AF94:AI94"/>
    <mergeCell ref="AF95:AI95"/>
    <mergeCell ref="AF97:AI97"/>
    <mergeCell ref="AF98:AH98"/>
    <mergeCell ref="AF99:AG99"/>
    <mergeCell ref="AH99:AI99"/>
    <mergeCell ref="AF100:AG100"/>
    <mergeCell ref="AH100:AI100"/>
    <mergeCell ref="AF96:AI96"/>
    <mergeCell ref="AB92:AE92"/>
    <mergeCell ref="AB93:AE93"/>
    <mergeCell ref="AB94:AE94"/>
    <mergeCell ref="AD99:AE99"/>
    <mergeCell ref="AB105:AE105"/>
    <mergeCell ref="AB106:AE106"/>
    <mergeCell ref="AD100:AE100"/>
    <mergeCell ref="AJ96:AM96"/>
    <mergeCell ref="AJ92:AM92"/>
    <mergeCell ref="AJ93:AM93"/>
    <mergeCell ref="AJ94:AM94"/>
    <mergeCell ref="AJ95:AM95"/>
    <mergeCell ref="I103:K103"/>
    <mergeCell ref="I104:K104"/>
    <mergeCell ref="I93:K93"/>
    <mergeCell ref="I94:K94"/>
    <mergeCell ref="I95:K95"/>
    <mergeCell ref="I96:K96"/>
    <mergeCell ref="I97:K97"/>
    <mergeCell ref="I98:K98"/>
    <mergeCell ref="I99:K99"/>
    <mergeCell ref="I101:K101"/>
    <mergeCell ref="V101:AA101"/>
    <mergeCell ref="V102:AA102"/>
    <mergeCell ref="V103:AA103"/>
    <mergeCell ref="V104:AA104"/>
    <mergeCell ref="V105:AA105"/>
    <mergeCell ref="V106:AA106"/>
    <mergeCell ref="AB95:AE95"/>
    <mergeCell ref="AB97:AE97"/>
    <mergeCell ref="AB98:AD98"/>
    <mergeCell ref="AB96:AE96"/>
    <mergeCell ref="AB102:AC102"/>
    <mergeCell ref="AB103:AC103"/>
    <mergeCell ref="AD101:AE101"/>
    <mergeCell ref="AD102:AE102"/>
    <mergeCell ref="AD103:AE103"/>
    <mergeCell ref="AD104:AE104"/>
    <mergeCell ref="U92:U106"/>
    <mergeCell ref="V92:AA92"/>
    <mergeCell ref="V93:AA93"/>
    <mergeCell ref="V94:AA94"/>
    <mergeCell ref="V95:AA95"/>
    <mergeCell ref="V96:AA96"/>
    <mergeCell ref="B92:C92"/>
    <mergeCell ref="L93:O93"/>
    <mergeCell ref="L94:O94"/>
    <mergeCell ref="L95:O95"/>
    <mergeCell ref="L96:O96"/>
    <mergeCell ref="L97:O97"/>
    <mergeCell ref="L98:O98"/>
    <mergeCell ref="L99:O99"/>
    <mergeCell ref="L100:O100"/>
    <mergeCell ref="I100:K100"/>
    <mergeCell ref="F96:H96"/>
    <mergeCell ref="F97:H97"/>
    <mergeCell ref="C93:E93"/>
    <mergeCell ref="F93:H93"/>
    <mergeCell ref="L103:O103"/>
    <mergeCell ref="L104:O104"/>
    <mergeCell ref="L105:O105"/>
    <mergeCell ref="C94:E94"/>
    <mergeCell ref="C95:E95"/>
    <mergeCell ref="C96:E96"/>
    <mergeCell ref="C97:E97"/>
    <mergeCell ref="C98:E98"/>
    <mergeCell ref="C99:E99"/>
    <mergeCell ref="F94:H94"/>
    <mergeCell ref="K92:M92"/>
    <mergeCell ref="D92:F92"/>
    <mergeCell ref="H92:J92"/>
    <mergeCell ref="N92:R92"/>
    <mergeCell ref="P95:R95"/>
    <mergeCell ref="P96:R96"/>
    <mergeCell ref="P97:R97"/>
    <mergeCell ref="P98:R98"/>
    <mergeCell ref="B93:B106"/>
    <mergeCell ref="C100:E100"/>
    <mergeCell ref="C101:E101"/>
    <mergeCell ref="C102:E102"/>
    <mergeCell ref="C103:E103"/>
    <mergeCell ref="C104:E104"/>
    <mergeCell ref="C105:E105"/>
    <mergeCell ref="C106:E106"/>
    <mergeCell ref="S2:U2"/>
    <mergeCell ref="V2:Y2"/>
    <mergeCell ref="D4:G4"/>
    <mergeCell ref="I4:M4"/>
    <mergeCell ref="N4:R4"/>
    <mergeCell ref="A5:C5"/>
    <mergeCell ref="A6:C6"/>
    <mergeCell ref="A2:C2"/>
    <mergeCell ref="D2:H2"/>
    <mergeCell ref="I2:K2"/>
    <mergeCell ref="L2:M2"/>
    <mergeCell ref="N2:R2"/>
    <mergeCell ref="A3:C3"/>
    <mergeCell ref="D3:G3"/>
    <mergeCell ref="I3:M3"/>
    <mergeCell ref="N3:R3"/>
    <mergeCell ref="A7:C7"/>
    <mergeCell ref="A9:C9"/>
    <mergeCell ref="A10:C10"/>
    <mergeCell ref="A11:C11"/>
    <mergeCell ref="A12:C12"/>
    <mergeCell ref="A14:B14"/>
    <mergeCell ref="C14:C15"/>
    <mergeCell ref="I105:K105"/>
    <mergeCell ref="A15:B15"/>
    <mergeCell ref="A4:C4"/>
    <mergeCell ref="A22:C22"/>
    <mergeCell ref="A23:C23"/>
    <mergeCell ref="A24:C24"/>
    <mergeCell ref="A25:C25"/>
    <mergeCell ref="A26:C26"/>
    <mergeCell ref="A27:H27"/>
    <mergeCell ref="A16:C16"/>
    <mergeCell ref="A17:C17"/>
    <mergeCell ref="A18:C18"/>
    <mergeCell ref="A19:C19"/>
    <mergeCell ref="A20:C20"/>
    <mergeCell ref="A21:C21"/>
    <mergeCell ref="BA27:BE29"/>
    <mergeCell ref="A28:H28"/>
    <mergeCell ref="I28:M28"/>
    <mergeCell ref="N28:R28"/>
    <mergeCell ref="S28:U28"/>
    <mergeCell ref="AB28:AF28"/>
    <mergeCell ref="AG28:AI28"/>
    <mergeCell ref="I27:L27"/>
    <mergeCell ref="N27:R27"/>
    <mergeCell ref="S27:U27"/>
    <mergeCell ref="V27:AA29"/>
    <mergeCell ref="AB27:AF27"/>
    <mergeCell ref="AG27:AI27"/>
    <mergeCell ref="AP29:AW29"/>
    <mergeCell ref="AX29:AZ29"/>
    <mergeCell ref="AG29:AI29"/>
    <mergeCell ref="AJ27:AO29"/>
    <mergeCell ref="AP27:AW27"/>
    <mergeCell ref="AX27:AZ27"/>
    <mergeCell ref="A31:B31"/>
    <mergeCell ref="D32:G32"/>
    <mergeCell ref="I32:M32"/>
    <mergeCell ref="N32:R32"/>
    <mergeCell ref="A29:H29"/>
    <mergeCell ref="I29:M29"/>
    <mergeCell ref="N29:R29"/>
    <mergeCell ref="S29:U29"/>
    <mergeCell ref="AB29:AF29"/>
    <mergeCell ref="A36:B36"/>
    <mergeCell ref="A37:A38"/>
    <mergeCell ref="B37:B38"/>
    <mergeCell ref="D38:G38"/>
    <mergeCell ref="I38:M38"/>
    <mergeCell ref="N38:R38"/>
    <mergeCell ref="A33:B33"/>
    <mergeCell ref="A34:A35"/>
    <mergeCell ref="B34:B35"/>
    <mergeCell ref="D35:G35"/>
    <mergeCell ref="I35:M35"/>
    <mergeCell ref="N35:R35"/>
    <mergeCell ref="AV39:AY39"/>
    <mergeCell ref="A40:C40"/>
    <mergeCell ref="D40:G40"/>
    <mergeCell ref="I40:M40"/>
    <mergeCell ref="N40:R40"/>
    <mergeCell ref="S40:V40"/>
    <mergeCell ref="W40:Y40"/>
    <mergeCell ref="Z40:AC40"/>
    <mergeCell ref="AD40:AF40"/>
    <mergeCell ref="AG40:AJ40"/>
    <mergeCell ref="Z39:AC39"/>
    <mergeCell ref="AD39:AF39"/>
    <mergeCell ref="AG39:AJ39"/>
    <mergeCell ref="AK39:AN39"/>
    <mergeCell ref="AO39:AR39"/>
    <mergeCell ref="AS39:AU39"/>
    <mergeCell ref="A39:C39"/>
    <mergeCell ref="D39:G39"/>
    <mergeCell ref="I39:M39"/>
    <mergeCell ref="N39:R39"/>
    <mergeCell ref="S39:V39"/>
    <mergeCell ref="W39:Y39"/>
    <mergeCell ref="AK40:AN40"/>
    <mergeCell ref="AO40:AR40"/>
    <mergeCell ref="AS40:AU40"/>
    <mergeCell ref="AV40:AY40"/>
    <mergeCell ref="S41:V41"/>
    <mergeCell ref="W41:Y41"/>
    <mergeCell ref="Z41:AC41"/>
    <mergeCell ref="AD41:AF41"/>
    <mergeCell ref="AG41:AJ41"/>
    <mergeCell ref="AK41:AN41"/>
    <mergeCell ref="AO41:AR41"/>
    <mergeCell ref="A66:C66"/>
    <mergeCell ref="D66:H66"/>
    <mergeCell ref="A69:C69"/>
    <mergeCell ref="D69:F69"/>
    <mergeCell ref="G69:I69"/>
    <mergeCell ref="J69:L69"/>
    <mergeCell ref="M69:O69"/>
    <mergeCell ref="P69:R69"/>
    <mergeCell ref="S69:U69"/>
    <mergeCell ref="AQ69:AS69"/>
    <mergeCell ref="A70:C70"/>
    <mergeCell ref="D70:F70"/>
    <mergeCell ref="G70:I70"/>
    <mergeCell ref="J70:L70"/>
    <mergeCell ref="M70:O70"/>
    <mergeCell ref="P70:R70"/>
    <mergeCell ref="V69:X69"/>
    <mergeCell ref="Y69:AA69"/>
    <mergeCell ref="AC69:AG69"/>
    <mergeCell ref="AH69:AK70"/>
    <mergeCell ref="AM69:AM76"/>
    <mergeCell ref="AN69:AP69"/>
    <mergeCell ref="V71:X71"/>
    <mergeCell ref="Y71:AA71"/>
    <mergeCell ref="AC71:AD71"/>
    <mergeCell ref="AE71:AG71"/>
    <mergeCell ref="J72:L72"/>
    <mergeCell ref="M72:O72"/>
    <mergeCell ref="A71:C71"/>
    <mergeCell ref="D71:F71"/>
    <mergeCell ref="G71:I71"/>
    <mergeCell ref="J71:L71"/>
    <mergeCell ref="M71:O71"/>
    <mergeCell ref="P71:R71"/>
    <mergeCell ref="S71:U71"/>
    <mergeCell ref="S70:U70"/>
    <mergeCell ref="V70:X70"/>
    <mergeCell ref="Y70:AA70"/>
    <mergeCell ref="AC70:AD70"/>
    <mergeCell ref="AE70:AG70"/>
    <mergeCell ref="AN70:AP70"/>
    <mergeCell ref="AN72:AP72"/>
    <mergeCell ref="AQ72:AS72"/>
    <mergeCell ref="AW72:AY72"/>
    <mergeCell ref="AZ72:BB72"/>
    <mergeCell ref="A73:C73"/>
    <mergeCell ref="D73:F73"/>
    <mergeCell ref="G73:I73"/>
    <mergeCell ref="J73:L73"/>
    <mergeCell ref="M73:O73"/>
    <mergeCell ref="P73:R73"/>
    <mergeCell ref="P72:R72"/>
    <mergeCell ref="S72:U72"/>
    <mergeCell ref="V72:X72"/>
    <mergeCell ref="Y72:AA72"/>
    <mergeCell ref="AC72:AD72"/>
    <mergeCell ref="AE72:AG72"/>
    <mergeCell ref="AH71:AK78"/>
    <mergeCell ref="AN71:AP71"/>
    <mergeCell ref="AQ71:AS71"/>
    <mergeCell ref="AW71:AY71"/>
    <mergeCell ref="AZ71:BB71"/>
    <mergeCell ref="A72:C72"/>
    <mergeCell ref="D72:F72"/>
    <mergeCell ref="G72:I72"/>
    <mergeCell ref="AW73:AY73"/>
    <mergeCell ref="AZ73:BB73"/>
    <mergeCell ref="A74:C74"/>
    <mergeCell ref="D74:F74"/>
    <mergeCell ref="G74:I74"/>
    <mergeCell ref="J74:L74"/>
    <mergeCell ref="M74:O74"/>
    <mergeCell ref="P74:R74"/>
    <mergeCell ref="S74:U74"/>
    <mergeCell ref="V73:X73"/>
    <mergeCell ref="Y73:AA73"/>
    <mergeCell ref="AC73:AG73"/>
    <mergeCell ref="AN73:AP73"/>
    <mergeCell ref="AQ73:AS73"/>
    <mergeCell ref="A75:C75"/>
    <mergeCell ref="D75:F75"/>
    <mergeCell ref="G75:I75"/>
    <mergeCell ref="J75:L75"/>
    <mergeCell ref="M75:O75"/>
    <mergeCell ref="P75:R75"/>
    <mergeCell ref="Y74:AA74"/>
    <mergeCell ref="AC74:AG78"/>
    <mergeCell ref="AN74:AP76"/>
    <mergeCell ref="A76:C76"/>
    <mergeCell ref="D76:F76"/>
    <mergeCell ref="A78:C78"/>
    <mergeCell ref="D78:F78"/>
    <mergeCell ref="G78:I78"/>
    <mergeCell ref="J78:L78"/>
    <mergeCell ref="M78:O78"/>
    <mergeCell ref="P78:R78"/>
    <mergeCell ref="G76:I76"/>
    <mergeCell ref="J76:L76"/>
    <mergeCell ref="M76:O76"/>
    <mergeCell ref="P76:R76"/>
    <mergeCell ref="A77:C77"/>
    <mergeCell ref="D77:F77"/>
    <mergeCell ref="G77:I77"/>
    <mergeCell ref="J77:L77"/>
    <mergeCell ref="M77:O77"/>
    <mergeCell ref="P77:R77"/>
    <mergeCell ref="AV76:AV78"/>
    <mergeCell ref="AW76:AY76"/>
    <mergeCell ref="AZ76:BB76"/>
    <mergeCell ref="BC76:BE76"/>
    <mergeCell ref="S75:U75"/>
    <mergeCell ref="V75:X75"/>
    <mergeCell ref="Y75:AA75"/>
    <mergeCell ref="S77:U77"/>
    <mergeCell ref="V77:X77"/>
    <mergeCell ref="Y77:AA77"/>
    <mergeCell ref="AW77:AY77"/>
    <mergeCell ref="AZ77:BB77"/>
    <mergeCell ref="BC77:BE77"/>
    <mergeCell ref="AW78:AY78"/>
    <mergeCell ref="AZ78:BB78"/>
    <mergeCell ref="BC78:BE78"/>
    <mergeCell ref="S76:U76"/>
    <mergeCell ref="AQ74:AS76"/>
    <mergeCell ref="AW74:AY74"/>
    <mergeCell ref="AZ74:BB74"/>
    <mergeCell ref="V78:X78"/>
    <mergeCell ref="Y78:AA78"/>
    <mergeCell ref="V76:X76"/>
    <mergeCell ref="Y76:AA76"/>
    <mergeCell ref="AV69:AV74"/>
    <mergeCell ref="AW69:AY69"/>
    <mergeCell ref="AZ69:BB69"/>
    <mergeCell ref="AQ70:AS70"/>
    <mergeCell ref="AW70:AY70"/>
    <mergeCell ref="AZ70:BB70"/>
    <mergeCell ref="V74:X74"/>
    <mergeCell ref="S73:U73"/>
    <mergeCell ref="S78:U78"/>
    <mergeCell ref="X81:Y82"/>
    <mergeCell ref="Z81:AA82"/>
    <mergeCell ref="AB81:AD82"/>
    <mergeCell ref="A80:A83"/>
    <mergeCell ref="B80:C80"/>
    <mergeCell ref="D80:F80"/>
    <mergeCell ref="G80:I80"/>
    <mergeCell ref="J80:L80"/>
    <mergeCell ref="O80:O90"/>
    <mergeCell ref="B81:C81"/>
    <mergeCell ref="D81:F81"/>
    <mergeCell ref="G81:I81"/>
    <mergeCell ref="J81:L81"/>
    <mergeCell ref="B83:C83"/>
    <mergeCell ref="D83:F83"/>
    <mergeCell ref="G83:I83"/>
    <mergeCell ref="J83:L83"/>
    <mergeCell ref="B89:D89"/>
    <mergeCell ref="E89:G89"/>
    <mergeCell ref="H89:J89"/>
    <mergeCell ref="A85:A90"/>
    <mergeCell ref="B85:J85"/>
    <mergeCell ref="B82:C82"/>
    <mergeCell ref="D82:F82"/>
    <mergeCell ref="P83:Q83"/>
    <mergeCell ref="R83:S83"/>
    <mergeCell ref="G82:I82"/>
    <mergeCell ref="J82:L82"/>
    <mergeCell ref="P85:Q85"/>
    <mergeCell ref="R85:S85"/>
    <mergeCell ref="T85:U85"/>
    <mergeCell ref="AV81:AX82"/>
    <mergeCell ref="T83:U83"/>
    <mergeCell ref="V83:W83"/>
    <mergeCell ref="AY81:BA82"/>
    <mergeCell ref="BB81:BD82"/>
    <mergeCell ref="AE81:AG82"/>
    <mergeCell ref="AH81:AJ82"/>
    <mergeCell ref="AK81:AL82"/>
    <mergeCell ref="AS81:AU82"/>
    <mergeCell ref="P80:Q82"/>
    <mergeCell ref="R80:S82"/>
    <mergeCell ref="T80:U82"/>
    <mergeCell ref="V80:Y80"/>
    <mergeCell ref="Z80:AJ80"/>
    <mergeCell ref="AM81:AO82"/>
    <mergeCell ref="AP81:AR82"/>
    <mergeCell ref="AK80:BD80"/>
    <mergeCell ref="V81:W82"/>
    <mergeCell ref="V85:W85"/>
    <mergeCell ref="X85:Y85"/>
    <mergeCell ref="Z85:AA85"/>
    <mergeCell ref="AH84:AJ84"/>
    <mergeCell ref="AK84:AL84"/>
    <mergeCell ref="AM84:AO84"/>
    <mergeCell ref="P84:Q84"/>
    <mergeCell ref="R84:S84"/>
    <mergeCell ref="T84:U84"/>
    <mergeCell ref="V84:W84"/>
    <mergeCell ref="X84:Y84"/>
    <mergeCell ref="Z84:AA84"/>
    <mergeCell ref="AB84:AD84"/>
    <mergeCell ref="AE84:AG84"/>
    <mergeCell ref="AS85:AU85"/>
    <mergeCell ref="AP84:AR84"/>
    <mergeCell ref="AS84:AU84"/>
    <mergeCell ref="AV85:AX85"/>
    <mergeCell ref="AY85:BA85"/>
    <mergeCell ref="BB85:BD85"/>
    <mergeCell ref="AB85:AD85"/>
    <mergeCell ref="AE85:AG85"/>
    <mergeCell ref="AH85:AJ85"/>
    <mergeCell ref="AH86:AJ86"/>
    <mergeCell ref="X83:Y83"/>
    <mergeCell ref="Z83:AA83"/>
    <mergeCell ref="AB83:AD83"/>
    <mergeCell ref="AE83:AG83"/>
    <mergeCell ref="AY84:BA84"/>
    <mergeCell ref="AY83:BA83"/>
    <mergeCell ref="BB83:BD83"/>
    <mergeCell ref="AH83:AJ83"/>
    <mergeCell ref="AK83:AL83"/>
    <mergeCell ref="AM83:AO83"/>
    <mergeCell ref="AP83:AR83"/>
    <mergeCell ref="AS83:AU83"/>
    <mergeCell ref="AV83:AX83"/>
    <mergeCell ref="AV86:AX86"/>
    <mergeCell ref="AY86:BA86"/>
    <mergeCell ref="BB84:BD84"/>
    <mergeCell ref="AV84:AX84"/>
    <mergeCell ref="V86:W86"/>
    <mergeCell ref="X86:Y86"/>
    <mergeCell ref="Z86:AA86"/>
    <mergeCell ref="AB86:AD86"/>
    <mergeCell ref="AE86:AG86"/>
    <mergeCell ref="E86:G87"/>
    <mergeCell ref="H86:J87"/>
    <mergeCell ref="P86:Q86"/>
    <mergeCell ref="R86:S86"/>
    <mergeCell ref="T86:U86"/>
    <mergeCell ref="BB88:BD88"/>
    <mergeCell ref="AK88:AL88"/>
    <mergeCell ref="AM88:AO88"/>
    <mergeCell ref="AP88:AR88"/>
    <mergeCell ref="B86:D87"/>
    <mergeCell ref="AK85:AL85"/>
    <mergeCell ref="AM85:AO85"/>
    <mergeCell ref="AP85:AR85"/>
    <mergeCell ref="BB86:BD86"/>
    <mergeCell ref="P87:Q87"/>
    <mergeCell ref="R87:S87"/>
    <mergeCell ref="T87:U87"/>
    <mergeCell ref="V87:W87"/>
    <mergeCell ref="X87:Y87"/>
    <mergeCell ref="Z87:AA87"/>
    <mergeCell ref="AB87:AD87"/>
    <mergeCell ref="AE87:AG87"/>
    <mergeCell ref="AH87:AJ87"/>
    <mergeCell ref="AK86:AL86"/>
    <mergeCell ref="AM86:AO86"/>
    <mergeCell ref="AP86:AR86"/>
    <mergeCell ref="AS86:AU86"/>
    <mergeCell ref="AB88:AD88"/>
    <mergeCell ref="AE88:AG88"/>
    <mergeCell ref="AH88:AJ88"/>
    <mergeCell ref="BB87:BD87"/>
    <mergeCell ref="B88:D88"/>
    <mergeCell ref="E88:G88"/>
    <mergeCell ref="H88:J88"/>
    <mergeCell ref="P88:Q88"/>
    <mergeCell ref="R88:S88"/>
    <mergeCell ref="T88:U88"/>
    <mergeCell ref="V88:W88"/>
    <mergeCell ref="X88:Y88"/>
    <mergeCell ref="Z88:AA88"/>
    <mergeCell ref="AK87:AL87"/>
    <mergeCell ref="AM87:AO87"/>
    <mergeCell ref="AP87:AR87"/>
    <mergeCell ref="AS87:AU87"/>
    <mergeCell ref="AV87:AX87"/>
    <mergeCell ref="AY87:BA87"/>
    <mergeCell ref="AS88:AU88"/>
    <mergeCell ref="AV88:AX88"/>
    <mergeCell ref="AY88:BA88"/>
    <mergeCell ref="BB90:BD90"/>
    <mergeCell ref="AK90:AL90"/>
    <mergeCell ref="AP90:AR90"/>
    <mergeCell ref="AV90:AX90"/>
    <mergeCell ref="AY90:BA90"/>
    <mergeCell ref="P89:Q89"/>
    <mergeCell ref="R89:S89"/>
    <mergeCell ref="T89:U89"/>
    <mergeCell ref="AS90:AU90"/>
    <mergeCell ref="AB90:AD90"/>
    <mergeCell ref="AE90:AG90"/>
    <mergeCell ref="AH90:AJ90"/>
    <mergeCell ref="BB89:BD89"/>
    <mergeCell ref="P90:Q90"/>
    <mergeCell ref="R90:S90"/>
    <mergeCell ref="T90:U90"/>
    <mergeCell ref="V90:W90"/>
    <mergeCell ref="X90:Y90"/>
    <mergeCell ref="Z90:AA90"/>
    <mergeCell ref="AK89:AL89"/>
    <mergeCell ref="AM89:AO89"/>
    <mergeCell ref="AP89:AR89"/>
    <mergeCell ref="AS89:AU89"/>
    <mergeCell ref="AV89:AX89"/>
    <mergeCell ref="AM90:AO90"/>
    <mergeCell ref="X89:Y89"/>
    <mergeCell ref="Z89:AA89"/>
    <mergeCell ref="AB89:AD89"/>
    <mergeCell ref="AE89:AG89"/>
    <mergeCell ref="AH89:AJ89"/>
    <mergeCell ref="AY89:BA89"/>
    <mergeCell ref="V89:W89"/>
    <mergeCell ref="B90:D90"/>
    <mergeCell ref="E90:G90"/>
    <mergeCell ref="H90:J90"/>
    <mergeCell ref="A132:C132"/>
    <mergeCell ref="A137:C138"/>
    <mergeCell ref="A139:C139"/>
    <mergeCell ref="A140:C140"/>
    <mergeCell ref="A141:C141"/>
    <mergeCell ref="A43:C43"/>
    <mergeCell ref="A129:C129"/>
    <mergeCell ref="A130:C130"/>
    <mergeCell ref="A92:A107"/>
    <mergeCell ref="A44:BE63"/>
    <mergeCell ref="A131:C131"/>
    <mergeCell ref="F110:H110"/>
    <mergeCell ref="I110:K110"/>
    <mergeCell ref="U110:U119"/>
    <mergeCell ref="V110:X110"/>
    <mergeCell ref="Y110:AA110"/>
    <mergeCell ref="F114:H114"/>
    <mergeCell ref="I114:K114"/>
    <mergeCell ref="AB100:AC100"/>
    <mergeCell ref="F118:H118"/>
    <mergeCell ref="AB110:AD110"/>
    <mergeCell ref="AE110:AG110"/>
    <mergeCell ref="AH110:AJ113"/>
    <mergeCell ref="B107:E107"/>
    <mergeCell ref="AN113:AQ113"/>
    <mergeCell ref="AR113:AT113"/>
    <mergeCell ref="AB101:AC101"/>
    <mergeCell ref="AB99:AC99"/>
    <mergeCell ref="AB114:AD114"/>
    <mergeCell ref="A142:A145"/>
    <mergeCell ref="B142:C142"/>
    <mergeCell ref="B143:C143"/>
    <mergeCell ref="B144:C144"/>
    <mergeCell ref="B145:C145"/>
    <mergeCell ref="A146:A148"/>
    <mergeCell ref="B146:C146"/>
    <mergeCell ref="B147:C147"/>
    <mergeCell ref="B148:C148"/>
    <mergeCell ref="A162:C162"/>
    <mergeCell ref="A163:B163"/>
    <mergeCell ref="A164:B164"/>
    <mergeCell ref="A165:B165"/>
    <mergeCell ref="A166:B166"/>
    <mergeCell ref="A168:C168"/>
    <mergeCell ref="A155:E155"/>
    <mergeCell ref="F155:J155"/>
    <mergeCell ref="A156:E156"/>
    <mergeCell ref="A158:E158"/>
    <mergeCell ref="F158:J158"/>
    <mergeCell ref="A159:E159"/>
    <mergeCell ref="B178:C178"/>
    <mergeCell ref="M188:P188"/>
    <mergeCell ref="R188:S188"/>
    <mergeCell ref="T188:V188"/>
    <mergeCell ref="W188:Z188"/>
    <mergeCell ref="AB188:AC188"/>
    <mergeCell ref="A169:B169"/>
    <mergeCell ref="A171:B171"/>
    <mergeCell ref="A172:B172"/>
    <mergeCell ref="A173:B173"/>
    <mergeCell ref="A176:B176"/>
    <mergeCell ref="B177:C177"/>
    <mergeCell ref="R190:S190"/>
    <mergeCell ref="T190:V190"/>
    <mergeCell ref="A193:D193"/>
    <mergeCell ref="F193:I193"/>
    <mergeCell ref="A198:C198"/>
    <mergeCell ref="D198:F198"/>
    <mergeCell ref="G198:I198"/>
    <mergeCell ref="J198:L198"/>
    <mergeCell ref="AD188:AF188"/>
    <mergeCell ref="M189:P189"/>
    <mergeCell ref="R189:S189"/>
    <mergeCell ref="T189:V189"/>
    <mergeCell ref="W189:Z189"/>
    <mergeCell ref="AB189:AC189"/>
    <mergeCell ref="AD189:AF189"/>
    <mergeCell ref="A199:C199"/>
    <mergeCell ref="D199:F199"/>
    <mergeCell ref="G199:I199"/>
    <mergeCell ref="J199:L199"/>
    <mergeCell ref="A200:C200"/>
    <mergeCell ref="D200:F200"/>
    <mergeCell ref="G200:I200"/>
    <mergeCell ref="J200:L200"/>
    <mergeCell ref="M190:P190"/>
    <mergeCell ref="A205:C205"/>
    <mergeCell ref="D205:F205"/>
    <mergeCell ref="G205:I205"/>
    <mergeCell ref="J205:L205"/>
    <mergeCell ref="C253:C255"/>
    <mergeCell ref="C256:C258"/>
    <mergeCell ref="C259:C261"/>
    <mergeCell ref="C226:D227"/>
    <mergeCell ref="A206:C206"/>
    <mergeCell ref="D206:F206"/>
    <mergeCell ref="G206:I206"/>
    <mergeCell ref="J206:L206"/>
    <mergeCell ref="A201:C201"/>
    <mergeCell ref="D201:F201"/>
    <mergeCell ref="G201:I201"/>
    <mergeCell ref="J201:L201"/>
    <mergeCell ref="A202:C202"/>
    <mergeCell ref="D202:F202"/>
    <mergeCell ref="G202:I202"/>
    <mergeCell ref="J202:L202"/>
    <mergeCell ref="A207:C207"/>
    <mergeCell ref="D207:F207"/>
    <mergeCell ref="G207:I207"/>
    <mergeCell ref="J207:L207"/>
    <mergeCell ref="A211:D211"/>
    <mergeCell ref="AH102:AI102"/>
    <mergeCell ref="AF103:AG103"/>
    <mergeCell ref="AH103:AI103"/>
    <mergeCell ref="AF104:AG104"/>
    <mergeCell ref="AH104:AI104"/>
    <mergeCell ref="A212:A231"/>
    <mergeCell ref="B212:B214"/>
    <mergeCell ref="C212:D212"/>
    <mergeCell ref="C213:D213"/>
    <mergeCell ref="C214:D214"/>
    <mergeCell ref="C228:D229"/>
    <mergeCell ref="C230:D231"/>
    <mergeCell ref="A232:A261"/>
    <mergeCell ref="B232:B246"/>
    <mergeCell ref="C232:C234"/>
    <mergeCell ref="C235:C237"/>
    <mergeCell ref="C238:C240"/>
    <mergeCell ref="C241:C243"/>
    <mergeCell ref="C244:C246"/>
    <mergeCell ref="B215:B231"/>
    <mergeCell ref="C215:D215"/>
    <mergeCell ref="C216:D216"/>
    <mergeCell ref="C217:D217"/>
    <mergeCell ref="C218:D218"/>
    <mergeCell ref="C219:D219"/>
    <mergeCell ref="C220:D220"/>
    <mergeCell ref="C221:D221"/>
    <mergeCell ref="C222:D223"/>
    <mergeCell ref="C224:D225"/>
    <mergeCell ref="B247:B261"/>
    <mergeCell ref="C247:C249"/>
    <mergeCell ref="C250:C252"/>
    <mergeCell ref="AH117:AJ117"/>
    <mergeCell ref="F116:H116"/>
    <mergeCell ref="I116:K116"/>
    <mergeCell ref="V116:X116"/>
    <mergeCell ref="Y116:AA116"/>
    <mergeCell ref="AE114:AG114"/>
    <mergeCell ref="AH114:AJ114"/>
    <mergeCell ref="AN114:AQ114"/>
    <mergeCell ref="AR114:AT114"/>
    <mergeCell ref="AM110:AM114"/>
    <mergeCell ref="AN110:AQ110"/>
    <mergeCell ref="AB104:AC104"/>
    <mergeCell ref="AN111:AQ111"/>
    <mergeCell ref="AR111:AT111"/>
    <mergeCell ref="AB112:AD112"/>
    <mergeCell ref="AE112:AG112"/>
    <mergeCell ref="AN112:AQ112"/>
    <mergeCell ref="AR112:AT112"/>
    <mergeCell ref="AB113:AD113"/>
    <mergeCell ref="F107:H107"/>
    <mergeCell ref="F106:H106"/>
    <mergeCell ref="F105:H105"/>
    <mergeCell ref="F104:H104"/>
    <mergeCell ref="L106:O106"/>
    <mergeCell ref="L107:O107"/>
    <mergeCell ref="P104:R104"/>
    <mergeCell ref="P105:R105"/>
    <mergeCell ref="P106:R106"/>
    <mergeCell ref="P107:R107"/>
    <mergeCell ref="AJ104:AK104"/>
    <mergeCell ref="AL104:AM104"/>
    <mergeCell ref="AR104:AS104"/>
    <mergeCell ref="F95:H95"/>
    <mergeCell ref="F103:H103"/>
    <mergeCell ref="F102:H102"/>
    <mergeCell ref="F101:H101"/>
    <mergeCell ref="P93:R93"/>
    <mergeCell ref="P94:R94"/>
    <mergeCell ref="P99:R99"/>
    <mergeCell ref="P100:R100"/>
    <mergeCell ref="P101:R101"/>
    <mergeCell ref="P102:R102"/>
    <mergeCell ref="P103:R103"/>
    <mergeCell ref="I102:K102"/>
    <mergeCell ref="O120:Q120"/>
    <mergeCell ref="F119:H119"/>
    <mergeCell ref="I119:K119"/>
    <mergeCell ref="V119:X119"/>
    <mergeCell ref="Y119:AA119"/>
    <mergeCell ref="F112:H112"/>
    <mergeCell ref="I112:K112"/>
    <mergeCell ref="V112:X112"/>
    <mergeCell ref="Y112:AA112"/>
    <mergeCell ref="V113:X113"/>
    <mergeCell ref="Y113:AA113"/>
    <mergeCell ref="I106:K106"/>
    <mergeCell ref="I107:K107"/>
    <mergeCell ref="F98:H98"/>
    <mergeCell ref="F99:H99"/>
    <mergeCell ref="F100:H100"/>
    <mergeCell ref="L101:O101"/>
    <mergeCell ref="L102:O102"/>
    <mergeCell ref="F115:H115"/>
    <mergeCell ref="I115:K115"/>
    <mergeCell ref="AB119:AD119"/>
    <mergeCell ref="AE119:AG119"/>
    <mergeCell ref="AH119:AJ119"/>
    <mergeCell ref="I118:K118"/>
    <mergeCell ref="V118:X118"/>
    <mergeCell ref="Y118:AA118"/>
    <mergeCell ref="AB118:AD118"/>
    <mergeCell ref="AE118:AG118"/>
    <mergeCell ref="AH118:AJ118"/>
    <mergeCell ref="AN116:AQ116"/>
    <mergeCell ref="F111:H111"/>
    <mergeCell ref="I111:J111"/>
    <mergeCell ref="V111:X111"/>
    <mergeCell ref="Y111:Z111"/>
    <mergeCell ref="AB111:AC111"/>
    <mergeCell ref="AE111:AF111"/>
    <mergeCell ref="F113:H113"/>
    <mergeCell ref="I113:K113"/>
    <mergeCell ref="AE113:AG113"/>
    <mergeCell ref="AB115:AD115"/>
    <mergeCell ref="AE115:AG115"/>
    <mergeCell ref="AH115:AJ115"/>
    <mergeCell ref="F117:H117"/>
    <mergeCell ref="I117:K117"/>
    <mergeCell ref="V117:X117"/>
    <mergeCell ref="Y117:AA117"/>
    <mergeCell ref="AB117:AD117"/>
    <mergeCell ref="V115:X115"/>
    <mergeCell ref="Y115:AA115"/>
    <mergeCell ref="V114:X114"/>
    <mergeCell ref="Y114:AA114"/>
    <mergeCell ref="AE117:AG117"/>
    <mergeCell ref="AR121:AS121"/>
    <mergeCell ref="AT121:AX121"/>
    <mergeCell ref="AY116:AZ116"/>
    <mergeCell ref="AY117:AZ117"/>
    <mergeCell ref="AY118:AZ118"/>
    <mergeCell ref="AY119:AZ119"/>
    <mergeCell ref="AY120:AZ120"/>
    <mergeCell ref="AY121:AZ121"/>
    <mergeCell ref="AR122:AS122"/>
    <mergeCell ref="AT122:AX122"/>
    <mergeCell ref="AY122:AZ122"/>
    <mergeCell ref="AR116:AS116"/>
    <mergeCell ref="AR117:AS117"/>
    <mergeCell ref="AR118:AS118"/>
    <mergeCell ref="AR119:AS119"/>
    <mergeCell ref="F120:H120"/>
    <mergeCell ref="I120:K120"/>
    <mergeCell ref="AT118:AX118"/>
    <mergeCell ref="AT119:AX119"/>
    <mergeCell ref="AT120:AX120"/>
    <mergeCell ref="AB116:AD116"/>
    <mergeCell ref="AE116:AG116"/>
    <mergeCell ref="AH116:AJ116"/>
    <mergeCell ref="AT116:AX116"/>
    <mergeCell ref="AT117:AX117"/>
    <mergeCell ref="L117:N117"/>
    <mergeCell ref="L118:N118"/>
    <mergeCell ref="L119:N119"/>
    <mergeCell ref="L120:N120"/>
    <mergeCell ref="O117:Q117"/>
    <mergeCell ref="O118:Q118"/>
    <mergeCell ref="O119:Q119"/>
    <mergeCell ref="E110:E121"/>
    <mergeCell ref="F121:H121"/>
    <mergeCell ref="I121:K121"/>
    <mergeCell ref="L121:N121"/>
    <mergeCell ref="O121:Q121"/>
    <mergeCell ref="BG92:BJ92"/>
    <mergeCell ref="AZ96:BC96"/>
    <mergeCell ref="AR110:AT110"/>
    <mergeCell ref="AX102:AY102"/>
    <mergeCell ref="AV103:AW103"/>
    <mergeCell ref="AX103:AY103"/>
    <mergeCell ref="AV104:AW104"/>
    <mergeCell ref="AX104:AY104"/>
    <mergeCell ref="AV105:AY105"/>
    <mergeCell ref="AV92:AY92"/>
    <mergeCell ref="AV93:AY93"/>
    <mergeCell ref="AV94:AY94"/>
    <mergeCell ref="AV95:AY95"/>
    <mergeCell ref="AV97:AY97"/>
    <mergeCell ref="AV98:AX98"/>
    <mergeCell ref="AV99:AW99"/>
    <mergeCell ref="AX99:AY99"/>
    <mergeCell ref="AV96:AY96"/>
    <mergeCell ref="AT101:AU101"/>
    <mergeCell ref="AN117:AQ117"/>
    <mergeCell ref="AN118:AQ118"/>
    <mergeCell ref="AN119:AQ119"/>
    <mergeCell ref="AN120:AQ120"/>
    <mergeCell ref="AN121:AQ121"/>
    <mergeCell ref="AM116:AM122"/>
    <mergeCell ref="AN122:AQ122"/>
    <mergeCell ref="AR120:AS120"/>
    <mergeCell ref="AI123:AJ123"/>
    <mergeCell ref="AI124:AJ124"/>
    <mergeCell ref="X123:Z123"/>
    <mergeCell ref="X124:Z124"/>
    <mergeCell ref="X125:Z125"/>
    <mergeCell ref="AA125:AB125"/>
    <mergeCell ref="AC125:AD125"/>
    <mergeCell ref="AE125:AF125"/>
    <mergeCell ref="AG125:AH125"/>
    <mergeCell ref="AI125:AJ125"/>
    <mergeCell ref="AA124:AB124"/>
    <mergeCell ref="AC124:AD124"/>
    <mergeCell ref="AE124:AF124"/>
    <mergeCell ref="AG124:AH124"/>
    <mergeCell ref="AA123:AB123"/>
    <mergeCell ref="AC123:AD123"/>
    <mergeCell ref="AE123:AF123"/>
    <mergeCell ref="AG123:AH123"/>
    <mergeCell ref="AI278:AK278"/>
    <mergeCell ref="AI279:AK279"/>
    <mergeCell ref="AI280:AK280"/>
    <mergeCell ref="AI281:AK281"/>
    <mergeCell ref="AI282:AK282"/>
    <mergeCell ref="AI283:AK283"/>
    <mergeCell ref="AI284:AK284"/>
    <mergeCell ref="AI285:AK285"/>
    <mergeCell ref="AI286:AK286"/>
    <mergeCell ref="AI287:AK287"/>
    <mergeCell ref="AI288:AK288"/>
    <mergeCell ref="AI289:AK289"/>
    <mergeCell ref="AI290:AK290"/>
    <mergeCell ref="AI291:AK291"/>
    <mergeCell ref="AI292:AK292"/>
    <mergeCell ref="AI293:AK293"/>
    <mergeCell ref="AI294:AK294"/>
    <mergeCell ref="AI295:AK295"/>
    <mergeCell ref="AI296:AK296"/>
    <mergeCell ref="AI297:AK297"/>
    <mergeCell ref="AI298:AK298"/>
    <mergeCell ref="AI299:AK299"/>
    <mergeCell ref="AI300:AK300"/>
    <mergeCell ref="AI301:AK301"/>
    <mergeCell ref="AI302:AK302"/>
    <mergeCell ref="AI303:AK303"/>
    <mergeCell ref="AI304:AK304"/>
    <mergeCell ref="AI305:AK305"/>
    <mergeCell ref="AI306:AK306"/>
    <mergeCell ref="AI307:AK307"/>
    <mergeCell ref="AI308:AK308"/>
    <mergeCell ref="AI309:AK309"/>
    <mergeCell ref="AI310:AK310"/>
    <mergeCell ref="AI311:AK311"/>
    <mergeCell ref="AI312:AK312"/>
    <mergeCell ref="AI313:AK313"/>
    <mergeCell ref="AI314:AK314"/>
    <mergeCell ref="AI315:AK315"/>
    <mergeCell ref="AI316:AK316"/>
    <mergeCell ref="AI317:AK317"/>
    <mergeCell ref="AI318:AK318"/>
    <mergeCell ref="AI319:AK319"/>
    <mergeCell ref="AI320:AK320"/>
    <mergeCell ref="AI321:AK321"/>
    <mergeCell ref="AI322:AK322"/>
    <mergeCell ref="AI323:AK323"/>
    <mergeCell ref="AI324:AK324"/>
    <mergeCell ref="AI325:AK325"/>
    <mergeCell ref="AI326:AK326"/>
    <mergeCell ref="AI327:AK327"/>
    <mergeCell ref="AI328:AK328"/>
    <mergeCell ref="AI329:AK329"/>
    <mergeCell ref="AI330:AK330"/>
    <mergeCell ref="AI331:AK331"/>
    <mergeCell ref="AI332:AK332"/>
    <mergeCell ref="AI333:AK333"/>
    <mergeCell ref="AI334:AK334"/>
    <mergeCell ref="AI335:AK335"/>
    <mergeCell ref="AI336:AK336"/>
    <mergeCell ref="AI337:AK337"/>
    <mergeCell ref="AI338:AK338"/>
    <mergeCell ref="AI339:AK339"/>
    <mergeCell ref="AI340:AK340"/>
    <mergeCell ref="AI341:AK341"/>
    <mergeCell ref="AI342:AK342"/>
    <mergeCell ref="AI343:AK343"/>
    <mergeCell ref="AI344:AK344"/>
    <mergeCell ref="AI345:AK345"/>
    <mergeCell ref="X268:AT268"/>
    <mergeCell ref="A13:C13"/>
    <mergeCell ref="AI363:AK363"/>
    <mergeCell ref="AI364:AK364"/>
    <mergeCell ref="AI365:AK365"/>
    <mergeCell ref="AI366:AK366"/>
    <mergeCell ref="AI367:AK367"/>
    <mergeCell ref="AI368:AK368"/>
    <mergeCell ref="AI369:AK369"/>
    <mergeCell ref="AI370:AK370"/>
    <mergeCell ref="AI380:AK381"/>
    <mergeCell ref="X379:AT379"/>
    <mergeCell ref="AI371:AK371"/>
    <mergeCell ref="AI372:AK372"/>
    <mergeCell ref="AI373:AK373"/>
    <mergeCell ref="AI374:AK374"/>
    <mergeCell ref="AI375:AK375"/>
    <mergeCell ref="AI376:AK376"/>
    <mergeCell ref="AI377:AK377"/>
    <mergeCell ref="AI378:AK378"/>
    <mergeCell ref="AI346:AK346"/>
    <mergeCell ref="AI347:AK347"/>
    <mergeCell ref="AI348:AK348"/>
    <mergeCell ref="AI349:AK349"/>
    <mergeCell ref="AI350:AK350"/>
    <mergeCell ref="AI351:AK351"/>
    <mergeCell ref="AI352:AK352"/>
    <mergeCell ref="AI353:AK353"/>
    <mergeCell ref="AI354:AK354"/>
    <mergeCell ref="AI355:AK355"/>
    <mergeCell ref="AI356:AK356"/>
    <mergeCell ref="AI357:AK357"/>
  </mergeCells>
  <phoneticPr fontId="1"/>
  <conditionalFormatting sqref="X137:X138">
    <cfRule type="top10" dxfId="212" priority="72" percent="1" bottom="1" rank="33"/>
    <cfRule type="top10" dxfId="211" priority="73" percent="1" rank="33"/>
  </conditionalFormatting>
  <conditionalFormatting sqref="Y137:Y138">
    <cfRule type="top10" dxfId="210" priority="74" percent="1" bottom="1" rank="33"/>
    <cfRule type="top10" dxfId="209" priority="75" percent="1" rank="33"/>
  </conditionalFormatting>
  <conditionalFormatting sqref="Z137:Z138 Z134">
    <cfRule type="top10" dxfId="208" priority="76" percent="1" bottom="1" rank="33"/>
    <cfRule type="top10" dxfId="207" priority="77" percent="1" rank="33"/>
  </conditionalFormatting>
  <conditionalFormatting sqref="AA137:AA138 AA134">
    <cfRule type="top10" dxfId="206" priority="78" percent="1" bottom="1" rank="33"/>
    <cfRule type="top10" dxfId="205" priority="79" percent="1" rank="33"/>
  </conditionalFormatting>
  <conditionalFormatting sqref="W137:W138">
    <cfRule type="top10" dxfId="204" priority="80" percent="1" bottom="1" rank="33"/>
    <cfRule type="top10" dxfId="203" priority="81" percent="1" rank="33"/>
  </conditionalFormatting>
  <conditionalFormatting sqref="V137:V138">
    <cfRule type="top10" dxfId="202" priority="82" percent="1" bottom="1" rank="33"/>
    <cfRule type="top10" dxfId="201" priority="83" percent="1" rank="33"/>
  </conditionalFormatting>
  <conditionalFormatting sqref="U137:U138">
    <cfRule type="top10" dxfId="200" priority="84" percent="1" bottom="1" rank="33"/>
    <cfRule type="top10" dxfId="199" priority="85" percent="1" rank="33"/>
  </conditionalFormatting>
  <conditionalFormatting sqref="T137:T138">
    <cfRule type="top10" dxfId="198" priority="86" percent="1" bottom="1" rank="33"/>
    <cfRule type="top10" dxfId="197" priority="87" percent="1" rank="33"/>
  </conditionalFormatting>
  <conditionalFormatting sqref="S137:S138">
    <cfRule type="top10" dxfId="196" priority="88" percent="1" bottom="1" rank="33"/>
    <cfRule type="top10" dxfId="195" priority="89" percent="1" rank="33"/>
  </conditionalFormatting>
  <conditionalFormatting sqref="AC137:AC138 AC134">
    <cfRule type="top10" dxfId="194" priority="90" percent="1" bottom="1" rank="33"/>
    <cfRule type="top10" dxfId="193" priority="91" percent="1" rank="33"/>
  </conditionalFormatting>
  <conditionalFormatting sqref="AB137:AB138 AB134">
    <cfRule type="top10" dxfId="192" priority="92" percent="1" bottom="1" rank="33"/>
    <cfRule type="top10" dxfId="191" priority="93" percent="1" rank="33"/>
  </conditionalFormatting>
  <conditionalFormatting sqref="AD137:AD138 AD134">
    <cfRule type="top10" dxfId="190" priority="94" percent="1" bottom="1" rank="33"/>
    <cfRule type="top10" dxfId="189" priority="95" percent="1" rank="33"/>
  </conditionalFormatting>
  <conditionalFormatting sqref="AE137:AE138 AE134">
    <cfRule type="top10" dxfId="188" priority="96" percent="1" bottom="1" rank="33"/>
    <cfRule type="top10" dxfId="187" priority="97" percent="1" rank="33"/>
  </conditionalFormatting>
  <conditionalFormatting sqref="AF137:AF138 AF134">
    <cfRule type="top10" dxfId="186" priority="98" percent="1" bottom="1" rank="33"/>
    <cfRule type="top10" dxfId="185" priority="99" percent="1" rank="33"/>
  </conditionalFormatting>
  <conditionalFormatting sqref="AG137:AG138 AG134">
    <cfRule type="top10" dxfId="184" priority="100" percent="1" bottom="1" rank="33"/>
    <cfRule type="top10" dxfId="183" priority="101" percent="1" rank="33"/>
  </conditionalFormatting>
  <conditionalFormatting sqref="AH137:AH138 AH134">
    <cfRule type="top10" dxfId="182" priority="102" percent="1" bottom="1" rank="33"/>
    <cfRule type="top10" dxfId="181" priority="103" percent="1" rank="33"/>
  </conditionalFormatting>
  <conditionalFormatting sqref="AI137:AI138 AI134">
    <cfRule type="top10" dxfId="180" priority="104" percent="1" bottom="1" rank="33"/>
    <cfRule type="top10" dxfId="179" priority="105" percent="1" rank="33"/>
  </conditionalFormatting>
  <conditionalFormatting sqref="AJ137:AJ138 AJ134">
    <cfRule type="top10" dxfId="178" priority="106" percent="1" bottom="1" rank="33"/>
    <cfRule type="top10" dxfId="177" priority="107" percent="1" rank="33"/>
  </conditionalFormatting>
  <conditionalFormatting sqref="AK137:AK138 AK134">
    <cfRule type="top10" dxfId="176" priority="108" percent="1" bottom="1" rank="33"/>
    <cfRule type="top10" dxfId="175" priority="109" percent="1" rank="33"/>
  </conditionalFormatting>
  <conditionalFormatting sqref="AL137:AL138 AL134">
    <cfRule type="top10" dxfId="174" priority="110" percent="1" bottom="1" rank="33"/>
    <cfRule type="top10" dxfId="173" priority="111" percent="1" rank="33"/>
  </conditionalFormatting>
  <conditionalFormatting sqref="AM137:AM138 AM134">
    <cfRule type="top10" dxfId="172" priority="112" percent="1" bottom="1" rank="33"/>
    <cfRule type="top10" dxfId="171" priority="113" percent="1" rank="33"/>
  </conditionalFormatting>
  <conditionalFormatting sqref="AN137:AN138 AN134">
    <cfRule type="top10" dxfId="170" priority="114" percent="1" bottom="1" rank="33"/>
    <cfRule type="top10" dxfId="169" priority="115" percent="1" rank="33"/>
  </conditionalFormatting>
  <conditionalFormatting sqref="AO137:AO138 AO134">
    <cfRule type="top10" dxfId="168" priority="116" percent="1" bottom="1" rank="33"/>
    <cfRule type="top10" dxfId="167" priority="117" percent="1" rank="33"/>
  </conditionalFormatting>
  <conditionalFormatting sqref="AP137:AP138 AP134">
    <cfRule type="top10" dxfId="166" priority="118" percent="1" bottom="1" rank="33"/>
    <cfRule type="top10" dxfId="165" priority="119" percent="1" rank="33"/>
  </conditionalFormatting>
  <conditionalFormatting sqref="AQ137:AQ138 AQ134">
    <cfRule type="top10" dxfId="164" priority="120" percent="1" bottom="1" rank="33"/>
    <cfRule type="top10" dxfId="163" priority="121" percent="1" rank="33"/>
  </conditionalFormatting>
  <conditionalFormatting sqref="AR137:AR138 AR134">
    <cfRule type="top10" dxfId="162" priority="122" percent="1" bottom="1" rank="33"/>
    <cfRule type="top10" dxfId="161" priority="123" percent="1" rank="33"/>
  </conditionalFormatting>
  <conditionalFormatting sqref="AS137:AS138 AS134">
    <cfRule type="top10" dxfId="160" priority="124" percent="1" bottom="1" rank="33"/>
    <cfRule type="top10" dxfId="159" priority="125" percent="1" rank="33"/>
  </conditionalFormatting>
  <conditionalFormatting sqref="AT137:AT138 AT134">
    <cfRule type="top10" dxfId="158" priority="126" percent="1" bottom="1" rank="33"/>
    <cfRule type="top10" dxfId="157" priority="127" percent="1" rank="33"/>
  </conditionalFormatting>
  <conditionalFormatting sqref="AU137:AU138 AU134">
    <cfRule type="top10" dxfId="156" priority="128" percent="1" bottom="1" rank="33"/>
    <cfRule type="top10" dxfId="155" priority="129" percent="1" rank="33"/>
  </conditionalFormatting>
  <conditionalFormatting sqref="AV137:AV138 AV134">
    <cfRule type="top10" dxfId="154" priority="130" percent="1" bottom="1" rank="33"/>
    <cfRule type="top10" dxfId="153" priority="131" percent="1" rank="33"/>
  </conditionalFormatting>
  <conditionalFormatting sqref="AW137:AW138 AW134">
    <cfRule type="top10" dxfId="152" priority="132" percent="1" bottom="1" rank="33"/>
    <cfRule type="top10" dxfId="151" priority="133" percent="1" rank="33"/>
  </conditionalFormatting>
  <conditionalFormatting sqref="AX137:AX138 AX134">
    <cfRule type="top10" dxfId="150" priority="134" percent="1" bottom="1" rank="33"/>
    <cfRule type="top10" dxfId="149" priority="135" percent="1" rank="33"/>
  </conditionalFormatting>
  <conditionalFormatting sqref="AY137:AY138 AY134">
    <cfRule type="top10" dxfId="148" priority="136" percent="1" bottom="1" rank="33"/>
    <cfRule type="top10" dxfId="147" priority="137" percent="1" rank="33"/>
  </conditionalFormatting>
  <conditionalFormatting sqref="AZ137:AZ138 AZ134">
    <cfRule type="top10" dxfId="146" priority="138" percent="1" bottom="1" rank="33"/>
    <cfRule type="top10" dxfId="145" priority="139" percent="1" rank="33"/>
  </conditionalFormatting>
  <conditionalFormatting sqref="BA137:BA138 BA134">
    <cfRule type="top10" dxfId="144" priority="140" percent="1" bottom="1" rank="33"/>
    <cfRule type="top10" dxfId="143" priority="141" percent="1" rank="33"/>
  </conditionalFormatting>
  <conditionalFormatting sqref="BB137:BB138 BB134">
    <cfRule type="top10" dxfId="142" priority="142" percent="1" bottom="1" rank="33"/>
    <cfRule type="top10" dxfId="141" priority="143" percent="1" rank="33"/>
  </conditionalFormatting>
  <conditionalFormatting sqref="BC137:BC138 BC134">
    <cfRule type="top10" dxfId="140" priority="144" percent="1" bottom="1" rank="33"/>
    <cfRule type="top10" dxfId="139" priority="145" percent="1" rank="33"/>
  </conditionalFormatting>
  <conditionalFormatting sqref="BD137:BD138 BD134">
    <cfRule type="top10" dxfId="138" priority="146" percent="1" bottom="1" rank="33"/>
    <cfRule type="top10" dxfId="137" priority="147" percent="1" rank="33"/>
  </conditionalFormatting>
  <conditionalFormatting sqref="AV12:BE13">
    <cfRule type="expression" dxfId="136" priority="149">
      <formula>AV12&gt;$E$212</formula>
    </cfRule>
  </conditionalFormatting>
  <conditionalFormatting sqref="AV16:BE16">
    <cfRule type="expression" priority="150" stopIfTrue="1">
      <formula>AV16=""</formula>
    </cfRule>
    <cfRule type="cellIs" dxfId="135" priority="151" operator="greaterThan">
      <formula>$E$215</formula>
    </cfRule>
  </conditionalFormatting>
  <conditionalFormatting sqref="S21:BE21">
    <cfRule type="cellIs" dxfId="134" priority="68" operator="lessThan">
      <formula>$E$220</formula>
    </cfRule>
  </conditionalFormatting>
  <conditionalFormatting sqref="H4:I4 N4 D2 N2 S21:BE26 S27:AA29 AG27:AO29 AX27 BA27 AX29 AD39:AN41 AS39:AY40 W39:Y41 I39:R40 D39:G40 AR116:AR120 AY116:AY120 D66 D70:R70 S73 V76:AA76 Y70:AA75 AZ74 D74:R75 H88:J90 AR114 AH114 AH117 Y117:AG118 I117 AB95:AB96 AZ95:AZ96 I119:Q120 AF95:AF96 AJ95:AJ96 AN95:AN96 AR95:AR96 AV95:AV96 R83:AA90 AJ106 AN106 AR106 AV106 AB105:AB106 AF106">
    <cfRule type="expression" dxfId="133" priority="67">
      <formula>IF($V$2="カラー","TRUE","FALSE")</formula>
    </cfRule>
  </conditionalFormatting>
  <conditionalFormatting sqref="S4:BE4">
    <cfRule type="expression" dxfId="132" priority="66">
      <formula>IF($V$2="カラー","TRUE","FALSE")</formula>
    </cfRule>
  </conditionalFormatting>
  <conditionalFormatting sqref="S12:AU13">
    <cfRule type="expression" dxfId="131" priority="57">
      <formula>S12&gt;$E$212</formula>
    </cfRule>
  </conditionalFormatting>
  <conditionalFormatting sqref="S16:AU16">
    <cfRule type="expression" priority="58" stopIfTrue="1">
      <formula>S16=""</formula>
    </cfRule>
    <cfRule type="cellIs" dxfId="130" priority="59" operator="greaterThan">
      <formula>$E$215</formula>
    </cfRule>
  </conditionalFormatting>
  <conditionalFormatting sqref="D77:R77">
    <cfRule type="expression" dxfId="129" priority="56">
      <formula>IF($V$2="カラー","TRUE","FALSE")</formula>
    </cfRule>
  </conditionalFormatting>
  <conditionalFormatting sqref="G78:R78">
    <cfRule type="expression" dxfId="128" priority="55">
      <formula>IF($V$2="カラー","TRUE","FALSE")</formula>
    </cfRule>
  </conditionalFormatting>
  <conditionalFormatting sqref="S20:BE20">
    <cfRule type="cellIs" dxfId="127" priority="54" operator="lessThan">
      <formula>$E$220</formula>
    </cfRule>
  </conditionalFormatting>
  <conditionalFormatting sqref="S20:BE20">
    <cfRule type="expression" dxfId="126" priority="53">
      <formula>IF($V$2="カラー","TRUE","FALSE")</formula>
    </cfRule>
  </conditionalFormatting>
  <conditionalFormatting sqref="AR112">
    <cfRule type="expression" dxfId="125" priority="52">
      <formula>IF($V$2="カラー","TRUE","FALSE")</formula>
    </cfRule>
  </conditionalFormatting>
  <conditionalFormatting sqref="AF105">
    <cfRule type="expression" dxfId="124" priority="51">
      <formula>IF($V$2="カラー","TRUE","FALSE")</formula>
    </cfRule>
  </conditionalFormatting>
  <conditionalFormatting sqref="AJ105">
    <cfRule type="expression" dxfId="123" priority="50">
      <formula>IF($V$2="カラー","TRUE","FALSE")</formula>
    </cfRule>
  </conditionalFormatting>
  <conditionalFormatting sqref="AN105">
    <cfRule type="expression" dxfId="122" priority="49">
      <formula>IF($V$2="カラー","TRUE","FALSE")</formula>
    </cfRule>
  </conditionalFormatting>
  <conditionalFormatting sqref="AR105">
    <cfRule type="expression" dxfId="121" priority="48">
      <formula>IF($V$2="カラー","TRUE","FALSE")</formula>
    </cfRule>
  </conditionalFormatting>
  <conditionalFormatting sqref="AV105">
    <cfRule type="expression" dxfId="120" priority="47">
      <formula>IF($V$2="カラー","TRUE","FALSE")</formula>
    </cfRule>
  </conditionalFormatting>
  <conditionalFormatting sqref="AZ105">
    <cfRule type="expression" dxfId="119" priority="46">
      <formula>IF($V$2="カラー","TRUE","FALSE")</formula>
    </cfRule>
  </conditionalFormatting>
  <conditionalFormatting sqref="L117">
    <cfRule type="expression" dxfId="118" priority="45">
      <formula>IF($V$2="カラー","TRUE","FALSE")</formula>
    </cfRule>
  </conditionalFormatting>
  <conditionalFormatting sqref="O117">
    <cfRule type="expression" dxfId="117" priority="44">
      <formula>IF($V$2="カラー","TRUE","FALSE")</formula>
    </cfRule>
  </conditionalFormatting>
  <conditionalFormatting sqref="S17:BE17">
    <cfRule type="expression" priority="771" stopIfTrue="1">
      <formula>S$17=""</formula>
    </cfRule>
    <cfRule type="cellIs" dxfId="116" priority="772" operator="greaterThan">
      <formula>$E$217</formula>
    </cfRule>
  </conditionalFormatting>
  <conditionalFormatting sqref="S14:BE14">
    <cfRule type="expression" dxfId="115" priority="773" stopIfTrue="1">
      <formula>IF(NOT(S$15=""),TRUE,FALSE)</formula>
    </cfRule>
    <cfRule type="expression" priority="774" stopIfTrue="1">
      <formula>S$14=""</formula>
    </cfRule>
    <cfRule type="cellIs" dxfId="114" priority="775" operator="greaterThan">
      <formula>$E$213</formula>
    </cfRule>
  </conditionalFormatting>
  <conditionalFormatting sqref="S15:BE15">
    <cfRule type="expression" dxfId="113" priority="776" stopIfTrue="1">
      <formula>IF(NOT(S$14=""),TRUE,FALSE)</formula>
    </cfRule>
    <cfRule type="expression" priority="777" stopIfTrue="1">
      <formula>S$15=""</formula>
    </cfRule>
    <cfRule type="cellIs" dxfId="112" priority="778" operator="greaterThan">
      <formula>$E$216</formula>
    </cfRule>
  </conditionalFormatting>
  <conditionalFormatting sqref="S18:BE18">
    <cfRule type="expression" priority="779" stopIfTrue="1">
      <formula>S$18=""</formula>
    </cfRule>
    <cfRule type="cellIs" dxfId="111" priority="780" operator="greaterThan">
      <formula>$E$218</formula>
    </cfRule>
  </conditionalFormatting>
  <conditionalFormatting sqref="AC271:AH271 AO271:AT271 AF378:AH378 R271:W345 AF272:AH277 AC272:AE345 AC358:AE361 R358:W361 R363:W378 AC363:AE378 AO271:AQ278 AR272:AT278">
    <cfRule type="expression" dxfId="110" priority="43">
      <formula>IF($V$2="カラー","TRUE","FALSE")</formula>
    </cfRule>
  </conditionalFormatting>
  <conditionalFormatting sqref="AF278:AH282">
    <cfRule type="expression" dxfId="109" priority="42">
      <formula>IF($V$2="カラー","TRUE","FALSE")</formula>
    </cfRule>
  </conditionalFormatting>
  <conditionalFormatting sqref="AF283:AH288">
    <cfRule type="expression" dxfId="108" priority="41">
      <formula>IF($V$2="カラー","TRUE","FALSE")</formula>
    </cfRule>
  </conditionalFormatting>
  <conditionalFormatting sqref="AF289:AH289 AF375:AH377">
    <cfRule type="expression" dxfId="107" priority="40">
      <formula>IF($V$2="カラー","TRUE","FALSE")</formula>
    </cfRule>
  </conditionalFormatting>
  <conditionalFormatting sqref="AF290:AH291 AF305:AH306 AF364:AH365">
    <cfRule type="expression" dxfId="106" priority="39">
      <formula>IF($V$2="カラー","TRUE","FALSE")</formula>
    </cfRule>
  </conditionalFormatting>
  <conditionalFormatting sqref="AF366:AH370">
    <cfRule type="expression" dxfId="105" priority="38">
      <formula>IF($V$2="カラー","TRUE","FALSE")</formula>
    </cfRule>
  </conditionalFormatting>
  <conditionalFormatting sqref="AF371:AH374">
    <cfRule type="expression" dxfId="104" priority="37">
      <formula>IF($V$2="カラー","TRUE","FALSE")</formula>
    </cfRule>
  </conditionalFormatting>
  <conditionalFormatting sqref="AF292:AH295">
    <cfRule type="expression" dxfId="103" priority="35">
      <formula>IF($V$2="カラー","TRUE","FALSE")</formula>
    </cfRule>
  </conditionalFormatting>
  <conditionalFormatting sqref="AF296:AH301">
    <cfRule type="expression" dxfId="102" priority="34">
      <formula>IF($V$2="カラー","TRUE","FALSE")</formula>
    </cfRule>
  </conditionalFormatting>
  <conditionalFormatting sqref="AF302:AH302">
    <cfRule type="expression" dxfId="101" priority="33">
      <formula>IF($V$2="カラー","TRUE","FALSE")</formula>
    </cfRule>
  </conditionalFormatting>
  <conditionalFormatting sqref="AF303:AH304">
    <cfRule type="expression" dxfId="100" priority="32">
      <formula>IF($V$2="カラー","TRUE","FALSE")</formula>
    </cfRule>
  </conditionalFormatting>
  <conditionalFormatting sqref="AF307:AH307">
    <cfRule type="expression" dxfId="99" priority="30">
      <formula>IF($V$2="カラー","TRUE","FALSE")</formula>
    </cfRule>
  </conditionalFormatting>
  <conditionalFormatting sqref="AF308:AH309 AF363:AH363">
    <cfRule type="expression" dxfId="98" priority="29">
      <formula>IF($V$2="カラー","TRUE","FALSE")</formula>
    </cfRule>
  </conditionalFormatting>
  <conditionalFormatting sqref="AF310:AH313">
    <cfRule type="expression" dxfId="97" priority="27">
      <formula>IF($V$2="カラー","TRUE","FALSE")</formula>
    </cfRule>
  </conditionalFormatting>
  <conditionalFormatting sqref="AF314:AH319">
    <cfRule type="expression" dxfId="96" priority="26">
      <formula>IF($V$2="カラー","TRUE","FALSE")</formula>
    </cfRule>
  </conditionalFormatting>
  <conditionalFormatting sqref="AF359:AH359">
    <cfRule type="expression" dxfId="95" priority="25">
      <formula>IF($V$2="カラー","TRUE","FALSE")</formula>
    </cfRule>
  </conditionalFormatting>
  <conditionalFormatting sqref="AF360:AH361">
    <cfRule type="expression" dxfId="94" priority="24">
      <formula>IF($V$2="カラー","TRUE","FALSE")</formula>
    </cfRule>
  </conditionalFormatting>
  <conditionalFormatting sqref="AF320:AH320 AF334:AH335">
    <cfRule type="expression" dxfId="93" priority="22">
      <formula>IF($V$2="カラー","TRUE","FALSE")</formula>
    </cfRule>
  </conditionalFormatting>
  <conditionalFormatting sqref="AF321:AH324">
    <cfRule type="expression" dxfId="92" priority="20">
      <formula>IF($V$2="カラー","TRUE","FALSE")</formula>
    </cfRule>
  </conditionalFormatting>
  <conditionalFormatting sqref="AF325:AH330">
    <cfRule type="expression" dxfId="91" priority="19">
      <formula>IF($V$2="カラー","TRUE","FALSE")</formula>
    </cfRule>
  </conditionalFormatting>
  <conditionalFormatting sqref="AF331:AH331">
    <cfRule type="expression" dxfId="90" priority="18">
      <formula>IF($V$2="カラー","TRUE","FALSE")</formula>
    </cfRule>
  </conditionalFormatting>
  <conditionalFormatting sqref="AF332:AH333">
    <cfRule type="expression" dxfId="89" priority="17">
      <formula>IF($V$2="カラー","TRUE","FALSE")</formula>
    </cfRule>
  </conditionalFormatting>
  <conditionalFormatting sqref="AF336:AH336">
    <cfRule type="expression" dxfId="88" priority="15">
      <formula>IF($V$2="カラー","TRUE","FALSE")</formula>
    </cfRule>
  </conditionalFormatting>
  <conditionalFormatting sqref="AF337:AH338">
    <cfRule type="expression" dxfId="87" priority="14">
      <formula>IF($V$2="カラー","TRUE","FALSE")</formula>
    </cfRule>
  </conditionalFormatting>
  <conditionalFormatting sqref="AF339:AH342">
    <cfRule type="expression" dxfId="86" priority="12">
      <formula>IF($V$2="カラー","TRUE","FALSE")</formula>
    </cfRule>
  </conditionalFormatting>
  <conditionalFormatting sqref="AF343:AH345 AF358:AH358">
    <cfRule type="expression" dxfId="85" priority="11">
      <formula>IF($V$2="カラー","TRUE","FALSE")</formula>
    </cfRule>
  </conditionalFormatting>
  <conditionalFormatting sqref="R346:W357 AC346:AE357">
    <cfRule type="expression" dxfId="84" priority="10">
      <formula>IF($V$2="カラー","TRUE","FALSE")</formula>
    </cfRule>
  </conditionalFormatting>
  <conditionalFormatting sqref="AF347:AH348">
    <cfRule type="expression" dxfId="83" priority="9">
      <formula>IF($V$2="カラー","TRUE","FALSE")</formula>
    </cfRule>
  </conditionalFormatting>
  <conditionalFormatting sqref="AF346:AH346">
    <cfRule type="expression" dxfId="82" priority="8">
      <formula>IF($V$2="カラー","TRUE","FALSE")</formula>
    </cfRule>
  </conditionalFormatting>
  <conditionalFormatting sqref="AF349:AH349">
    <cfRule type="expression" dxfId="81" priority="7">
      <formula>IF($V$2="カラー","TRUE","FALSE")</formula>
    </cfRule>
  </conditionalFormatting>
  <conditionalFormatting sqref="AF350:AH351">
    <cfRule type="expression" dxfId="80" priority="6">
      <formula>IF($V$2="カラー","TRUE","FALSE")</formula>
    </cfRule>
  </conditionalFormatting>
  <conditionalFormatting sqref="AF352:AH355">
    <cfRule type="expression" dxfId="79" priority="5">
      <formula>IF($V$2="カラー","TRUE","FALSE")</formula>
    </cfRule>
  </conditionalFormatting>
  <conditionalFormatting sqref="AF356:AH357">
    <cfRule type="expression" dxfId="78" priority="4">
      <formula>IF($V$2="カラー","TRUE","FALSE")</formula>
    </cfRule>
  </conditionalFormatting>
  <conditionalFormatting sqref="AC362:AE362 R362:W362">
    <cfRule type="expression" dxfId="77" priority="3">
      <formula>IF($V$2="カラー","TRUE","FALSE")</formula>
    </cfRule>
  </conditionalFormatting>
  <conditionalFormatting sqref="AF362:AH362">
    <cfRule type="expression" dxfId="76" priority="2">
      <formula>IF($V$2="カラー","TRUE","FALSE")</formula>
    </cfRule>
  </conditionalFormatting>
  <conditionalFormatting sqref="AU12">
    <cfRule type="expression" dxfId="75" priority="1">
      <formula>AU12&gt;$E$212</formula>
    </cfRule>
  </conditionalFormatting>
  <dataValidations count="47">
    <dataValidation type="date" operator="greaterThanOrEqual" allowBlank="1" showInputMessage="1" showErrorMessage="1" error="2000年以降の日付を入力してください。" sqref="D4:G4" xr:uid="{00000000-0002-0000-0300-000000000000}">
      <formula1>1</formula1>
    </dataValidation>
    <dataValidation type="time" operator="lessThanOrEqual" allowBlank="1" showInputMessage="1" showErrorMessage="1" error="時刻（10:00など）を入力してください。" sqref="D5:BE5" xr:uid="{00000000-0002-0000-0300-000001000000}">
      <formula1>0.999305555555556</formula1>
    </dataValidation>
    <dataValidation type="decimal" allowBlank="1" showInputMessage="1" showErrorMessage="1" error="入力できる数字は-20～40までです。" sqref="D11:BE11" xr:uid="{00000000-0002-0000-0300-000002000000}">
      <formula1>-20</formula1>
      <formula2>40</formula2>
    </dataValidation>
    <dataValidation type="decimal" allowBlank="1" showInputMessage="1" showErrorMessage="1" error="入力できる数字は-10～30までです。" sqref="D12:BE13" xr:uid="{00000000-0002-0000-0300-000003000000}">
      <formula1>-10</formula1>
      <formula2>30</formula2>
    </dataValidation>
    <dataValidation type="decimal" allowBlank="1" showInputMessage="1" showErrorMessage="1" error="入力できる数字は3～20までです（３以下の場合は日本酒度のほうに記入してください）。" sqref="D14:BE14" xr:uid="{00000000-0002-0000-0300-000004000000}">
      <formula1>3</formula1>
      <formula2>20</formula2>
    </dataValidation>
    <dataValidation type="decimal" allowBlank="1" showInputMessage="1" showErrorMessage="1" error="入力できる数字は0～22までです。" sqref="BB102 D16:BE16 AZ102" xr:uid="{00000000-0002-0000-0300-000005000000}">
      <formula1>0</formula1>
      <formula2>22</formula2>
    </dataValidation>
    <dataValidation type="decimal" allowBlank="1" showInputMessage="1" showErrorMessage="1" error="入力できる数値は0～10までです。" sqref="D18:BE18" xr:uid="{00000000-0002-0000-0300-000006000000}">
      <formula1>0</formula1>
      <formula2>10</formula2>
    </dataValidation>
    <dataValidation type="decimal" allowBlank="1" showInputMessage="1" showErrorMessage="1" error="入力できる数値は0～10です。" sqref="D19:BE19 Y119:AG119 D17:BE17" xr:uid="{00000000-0002-0000-0300-000007000000}">
      <formula1>0</formula1>
      <formula2>10</formula2>
    </dataValidation>
    <dataValidation type="decimal" allowBlank="1" showInputMessage="1" showErrorMessage="1" error="入力できる数字は0～10000までです。" sqref="M74:M75 P74:P75 S74:S75 K216:O217 D74:D75 AZ104 BB104 G74:G75 V76 J74:J75" xr:uid="{00000000-0002-0000-0300-000008000000}">
      <formula1>0</formula1>
      <formula2>10000</formula2>
    </dataValidation>
    <dataValidation type="decimal" allowBlank="1" showInputMessage="1" showErrorMessage="1" error="入力できる数字は0～100までです。" sqref="AZ94 AZ106 AE70:AG72" xr:uid="{00000000-0002-0000-0300-000009000000}">
      <formula1>0</formula1>
      <formula2>100</formula2>
    </dataValidation>
    <dataValidation type="decimal" allowBlank="1" showInputMessage="1" showErrorMessage="1" error="入力できる数字は-30～30までです。" sqref="AZ103 BB103" xr:uid="{00000000-0002-0000-0300-00000A000000}">
      <formula1>-30</formula1>
      <formula2>30</formula2>
    </dataValidation>
    <dataValidation type="decimal" allowBlank="1" showInputMessage="1" showErrorMessage="1" sqref="AZ93:BC93" xr:uid="{00000000-0002-0000-0300-00000B000000}">
      <formula1>0</formula1>
      <formula2>10000000000</formula2>
    </dataValidation>
    <dataValidation type="list" allowBlank="1" showInputMessage="1" showErrorMessage="1" sqref="I28:M29" xr:uid="{00000000-0002-0000-0300-00000C000000}">
      <formula1>"補正する,しない"</formula1>
    </dataValidation>
    <dataValidation type="list" allowBlank="1" showInputMessage="1" showErrorMessage="1" sqref="I27:L27" xr:uid="{00000000-0002-0000-0300-00000D000000}">
      <formula1>"1,2,3,4,5"</formula1>
    </dataValidation>
    <dataValidation type="decimal" allowBlank="1" showInputMessage="1" showErrorMessage="1" error="入力できる数字は-30～30までです（-30以下の場合は、ボーメのほうに記入してください）。" sqref="BE14 D15:BD15" xr:uid="{00000000-0002-0000-0300-00000E000000}">
      <formula1>-30</formula1>
      <formula2>30</formula2>
    </dataValidation>
    <dataValidation type="decimal" allowBlank="1" showInputMessage="1" showErrorMessage="1" error="入力できる数字は0～20000までです。" sqref="AZ70:BB74" xr:uid="{00000000-0002-0000-0300-00000F000000}">
      <formula1>0</formula1>
      <formula2>20000</formula2>
    </dataValidation>
    <dataValidation allowBlank="1" showInputMessage="1" showErrorMessage="1" error="入力できる数字は0～5までです。" sqref="I119:Q120" xr:uid="{00000000-0002-0000-0300-000010000000}"/>
    <dataValidation allowBlank="1" showInputMessage="1" showErrorMessage="1" error="入力できる数字は0～10000までです。" sqref="S73:U73" xr:uid="{00000000-0002-0000-0300-000011000000}"/>
    <dataValidation type="list" allowBlank="1" showInputMessage="1" showErrorMessage="1" sqref="V2:Y2" xr:uid="{00000000-0002-0000-0300-000012000000}">
      <formula1>"カラー,グレースケール"</formula1>
    </dataValidation>
    <dataValidation type="decimal" allowBlank="1" showInputMessage="1" showErrorMessage="1" sqref="F106:H106" xr:uid="{A23691CF-9334-43B7-A899-A6751A222A3E}">
      <formula1>0</formula1>
      <formula2>10000000</formula2>
    </dataValidation>
    <dataValidation type="decimal" allowBlank="1" showInputMessage="1" showErrorMessage="1" sqref="AB100:AY100" xr:uid="{0036983B-3B3E-443E-97D0-6A532F923FCD}">
      <formula1>-10000000</formula1>
      <formula2>10000000</formula2>
    </dataValidation>
    <dataValidation type="decimal" allowBlank="1" showInputMessage="1" showErrorMessage="1" sqref="P95:R99" xr:uid="{1E168623-624B-487E-8916-109D879B9D50}">
      <formula1>-1000</formula1>
      <formula2>1000</formula2>
    </dataValidation>
    <dataValidation type="decimal" allowBlank="1" showInputMessage="1" showErrorMessage="1" sqref="P102:R102 P104:R104 P107:R108 F108:O108" xr:uid="{0823459D-D214-4520-8CE7-48E19A7D42EF}">
      <formula1>0</formula1>
      <formula2>1000000</formula2>
    </dataValidation>
    <dataValidation type="decimal" allowBlank="1" showInputMessage="1" showErrorMessage="1" sqref="R271:T370" xr:uid="{BE12A15A-778C-4FEB-9229-83687932D087}">
      <formula1>0</formula1>
      <formula2>1000000000</formula2>
    </dataValidation>
    <dataValidation type="decimal" allowBlank="1" showInputMessage="1" showErrorMessage="1" sqref="U271:W370 AC271:AH370 AO271:AT278" xr:uid="{2CB6C009-355E-4E58-BA26-F5A860A65696}">
      <formula1>0</formula1>
      <formula2>100</formula2>
    </dataValidation>
    <dataValidation type="decimal" allowBlank="1" showInputMessage="1" showErrorMessage="1" sqref="BC77:BE78" xr:uid="{AFD02FA0-04C8-4460-9F6F-C4CE9123BE78}">
      <formula1>0</formula1>
      <formula2>100000</formula2>
    </dataValidation>
    <dataValidation type="decimal" allowBlank="1" showInputMessage="1" showErrorMessage="1" error="入力できる数値は0~30です。" sqref="I113:Q113 I271:J370" xr:uid="{D9622DD7-01CB-48CC-B971-8BDCDBEFEC93}">
      <formula1>0</formula1>
      <formula2>30</formula2>
    </dataValidation>
    <dataValidation type="decimal" allowBlank="1" showInputMessage="1" showErrorMessage="1" error="入力できる数字は0～5までです。" sqref="I118:Q118" xr:uid="{A95192C4-17FC-434C-87E2-EE362F8AE892}">
      <formula1>0</formula1>
      <formula2>10</formula2>
    </dataValidation>
    <dataValidation type="decimal" allowBlank="1" showInputMessage="1" showErrorMessage="1" error="入力できる数値は0~20です。" sqref="G271:H370" xr:uid="{EEAEAA71-CCD8-427F-B562-6D1AF7761BD7}">
      <formula1>0</formula1>
      <formula2>20</formula2>
    </dataValidation>
    <dataValidation type="decimal" allowBlank="1" showInputMessage="1" showErrorMessage="1" error="入力できる数値は0～120です。" sqref="AK83:AL90 X271:Y370" xr:uid="{30AAF28F-7D4B-4EC9-9A32-48156ED1DBC4}">
      <formula1>0</formula1>
      <formula2>120</formula2>
    </dataValidation>
    <dataValidation type="decimal" allowBlank="1" showInputMessage="1" showErrorMessage="1" error="入力できる数字は0~100000です。" sqref="D7:BE8" xr:uid="{36DF6D12-37B2-48C4-A204-0E53E7FAB0AB}">
      <formula1>0</formula1>
      <formula2>100000</formula2>
    </dataValidation>
    <dataValidation type="decimal" allowBlank="1" showInputMessage="1" showErrorMessage="1" error="入力できる数値は0~1000です。" sqref="K271:N370" xr:uid="{B1F4C969-5348-4F0A-B384-80599D7139E2}">
      <formula1>0</formula1>
      <formula2>1000</formula2>
    </dataValidation>
    <dataValidation type="decimal" allowBlank="1" showInputMessage="1" showErrorMessage="1" error="入力できる数字は0～100000です。" sqref="E88:G90" xr:uid="{425C0CC6-87B1-4268-A3EF-33EC6496E74B}">
      <formula1>0</formula1>
      <formula2>100000</formula2>
    </dataValidation>
    <dataValidation type="decimal" allowBlank="1" showInputMessage="1" showErrorMessage="1" error="入力できる数値は0～100000です。" sqref="AM83:BD90 AB93:AY93 AR110:AT110 D71:R73 Z271:AB370 AL271:AN370 AI279:AK370 AO279:AT370" xr:uid="{D2F59137-F3CF-4F59-9E48-4BAD80F89FBB}">
      <formula1>0</formula1>
      <formula2>100000</formula2>
    </dataValidation>
    <dataValidation type="date" operator="greaterThan" allowBlank="1" showInputMessage="1" showErrorMessage="1" error="2024年１月１日以降の日付を入力してください。" sqref="N92:R92" xr:uid="{6E377ABF-3B52-44DE-97D1-D08ED6676C1C}">
      <formula1>1</formula1>
    </dataValidation>
    <dataValidation type="decimal" allowBlank="1" showInputMessage="1" showErrorMessage="1" error="入力できる数値は0~100000です。" sqref="AB104:AY104 I114:Q114 F94:K105 I106:K106 AB83:AJ90 Y114:AG114 O271:Q370" xr:uid="{1FB24857-F25D-44D8-98CD-C67DEB4E6A26}">
      <formula1>0</formula1>
      <formula2>100000</formula2>
    </dataValidation>
    <dataValidation type="decimal" allowBlank="1" showInputMessage="1" showErrorMessage="1" error="入力できる数値は0～22です。" sqref="I115:Q115 Y115:AG115" xr:uid="{B381FF3D-9ACB-4407-97CF-20D6EA340A1F}">
      <formula1>0</formula1>
      <formula2>22</formula2>
    </dataValidation>
    <dataValidation type="decimal" allowBlank="1" showInputMessage="1" showErrorMessage="1" error="入力できる数値は-100～30までです。" sqref="I116:Q116" xr:uid="{BE52044F-318E-4246-916B-DBC7B7F61CCD}">
      <formula1>-100</formula1>
      <formula2>30</formula2>
    </dataValidation>
    <dataValidation type="decimal" allowBlank="1" showInputMessage="1" showErrorMessage="1" error="入力できる数値は0～95です。" sqref="AB94:AY94" xr:uid="{6D0B4098-2207-4A43-8A3F-244AE5E24B1B}">
      <formula1>0</formula1>
      <formula2>95</formula2>
    </dataValidation>
    <dataValidation type="decimal" allowBlank="1" showInputMessage="1" showErrorMessage="1" error="入力できる数値は-10~40です。" sqref="AB101:AY101 Y113:AG113" xr:uid="{67E8D941-268E-4A10-8D6F-05EB7B7584AC}">
      <formula1>-10</formula1>
      <formula2>40</formula2>
    </dataValidation>
    <dataValidation type="decimal" allowBlank="1" showInputMessage="1" showErrorMessage="1" error="入力できる数値は0~95です。" sqref="AB102:AY102" xr:uid="{22897648-FD84-4552-9365-E32DADDFEB31}">
      <formula1>0</formula1>
      <formula2>95</formula2>
    </dataValidation>
    <dataValidation type="decimal" allowBlank="1" showInputMessage="1" showErrorMessage="1" error="入力できる数値は-100~100です。" sqref="AB103:AY103" xr:uid="{2F78CDB5-7ACD-46B9-B866-92B2E66D1A15}">
      <formula1>-100</formula1>
      <formula2>100</formula2>
    </dataValidation>
    <dataValidation type="decimal" allowBlank="1" showInputMessage="1" showErrorMessage="1" error="入力できる数値は0～10000_x000a_です。" sqref="AR111:AT111" xr:uid="{16F3B113-404A-46F2-A1BB-2E3B3C208E46}">
      <formula1>0</formula1>
      <formula2>10000</formula2>
    </dataValidation>
    <dataValidation type="decimal" allowBlank="1" showInputMessage="1" showErrorMessage="1" error="入力できる数値は0.5~1.5です。" sqref="AR113:AT113" xr:uid="{7C5DD668-C5D2-4630-ABC1-EF6191A6AD62}">
      <formula1>0.5</formula1>
      <formula2>1.5</formula2>
    </dataValidation>
    <dataValidation type="decimal" allowBlank="1" showInputMessage="1" showErrorMessage="1" error="入力できる数値は-100~30です。" sqref="Y116:AG116" xr:uid="{4F4E2BEE-AA46-4CE2-9070-59825515268D}">
      <formula1>-100</formula1>
      <formula2>30</formula2>
    </dataValidation>
    <dataValidation type="list" allowBlank="1" showInputMessage="1" showErrorMessage="1" sqref="C271:D370" xr:uid="{B63B7684-DFD4-4A28-B93C-7C91A86CE8AC}">
      <formula1>$BG$271:$BG$278</formula1>
    </dataValidation>
    <dataValidation type="date" operator="greaterThanOrEqual" allowBlank="1" showInputMessage="1" showErrorMessage="1" error="2024/1/1以降の日付を入力してください。" sqref="I110:Q110 AB92:AY92 Y110:AG110" xr:uid="{BF13F815-AB7D-413A-8E53-230428903C21}">
      <formula1>1</formula1>
    </dataValidation>
  </dataValidations>
  <pageMargins left="0.7" right="0.4" top="0.56000000000000005" bottom="0.43" header="0.3" footer="0.3"/>
  <pageSetup paperSize="9" scale="42" fitToHeight="0" orientation="landscape" r:id="rId1"/>
  <rowBreaks count="1" manualBreakCount="1">
    <brk id="63" max="56"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3000000}">
          <x14:formula1>
            <xm:f>目標値!$E$180:$N$180</xm:f>
          </x14:formula1>
          <xm:sqref>L2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2FC44-9AA9-4D7F-84A7-61F666D82EFF}">
  <sheetPr codeName="Sheet6">
    <pageSetUpPr fitToPage="1"/>
  </sheetPr>
  <dimension ref="A1:AR258"/>
  <sheetViews>
    <sheetView zoomScale="60" zoomScaleNormal="60" workbookViewId="0">
      <selection activeCell="F49" sqref="F49"/>
    </sheetView>
  </sheetViews>
  <sheetFormatPr defaultColWidth="9" defaultRowHeight="13.5"/>
  <cols>
    <col min="2" max="2" width="11.5" customWidth="1"/>
    <col min="15" max="15" width="8.875" customWidth="1"/>
    <col min="22" max="22" width="9" customWidth="1"/>
  </cols>
  <sheetData>
    <row r="1" spans="1:44" ht="21" customHeight="1" thickBot="1">
      <c r="A1" s="314" t="s">
        <v>289</v>
      </c>
      <c r="B1" s="315"/>
      <c r="C1" s="315"/>
      <c r="D1" s="315"/>
      <c r="E1" s="315"/>
      <c r="F1" s="315"/>
      <c r="G1" s="315"/>
      <c r="H1" s="315"/>
      <c r="I1" s="315"/>
      <c r="J1" s="315"/>
      <c r="K1" s="315"/>
      <c r="L1" s="315"/>
      <c r="M1" s="315"/>
      <c r="N1" s="315"/>
      <c r="O1" s="315"/>
      <c r="P1" s="315"/>
      <c r="Q1" s="315"/>
      <c r="R1" s="1235" t="s">
        <v>283</v>
      </c>
      <c r="S1" s="1236"/>
      <c r="T1" s="1237"/>
      <c r="U1" s="1232" t="s">
        <v>284</v>
      </c>
      <c r="V1" s="1233"/>
      <c r="W1" s="1234"/>
      <c r="X1" s="362"/>
      <c r="Y1" s="362"/>
      <c r="Z1" s="315"/>
      <c r="AA1" s="315"/>
      <c r="AB1" s="315"/>
      <c r="AC1" s="315"/>
      <c r="AD1" s="315"/>
      <c r="AE1" s="315"/>
      <c r="AF1" s="315"/>
      <c r="AG1" s="315"/>
      <c r="AH1" s="315"/>
      <c r="AI1" s="315"/>
      <c r="AJ1" s="315"/>
      <c r="AK1" s="315"/>
      <c r="AL1" s="315"/>
      <c r="AM1" s="315"/>
      <c r="AN1" s="315"/>
      <c r="AO1" s="315"/>
      <c r="AP1" s="315"/>
      <c r="AQ1" s="315"/>
    </row>
    <row r="2" spans="1:44" ht="12.95" customHeight="1" thickBot="1">
      <c r="A2" s="614" t="s">
        <v>282</v>
      </c>
      <c r="B2" s="615"/>
      <c r="C2" s="1238"/>
      <c r="D2" s="1239" t="str">
        <f ca="1">〇号!D2</f>
        <v>〇号</v>
      </c>
      <c r="E2" s="1240"/>
      <c r="F2" s="1241"/>
      <c r="G2" s="315"/>
      <c r="H2" s="316" t="s">
        <v>290</v>
      </c>
      <c r="I2" s="618"/>
      <c r="J2" s="619"/>
      <c r="K2" s="315"/>
      <c r="L2" s="316" t="s">
        <v>291</v>
      </c>
      <c r="M2" s="1242"/>
      <c r="N2" s="1243"/>
      <c r="O2" s="317" t="s">
        <v>292</v>
      </c>
      <c r="P2" s="318"/>
      <c r="Q2" s="315"/>
      <c r="R2" s="1244" t="s">
        <v>293</v>
      </c>
      <c r="S2" s="1245"/>
      <c r="T2" s="315"/>
      <c r="U2" s="315"/>
      <c r="V2" s="315"/>
      <c r="W2" s="355"/>
      <c r="X2" s="355"/>
      <c r="Y2" s="315"/>
      <c r="Z2" s="315"/>
      <c r="AA2" s="315"/>
      <c r="AB2" s="315"/>
      <c r="AC2" s="315"/>
      <c r="AD2" s="315"/>
      <c r="AE2" s="315"/>
      <c r="AF2" s="315"/>
      <c r="AG2" s="315"/>
      <c r="AH2" s="315"/>
      <c r="AI2" s="315"/>
      <c r="AJ2" s="315"/>
      <c r="AK2" s="315"/>
      <c r="AL2" s="315"/>
      <c r="AM2" s="315"/>
      <c r="AN2" s="315"/>
      <c r="AO2" s="315"/>
      <c r="AP2" s="315"/>
      <c r="AQ2" s="315"/>
    </row>
    <row r="3" spans="1:44" ht="12.95" customHeight="1" thickBot="1">
      <c r="A3" s="315"/>
      <c r="B3" s="315"/>
      <c r="C3" s="315"/>
      <c r="D3" s="315"/>
      <c r="E3" s="315"/>
      <c r="F3" s="315"/>
      <c r="G3" s="315"/>
      <c r="H3" s="315"/>
      <c r="I3" s="315"/>
      <c r="J3" s="315"/>
      <c r="K3" s="315"/>
      <c r="L3" s="315"/>
      <c r="M3" s="315"/>
      <c r="N3" s="315"/>
      <c r="O3" s="315"/>
      <c r="P3" s="315"/>
      <c r="Q3" s="315"/>
      <c r="R3" s="594"/>
      <c r="S3" s="1218"/>
      <c r="T3" s="1218"/>
      <c r="U3" s="1218"/>
      <c r="V3" s="1218"/>
      <c r="W3" s="1218"/>
      <c r="X3" s="1219"/>
      <c r="Y3" s="315"/>
      <c r="Z3" s="315"/>
      <c r="AA3" s="315"/>
      <c r="AB3" s="315"/>
      <c r="AC3" s="315"/>
      <c r="AD3" s="315"/>
      <c r="AE3" s="315"/>
      <c r="AF3" s="315"/>
      <c r="AG3" s="315"/>
      <c r="AH3" s="315"/>
      <c r="AI3" s="315"/>
      <c r="AJ3" s="315"/>
      <c r="AK3" s="315"/>
      <c r="AL3" s="315"/>
      <c r="AM3" s="315"/>
      <c r="AN3" s="315"/>
      <c r="AO3" s="315"/>
      <c r="AP3" s="315"/>
      <c r="AQ3" s="315"/>
    </row>
    <row r="4" spans="1:44" ht="14.25">
      <c r="A4" s="545" t="s">
        <v>61</v>
      </c>
      <c r="B4" s="617"/>
      <c r="C4" s="617"/>
      <c r="D4" s="366" t="s">
        <v>47</v>
      </c>
      <c r="E4" s="366" t="s">
        <v>13</v>
      </c>
      <c r="F4" s="366" t="s">
        <v>15</v>
      </c>
      <c r="G4" s="366" t="s">
        <v>48</v>
      </c>
      <c r="H4" s="366" t="s">
        <v>49</v>
      </c>
      <c r="I4" s="319" t="s">
        <v>52</v>
      </c>
      <c r="J4" s="320" t="s">
        <v>51</v>
      </c>
      <c r="K4" s="321"/>
      <c r="L4" s="545" t="s">
        <v>438</v>
      </c>
      <c r="M4" s="1246"/>
      <c r="N4" s="1246"/>
      <c r="O4" s="1246"/>
      <c r="P4" s="516" t="str">
        <f>IF(目標値!I13="","",目標値!I13)</f>
        <v/>
      </c>
      <c r="Q4" s="315"/>
      <c r="R4" s="1220"/>
      <c r="S4" s="1221"/>
      <c r="T4" s="1221"/>
      <c r="U4" s="1221"/>
      <c r="V4" s="1221"/>
      <c r="W4" s="1221"/>
      <c r="X4" s="1222"/>
      <c r="Y4" s="315"/>
      <c r="Z4" s="322"/>
      <c r="AA4" s="322"/>
      <c r="AB4" s="315"/>
      <c r="AC4" s="315"/>
      <c r="AD4" s="315"/>
      <c r="AE4" s="315"/>
      <c r="AF4" s="315"/>
      <c r="AG4" s="315"/>
      <c r="AH4" s="315"/>
      <c r="AI4" s="315"/>
      <c r="AJ4" s="315"/>
      <c r="AK4" s="315"/>
      <c r="AL4" s="315"/>
      <c r="AM4" s="315"/>
      <c r="AN4" s="315"/>
      <c r="AO4" s="315"/>
      <c r="AP4" s="315"/>
      <c r="AQ4" s="315"/>
    </row>
    <row r="5" spans="1:44" ht="14.25">
      <c r="A5" s="547" t="s">
        <v>163</v>
      </c>
      <c r="B5" s="620"/>
      <c r="C5" s="620"/>
      <c r="D5" s="363">
        <f>IFERROR(D6+D7,"")</f>
        <v>0</v>
      </c>
      <c r="E5" s="363">
        <f>IFERROR(E6+E7,"")</f>
        <v>0</v>
      </c>
      <c r="F5" s="363">
        <f>IFERROR(F6+F7,"")</f>
        <v>0</v>
      </c>
      <c r="G5" s="363">
        <f>IFERROR(G6+G7,"")</f>
        <v>0</v>
      </c>
      <c r="H5" s="363">
        <f>IFERROR(H6+H7,"")</f>
        <v>0</v>
      </c>
      <c r="I5" s="323"/>
      <c r="J5" s="368" t="str">
        <f>IF(SUM(D5:I5)=0,"",SUM(D5:I5))</f>
        <v/>
      </c>
      <c r="K5" s="321"/>
      <c r="L5" s="547" t="s">
        <v>295</v>
      </c>
      <c r="M5" s="620"/>
      <c r="N5" s="620"/>
      <c r="O5" s="620"/>
      <c r="P5" s="517" t="str">
        <f>IF(目標値!I14="","",目標値!I14)</f>
        <v/>
      </c>
      <c r="Q5" s="315"/>
      <c r="R5" s="1220"/>
      <c r="S5" s="1221"/>
      <c r="T5" s="1221"/>
      <c r="U5" s="1221"/>
      <c r="V5" s="1221"/>
      <c r="W5" s="1221"/>
      <c r="X5" s="1222"/>
      <c r="Y5" s="315"/>
      <c r="Z5" s="322"/>
      <c r="AA5" s="322"/>
      <c r="AB5" s="315"/>
      <c r="AC5" s="315"/>
      <c r="AD5" s="315"/>
      <c r="AE5" s="315"/>
      <c r="AF5" s="315"/>
      <c r="AG5" s="315"/>
      <c r="AH5" s="315"/>
      <c r="AI5" s="315"/>
      <c r="AJ5" s="315"/>
      <c r="AK5" s="315"/>
      <c r="AL5" s="315"/>
      <c r="AM5" s="315"/>
      <c r="AN5" s="315"/>
      <c r="AO5" s="315"/>
      <c r="AP5" s="315"/>
      <c r="AQ5" s="315"/>
    </row>
    <row r="6" spans="1:44" ht="14.25">
      <c r="A6" s="547" t="s">
        <v>93</v>
      </c>
      <c r="B6" s="620"/>
      <c r="C6" s="620"/>
      <c r="D6" s="363">
        <f>IF(〇号!D71="",0,〇号!D71)</f>
        <v>0</v>
      </c>
      <c r="E6" s="363">
        <f>IF(〇号!G71="",0,〇号!G71)</f>
        <v>0</v>
      </c>
      <c r="F6" s="363">
        <f>IF(〇号!J71="",0,〇号!J71)</f>
        <v>0</v>
      </c>
      <c r="G6" s="363">
        <f>IF(〇号!M71="",0,〇号!M71)</f>
        <v>0</v>
      </c>
      <c r="H6" s="363">
        <f>IF(〇号!P71="",0,〇号!P71)</f>
        <v>0</v>
      </c>
      <c r="I6" s="323"/>
      <c r="J6" s="368" t="str">
        <f>IF(SUM(D6:I6)=0,"",SUM(D6:I6))</f>
        <v/>
      </c>
      <c r="K6" s="325"/>
      <c r="L6" s="547" t="s">
        <v>294</v>
      </c>
      <c r="M6" s="620"/>
      <c r="N6" s="620"/>
      <c r="O6" s="620"/>
      <c r="P6" s="517" t="str">
        <f>IF(目標値!I15="","",目標値!I15)</f>
        <v/>
      </c>
      <c r="Q6" s="315"/>
      <c r="R6" s="1220"/>
      <c r="S6" s="1221"/>
      <c r="T6" s="1221"/>
      <c r="U6" s="1221"/>
      <c r="V6" s="1221"/>
      <c r="W6" s="1221"/>
      <c r="X6" s="1222"/>
      <c r="Y6" s="589"/>
      <c r="Z6" s="589"/>
      <c r="AA6" s="589"/>
      <c r="AB6" s="315"/>
      <c r="AC6" s="315"/>
      <c r="AD6" s="315"/>
      <c r="AE6" s="315"/>
      <c r="AF6" s="315"/>
      <c r="AG6" s="315"/>
      <c r="AH6" s="315"/>
      <c r="AI6" s="315"/>
      <c r="AJ6" s="315"/>
      <c r="AK6" s="315"/>
      <c r="AL6" s="315"/>
      <c r="AM6" s="315"/>
      <c r="AN6" s="315"/>
      <c r="AO6" s="315"/>
      <c r="AP6" s="315"/>
      <c r="AQ6" s="315"/>
    </row>
    <row r="7" spans="1:44" ht="15" thickBot="1">
      <c r="A7" s="547" t="s">
        <v>50</v>
      </c>
      <c r="B7" s="620"/>
      <c r="C7" s="620"/>
      <c r="D7" s="363">
        <f>IF(〇号!D72="",0,〇号!D72)</f>
        <v>0</v>
      </c>
      <c r="E7" s="363">
        <f>IF(〇号!G72="",0,〇号!G72)</f>
        <v>0</v>
      </c>
      <c r="F7" s="363">
        <f>IF(〇号!J72="",0,〇号!J72)</f>
        <v>0</v>
      </c>
      <c r="G7" s="363">
        <f>IF(〇号!M72="",0,〇号!M72)</f>
        <v>0</v>
      </c>
      <c r="H7" s="363">
        <f>IF(〇号!P72="",0,〇号!P72)</f>
        <v>0</v>
      </c>
      <c r="I7" s="323"/>
      <c r="J7" s="368" t="str">
        <f>IF(SUM(D7:I7)=0,"",SUM(D7:I7))</f>
        <v/>
      </c>
      <c r="K7" s="325"/>
      <c r="L7" s="557" t="s">
        <v>449</v>
      </c>
      <c r="M7" s="621"/>
      <c r="N7" s="621"/>
      <c r="O7" s="621"/>
      <c r="P7" s="518" t="str">
        <f>IF(目標値!I16="","",目標値!I16)</f>
        <v/>
      </c>
      <c r="Q7" s="315"/>
      <c r="R7" s="1220"/>
      <c r="S7" s="1221"/>
      <c r="T7" s="1221"/>
      <c r="U7" s="1221"/>
      <c r="V7" s="1221"/>
      <c r="W7" s="1221"/>
      <c r="X7" s="1222"/>
      <c r="Y7" s="589"/>
      <c r="Z7" s="589"/>
      <c r="AA7" s="589"/>
      <c r="AB7" s="315"/>
      <c r="AC7" s="315"/>
      <c r="AD7" s="315"/>
      <c r="AE7" s="315"/>
      <c r="AF7" s="315"/>
      <c r="AG7" s="315"/>
      <c r="AH7" s="315"/>
      <c r="AI7" s="315"/>
      <c r="AJ7" s="315"/>
      <c r="AK7" s="315"/>
      <c r="AL7" s="315"/>
      <c r="AM7" s="315"/>
      <c r="AN7" s="315"/>
      <c r="AO7" s="315"/>
      <c r="AP7" s="315"/>
      <c r="AQ7" s="315"/>
    </row>
    <row r="8" spans="1:44" ht="15" thickBot="1">
      <c r="A8" s="557" t="s">
        <v>162</v>
      </c>
      <c r="B8" s="621"/>
      <c r="C8" s="621"/>
      <c r="D8" s="369">
        <f>IF(〇号!D73="",0,〇号!D73)</f>
        <v>0</v>
      </c>
      <c r="E8" s="423">
        <f>IF(〇号!G73="",0,〇号!G73)</f>
        <v>0</v>
      </c>
      <c r="F8" s="423">
        <f>IF(〇号!J73="",0,〇号!J73)</f>
        <v>0</v>
      </c>
      <c r="G8" s="423">
        <f>IF(〇号!M73="",0,〇号!M73)</f>
        <v>0</v>
      </c>
      <c r="H8" s="423">
        <f>IF(〇号!P73="",0,〇号!P73)</f>
        <v>0</v>
      </c>
      <c r="I8" s="369" t="str">
        <f>IF(SUM(E11:AQ11)=0,"",SUM(E11:AQ11))</f>
        <v/>
      </c>
      <c r="J8" s="370" t="str">
        <f>IF(SUM(D8:I8)=0,"",SUM(D8:I8))</f>
        <v/>
      </c>
      <c r="K8" s="325"/>
      <c r="L8" s="325"/>
      <c r="M8" s="325"/>
      <c r="N8" s="325"/>
      <c r="O8" s="325"/>
      <c r="P8" s="325"/>
      <c r="Q8" s="325"/>
      <c r="R8" s="1223"/>
      <c r="S8" s="1224"/>
      <c r="T8" s="1224"/>
      <c r="U8" s="1224"/>
      <c r="V8" s="1224"/>
      <c r="W8" s="1224"/>
      <c r="X8" s="1225"/>
      <c r="Y8" s="589"/>
      <c r="Z8" s="589"/>
      <c r="AA8" s="589"/>
      <c r="AB8" s="315"/>
      <c r="AC8" s="315"/>
      <c r="AD8" s="315"/>
      <c r="AE8" s="315"/>
      <c r="AF8" s="315"/>
      <c r="AG8" s="315"/>
      <c r="AH8" s="315"/>
      <c r="AI8" s="315"/>
      <c r="AJ8" s="315"/>
      <c r="AK8" s="315"/>
      <c r="AL8" s="315"/>
      <c r="AM8" s="315"/>
      <c r="AN8" s="315"/>
      <c r="AO8" s="315"/>
      <c r="AP8" s="315"/>
      <c r="AQ8" s="315"/>
    </row>
    <row r="9" spans="1:44" ht="10.5" customHeight="1" thickBo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row>
    <row r="10" spans="1:44" ht="14.25">
      <c r="A10" s="1247" t="s">
        <v>16</v>
      </c>
      <c r="B10" s="1248"/>
      <c r="C10" s="1248"/>
      <c r="D10" s="390">
        <v>1</v>
      </c>
      <c r="E10" s="390">
        <v>2</v>
      </c>
      <c r="F10" s="390">
        <v>3</v>
      </c>
      <c r="G10" s="390">
        <v>4</v>
      </c>
      <c r="H10" s="390">
        <v>5</v>
      </c>
      <c r="I10" s="390">
        <v>6</v>
      </c>
      <c r="J10" s="390">
        <v>7</v>
      </c>
      <c r="K10" s="390">
        <v>8</v>
      </c>
      <c r="L10" s="390">
        <v>9</v>
      </c>
      <c r="M10" s="390">
        <v>10</v>
      </c>
      <c r="N10" s="390">
        <v>11</v>
      </c>
      <c r="O10" s="390">
        <v>12</v>
      </c>
      <c r="P10" s="390">
        <v>13</v>
      </c>
      <c r="Q10" s="390">
        <v>14</v>
      </c>
      <c r="R10" s="390">
        <v>15</v>
      </c>
      <c r="S10" s="390">
        <v>16</v>
      </c>
      <c r="T10" s="390">
        <v>17</v>
      </c>
      <c r="U10" s="390">
        <v>18</v>
      </c>
      <c r="V10" s="390">
        <v>19</v>
      </c>
      <c r="W10" s="390">
        <v>20</v>
      </c>
      <c r="X10" s="390">
        <v>21</v>
      </c>
      <c r="Y10" s="390">
        <v>22</v>
      </c>
      <c r="Z10" s="390">
        <v>23</v>
      </c>
      <c r="AA10" s="390">
        <v>24</v>
      </c>
      <c r="AB10" s="390">
        <v>25</v>
      </c>
      <c r="AC10" s="390">
        <v>26</v>
      </c>
      <c r="AD10" s="390">
        <v>27</v>
      </c>
      <c r="AE10" s="390">
        <v>28</v>
      </c>
      <c r="AF10" s="390">
        <v>29</v>
      </c>
      <c r="AG10" s="390">
        <v>30</v>
      </c>
      <c r="AH10" s="390">
        <v>31</v>
      </c>
      <c r="AI10" s="390">
        <v>32</v>
      </c>
      <c r="AJ10" s="390">
        <v>33</v>
      </c>
      <c r="AK10" s="390">
        <v>34</v>
      </c>
      <c r="AL10" s="390">
        <v>35</v>
      </c>
      <c r="AM10" s="390">
        <v>36</v>
      </c>
      <c r="AN10" s="390">
        <v>37</v>
      </c>
      <c r="AO10" s="390">
        <v>38</v>
      </c>
      <c r="AP10" s="390">
        <v>39</v>
      </c>
      <c r="AQ10" s="391">
        <v>40</v>
      </c>
    </row>
    <row r="11" spans="1:44" s="315" customFormat="1" ht="14.25">
      <c r="A11" s="1206" t="s">
        <v>206</v>
      </c>
      <c r="B11" s="1207"/>
      <c r="C11" s="1207"/>
      <c r="D11" s="378"/>
      <c r="E11" s="392" t="str">
        <f>IF(〇号!S7=0,"",〇号!S7)</f>
        <v/>
      </c>
      <c r="F11" s="392" t="str">
        <f>IF(〇号!T7=0,"",〇号!T7)</f>
        <v/>
      </c>
      <c r="G11" s="392" t="str">
        <f>IF(〇号!U7=0,"",〇号!U7)</f>
        <v/>
      </c>
      <c r="H11" s="392" t="str">
        <f>IF(〇号!V7=0,"",〇号!V7)</f>
        <v/>
      </c>
      <c r="I11" s="392" t="str">
        <f>IF(〇号!W7=0,"",〇号!W7)</f>
        <v/>
      </c>
      <c r="J11" s="392" t="str">
        <f>IF(〇号!X7=0,"",〇号!X7)</f>
        <v/>
      </c>
      <c r="K11" s="392" t="str">
        <f>IF(〇号!Y7=0,"",〇号!Y7)</f>
        <v/>
      </c>
      <c r="L11" s="392" t="str">
        <f>IF(〇号!Z7=0,"",〇号!Z7)</f>
        <v/>
      </c>
      <c r="M11" s="392" t="str">
        <f>IF(〇号!AA7=0,"",〇号!AA7)</f>
        <v/>
      </c>
      <c r="N11" s="392" t="str">
        <f>IF(〇号!AB7=0,"",〇号!AB7)</f>
        <v/>
      </c>
      <c r="O11" s="392" t="str">
        <f>IF(〇号!AC7=0,"",〇号!AC7)</f>
        <v/>
      </c>
      <c r="P11" s="392" t="str">
        <f>IF(〇号!AD7=0,"",〇号!AD7)</f>
        <v/>
      </c>
      <c r="Q11" s="392" t="str">
        <f>IF(〇号!AE7=0,"",〇号!AE7)</f>
        <v/>
      </c>
      <c r="R11" s="392" t="str">
        <f>IF(〇号!AF7=0,"",〇号!AF7)</f>
        <v/>
      </c>
      <c r="S11" s="392" t="str">
        <f>IF(〇号!AG7=0,"",〇号!AG7)</f>
        <v/>
      </c>
      <c r="T11" s="392" t="str">
        <f>IF(〇号!AH7=0,"",〇号!AH7)</f>
        <v/>
      </c>
      <c r="U11" s="392" t="str">
        <f>IF(〇号!AI7=0,"",〇号!AI7)</f>
        <v/>
      </c>
      <c r="V11" s="392" t="str">
        <f>IF(〇号!AJ7=0,"",〇号!AJ7)</f>
        <v/>
      </c>
      <c r="W11" s="392" t="str">
        <f>IF(〇号!AK7=0,"",〇号!AK7)</f>
        <v/>
      </c>
      <c r="X11" s="392" t="str">
        <f>IF(〇号!AL7=0,"",〇号!AL7)</f>
        <v/>
      </c>
      <c r="Y11" s="392" t="str">
        <f>IF(〇号!AM7=0,"",〇号!AM7)</f>
        <v/>
      </c>
      <c r="Z11" s="392" t="str">
        <f>IF(〇号!AN7=0,"",〇号!AN7)</f>
        <v/>
      </c>
      <c r="AA11" s="392" t="str">
        <f>IF(〇号!AO7=0,"",〇号!AO7)</f>
        <v/>
      </c>
      <c r="AB11" s="392" t="str">
        <f>IF(〇号!AP7=0,"",〇号!AP7)</f>
        <v/>
      </c>
      <c r="AC11" s="392" t="str">
        <f>IF(〇号!AQ7=0,"",〇号!AQ7)</f>
        <v/>
      </c>
      <c r="AD11" s="392" t="str">
        <f>IF(〇号!AR7=0,"",〇号!AR7)</f>
        <v/>
      </c>
      <c r="AE11" s="392" t="str">
        <f>IF(〇号!AS7=0,"",〇号!AS7)</f>
        <v/>
      </c>
      <c r="AF11" s="392" t="str">
        <f>IF(〇号!AT7=0,"",〇号!AT7)</f>
        <v/>
      </c>
      <c r="AG11" s="392" t="str">
        <f>IF(〇号!AU7=0,"",〇号!AU7)</f>
        <v/>
      </c>
      <c r="AH11" s="392" t="str">
        <f>IF(〇号!AV7=0,"",〇号!AV7)</f>
        <v/>
      </c>
      <c r="AI11" s="392" t="str">
        <f>IF(〇号!AW7=0,"",〇号!AW7)</f>
        <v/>
      </c>
      <c r="AJ11" s="392" t="str">
        <f>IF(〇号!AX7=0,"",〇号!AX7)</f>
        <v/>
      </c>
      <c r="AK11" s="392" t="str">
        <f>IF(〇号!AY7=0,"",〇号!AY7)</f>
        <v/>
      </c>
      <c r="AL11" s="392" t="str">
        <f>IF(〇号!AZ7=0,"",〇号!AZ7)</f>
        <v/>
      </c>
      <c r="AM11" s="392" t="str">
        <f>IF(〇号!BA7=0,"",〇号!BA7)</f>
        <v/>
      </c>
      <c r="AN11" s="392" t="str">
        <f>IF(〇号!BB7=0,"",〇号!BB7)</f>
        <v/>
      </c>
      <c r="AO11" s="392" t="str">
        <f>IF(〇号!BC7=0,"",〇号!BC7)</f>
        <v/>
      </c>
      <c r="AP11" s="392" t="str">
        <f>IF(〇号!BD7=0,"",〇号!BD7)</f>
        <v/>
      </c>
      <c r="AQ11" s="393" t="str">
        <f>IF(〇号!BE7=0,"",〇号!BE7)</f>
        <v/>
      </c>
      <c r="AR11" s="86"/>
    </row>
    <row r="12" spans="1:44" s="315" customFormat="1" ht="14.25">
      <c r="A12" s="1230" t="s">
        <v>1</v>
      </c>
      <c r="B12" s="1231"/>
      <c r="C12" s="1229" t="s">
        <v>63</v>
      </c>
      <c r="D12" s="394"/>
      <c r="E12" s="374" t="str">
        <f>IF(〇号!S14="","",〇号!S14)</f>
        <v/>
      </c>
      <c r="F12" s="374" t="str">
        <f>IF(〇号!T14="","",〇号!T14)</f>
        <v/>
      </c>
      <c r="G12" s="374" t="str">
        <f>IF(〇号!U14="","",〇号!U14)</f>
        <v/>
      </c>
      <c r="H12" s="374" t="str">
        <f>IF(〇号!V14="","",〇号!V14)</f>
        <v/>
      </c>
      <c r="I12" s="374" t="str">
        <f>IF(〇号!W14="","",〇号!W14)</f>
        <v/>
      </c>
      <c r="J12" s="374" t="str">
        <f>IF(〇号!X14="","",〇号!X14)</f>
        <v/>
      </c>
      <c r="K12" s="374" t="str">
        <f>IF(〇号!Y14="","",〇号!Y14)</f>
        <v/>
      </c>
      <c r="L12" s="374" t="str">
        <f>IF(〇号!Z14="","",〇号!Z14)</f>
        <v/>
      </c>
      <c r="M12" s="374" t="str">
        <f>IF(〇号!AA14="","",〇号!AA14)</f>
        <v/>
      </c>
      <c r="N12" s="374" t="str">
        <f>IF(〇号!AB14="","",〇号!AB14)</f>
        <v/>
      </c>
      <c r="O12" s="374" t="str">
        <f>IF(〇号!AC14="","",〇号!AC14)</f>
        <v/>
      </c>
      <c r="P12" s="374" t="str">
        <f>IF(〇号!AD14="","",〇号!AD14)</f>
        <v/>
      </c>
      <c r="Q12" s="374" t="str">
        <f>IF(〇号!AE14="","",〇号!AE14)</f>
        <v/>
      </c>
      <c r="R12" s="374" t="str">
        <f>IF(〇号!AF14="","",〇号!AF14)</f>
        <v/>
      </c>
      <c r="S12" s="374" t="str">
        <f>IF(〇号!AG14="","",〇号!AG14)</f>
        <v/>
      </c>
      <c r="T12" s="374" t="str">
        <f>IF(〇号!AH14="","",〇号!AH14)</f>
        <v/>
      </c>
      <c r="U12" s="374" t="str">
        <f>IF(〇号!AI14="","",〇号!AI14)</f>
        <v/>
      </c>
      <c r="V12" s="374" t="str">
        <f>IF(〇号!AJ14="","",〇号!AJ14)</f>
        <v/>
      </c>
      <c r="W12" s="374" t="str">
        <f>IF(〇号!AK14="","",〇号!AK14)</f>
        <v/>
      </c>
      <c r="X12" s="374" t="str">
        <f>IF(〇号!AL14="","",〇号!AL14)</f>
        <v/>
      </c>
      <c r="Y12" s="374" t="str">
        <f>IF(〇号!AM14="","",〇号!AM14)</f>
        <v/>
      </c>
      <c r="Z12" s="374" t="str">
        <f>IF(〇号!AN14="","",〇号!AN14)</f>
        <v/>
      </c>
      <c r="AA12" s="374" t="str">
        <f>IF(〇号!AO14="","",〇号!AO14)</f>
        <v/>
      </c>
      <c r="AB12" s="374" t="str">
        <f>IF(〇号!AP14="","",〇号!AP14)</f>
        <v/>
      </c>
      <c r="AC12" s="374" t="str">
        <f>IF(〇号!AQ14="","",〇号!AQ14)</f>
        <v/>
      </c>
      <c r="AD12" s="374" t="str">
        <f>IF(〇号!AR14="","",〇号!AR14)</f>
        <v/>
      </c>
      <c r="AE12" s="374" t="str">
        <f>IF(〇号!AS14="","",〇号!AS14)</f>
        <v/>
      </c>
      <c r="AF12" s="374" t="str">
        <f>IF(〇号!AT14="","",〇号!AT14)</f>
        <v/>
      </c>
      <c r="AG12" s="374" t="str">
        <f>IF(〇号!AU14="","",〇号!AU14)</f>
        <v/>
      </c>
      <c r="AH12" s="374" t="str">
        <f>IF(〇号!AV14="","",〇号!AV14)</f>
        <v/>
      </c>
      <c r="AI12" s="374" t="str">
        <f>IF(〇号!AW14="","",〇号!AW14)</f>
        <v/>
      </c>
      <c r="AJ12" s="374" t="str">
        <f>IF(〇号!AX14="","",〇号!AX14)</f>
        <v/>
      </c>
      <c r="AK12" s="374" t="str">
        <f>IF(〇号!AY14="","",〇号!AY14)</f>
        <v/>
      </c>
      <c r="AL12" s="374" t="str">
        <f>IF(〇号!AZ14="","",〇号!AZ14)</f>
        <v/>
      </c>
      <c r="AM12" s="374" t="str">
        <f>IF(〇号!BA14="","",〇号!BA14)</f>
        <v/>
      </c>
      <c r="AN12" s="374" t="str">
        <f>IF(〇号!BB14="","",〇号!BB14)</f>
        <v/>
      </c>
      <c r="AO12" s="374" t="str">
        <f>IF(〇号!BC14="","",〇号!BC14)</f>
        <v/>
      </c>
      <c r="AP12" s="374" t="str">
        <f>IF(〇号!BD14="","",〇号!BD14)</f>
        <v/>
      </c>
      <c r="AQ12" s="376" t="str">
        <f>IF(〇号!BE14="","",〇号!BE14)</f>
        <v/>
      </c>
      <c r="AR12" s="86"/>
    </row>
    <row r="13" spans="1:44" s="315" customFormat="1" ht="14.25">
      <c r="A13" s="1230" t="s">
        <v>2</v>
      </c>
      <c r="B13" s="1231"/>
      <c r="C13" s="1229"/>
      <c r="D13" s="394"/>
      <c r="E13" s="374" t="str">
        <f>IF(〇号!S15="","",〇号!S15)</f>
        <v/>
      </c>
      <c r="F13" s="374" t="str">
        <f>IF(〇号!T15="","",〇号!T15)</f>
        <v/>
      </c>
      <c r="G13" s="374" t="str">
        <f>IF(〇号!U15="","",〇号!U15)</f>
        <v/>
      </c>
      <c r="H13" s="374" t="str">
        <f>IF(〇号!V15="","",〇号!V15)</f>
        <v/>
      </c>
      <c r="I13" s="374" t="str">
        <f>IF(〇号!W15="","",〇号!W15)</f>
        <v/>
      </c>
      <c r="J13" s="374" t="str">
        <f>IF(〇号!X15="","",〇号!X15)</f>
        <v/>
      </c>
      <c r="K13" s="374" t="str">
        <f>IF(〇号!Y15="","",〇号!Y15)</f>
        <v/>
      </c>
      <c r="L13" s="374" t="str">
        <f>IF(〇号!Z15="","",〇号!Z15)</f>
        <v/>
      </c>
      <c r="M13" s="374" t="str">
        <f>IF(〇号!AA15="","",〇号!AA15)</f>
        <v/>
      </c>
      <c r="N13" s="374" t="str">
        <f>IF(〇号!AB15="","",〇号!AB15)</f>
        <v/>
      </c>
      <c r="O13" s="374" t="str">
        <f>IF(〇号!AC15="","",〇号!AC15)</f>
        <v/>
      </c>
      <c r="P13" s="374" t="str">
        <f>IF(〇号!AD15="","",〇号!AD15)</f>
        <v/>
      </c>
      <c r="Q13" s="374" t="str">
        <f>IF(〇号!AE15="","",〇号!AE15)</f>
        <v/>
      </c>
      <c r="R13" s="374" t="str">
        <f>IF(〇号!AF15="","",〇号!AF15)</f>
        <v/>
      </c>
      <c r="S13" s="374" t="str">
        <f>IF(〇号!AG15="","",〇号!AG15)</f>
        <v/>
      </c>
      <c r="T13" s="374" t="str">
        <f>IF(〇号!AH15="","",〇号!AH15)</f>
        <v/>
      </c>
      <c r="U13" s="374" t="str">
        <f>IF(〇号!AI15="","",〇号!AI15)</f>
        <v/>
      </c>
      <c r="V13" s="374" t="str">
        <f>IF(〇号!AJ15="","",〇号!AJ15)</f>
        <v/>
      </c>
      <c r="W13" s="374" t="str">
        <f>IF(〇号!AK15="","",〇号!AK15)</f>
        <v/>
      </c>
      <c r="X13" s="374" t="str">
        <f>IF(〇号!AL15="","",〇号!AL15)</f>
        <v/>
      </c>
      <c r="Y13" s="374" t="str">
        <f>IF(〇号!AM15="","",〇号!AM15)</f>
        <v/>
      </c>
      <c r="Z13" s="374" t="str">
        <f>IF(〇号!AN15="","",〇号!AN15)</f>
        <v/>
      </c>
      <c r="AA13" s="374" t="str">
        <f>IF(〇号!AO15="","",〇号!AO15)</f>
        <v/>
      </c>
      <c r="AB13" s="374" t="str">
        <f>IF(〇号!AP15="","",〇号!AP15)</f>
        <v/>
      </c>
      <c r="AC13" s="374" t="str">
        <f>IF(〇号!AQ15="","",〇号!AQ15)</f>
        <v/>
      </c>
      <c r="AD13" s="374" t="str">
        <f>IF(〇号!AR15="","",〇号!AR15)</f>
        <v/>
      </c>
      <c r="AE13" s="374" t="str">
        <f>IF(〇号!AS15="","",〇号!AS15)</f>
        <v/>
      </c>
      <c r="AF13" s="374" t="str">
        <f>IF(〇号!AT15="","",〇号!AT15)</f>
        <v/>
      </c>
      <c r="AG13" s="374" t="str">
        <f>IF(〇号!AU15="","",〇号!AU15)</f>
        <v/>
      </c>
      <c r="AH13" s="374" t="str">
        <f>IF(〇号!AV15="","",〇号!AV15)</f>
        <v/>
      </c>
      <c r="AI13" s="374" t="str">
        <f>IF(〇号!AW15="","",〇号!AW15)</f>
        <v/>
      </c>
      <c r="AJ13" s="374" t="str">
        <f>IF(〇号!AX15="","",〇号!AX15)</f>
        <v/>
      </c>
      <c r="AK13" s="374" t="str">
        <f>IF(〇号!AY15="","",〇号!AY15)</f>
        <v/>
      </c>
      <c r="AL13" s="374" t="str">
        <f>IF(〇号!AZ15="","",〇号!AZ15)</f>
        <v/>
      </c>
      <c r="AM13" s="374" t="str">
        <f>IF(〇号!BA15="","",〇号!BA15)</f>
        <v/>
      </c>
      <c r="AN13" s="374" t="str">
        <f>IF(〇号!BB15="","",〇号!BB15)</f>
        <v/>
      </c>
      <c r="AO13" s="374" t="str">
        <f>IF(〇号!BC15="","",〇号!BC15)</f>
        <v/>
      </c>
      <c r="AP13" s="374" t="str">
        <f>IF(〇号!BD15="","",〇号!BD15)</f>
        <v/>
      </c>
      <c r="AQ13" s="376" t="str">
        <f>IF(〇号!BE15="","",〇号!BE15)</f>
        <v/>
      </c>
      <c r="AR13" s="86"/>
    </row>
    <row r="14" spans="1:44" s="315" customFormat="1" ht="14.25">
      <c r="A14" s="1206" t="s">
        <v>261</v>
      </c>
      <c r="B14" s="1207"/>
      <c r="C14" s="1207"/>
      <c r="D14" s="395"/>
      <c r="E14" s="374" t="str">
        <f>IF(〇号!S16=0,"",〇号!S16)</f>
        <v/>
      </c>
      <c r="F14" s="374" t="str">
        <f>IF(〇号!T16=0,"",〇号!T16)</f>
        <v/>
      </c>
      <c r="G14" s="374" t="str">
        <f>IF(〇号!U16=0,"",〇号!U16)</f>
        <v/>
      </c>
      <c r="H14" s="374" t="str">
        <f>IF(〇号!V16=0,"",〇号!V16)</f>
        <v/>
      </c>
      <c r="I14" s="374" t="str">
        <f>IF(〇号!W16=0,"",〇号!W16)</f>
        <v/>
      </c>
      <c r="J14" s="374" t="str">
        <f>IF(〇号!X16=0,"",〇号!X16)</f>
        <v/>
      </c>
      <c r="K14" s="374" t="str">
        <f>IF(〇号!Y16=0,"",〇号!Y16)</f>
        <v/>
      </c>
      <c r="L14" s="374" t="str">
        <f>IF(〇号!Z16=0,"",〇号!Z16)</f>
        <v/>
      </c>
      <c r="M14" s="374" t="str">
        <f>IF(〇号!AA16=0,"",〇号!AA16)</f>
        <v/>
      </c>
      <c r="N14" s="374" t="str">
        <f>IF(〇号!AB16=0,"",〇号!AB16)</f>
        <v/>
      </c>
      <c r="O14" s="374" t="str">
        <f>IF(〇号!AC16=0,"",〇号!AC16)</f>
        <v/>
      </c>
      <c r="P14" s="374" t="str">
        <f>IF(〇号!AD16=0,"",〇号!AD16)</f>
        <v/>
      </c>
      <c r="Q14" s="374" t="str">
        <f>IF(〇号!AE16=0,"",〇号!AE16)</f>
        <v/>
      </c>
      <c r="R14" s="374" t="str">
        <f>IF(〇号!AF16=0,"",〇号!AF16)</f>
        <v/>
      </c>
      <c r="S14" s="374" t="str">
        <f>IF(〇号!AG16=0,"",〇号!AG16)</f>
        <v/>
      </c>
      <c r="T14" s="374" t="str">
        <f>IF(〇号!AH16=0,"",〇号!AH16)</f>
        <v/>
      </c>
      <c r="U14" s="374" t="str">
        <f>IF(〇号!AI16=0,"",〇号!AI16)</f>
        <v/>
      </c>
      <c r="V14" s="374" t="str">
        <f>IF(〇号!AJ16=0,"",〇号!AJ16)</f>
        <v/>
      </c>
      <c r="W14" s="374" t="str">
        <f>IF(〇号!AK16=0,"",〇号!AK16)</f>
        <v/>
      </c>
      <c r="X14" s="374" t="str">
        <f>IF(〇号!AL16=0,"",〇号!AL16)</f>
        <v/>
      </c>
      <c r="Y14" s="374" t="str">
        <f>IF(〇号!AM16=0,"",〇号!AM16)</f>
        <v/>
      </c>
      <c r="Z14" s="374" t="str">
        <f>IF(〇号!AN16=0,"",〇号!AN16)</f>
        <v/>
      </c>
      <c r="AA14" s="374" t="str">
        <f>IF(〇号!AO16=0,"",〇号!AO16)</f>
        <v/>
      </c>
      <c r="AB14" s="374" t="str">
        <f>IF(〇号!AP16=0,"",〇号!AP16)</f>
        <v/>
      </c>
      <c r="AC14" s="374" t="str">
        <f>IF(〇号!AQ16=0,"",〇号!AQ16)</f>
        <v/>
      </c>
      <c r="AD14" s="374" t="str">
        <f>IF(〇号!AR16=0,"",〇号!AR16)</f>
        <v/>
      </c>
      <c r="AE14" s="374" t="str">
        <f>IF(〇号!AS16=0,"",〇号!AS16)</f>
        <v/>
      </c>
      <c r="AF14" s="374" t="str">
        <f>IF(〇号!AT16=0,"",〇号!AT16)</f>
        <v/>
      </c>
      <c r="AG14" s="374" t="str">
        <f>IF(〇号!AU16=0,"",〇号!AU16)</f>
        <v/>
      </c>
      <c r="AH14" s="374" t="str">
        <f>IF(〇号!AV16=0,"",〇号!AV16)</f>
        <v/>
      </c>
      <c r="AI14" s="374" t="str">
        <f>IF(〇号!AW16=0,"",〇号!AW16)</f>
        <v/>
      </c>
      <c r="AJ14" s="374" t="str">
        <f>IF(〇号!AX16=0,"",〇号!AX16)</f>
        <v/>
      </c>
      <c r="AK14" s="374" t="str">
        <f>IF(〇号!AY16=0,"",〇号!AY16)</f>
        <v/>
      </c>
      <c r="AL14" s="374" t="str">
        <f>IF(〇号!AZ16=0,"",〇号!AZ16)</f>
        <v/>
      </c>
      <c r="AM14" s="374" t="str">
        <f>IF(〇号!BA16=0,"",〇号!BA16)</f>
        <v/>
      </c>
      <c r="AN14" s="374" t="str">
        <f>IF(〇号!BB16=0,"",〇号!BB16)</f>
        <v/>
      </c>
      <c r="AO14" s="374" t="str">
        <f>IF(〇号!BC16=0,"",〇号!BC16)</f>
        <v/>
      </c>
      <c r="AP14" s="374" t="str">
        <f>IF(〇号!BD16=0,"",〇号!BD16)</f>
        <v/>
      </c>
      <c r="AQ14" s="376" t="str">
        <f>IF(〇号!BE16=0,"",〇号!BE16)</f>
        <v/>
      </c>
      <c r="AR14" s="86"/>
    </row>
    <row r="15" spans="1:44" s="315" customFormat="1" ht="14.25">
      <c r="A15" s="1206" t="s">
        <v>297</v>
      </c>
      <c r="B15" s="1207"/>
      <c r="C15" s="1207"/>
      <c r="D15" s="373"/>
      <c r="E15" s="374" t="str">
        <f t="shared" ref="E15:AQ15" si="0">IFERROR(E38,"")</f>
        <v/>
      </c>
      <c r="F15" s="374" t="str">
        <f t="shared" si="0"/>
        <v/>
      </c>
      <c r="G15" s="374" t="str">
        <f t="shared" si="0"/>
        <v/>
      </c>
      <c r="H15" s="374" t="str">
        <f t="shared" si="0"/>
        <v/>
      </c>
      <c r="I15" s="374" t="str">
        <f t="shared" si="0"/>
        <v/>
      </c>
      <c r="J15" s="374" t="str">
        <f t="shared" si="0"/>
        <v/>
      </c>
      <c r="K15" s="374" t="str">
        <f t="shared" si="0"/>
        <v/>
      </c>
      <c r="L15" s="374" t="str">
        <f t="shared" si="0"/>
        <v/>
      </c>
      <c r="M15" s="374" t="str">
        <f t="shared" si="0"/>
        <v/>
      </c>
      <c r="N15" s="374" t="str">
        <f t="shared" si="0"/>
        <v/>
      </c>
      <c r="O15" s="374" t="str">
        <f t="shared" si="0"/>
        <v/>
      </c>
      <c r="P15" s="374" t="str">
        <f t="shared" si="0"/>
        <v/>
      </c>
      <c r="Q15" s="374" t="str">
        <f t="shared" si="0"/>
        <v/>
      </c>
      <c r="R15" s="374" t="str">
        <f t="shared" si="0"/>
        <v/>
      </c>
      <c r="S15" s="374" t="str">
        <f t="shared" si="0"/>
        <v/>
      </c>
      <c r="T15" s="374" t="str">
        <f t="shared" si="0"/>
        <v/>
      </c>
      <c r="U15" s="374" t="str">
        <f t="shared" si="0"/>
        <v/>
      </c>
      <c r="V15" s="374" t="str">
        <f t="shared" si="0"/>
        <v/>
      </c>
      <c r="W15" s="374" t="str">
        <f t="shared" si="0"/>
        <v/>
      </c>
      <c r="X15" s="374" t="str">
        <f t="shared" si="0"/>
        <v/>
      </c>
      <c r="Y15" s="374" t="str">
        <f t="shared" si="0"/>
        <v/>
      </c>
      <c r="Z15" s="374" t="str">
        <f t="shared" si="0"/>
        <v/>
      </c>
      <c r="AA15" s="374" t="str">
        <f t="shared" si="0"/>
        <v/>
      </c>
      <c r="AB15" s="374" t="str">
        <f t="shared" si="0"/>
        <v/>
      </c>
      <c r="AC15" s="374" t="str">
        <f t="shared" si="0"/>
        <v/>
      </c>
      <c r="AD15" s="374" t="str">
        <f t="shared" si="0"/>
        <v/>
      </c>
      <c r="AE15" s="374" t="str">
        <f t="shared" si="0"/>
        <v/>
      </c>
      <c r="AF15" s="374" t="str">
        <f t="shared" si="0"/>
        <v/>
      </c>
      <c r="AG15" s="374" t="str">
        <f t="shared" si="0"/>
        <v/>
      </c>
      <c r="AH15" s="374" t="str">
        <f t="shared" si="0"/>
        <v/>
      </c>
      <c r="AI15" s="374" t="str">
        <f t="shared" si="0"/>
        <v/>
      </c>
      <c r="AJ15" s="374" t="str">
        <f t="shared" si="0"/>
        <v/>
      </c>
      <c r="AK15" s="374" t="str">
        <f t="shared" si="0"/>
        <v/>
      </c>
      <c r="AL15" s="374" t="str">
        <f t="shared" si="0"/>
        <v/>
      </c>
      <c r="AM15" s="374" t="str">
        <f t="shared" si="0"/>
        <v/>
      </c>
      <c r="AN15" s="374" t="str">
        <f t="shared" si="0"/>
        <v/>
      </c>
      <c r="AO15" s="374" t="str">
        <f t="shared" si="0"/>
        <v/>
      </c>
      <c r="AP15" s="374" t="str">
        <f t="shared" si="0"/>
        <v/>
      </c>
      <c r="AQ15" s="375" t="str">
        <f t="shared" si="0"/>
        <v/>
      </c>
      <c r="AR15" s="86"/>
    </row>
    <row r="16" spans="1:44" s="315" customFormat="1" ht="14.25" customHeight="1">
      <c r="A16" s="1206" t="s">
        <v>296</v>
      </c>
      <c r="B16" s="1207"/>
      <c r="C16" s="1207"/>
      <c r="D16" s="373"/>
      <c r="E16" s="374" t="str">
        <f t="shared" ref="E16:AQ16" si="1">IFERROR(E39,"")</f>
        <v/>
      </c>
      <c r="F16" s="374" t="str">
        <f t="shared" si="1"/>
        <v/>
      </c>
      <c r="G16" s="374" t="str">
        <f t="shared" si="1"/>
        <v/>
      </c>
      <c r="H16" s="374" t="str">
        <f t="shared" si="1"/>
        <v/>
      </c>
      <c r="I16" s="374" t="str">
        <f t="shared" si="1"/>
        <v/>
      </c>
      <c r="J16" s="374" t="str">
        <f t="shared" si="1"/>
        <v/>
      </c>
      <c r="K16" s="374" t="str">
        <f t="shared" si="1"/>
        <v/>
      </c>
      <c r="L16" s="374" t="str">
        <f t="shared" si="1"/>
        <v/>
      </c>
      <c r="M16" s="374" t="str">
        <f t="shared" si="1"/>
        <v/>
      </c>
      <c r="N16" s="374" t="str">
        <f t="shared" si="1"/>
        <v/>
      </c>
      <c r="O16" s="374" t="str">
        <f t="shared" si="1"/>
        <v/>
      </c>
      <c r="P16" s="374" t="str">
        <f t="shared" si="1"/>
        <v/>
      </c>
      <c r="Q16" s="374" t="str">
        <f t="shared" si="1"/>
        <v/>
      </c>
      <c r="R16" s="374" t="str">
        <f t="shared" si="1"/>
        <v/>
      </c>
      <c r="S16" s="374" t="str">
        <f t="shared" si="1"/>
        <v/>
      </c>
      <c r="T16" s="374" t="str">
        <f t="shared" si="1"/>
        <v/>
      </c>
      <c r="U16" s="374" t="str">
        <f t="shared" si="1"/>
        <v/>
      </c>
      <c r="V16" s="374" t="str">
        <f t="shared" si="1"/>
        <v/>
      </c>
      <c r="W16" s="374" t="str">
        <f t="shared" si="1"/>
        <v/>
      </c>
      <c r="X16" s="374" t="str">
        <f t="shared" si="1"/>
        <v/>
      </c>
      <c r="Y16" s="374" t="str">
        <f t="shared" si="1"/>
        <v/>
      </c>
      <c r="Z16" s="374" t="str">
        <f t="shared" si="1"/>
        <v/>
      </c>
      <c r="AA16" s="374" t="str">
        <f t="shared" si="1"/>
        <v/>
      </c>
      <c r="AB16" s="374" t="str">
        <f t="shared" si="1"/>
        <v/>
      </c>
      <c r="AC16" s="374" t="str">
        <f t="shared" si="1"/>
        <v/>
      </c>
      <c r="AD16" s="374" t="str">
        <f t="shared" si="1"/>
        <v/>
      </c>
      <c r="AE16" s="374" t="str">
        <f t="shared" si="1"/>
        <v/>
      </c>
      <c r="AF16" s="374" t="str">
        <f t="shared" si="1"/>
        <v/>
      </c>
      <c r="AG16" s="374" t="str">
        <f t="shared" si="1"/>
        <v/>
      </c>
      <c r="AH16" s="374" t="str">
        <f t="shared" si="1"/>
        <v/>
      </c>
      <c r="AI16" s="374" t="str">
        <f t="shared" si="1"/>
        <v/>
      </c>
      <c r="AJ16" s="374" t="str">
        <f t="shared" si="1"/>
        <v/>
      </c>
      <c r="AK16" s="374" t="str">
        <f t="shared" si="1"/>
        <v/>
      </c>
      <c r="AL16" s="374" t="str">
        <f t="shared" si="1"/>
        <v/>
      </c>
      <c r="AM16" s="374" t="str">
        <f t="shared" si="1"/>
        <v/>
      </c>
      <c r="AN16" s="374" t="str">
        <f t="shared" si="1"/>
        <v/>
      </c>
      <c r="AO16" s="374" t="str">
        <f t="shared" si="1"/>
        <v/>
      </c>
      <c r="AP16" s="374" t="str">
        <f t="shared" si="1"/>
        <v/>
      </c>
      <c r="AQ16" s="375" t="str">
        <f t="shared" si="1"/>
        <v/>
      </c>
      <c r="AR16" s="86"/>
    </row>
    <row r="17" spans="1:44" s="315" customFormat="1" ht="14.25">
      <c r="A17" s="1206" t="s">
        <v>406</v>
      </c>
      <c r="B17" s="1207"/>
      <c r="C17" s="1207"/>
      <c r="D17" s="373"/>
      <c r="E17" s="374" t="str">
        <f t="shared" ref="E17:AQ17" si="2">IFERROR(E40,"")</f>
        <v/>
      </c>
      <c r="F17" s="374" t="str">
        <f t="shared" si="2"/>
        <v/>
      </c>
      <c r="G17" s="374" t="str">
        <f t="shared" si="2"/>
        <v/>
      </c>
      <c r="H17" s="374" t="str">
        <f t="shared" si="2"/>
        <v/>
      </c>
      <c r="I17" s="374" t="str">
        <f t="shared" si="2"/>
        <v/>
      </c>
      <c r="J17" s="374" t="str">
        <f t="shared" si="2"/>
        <v/>
      </c>
      <c r="K17" s="374" t="str">
        <f t="shared" si="2"/>
        <v/>
      </c>
      <c r="L17" s="374" t="str">
        <f t="shared" si="2"/>
        <v/>
      </c>
      <c r="M17" s="374" t="str">
        <f t="shared" si="2"/>
        <v/>
      </c>
      <c r="N17" s="374" t="str">
        <f t="shared" si="2"/>
        <v/>
      </c>
      <c r="O17" s="374" t="str">
        <f t="shared" si="2"/>
        <v/>
      </c>
      <c r="P17" s="374" t="str">
        <f t="shared" si="2"/>
        <v/>
      </c>
      <c r="Q17" s="374" t="str">
        <f t="shared" si="2"/>
        <v/>
      </c>
      <c r="R17" s="374" t="str">
        <f t="shared" si="2"/>
        <v/>
      </c>
      <c r="S17" s="374" t="str">
        <f t="shared" si="2"/>
        <v/>
      </c>
      <c r="T17" s="374" t="str">
        <f t="shared" si="2"/>
        <v/>
      </c>
      <c r="U17" s="374" t="str">
        <f t="shared" si="2"/>
        <v/>
      </c>
      <c r="V17" s="374" t="str">
        <f t="shared" si="2"/>
        <v/>
      </c>
      <c r="W17" s="374" t="str">
        <f t="shared" si="2"/>
        <v/>
      </c>
      <c r="X17" s="374" t="str">
        <f t="shared" si="2"/>
        <v/>
      </c>
      <c r="Y17" s="374" t="str">
        <f t="shared" si="2"/>
        <v/>
      </c>
      <c r="Z17" s="374" t="str">
        <f t="shared" si="2"/>
        <v/>
      </c>
      <c r="AA17" s="374" t="str">
        <f t="shared" si="2"/>
        <v/>
      </c>
      <c r="AB17" s="374" t="str">
        <f t="shared" si="2"/>
        <v/>
      </c>
      <c r="AC17" s="374" t="str">
        <f t="shared" si="2"/>
        <v/>
      </c>
      <c r="AD17" s="374" t="str">
        <f t="shared" si="2"/>
        <v/>
      </c>
      <c r="AE17" s="374" t="str">
        <f t="shared" si="2"/>
        <v/>
      </c>
      <c r="AF17" s="374" t="str">
        <f t="shared" si="2"/>
        <v/>
      </c>
      <c r="AG17" s="374" t="str">
        <f t="shared" si="2"/>
        <v/>
      </c>
      <c r="AH17" s="374" t="str">
        <f t="shared" si="2"/>
        <v/>
      </c>
      <c r="AI17" s="374" t="str">
        <f t="shared" si="2"/>
        <v/>
      </c>
      <c r="AJ17" s="374" t="str">
        <f t="shared" si="2"/>
        <v/>
      </c>
      <c r="AK17" s="374" t="str">
        <f t="shared" si="2"/>
        <v/>
      </c>
      <c r="AL17" s="374" t="str">
        <f t="shared" si="2"/>
        <v/>
      </c>
      <c r="AM17" s="374" t="str">
        <f t="shared" si="2"/>
        <v/>
      </c>
      <c r="AN17" s="374" t="str">
        <f t="shared" si="2"/>
        <v/>
      </c>
      <c r="AO17" s="374" t="str">
        <f t="shared" si="2"/>
        <v/>
      </c>
      <c r="AP17" s="374" t="str">
        <f t="shared" si="2"/>
        <v/>
      </c>
      <c r="AQ17" s="375" t="str">
        <f t="shared" si="2"/>
        <v/>
      </c>
      <c r="AR17" s="362"/>
    </row>
    <row r="18" spans="1:44" s="315" customFormat="1" ht="14.25">
      <c r="A18" s="1208" t="s">
        <v>446</v>
      </c>
      <c r="B18" s="1209"/>
      <c r="C18" s="1209"/>
      <c r="D18" s="377"/>
      <c r="E18" s="374" t="str">
        <f t="shared" ref="E18:AQ18" si="3">IFERROR(E41,"")</f>
        <v/>
      </c>
      <c r="F18" s="374" t="str">
        <f t="shared" si="3"/>
        <v/>
      </c>
      <c r="G18" s="374" t="str">
        <f t="shared" si="3"/>
        <v/>
      </c>
      <c r="H18" s="374" t="str">
        <f t="shared" si="3"/>
        <v/>
      </c>
      <c r="I18" s="374" t="str">
        <f t="shared" si="3"/>
        <v/>
      </c>
      <c r="J18" s="374" t="str">
        <f t="shared" si="3"/>
        <v/>
      </c>
      <c r="K18" s="374" t="str">
        <f t="shared" si="3"/>
        <v/>
      </c>
      <c r="L18" s="374" t="str">
        <f t="shared" si="3"/>
        <v/>
      </c>
      <c r="M18" s="374" t="str">
        <f t="shared" si="3"/>
        <v/>
      </c>
      <c r="N18" s="374" t="str">
        <f t="shared" si="3"/>
        <v/>
      </c>
      <c r="O18" s="374" t="str">
        <f t="shared" si="3"/>
        <v/>
      </c>
      <c r="P18" s="374" t="str">
        <f t="shared" si="3"/>
        <v/>
      </c>
      <c r="Q18" s="374" t="str">
        <f t="shared" si="3"/>
        <v/>
      </c>
      <c r="R18" s="374" t="str">
        <f t="shared" si="3"/>
        <v/>
      </c>
      <c r="S18" s="374" t="str">
        <f t="shared" si="3"/>
        <v/>
      </c>
      <c r="T18" s="374" t="str">
        <f t="shared" si="3"/>
        <v/>
      </c>
      <c r="U18" s="374" t="str">
        <f t="shared" si="3"/>
        <v/>
      </c>
      <c r="V18" s="374" t="str">
        <f t="shared" si="3"/>
        <v/>
      </c>
      <c r="W18" s="374" t="str">
        <f t="shared" si="3"/>
        <v/>
      </c>
      <c r="X18" s="374" t="str">
        <f t="shared" si="3"/>
        <v/>
      </c>
      <c r="Y18" s="374" t="str">
        <f t="shared" si="3"/>
        <v/>
      </c>
      <c r="Z18" s="374" t="str">
        <f t="shared" si="3"/>
        <v/>
      </c>
      <c r="AA18" s="374" t="str">
        <f t="shared" si="3"/>
        <v/>
      </c>
      <c r="AB18" s="374" t="str">
        <f t="shared" si="3"/>
        <v/>
      </c>
      <c r="AC18" s="374" t="str">
        <f t="shared" si="3"/>
        <v/>
      </c>
      <c r="AD18" s="374" t="str">
        <f t="shared" si="3"/>
        <v/>
      </c>
      <c r="AE18" s="374" t="str">
        <f t="shared" si="3"/>
        <v/>
      </c>
      <c r="AF18" s="374" t="str">
        <f t="shared" si="3"/>
        <v/>
      </c>
      <c r="AG18" s="374" t="str">
        <f t="shared" si="3"/>
        <v/>
      </c>
      <c r="AH18" s="374" t="str">
        <f t="shared" si="3"/>
        <v/>
      </c>
      <c r="AI18" s="374" t="str">
        <f t="shared" si="3"/>
        <v/>
      </c>
      <c r="AJ18" s="374" t="str">
        <f t="shared" si="3"/>
        <v/>
      </c>
      <c r="AK18" s="374" t="str">
        <f t="shared" si="3"/>
        <v/>
      </c>
      <c r="AL18" s="374" t="str">
        <f t="shared" si="3"/>
        <v/>
      </c>
      <c r="AM18" s="374" t="str">
        <f t="shared" si="3"/>
        <v/>
      </c>
      <c r="AN18" s="374" t="str">
        <f t="shared" si="3"/>
        <v/>
      </c>
      <c r="AO18" s="374" t="str">
        <f t="shared" si="3"/>
        <v/>
      </c>
      <c r="AP18" s="374" t="str">
        <f t="shared" si="3"/>
        <v/>
      </c>
      <c r="AQ18" s="375" t="str">
        <f t="shared" si="3"/>
        <v/>
      </c>
      <c r="AR18" s="362"/>
    </row>
    <row r="19" spans="1:44" s="315" customFormat="1" ht="14.25" hidden="1">
      <c r="A19" s="1206" t="s">
        <v>336</v>
      </c>
      <c r="B19" s="1207"/>
      <c r="C19" s="1207"/>
      <c r="D19" s="378"/>
      <c r="E19" s="379">
        <f t="shared" ref="E19:AQ19" si="4">IF(E11="",0,E11)</f>
        <v>0</v>
      </c>
      <c r="F19" s="379">
        <f t="shared" si="4"/>
        <v>0</v>
      </c>
      <c r="G19" s="379">
        <f t="shared" si="4"/>
        <v>0</v>
      </c>
      <c r="H19" s="379">
        <f t="shared" si="4"/>
        <v>0</v>
      </c>
      <c r="I19" s="379">
        <f t="shared" si="4"/>
        <v>0</v>
      </c>
      <c r="J19" s="379">
        <f t="shared" si="4"/>
        <v>0</v>
      </c>
      <c r="K19" s="379">
        <f t="shared" si="4"/>
        <v>0</v>
      </c>
      <c r="L19" s="379">
        <f t="shared" si="4"/>
        <v>0</v>
      </c>
      <c r="M19" s="379">
        <f t="shared" si="4"/>
        <v>0</v>
      </c>
      <c r="N19" s="379">
        <f t="shared" si="4"/>
        <v>0</v>
      </c>
      <c r="O19" s="379">
        <f t="shared" si="4"/>
        <v>0</v>
      </c>
      <c r="P19" s="379">
        <f t="shared" si="4"/>
        <v>0</v>
      </c>
      <c r="Q19" s="379">
        <f t="shared" si="4"/>
        <v>0</v>
      </c>
      <c r="R19" s="379">
        <f t="shared" si="4"/>
        <v>0</v>
      </c>
      <c r="S19" s="379">
        <f t="shared" si="4"/>
        <v>0</v>
      </c>
      <c r="T19" s="379">
        <f t="shared" si="4"/>
        <v>0</v>
      </c>
      <c r="U19" s="379">
        <f t="shared" si="4"/>
        <v>0</v>
      </c>
      <c r="V19" s="379">
        <f t="shared" si="4"/>
        <v>0</v>
      </c>
      <c r="W19" s="379">
        <f t="shared" si="4"/>
        <v>0</v>
      </c>
      <c r="X19" s="379">
        <f t="shared" si="4"/>
        <v>0</v>
      </c>
      <c r="Y19" s="379">
        <f t="shared" si="4"/>
        <v>0</v>
      </c>
      <c r="Z19" s="379">
        <f t="shared" si="4"/>
        <v>0</v>
      </c>
      <c r="AA19" s="379">
        <f t="shared" si="4"/>
        <v>0</v>
      </c>
      <c r="AB19" s="379">
        <f t="shared" si="4"/>
        <v>0</v>
      </c>
      <c r="AC19" s="379">
        <f t="shared" si="4"/>
        <v>0</v>
      </c>
      <c r="AD19" s="379">
        <f t="shared" si="4"/>
        <v>0</v>
      </c>
      <c r="AE19" s="379">
        <f t="shared" si="4"/>
        <v>0</v>
      </c>
      <c r="AF19" s="379">
        <f t="shared" si="4"/>
        <v>0</v>
      </c>
      <c r="AG19" s="379">
        <f t="shared" si="4"/>
        <v>0</v>
      </c>
      <c r="AH19" s="379">
        <f t="shared" si="4"/>
        <v>0</v>
      </c>
      <c r="AI19" s="379">
        <f t="shared" si="4"/>
        <v>0</v>
      </c>
      <c r="AJ19" s="379">
        <f t="shared" si="4"/>
        <v>0</v>
      </c>
      <c r="AK19" s="379">
        <f t="shared" si="4"/>
        <v>0</v>
      </c>
      <c r="AL19" s="379">
        <f t="shared" si="4"/>
        <v>0</v>
      </c>
      <c r="AM19" s="379">
        <f t="shared" si="4"/>
        <v>0</v>
      </c>
      <c r="AN19" s="379">
        <f t="shared" si="4"/>
        <v>0</v>
      </c>
      <c r="AO19" s="379">
        <f t="shared" si="4"/>
        <v>0</v>
      </c>
      <c r="AP19" s="379">
        <f t="shared" si="4"/>
        <v>0</v>
      </c>
      <c r="AQ19" s="380">
        <f t="shared" si="4"/>
        <v>0</v>
      </c>
      <c r="AR19" s="86"/>
    </row>
    <row r="20" spans="1:44" s="315" customFormat="1" ht="14.25" hidden="1">
      <c r="A20" s="1210" t="s">
        <v>328</v>
      </c>
      <c r="B20" s="927"/>
      <c r="C20" s="928"/>
      <c r="D20" s="381">
        <f>SUM(D8:G8)</f>
        <v>0</v>
      </c>
      <c r="E20" s="382">
        <f t="shared" ref="E20:AQ20" si="5">D20+D19</f>
        <v>0</v>
      </c>
      <c r="F20" s="382">
        <f t="shared" si="5"/>
        <v>0</v>
      </c>
      <c r="G20" s="382">
        <f t="shared" si="5"/>
        <v>0</v>
      </c>
      <c r="H20" s="382">
        <f t="shared" si="5"/>
        <v>0</v>
      </c>
      <c r="I20" s="382">
        <f t="shared" si="5"/>
        <v>0</v>
      </c>
      <c r="J20" s="382">
        <f t="shared" si="5"/>
        <v>0</v>
      </c>
      <c r="K20" s="382">
        <f t="shared" si="5"/>
        <v>0</v>
      </c>
      <c r="L20" s="382">
        <f t="shared" si="5"/>
        <v>0</v>
      </c>
      <c r="M20" s="382">
        <f t="shared" si="5"/>
        <v>0</v>
      </c>
      <c r="N20" s="382">
        <f t="shared" si="5"/>
        <v>0</v>
      </c>
      <c r="O20" s="382">
        <f t="shared" si="5"/>
        <v>0</v>
      </c>
      <c r="P20" s="382">
        <f t="shared" si="5"/>
        <v>0</v>
      </c>
      <c r="Q20" s="382">
        <f t="shared" si="5"/>
        <v>0</v>
      </c>
      <c r="R20" s="382">
        <f t="shared" si="5"/>
        <v>0</v>
      </c>
      <c r="S20" s="382">
        <f t="shared" si="5"/>
        <v>0</v>
      </c>
      <c r="T20" s="382">
        <f t="shared" si="5"/>
        <v>0</v>
      </c>
      <c r="U20" s="382">
        <f t="shared" si="5"/>
        <v>0</v>
      </c>
      <c r="V20" s="382">
        <f t="shared" si="5"/>
        <v>0</v>
      </c>
      <c r="W20" s="382">
        <f t="shared" si="5"/>
        <v>0</v>
      </c>
      <c r="X20" s="382">
        <f t="shared" si="5"/>
        <v>0</v>
      </c>
      <c r="Y20" s="382">
        <f t="shared" si="5"/>
        <v>0</v>
      </c>
      <c r="Z20" s="382">
        <f t="shared" si="5"/>
        <v>0</v>
      </c>
      <c r="AA20" s="382">
        <f t="shared" si="5"/>
        <v>0</v>
      </c>
      <c r="AB20" s="382">
        <f t="shared" si="5"/>
        <v>0</v>
      </c>
      <c r="AC20" s="382">
        <f t="shared" si="5"/>
        <v>0</v>
      </c>
      <c r="AD20" s="382">
        <f t="shared" si="5"/>
        <v>0</v>
      </c>
      <c r="AE20" s="382">
        <f t="shared" si="5"/>
        <v>0</v>
      </c>
      <c r="AF20" s="382">
        <f t="shared" si="5"/>
        <v>0</v>
      </c>
      <c r="AG20" s="382">
        <f t="shared" si="5"/>
        <v>0</v>
      </c>
      <c r="AH20" s="382">
        <f t="shared" si="5"/>
        <v>0</v>
      </c>
      <c r="AI20" s="382">
        <f t="shared" si="5"/>
        <v>0</v>
      </c>
      <c r="AJ20" s="382">
        <f t="shared" si="5"/>
        <v>0</v>
      </c>
      <c r="AK20" s="382">
        <f t="shared" si="5"/>
        <v>0</v>
      </c>
      <c r="AL20" s="382">
        <f t="shared" si="5"/>
        <v>0</v>
      </c>
      <c r="AM20" s="382">
        <f t="shared" si="5"/>
        <v>0</v>
      </c>
      <c r="AN20" s="382">
        <f t="shared" si="5"/>
        <v>0</v>
      </c>
      <c r="AO20" s="382">
        <f t="shared" si="5"/>
        <v>0</v>
      </c>
      <c r="AP20" s="382">
        <f t="shared" si="5"/>
        <v>0</v>
      </c>
      <c r="AQ20" s="383">
        <f t="shared" si="5"/>
        <v>0</v>
      </c>
      <c r="AR20"/>
    </row>
    <row r="21" spans="1:44" s="315" customFormat="1" ht="14.25" hidden="1">
      <c r="A21" s="1210" t="s">
        <v>329</v>
      </c>
      <c r="B21" s="927"/>
      <c r="C21" s="928"/>
      <c r="D21" s="384" t="e">
        <f t="shared" ref="D21:AQ21" si="6">(D20)/SUM($D$5:$G$5)*100</f>
        <v>#DIV/0!</v>
      </c>
      <c r="E21" s="384" t="e">
        <f t="shared" si="6"/>
        <v>#DIV/0!</v>
      </c>
      <c r="F21" s="384" t="e">
        <f t="shared" si="6"/>
        <v>#DIV/0!</v>
      </c>
      <c r="G21" s="384" t="e">
        <f t="shared" si="6"/>
        <v>#DIV/0!</v>
      </c>
      <c r="H21" s="384" t="e">
        <f t="shared" si="6"/>
        <v>#DIV/0!</v>
      </c>
      <c r="I21" s="384" t="e">
        <f t="shared" si="6"/>
        <v>#DIV/0!</v>
      </c>
      <c r="J21" s="384" t="e">
        <f t="shared" si="6"/>
        <v>#DIV/0!</v>
      </c>
      <c r="K21" s="384" t="e">
        <f t="shared" si="6"/>
        <v>#DIV/0!</v>
      </c>
      <c r="L21" s="384" t="e">
        <f t="shared" si="6"/>
        <v>#DIV/0!</v>
      </c>
      <c r="M21" s="384" t="e">
        <f t="shared" si="6"/>
        <v>#DIV/0!</v>
      </c>
      <c r="N21" s="384" t="e">
        <f t="shared" si="6"/>
        <v>#DIV/0!</v>
      </c>
      <c r="O21" s="384" t="e">
        <f t="shared" si="6"/>
        <v>#DIV/0!</v>
      </c>
      <c r="P21" s="384" t="e">
        <f t="shared" si="6"/>
        <v>#DIV/0!</v>
      </c>
      <c r="Q21" s="384" t="e">
        <f t="shared" si="6"/>
        <v>#DIV/0!</v>
      </c>
      <c r="R21" s="384" t="e">
        <f t="shared" si="6"/>
        <v>#DIV/0!</v>
      </c>
      <c r="S21" s="384" t="e">
        <f t="shared" si="6"/>
        <v>#DIV/0!</v>
      </c>
      <c r="T21" s="384" t="e">
        <f t="shared" si="6"/>
        <v>#DIV/0!</v>
      </c>
      <c r="U21" s="384" t="e">
        <f t="shared" si="6"/>
        <v>#DIV/0!</v>
      </c>
      <c r="V21" s="384" t="e">
        <f t="shared" si="6"/>
        <v>#DIV/0!</v>
      </c>
      <c r="W21" s="384" t="e">
        <f t="shared" si="6"/>
        <v>#DIV/0!</v>
      </c>
      <c r="X21" s="384" t="e">
        <f t="shared" si="6"/>
        <v>#DIV/0!</v>
      </c>
      <c r="Y21" s="384" t="e">
        <f t="shared" si="6"/>
        <v>#DIV/0!</v>
      </c>
      <c r="Z21" s="384" t="e">
        <f t="shared" si="6"/>
        <v>#DIV/0!</v>
      </c>
      <c r="AA21" s="384" t="e">
        <f t="shared" si="6"/>
        <v>#DIV/0!</v>
      </c>
      <c r="AB21" s="384" t="e">
        <f t="shared" si="6"/>
        <v>#DIV/0!</v>
      </c>
      <c r="AC21" s="384" t="e">
        <f t="shared" si="6"/>
        <v>#DIV/0!</v>
      </c>
      <c r="AD21" s="384" t="e">
        <f t="shared" si="6"/>
        <v>#DIV/0!</v>
      </c>
      <c r="AE21" s="384" t="e">
        <f t="shared" si="6"/>
        <v>#DIV/0!</v>
      </c>
      <c r="AF21" s="384" t="e">
        <f t="shared" si="6"/>
        <v>#DIV/0!</v>
      </c>
      <c r="AG21" s="384" t="e">
        <f t="shared" si="6"/>
        <v>#DIV/0!</v>
      </c>
      <c r="AH21" s="384" t="e">
        <f t="shared" si="6"/>
        <v>#DIV/0!</v>
      </c>
      <c r="AI21" s="384" t="e">
        <f t="shared" si="6"/>
        <v>#DIV/0!</v>
      </c>
      <c r="AJ21" s="384" t="e">
        <f t="shared" si="6"/>
        <v>#DIV/0!</v>
      </c>
      <c r="AK21" s="384" t="e">
        <f t="shared" si="6"/>
        <v>#DIV/0!</v>
      </c>
      <c r="AL21" s="384" t="e">
        <f t="shared" si="6"/>
        <v>#DIV/0!</v>
      </c>
      <c r="AM21" s="384" t="e">
        <f t="shared" si="6"/>
        <v>#DIV/0!</v>
      </c>
      <c r="AN21" s="384" t="e">
        <f t="shared" si="6"/>
        <v>#DIV/0!</v>
      </c>
      <c r="AO21" s="384" t="e">
        <f t="shared" si="6"/>
        <v>#DIV/0!</v>
      </c>
      <c r="AP21" s="384" t="e">
        <f t="shared" si="6"/>
        <v>#DIV/0!</v>
      </c>
      <c r="AQ21" s="385" t="e">
        <f t="shared" si="6"/>
        <v>#DIV/0!</v>
      </c>
      <c r="AR21"/>
    </row>
    <row r="22" spans="1:44" s="315" customFormat="1" ht="15" thickBot="1">
      <c r="A22" s="1211" t="s">
        <v>329</v>
      </c>
      <c r="B22" s="899"/>
      <c r="C22" s="900"/>
      <c r="D22" s="386" t="str">
        <f t="shared" ref="D22:AQ22" si="7">IFERROR(D21,"")</f>
        <v/>
      </c>
      <c r="E22" s="387" t="str">
        <f t="shared" si="7"/>
        <v/>
      </c>
      <c r="F22" s="387" t="str">
        <f t="shared" si="7"/>
        <v/>
      </c>
      <c r="G22" s="387" t="str">
        <f t="shared" si="7"/>
        <v/>
      </c>
      <c r="H22" s="387" t="str">
        <f t="shared" si="7"/>
        <v/>
      </c>
      <c r="I22" s="387" t="str">
        <f t="shared" si="7"/>
        <v/>
      </c>
      <c r="J22" s="387" t="str">
        <f t="shared" si="7"/>
        <v/>
      </c>
      <c r="K22" s="387" t="str">
        <f t="shared" si="7"/>
        <v/>
      </c>
      <c r="L22" s="387" t="str">
        <f t="shared" si="7"/>
        <v/>
      </c>
      <c r="M22" s="387" t="str">
        <f t="shared" si="7"/>
        <v/>
      </c>
      <c r="N22" s="387" t="str">
        <f t="shared" si="7"/>
        <v/>
      </c>
      <c r="O22" s="387" t="str">
        <f t="shared" si="7"/>
        <v/>
      </c>
      <c r="P22" s="387" t="str">
        <f t="shared" si="7"/>
        <v/>
      </c>
      <c r="Q22" s="387" t="str">
        <f t="shared" si="7"/>
        <v/>
      </c>
      <c r="R22" s="387" t="str">
        <f t="shared" si="7"/>
        <v/>
      </c>
      <c r="S22" s="387" t="str">
        <f t="shared" si="7"/>
        <v/>
      </c>
      <c r="T22" s="387" t="str">
        <f t="shared" si="7"/>
        <v/>
      </c>
      <c r="U22" s="387" t="str">
        <f t="shared" si="7"/>
        <v/>
      </c>
      <c r="V22" s="387" t="str">
        <f t="shared" si="7"/>
        <v/>
      </c>
      <c r="W22" s="387" t="str">
        <f t="shared" si="7"/>
        <v/>
      </c>
      <c r="X22" s="387" t="str">
        <f t="shared" si="7"/>
        <v/>
      </c>
      <c r="Y22" s="387" t="str">
        <f t="shared" si="7"/>
        <v/>
      </c>
      <c r="Z22" s="387" t="str">
        <f t="shared" si="7"/>
        <v/>
      </c>
      <c r="AA22" s="387" t="str">
        <f t="shared" si="7"/>
        <v/>
      </c>
      <c r="AB22" s="387" t="str">
        <f t="shared" si="7"/>
        <v/>
      </c>
      <c r="AC22" s="387" t="str">
        <f t="shared" si="7"/>
        <v/>
      </c>
      <c r="AD22" s="387" t="str">
        <f t="shared" si="7"/>
        <v/>
      </c>
      <c r="AE22" s="387" t="str">
        <f t="shared" si="7"/>
        <v/>
      </c>
      <c r="AF22" s="387" t="str">
        <f t="shared" si="7"/>
        <v/>
      </c>
      <c r="AG22" s="387" t="str">
        <f t="shared" si="7"/>
        <v/>
      </c>
      <c r="AH22" s="387" t="str">
        <f t="shared" si="7"/>
        <v/>
      </c>
      <c r="AI22" s="387" t="str">
        <f t="shared" si="7"/>
        <v/>
      </c>
      <c r="AJ22" s="387" t="str">
        <f t="shared" si="7"/>
        <v/>
      </c>
      <c r="AK22" s="387" t="str">
        <f t="shared" si="7"/>
        <v/>
      </c>
      <c r="AL22" s="387" t="str">
        <f t="shared" si="7"/>
        <v/>
      </c>
      <c r="AM22" s="387" t="str">
        <f t="shared" si="7"/>
        <v/>
      </c>
      <c r="AN22" s="387" t="str">
        <f t="shared" si="7"/>
        <v/>
      </c>
      <c r="AO22" s="387" t="str">
        <f t="shared" si="7"/>
        <v/>
      </c>
      <c r="AP22" s="387" t="str">
        <f t="shared" si="7"/>
        <v/>
      </c>
      <c r="AQ22" s="388" t="str">
        <f t="shared" si="7"/>
        <v/>
      </c>
      <c r="AR22" s="86"/>
    </row>
    <row r="24" spans="1:44" s="315" customFormat="1" ht="14.25" hidden="1">
      <c r="A24" s="336"/>
      <c r="B24" s="336" t="s">
        <v>172</v>
      </c>
      <c r="C24" s="336" t="s">
        <v>173</v>
      </c>
      <c r="D24" s="337" t="s">
        <v>174</v>
      </c>
      <c r="E24" s="336" t="s">
        <v>175</v>
      </c>
      <c r="F24" s="336" t="s">
        <v>176</v>
      </c>
      <c r="G24" s="336" t="s">
        <v>177</v>
      </c>
      <c r="H24" s="336" t="s">
        <v>178</v>
      </c>
      <c r="I24" s="336" t="s">
        <v>179</v>
      </c>
      <c r="J24" s="336" t="s">
        <v>180</v>
      </c>
      <c r="K24" s="336" t="s">
        <v>181</v>
      </c>
      <c r="L24" s="336" t="s">
        <v>298</v>
      </c>
      <c r="M24" s="336" t="s">
        <v>299</v>
      </c>
      <c r="N24" s="336" t="s">
        <v>300</v>
      </c>
      <c r="O24" s="336" t="s">
        <v>301</v>
      </c>
      <c r="P24" s="336" t="s">
        <v>302</v>
      </c>
      <c r="Q24" s="336" t="s">
        <v>303</v>
      </c>
      <c r="R24" s="336" t="s">
        <v>304</v>
      </c>
      <c r="S24" s="336" t="s">
        <v>305</v>
      </c>
      <c r="T24" s="336" t="s">
        <v>306</v>
      </c>
      <c r="U24" s="336" t="s">
        <v>307</v>
      </c>
    </row>
    <row r="25" spans="1:44" s="315" customFormat="1" ht="14.25" hidden="1">
      <c r="A25" s="338" t="s">
        <v>182</v>
      </c>
      <c r="B25" s="338" t="str">
        <f t="array" aca="1" ref="B25" ca="1">IFERROR(OFFSET(INDEX(11:11,SMALL(IF(11:11&lt;&gt;"",COLUMN(11:11)),COLUMN())),-1,0),"")</f>
        <v/>
      </c>
      <c r="C25" s="338" t="str">
        <f t="array" aca="1" ref="C25" ca="1">IFERROR(OFFSET(INDEX(11:11,SMALL(IF(11:11&lt;&gt;"",COLUMN(11:11)),COLUMN())),-1,0),"")</f>
        <v/>
      </c>
      <c r="D25" s="338" t="str">
        <f t="array" aca="1" ref="D25" ca="1">IFERROR(OFFSET(INDEX(11:11,SMALL(IF(11:11&lt;&gt;"",COLUMN(11:11)),COLUMN())),-1,0),"")</f>
        <v/>
      </c>
      <c r="E25" s="338" t="str">
        <f t="array" aca="1" ref="E25" ca="1">IFERROR(OFFSET(INDEX(11:11,SMALL(IF(11:11&lt;&gt;"",COLUMN(11:11)),COLUMN())),-1,0),"")</f>
        <v/>
      </c>
      <c r="F25" s="338" t="str">
        <f t="array" aca="1" ref="F25" ca="1">IFERROR(OFFSET(INDEX(11:11,SMALL(IF(11:11&lt;&gt;"",COLUMN(11:11)),COLUMN())),-1,0),"")</f>
        <v/>
      </c>
      <c r="G25" s="338" t="str">
        <f t="array" aca="1" ref="G25" ca="1">IFERROR(OFFSET(INDEX(11:11,SMALL(IF(11:11&lt;&gt;"",COLUMN(11:11)),COLUMN())),-1,0),"")</f>
        <v/>
      </c>
      <c r="H25" s="338" t="str">
        <f t="array" aca="1" ref="H25" ca="1">IFERROR(OFFSET(INDEX(11:11,SMALL(IF(11:11&lt;&gt;"",COLUMN(11:11)),COLUMN())),-1,0),"")</f>
        <v/>
      </c>
      <c r="I25" s="338" t="str">
        <f t="array" aca="1" ref="I25" ca="1">IFERROR(OFFSET(INDEX(11:11,SMALL(IF(11:11&lt;&gt;"",COLUMN(11:11)),COLUMN())),-1,0),"")</f>
        <v/>
      </c>
      <c r="J25" s="338" t="str">
        <f t="array" aca="1" ref="J25" ca="1">IFERROR(OFFSET(INDEX(11:11,SMALL(IF(11:11&lt;&gt;"",COLUMN(11:11)),COLUMN())),-1,0),"")</f>
        <v/>
      </c>
      <c r="K25" s="338" t="str">
        <f t="array" aca="1" ref="K25" ca="1">IFERROR(OFFSET(INDEX(11:11,SMALL(IF(11:11&lt;&gt;"",COLUMN(11:11)),COLUMN())),-1,0),"")</f>
        <v/>
      </c>
      <c r="L25" s="338" t="str">
        <f t="array" aca="1" ref="L25" ca="1">IFERROR(OFFSET(INDEX(11:11,SMALL(IF(11:11&lt;&gt;"",COLUMN(11:11)),COLUMN())),-1,0),"")</f>
        <v/>
      </c>
      <c r="M25" s="338" t="str">
        <f t="array" aca="1" ref="M25" ca="1">IFERROR(OFFSET(INDEX(11:11,SMALL(IF(11:11&lt;&gt;"",COLUMN(11:11)),COLUMN())),-1,0),"")</f>
        <v/>
      </c>
      <c r="N25" s="338" t="str">
        <f t="array" aca="1" ref="N25" ca="1">IFERROR(OFFSET(INDEX(11:11,SMALL(IF(11:11&lt;&gt;"",COLUMN(11:11)),COLUMN())),-1,0),"")</f>
        <v/>
      </c>
      <c r="O25" s="338" t="str">
        <f t="array" aca="1" ref="O25" ca="1">IFERROR(OFFSET(INDEX(11:11,SMALL(IF(11:11&lt;&gt;"",COLUMN(11:11)),COLUMN())),-1,0),"")</f>
        <v/>
      </c>
      <c r="P25" s="338" t="str">
        <f t="array" aca="1" ref="P25" ca="1">IFERROR(OFFSET(INDEX(11:11,SMALL(IF(11:11&lt;&gt;"",COLUMN(11:11)),COLUMN())),-1,0),"")</f>
        <v/>
      </c>
      <c r="Q25" s="338" t="str">
        <f t="array" aca="1" ref="Q25" ca="1">IFERROR(OFFSET(INDEX(11:11,SMALL(IF(11:11&lt;&gt;"",COLUMN(11:11)),COLUMN())),-1,0),"")</f>
        <v/>
      </c>
      <c r="R25" s="338" t="str">
        <f t="array" aca="1" ref="R25" ca="1">IFERROR(OFFSET(INDEX(11:11,SMALL(IF(11:11&lt;&gt;"",COLUMN(11:11)),COLUMN())),-1,0),"")</f>
        <v/>
      </c>
      <c r="S25" s="338" t="str">
        <f t="array" aca="1" ref="S25" ca="1">IFERROR(OFFSET(INDEX(11:11,SMALL(IF(11:11&lt;&gt;"",COLUMN(11:11)),COLUMN())),-1,0),"")</f>
        <v/>
      </c>
      <c r="T25" s="338" t="str">
        <f t="array" aca="1" ref="T25" ca="1">IFERROR(OFFSET(INDEX(11:11,SMALL(IF(11:11&lt;&gt;"",COLUMN(11:11)),COLUMN())),-1,0),"")</f>
        <v/>
      </c>
      <c r="U25" s="338" t="str">
        <f t="array" aca="1" ref="U25" ca="1">IFERROR(OFFSET(INDEX(11:11,SMALL(IF(11:11&lt;&gt;"",COLUMN(11:11)),COLUMN())),-1,0),"")</f>
        <v/>
      </c>
    </row>
    <row r="26" spans="1:44" s="315" customFormat="1" ht="14.25" hidden="1">
      <c r="A26" s="338" t="str">
        <f t="array" ref="A26">IFERROR(INDEX(11:11,SMALL(IF(11:11&lt;&gt;"",COLUMN(11:11)),COLUMN())),"")</f>
        <v>追水量（L)</v>
      </c>
      <c r="B26" s="338" t="str">
        <f t="array" ref="B26">IFERROR(INDEX(11:11,SMALL(IF(11:11&lt;&gt;"",COLUMN(11:11)),COLUMN())),"")</f>
        <v/>
      </c>
      <c r="C26" s="338" t="str">
        <f t="array" ref="C26">IFERROR(INDEX(11:11,SMALL(IF(11:11&lt;&gt;"",COLUMN(11:11)),COLUMN())),"")</f>
        <v/>
      </c>
      <c r="D26" s="338" t="str">
        <f t="array" ref="D26">IFERROR(INDEX(11:11,SMALL(IF(11:11&lt;&gt;"",COLUMN(11:11)),COLUMN())),"")</f>
        <v/>
      </c>
      <c r="E26" s="338" t="str">
        <f t="array" ref="E26">IFERROR(INDEX(11:11,SMALL(IF(11:11&lt;&gt;"",COLUMN(11:11)),COLUMN())),"")</f>
        <v/>
      </c>
      <c r="F26" s="338" t="str">
        <f t="array" ref="F26">IFERROR(INDEX(11:11,SMALL(IF(11:11&lt;&gt;"",COLUMN(11:11)),COLUMN())),"")</f>
        <v/>
      </c>
      <c r="G26" s="338" t="str">
        <f t="array" ref="G26">IFERROR(INDEX(11:11,SMALL(IF(11:11&lt;&gt;"",COLUMN(11:11)),COLUMN())),"")</f>
        <v/>
      </c>
      <c r="H26" s="338" t="str">
        <f t="array" ref="H26">IFERROR(INDEX(11:11,SMALL(IF(11:11&lt;&gt;"",COLUMN(11:11)),COLUMN())),"")</f>
        <v/>
      </c>
      <c r="I26" s="338" t="str">
        <f t="array" ref="I26">IFERROR(INDEX(11:11,SMALL(IF(11:11&lt;&gt;"",COLUMN(11:11)),COLUMN())),"")</f>
        <v/>
      </c>
      <c r="J26" s="338" t="str">
        <f t="array" ref="J26">IFERROR(INDEX(11:11,SMALL(IF(11:11&lt;&gt;"",COLUMN(11:11)),COLUMN())),"")</f>
        <v/>
      </c>
      <c r="K26" s="338" t="str">
        <f t="array" ref="K26">IFERROR(INDEX(11:11,SMALL(IF(11:11&lt;&gt;"",COLUMN(11:11)),COLUMN())),"")</f>
        <v/>
      </c>
      <c r="L26" s="338" t="str">
        <f t="array" ref="L26">IFERROR(INDEX(11:11,SMALL(IF(11:11&lt;&gt;"",COLUMN(11:11)),COLUMN())),"")</f>
        <v/>
      </c>
      <c r="M26" s="338" t="str">
        <f t="array" ref="M26">IFERROR(INDEX(11:11,SMALL(IF(11:11&lt;&gt;"",COLUMN(11:11)),COLUMN())),"")</f>
        <v/>
      </c>
      <c r="N26" s="338" t="str">
        <f t="array" ref="N26">IFERROR(INDEX(11:11,SMALL(IF(11:11&lt;&gt;"",COLUMN(11:11)),COLUMN())),"")</f>
        <v/>
      </c>
      <c r="O26" s="338" t="str">
        <f t="array" ref="O26">IFERROR(INDEX(11:11,SMALL(IF(11:11&lt;&gt;"",COLUMN(11:11)),COLUMN())),"")</f>
        <v/>
      </c>
      <c r="P26" s="338" t="str">
        <f t="array" ref="P26">IFERROR(INDEX(11:11,SMALL(IF(11:11&lt;&gt;"",COLUMN(11:11)),COLUMN())),"")</f>
        <v/>
      </c>
      <c r="Q26" s="338" t="str">
        <f t="array" ref="Q26">IFERROR(INDEX(11:11,SMALL(IF(11:11&lt;&gt;"",COLUMN(11:11)),COLUMN())),"")</f>
        <v/>
      </c>
      <c r="R26" s="338" t="str">
        <f t="array" ref="R26">IFERROR(INDEX(11:11,SMALL(IF(11:11&lt;&gt;"",COLUMN(11:11)),COLUMN())),"")</f>
        <v/>
      </c>
      <c r="S26" s="338" t="str">
        <f t="array" ref="S26">IFERROR(INDEX(11:11,SMALL(IF(11:11&lt;&gt;"",COLUMN(11:11)),COLUMN())),"")</f>
        <v/>
      </c>
      <c r="T26" s="338" t="str">
        <f t="array" ref="T26">IFERROR(INDEX(11:11,SMALL(IF(11:11&lt;&gt;"",COLUMN(11:11)),COLUMN())),"")</f>
        <v/>
      </c>
      <c r="U26" s="338" t="str">
        <f t="array" ref="U26">IFERROR(INDEX(11:11,SMALL(IF(11:11&lt;&gt;"",COLUMN(11:11)),COLUMN())),"")</f>
        <v/>
      </c>
    </row>
    <row r="27" spans="1:44" s="315" customFormat="1" ht="14.25" hidden="1">
      <c r="A27" s="627" t="s">
        <v>183</v>
      </c>
      <c r="B27" s="627"/>
      <c r="C27" s="627"/>
      <c r="D27" s="339" t="s">
        <v>184</v>
      </c>
      <c r="E27" s="339" t="s">
        <v>185</v>
      </c>
      <c r="F27" s="339" t="s">
        <v>186</v>
      </c>
      <c r="G27" s="339" t="s">
        <v>187</v>
      </c>
      <c r="H27" s="339" t="s">
        <v>188</v>
      </c>
      <c r="I27" s="339" t="s">
        <v>189</v>
      </c>
      <c r="J27" s="339" t="s">
        <v>190</v>
      </c>
      <c r="K27" s="339" t="s">
        <v>191</v>
      </c>
      <c r="L27" s="337" t="s">
        <v>192</v>
      </c>
      <c r="M27" s="337" t="s">
        <v>193</v>
      </c>
      <c r="N27" s="337" t="s">
        <v>194</v>
      </c>
      <c r="O27" s="337" t="s">
        <v>308</v>
      </c>
      <c r="P27" s="337" t="s">
        <v>309</v>
      </c>
      <c r="Q27" s="337" t="s">
        <v>310</v>
      </c>
      <c r="R27" s="337" t="s">
        <v>311</v>
      </c>
      <c r="S27" s="337" t="s">
        <v>312</v>
      </c>
      <c r="T27" s="337" t="s">
        <v>313</v>
      </c>
      <c r="U27" s="337" t="s">
        <v>314</v>
      </c>
      <c r="V27" s="337" t="s">
        <v>315</v>
      </c>
      <c r="W27" s="337" t="s">
        <v>316</v>
      </c>
      <c r="X27" s="337" t="s">
        <v>317</v>
      </c>
    </row>
    <row r="28" spans="1:44" s="315" customFormat="1" ht="14.25" hidden="1">
      <c r="A28" s="628"/>
      <c r="B28" s="628"/>
      <c r="C28" s="628"/>
      <c r="D28" s="340" t="e">
        <f>SUM(D8:G8)/SUM(D5:G5)*100</f>
        <v>#DIV/0!</v>
      </c>
      <c r="E28" s="340" t="e">
        <f>(SUM(D8:G8)+SUM(B26:B26))/SUM(D5:G5)*100</f>
        <v>#DIV/0!</v>
      </c>
      <c r="F28" s="340" t="e">
        <f>(SUM(D8:G8)+SUM(B26:C26))/SUM(D5:G5)*100</f>
        <v>#DIV/0!</v>
      </c>
      <c r="G28" s="340" t="e">
        <f>(SUM(D8:G8)+SUM(B26:D26))/SUM(D5:G5)*100</f>
        <v>#DIV/0!</v>
      </c>
      <c r="H28" s="340" t="e">
        <f>(SUM(D8:G8)+SUM(B26:E26))/SUM(D5:G5)*100</f>
        <v>#DIV/0!</v>
      </c>
      <c r="I28" s="341" t="e">
        <f>(SUM(D8:G8)+SUM(B26:F26))/SUM(D5:G5)*100</f>
        <v>#DIV/0!</v>
      </c>
      <c r="J28" s="340" t="e">
        <f>(SUM(D8:G8)+SUM(B26:G26))/SUM(D5:G5)*100</f>
        <v>#DIV/0!</v>
      </c>
      <c r="K28" s="340" t="e">
        <f>(SUM(D8:G8)+SUM(B26:H26))/SUM(D5:G5)*100</f>
        <v>#DIV/0!</v>
      </c>
      <c r="L28" s="340" t="e">
        <f>(SUM(D8:G8)+SUM(B26:I26))/SUM(D5:G5)*100</f>
        <v>#DIV/0!</v>
      </c>
      <c r="M28" s="340" t="e">
        <f>(SUM(D8:G8)+SUM(B26:J26))/SUM(D5:G5)*100</f>
        <v>#DIV/0!</v>
      </c>
      <c r="N28" s="340" t="e">
        <f>(SUM(D8:G8)+SUM(B26:K26))/SUM(D5:G5)*100</f>
        <v>#DIV/0!</v>
      </c>
      <c r="O28" s="342" t="e">
        <f>(SUM(D8:G8)+SUM(B26:L26))/SUM(D5:G5)*100</f>
        <v>#DIV/0!</v>
      </c>
      <c r="P28" s="343" t="e">
        <f>(SUM(D8:G8)+SUM(B26:M26))/SUM(D5:G5)*100</f>
        <v>#DIV/0!</v>
      </c>
      <c r="Q28" s="343" t="e">
        <f>(SUM(D8:G8)+SUM(B26:N26))/SUM(D5:G5)*100</f>
        <v>#DIV/0!</v>
      </c>
      <c r="R28" s="343" t="e">
        <f>(SUM(D8:G8)+SUM(B26:O26))/SUM(D5:G5)*100</f>
        <v>#DIV/0!</v>
      </c>
      <c r="S28" s="343" t="e">
        <f>(SUM(D8:G8)+SUM(B26:P26))/SUM(D5:G5)*100</f>
        <v>#DIV/0!</v>
      </c>
      <c r="T28" s="343" t="e">
        <f>(SUM(D8:G8)+SUM(B26:Q26))/SUM(D5:G5)*100</f>
        <v>#DIV/0!</v>
      </c>
      <c r="U28" s="343" t="e">
        <f>(SUM(D8:G8)+SUM(B26:R26))/SUM(D5:G5)*100</f>
        <v>#DIV/0!</v>
      </c>
      <c r="V28" s="343" t="e">
        <f>(SUM(D8:G8)+SUM(B26:S26))/SUM(D5:G5)*100</f>
        <v>#DIV/0!</v>
      </c>
      <c r="W28" s="343" t="e">
        <f>(SUM(D8:G8)+SUM(B26:T26))/SUM(D5:G5)*100</f>
        <v>#DIV/0!</v>
      </c>
      <c r="X28" s="343" t="e">
        <f>(SUM(D8:G8)+SUM(B26:U26))/SUM(D5:G5)*100</f>
        <v>#DIV/0!</v>
      </c>
    </row>
    <row r="29" spans="1:44" s="315" customFormat="1" ht="14.25" hidden="1"/>
    <row r="30" spans="1:44" s="315" customFormat="1" ht="14.25" hidden="1">
      <c r="A30" s="610" t="s">
        <v>126</v>
      </c>
      <c r="B30" s="611"/>
      <c r="C30" s="611"/>
      <c r="E30" s="344" t="e">
        <f t="shared" ref="E30:AQ30" si="8">IF(E12="",IF(E13="",NA(),E13/-10),E12)</f>
        <v>#N/A</v>
      </c>
      <c r="F30" s="344" t="e">
        <f t="shared" si="8"/>
        <v>#N/A</v>
      </c>
      <c r="G30" s="344" t="e">
        <f t="shared" si="8"/>
        <v>#N/A</v>
      </c>
      <c r="H30" s="344" t="e">
        <f t="shared" si="8"/>
        <v>#N/A</v>
      </c>
      <c r="I30" s="344" t="e">
        <f t="shared" si="8"/>
        <v>#N/A</v>
      </c>
      <c r="J30" s="344" t="e">
        <f t="shared" si="8"/>
        <v>#N/A</v>
      </c>
      <c r="K30" s="344" t="e">
        <f t="shared" si="8"/>
        <v>#N/A</v>
      </c>
      <c r="L30" s="344" t="e">
        <f t="shared" si="8"/>
        <v>#N/A</v>
      </c>
      <c r="M30" s="344" t="e">
        <f t="shared" si="8"/>
        <v>#N/A</v>
      </c>
      <c r="N30" s="344" t="e">
        <f t="shared" si="8"/>
        <v>#N/A</v>
      </c>
      <c r="O30" s="344" t="e">
        <f t="shared" si="8"/>
        <v>#N/A</v>
      </c>
      <c r="P30" s="344" t="e">
        <f t="shared" si="8"/>
        <v>#N/A</v>
      </c>
      <c r="Q30" s="344" t="e">
        <f t="shared" si="8"/>
        <v>#N/A</v>
      </c>
      <c r="R30" s="344" t="e">
        <f t="shared" si="8"/>
        <v>#N/A</v>
      </c>
      <c r="S30" s="344" t="e">
        <f t="shared" si="8"/>
        <v>#N/A</v>
      </c>
      <c r="T30" s="344" t="e">
        <f t="shared" si="8"/>
        <v>#N/A</v>
      </c>
      <c r="U30" s="344" t="e">
        <f t="shared" si="8"/>
        <v>#N/A</v>
      </c>
      <c r="V30" s="344" t="e">
        <f t="shared" si="8"/>
        <v>#N/A</v>
      </c>
      <c r="W30" s="344" t="e">
        <f t="shared" si="8"/>
        <v>#N/A</v>
      </c>
      <c r="X30" s="344" t="e">
        <f t="shared" si="8"/>
        <v>#N/A</v>
      </c>
      <c r="Y30" s="344" t="e">
        <f t="shared" si="8"/>
        <v>#N/A</v>
      </c>
      <c r="Z30" s="344" t="e">
        <f t="shared" si="8"/>
        <v>#N/A</v>
      </c>
      <c r="AA30" s="344" t="e">
        <f t="shared" si="8"/>
        <v>#N/A</v>
      </c>
      <c r="AB30" s="344" t="e">
        <f t="shared" si="8"/>
        <v>#N/A</v>
      </c>
      <c r="AC30" s="344" t="e">
        <f t="shared" si="8"/>
        <v>#N/A</v>
      </c>
      <c r="AD30" s="344" t="e">
        <f t="shared" si="8"/>
        <v>#N/A</v>
      </c>
      <c r="AE30" s="344" t="e">
        <f t="shared" si="8"/>
        <v>#N/A</v>
      </c>
      <c r="AF30" s="344" t="e">
        <f t="shared" si="8"/>
        <v>#N/A</v>
      </c>
      <c r="AG30" s="344" t="e">
        <f t="shared" si="8"/>
        <v>#N/A</v>
      </c>
      <c r="AH30" s="344" t="e">
        <f t="shared" si="8"/>
        <v>#N/A</v>
      </c>
      <c r="AI30" s="344" t="e">
        <f t="shared" si="8"/>
        <v>#N/A</v>
      </c>
      <c r="AJ30" s="344" t="e">
        <f t="shared" si="8"/>
        <v>#N/A</v>
      </c>
      <c r="AK30" s="344" t="e">
        <f t="shared" si="8"/>
        <v>#N/A</v>
      </c>
      <c r="AL30" s="344" t="e">
        <f t="shared" si="8"/>
        <v>#N/A</v>
      </c>
      <c r="AM30" s="344" t="e">
        <f t="shared" si="8"/>
        <v>#N/A</v>
      </c>
      <c r="AN30" s="344" t="e">
        <f t="shared" si="8"/>
        <v>#N/A</v>
      </c>
      <c r="AO30" s="344" t="e">
        <f t="shared" si="8"/>
        <v>#N/A</v>
      </c>
      <c r="AP30" s="344" t="e">
        <f t="shared" si="8"/>
        <v>#N/A</v>
      </c>
      <c r="AQ30" s="344" t="e">
        <f t="shared" si="8"/>
        <v>#N/A</v>
      </c>
    </row>
    <row r="31" spans="1:44" s="315" customFormat="1" ht="14.25" hidden="1">
      <c r="A31" s="629" t="s">
        <v>42</v>
      </c>
      <c r="B31" s="629"/>
      <c r="C31" s="612"/>
      <c r="E31" s="345" t="e">
        <f t="shared" ref="E31:AQ31" si="9">IF(E30="",NA(),E30*(-10))</f>
        <v>#N/A</v>
      </c>
      <c r="F31" s="345" t="e">
        <f t="shared" si="9"/>
        <v>#N/A</v>
      </c>
      <c r="G31" s="345" t="e">
        <f t="shared" si="9"/>
        <v>#N/A</v>
      </c>
      <c r="H31" s="345" t="e">
        <f t="shared" si="9"/>
        <v>#N/A</v>
      </c>
      <c r="I31" s="345" t="e">
        <f t="shared" si="9"/>
        <v>#N/A</v>
      </c>
      <c r="J31" s="345" t="e">
        <f t="shared" si="9"/>
        <v>#N/A</v>
      </c>
      <c r="K31" s="345" t="e">
        <f t="shared" si="9"/>
        <v>#N/A</v>
      </c>
      <c r="L31" s="345" t="e">
        <f t="shared" si="9"/>
        <v>#N/A</v>
      </c>
      <c r="M31" s="345" t="e">
        <f t="shared" si="9"/>
        <v>#N/A</v>
      </c>
      <c r="N31" s="345" t="e">
        <f t="shared" si="9"/>
        <v>#N/A</v>
      </c>
      <c r="O31" s="345" t="e">
        <f t="shared" si="9"/>
        <v>#N/A</v>
      </c>
      <c r="P31" s="345" t="e">
        <f t="shared" si="9"/>
        <v>#N/A</v>
      </c>
      <c r="Q31" s="345" t="e">
        <f t="shared" si="9"/>
        <v>#N/A</v>
      </c>
      <c r="R31" s="345" t="e">
        <f t="shared" si="9"/>
        <v>#N/A</v>
      </c>
      <c r="S31" s="345" t="e">
        <f t="shared" si="9"/>
        <v>#N/A</v>
      </c>
      <c r="T31" s="345" t="e">
        <f t="shared" si="9"/>
        <v>#N/A</v>
      </c>
      <c r="U31" s="345" t="e">
        <f t="shared" si="9"/>
        <v>#N/A</v>
      </c>
      <c r="V31" s="345" t="e">
        <f t="shared" si="9"/>
        <v>#N/A</v>
      </c>
      <c r="W31" s="345" t="e">
        <f t="shared" si="9"/>
        <v>#N/A</v>
      </c>
      <c r="X31" s="345" t="e">
        <f t="shared" si="9"/>
        <v>#N/A</v>
      </c>
      <c r="Y31" s="345" t="e">
        <f t="shared" si="9"/>
        <v>#N/A</v>
      </c>
      <c r="Z31" s="345" t="e">
        <f t="shared" si="9"/>
        <v>#N/A</v>
      </c>
      <c r="AA31" s="345" t="e">
        <f t="shared" si="9"/>
        <v>#N/A</v>
      </c>
      <c r="AB31" s="345" t="e">
        <f t="shared" si="9"/>
        <v>#N/A</v>
      </c>
      <c r="AC31" s="345" t="e">
        <f t="shared" si="9"/>
        <v>#N/A</v>
      </c>
      <c r="AD31" s="345" t="e">
        <f t="shared" si="9"/>
        <v>#N/A</v>
      </c>
      <c r="AE31" s="345" t="e">
        <f t="shared" si="9"/>
        <v>#N/A</v>
      </c>
      <c r="AF31" s="345" t="e">
        <f t="shared" si="9"/>
        <v>#N/A</v>
      </c>
      <c r="AG31" s="345" t="e">
        <f t="shared" si="9"/>
        <v>#N/A</v>
      </c>
      <c r="AH31" s="345" t="e">
        <f t="shared" si="9"/>
        <v>#N/A</v>
      </c>
      <c r="AI31" s="345" t="e">
        <f t="shared" si="9"/>
        <v>#N/A</v>
      </c>
      <c r="AJ31" s="345" t="e">
        <f t="shared" si="9"/>
        <v>#N/A</v>
      </c>
      <c r="AK31" s="345" t="e">
        <f t="shared" si="9"/>
        <v>#N/A</v>
      </c>
      <c r="AL31" s="345" t="e">
        <f t="shared" si="9"/>
        <v>#N/A</v>
      </c>
      <c r="AM31" s="345" t="e">
        <f t="shared" si="9"/>
        <v>#N/A</v>
      </c>
      <c r="AN31" s="345" t="e">
        <f t="shared" si="9"/>
        <v>#N/A</v>
      </c>
      <c r="AO31" s="345" t="e">
        <f t="shared" si="9"/>
        <v>#N/A</v>
      </c>
      <c r="AP31" s="345" t="e">
        <f t="shared" si="9"/>
        <v>#N/A</v>
      </c>
      <c r="AQ31" s="345" t="e">
        <f t="shared" si="9"/>
        <v>#N/A</v>
      </c>
    </row>
    <row r="32" spans="1:44" s="315" customFormat="1" ht="14.25" hidden="1">
      <c r="A32" s="346"/>
      <c r="B32" s="620" t="s">
        <v>34</v>
      </c>
      <c r="C32" s="603"/>
      <c r="E32" s="347" t="e">
        <f>IF(E30="",NA(),ROUND(1443/(1443+E31),4))</f>
        <v>#N/A</v>
      </c>
      <c r="F32" s="347" t="e">
        <f t="shared" ref="F32:AQ32" si="10">IF(F30="",NA(),ROUND(1443/(1443+F31),4))</f>
        <v>#N/A</v>
      </c>
      <c r="G32" s="347" t="e">
        <f t="shared" si="10"/>
        <v>#N/A</v>
      </c>
      <c r="H32" s="347" t="e">
        <f t="shared" si="10"/>
        <v>#N/A</v>
      </c>
      <c r="I32" s="347" t="e">
        <f t="shared" si="10"/>
        <v>#N/A</v>
      </c>
      <c r="J32" s="347" t="e">
        <f t="shared" si="10"/>
        <v>#N/A</v>
      </c>
      <c r="K32" s="347" t="e">
        <f t="shared" si="10"/>
        <v>#N/A</v>
      </c>
      <c r="L32" s="347" t="e">
        <f t="shared" si="10"/>
        <v>#N/A</v>
      </c>
      <c r="M32" s="347" t="e">
        <f t="shared" si="10"/>
        <v>#N/A</v>
      </c>
      <c r="N32" s="347" t="e">
        <f t="shared" si="10"/>
        <v>#N/A</v>
      </c>
      <c r="O32" s="347" t="e">
        <f t="shared" si="10"/>
        <v>#N/A</v>
      </c>
      <c r="P32" s="347" t="e">
        <f t="shared" si="10"/>
        <v>#N/A</v>
      </c>
      <c r="Q32" s="347" t="e">
        <f t="shared" si="10"/>
        <v>#N/A</v>
      </c>
      <c r="R32" s="347" t="e">
        <f t="shared" si="10"/>
        <v>#N/A</v>
      </c>
      <c r="S32" s="347" t="e">
        <f t="shared" si="10"/>
        <v>#N/A</v>
      </c>
      <c r="T32" s="347" t="e">
        <f t="shared" si="10"/>
        <v>#N/A</v>
      </c>
      <c r="U32" s="347" t="e">
        <f t="shared" si="10"/>
        <v>#N/A</v>
      </c>
      <c r="V32" s="347" t="e">
        <f t="shared" si="10"/>
        <v>#N/A</v>
      </c>
      <c r="W32" s="347" t="e">
        <f t="shared" si="10"/>
        <v>#N/A</v>
      </c>
      <c r="X32" s="347" t="e">
        <f t="shared" si="10"/>
        <v>#N/A</v>
      </c>
      <c r="Y32" s="347" t="e">
        <f t="shared" si="10"/>
        <v>#N/A</v>
      </c>
      <c r="Z32" s="347" t="e">
        <f t="shared" si="10"/>
        <v>#N/A</v>
      </c>
      <c r="AA32" s="347" t="e">
        <f t="shared" si="10"/>
        <v>#N/A</v>
      </c>
      <c r="AB32" s="347" t="e">
        <f t="shared" si="10"/>
        <v>#N/A</v>
      </c>
      <c r="AC32" s="347" t="e">
        <f t="shared" si="10"/>
        <v>#N/A</v>
      </c>
      <c r="AD32" s="347" t="e">
        <f t="shared" si="10"/>
        <v>#N/A</v>
      </c>
      <c r="AE32" s="347" t="e">
        <f t="shared" si="10"/>
        <v>#N/A</v>
      </c>
      <c r="AF32" s="347" t="e">
        <f t="shared" si="10"/>
        <v>#N/A</v>
      </c>
      <c r="AG32" s="347" t="e">
        <f t="shared" si="10"/>
        <v>#N/A</v>
      </c>
      <c r="AH32" s="347" t="e">
        <f t="shared" si="10"/>
        <v>#N/A</v>
      </c>
      <c r="AI32" s="347" t="e">
        <f t="shared" si="10"/>
        <v>#N/A</v>
      </c>
      <c r="AJ32" s="347" t="e">
        <f t="shared" si="10"/>
        <v>#N/A</v>
      </c>
      <c r="AK32" s="347" t="e">
        <f t="shared" si="10"/>
        <v>#N/A</v>
      </c>
      <c r="AL32" s="347" t="e">
        <f t="shared" si="10"/>
        <v>#N/A</v>
      </c>
      <c r="AM32" s="347" t="e">
        <f t="shared" si="10"/>
        <v>#N/A</v>
      </c>
      <c r="AN32" s="347" t="e">
        <f t="shared" si="10"/>
        <v>#N/A</v>
      </c>
      <c r="AO32" s="347" t="e">
        <f t="shared" si="10"/>
        <v>#N/A</v>
      </c>
      <c r="AP32" s="347" t="e">
        <f t="shared" si="10"/>
        <v>#N/A</v>
      </c>
      <c r="AQ32" s="347" t="e">
        <f t="shared" si="10"/>
        <v>#N/A</v>
      </c>
    </row>
    <row r="33" spans="1:44" s="315" customFormat="1" ht="14.25" hidden="1">
      <c r="A33" s="346"/>
      <c r="B33" s="620" t="s">
        <v>35</v>
      </c>
      <c r="C33" s="603"/>
      <c r="E33" s="347" t="e">
        <f>IF(E14="",NA(),IFERROR(E14*VLOOKUP(E14,'各種計算式等（配付時非表示）'!$E$3:$H$1003,3,TRUE)+VLOOKUP(E14,'各種計算式等（配付時非表示）'!$E$3:$H$1003,4,TRUE)+0.0000000001,"-"))</f>
        <v>#N/A</v>
      </c>
      <c r="F33" s="347" t="e">
        <f>IF(F14="",NA(),IFERROR(F14*VLOOKUP(F14,'各種計算式等（配付時非表示）'!$E$3:$H$1003,3,TRUE)+VLOOKUP(F14,'各種計算式等（配付時非表示）'!$E$3:$H$1003,4,TRUE)+0.0000000001,"-"))</f>
        <v>#N/A</v>
      </c>
      <c r="G33" s="347" t="e">
        <f>IF(G14="",NA(),IFERROR(G14*VLOOKUP(G14,'各種計算式等（配付時非表示）'!$E$3:$H$1003,3,TRUE)+VLOOKUP(G14,'各種計算式等（配付時非表示）'!$E$3:$H$1003,4,TRUE)+0.0000000001,"-"))</f>
        <v>#N/A</v>
      </c>
      <c r="H33" s="347" t="e">
        <f>IF(H14="",NA(),IFERROR(H14*VLOOKUP(H14,'各種計算式等（配付時非表示）'!$E$3:$H$1003,3,TRUE)+VLOOKUP(H14,'各種計算式等（配付時非表示）'!$E$3:$H$1003,4,TRUE)+0.0000000001,"-"))</f>
        <v>#N/A</v>
      </c>
      <c r="I33" s="347" t="e">
        <f>IF(I14="",NA(),IFERROR(I14*VLOOKUP(I14,'各種計算式等（配付時非表示）'!$E$3:$H$1003,3,TRUE)+VLOOKUP(I14,'各種計算式等（配付時非表示）'!$E$3:$H$1003,4,TRUE)+0.0000000001,"-"))</f>
        <v>#N/A</v>
      </c>
      <c r="J33" s="347" t="e">
        <f>IF(J14="",NA(),IFERROR(J14*VLOOKUP(J14,'各種計算式等（配付時非表示）'!$E$3:$H$1003,3,TRUE)+VLOOKUP(J14,'各種計算式等（配付時非表示）'!$E$3:$H$1003,4,TRUE)+0.0000000001,"-"))</f>
        <v>#N/A</v>
      </c>
      <c r="K33" s="347" t="e">
        <f>IF(K14="",NA(),IFERROR(K14*VLOOKUP(K14,'各種計算式等（配付時非表示）'!$E$3:$H$1003,3,TRUE)+VLOOKUP(K14,'各種計算式等（配付時非表示）'!$E$3:$H$1003,4,TRUE)+0.0000000001,"-"))</f>
        <v>#N/A</v>
      </c>
      <c r="L33" s="347" t="e">
        <f>IF(L14="",NA(),IFERROR(L14*VLOOKUP(L14,'各種計算式等（配付時非表示）'!$E$3:$H$1003,3,TRUE)+VLOOKUP(L14,'各種計算式等（配付時非表示）'!$E$3:$H$1003,4,TRUE)+0.0000000001,"-"))</f>
        <v>#N/A</v>
      </c>
      <c r="M33" s="347" t="e">
        <f>IF(M14="",NA(),IFERROR(M14*VLOOKUP(M14,'各種計算式等（配付時非表示）'!$E$3:$H$1003,3,TRUE)+VLOOKUP(M14,'各種計算式等（配付時非表示）'!$E$3:$H$1003,4,TRUE)+0.0000000001,"-"))</f>
        <v>#N/A</v>
      </c>
      <c r="N33" s="347" t="e">
        <f>IF(N14="",NA(),IFERROR(N14*VLOOKUP(N14,'各種計算式等（配付時非表示）'!$E$3:$H$1003,3,TRUE)+VLOOKUP(N14,'各種計算式等（配付時非表示）'!$E$3:$H$1003,4,TRUE)+0.0000000001,"-"))</f>
        <v>#N/A</v>
      </c>
      <c r="O33" s="347" t="e">
        <f>IF(O14="",NA(),IFERROR(O14*VLOOKUP(O14,'各種計算式等（配付時非表示）'!$E$3:$H$1003,3,TRUE)+VLOOKUP(O14,'各種計算式等（配付時非表示）'!$E$3:$H$1003,4,TRUE)+0.0000000001,"-"))</f>
        <v>#N/A</v>
      </c>
      <c r="P33" s="347" t="e">
        <f>IF(P14="",NA(),IFERROR(P14*VLOOKUP(P14,'各種計算式等（配付時非表示）'!$E$3:$H$1003,3,TRUE)+VLOOKUP(P14,'各種計算式等（配付時非表示）'!$E$3:$H$1003,4,TRUE)+0.0000000001,"-"))</f>
        <v>#N/A</v>
      </c>
      <c r="Q33" s="347" t="e">
        <f>IF(Q14="",NA(),IFERROR(Q14*VLOOKUP(Q14,'各種計算式等（配付時非表示）'!$E$3:$H$1003,3,TRUE)+VLOOKUP(Q14,'各種計算式等（配付時非表示）'!$E$3:$H$1003,4,TRUE)+0.0000000001,"-"))</f>
        <v>#N/A</v>
      </c>
      <c r="R33" s="347" t="e">
        <f>IF(R14="",NA(),IFERROR(R14*VLOOKUP(R14,'各種計算式等（配付時非表示）'!$E$3:$H$1003,3,TRUE)+VLOOKUP(R14,'各種計算式等（配付時非表示）'!$E$3:$H$1003,4,TRUE)+0.0000000001,"-"))</f>
        <v>#N/A</v>
      </c>
      <c r="S33" s="347" t="e">
        <f>IF(S14="",NA(),IFERROR(S14*VLOOKUP(S14,'各種計算式等（配付時非表示）'!$E$3:$H$1003,3,TRUE)+VLOOKUP(S14,'各種計算式等（配付時非表示）'!$E$3:$H$1003,4,TRUE)+0.0000000001,"-"))</f>
        <v>#N/A</v>
      </c>
      <c r="T33" s="347" t="e">
        <f>IF(T14="",NA(),IFERROR(T14*VLOOKUP(T14,'各種計算式等（配付時非表示）'!$E$3:$H$1003,3,TRUE)+VLOOKUP(T14,'各種計算式等（配付時非表示）'!$E$3:$H$1003,4,TRUE)+0.0000000001,"-"))</f>
        <v>#N/A</v>
      </c>
      <c r="U33" s="347" t="e">
        <f>IF(U14="",NA(),IFERROR(U14*VLOOKUP(U14,'各種計算式等（配付時非表示）'!$E$3:$H$1003,3,TRUE)+VLOOKUP(U14,'各種計算式等（配付時非表示）'!$E$3:$H$1003,4,TRUE)+0.0000000001,"-"))</f>
        <v>#N/A</v>
      </c>
      <c r="V33" s="347" t="e">
        <f>IF(V14="",NA(),IFERROR(V14*VLOOKUP(V14,'各種計算式等（配付時非表示）'!$E$3:$H$1003,3,TRUE)+VLOOKUP(V14,'各種計算式等（配付時非表示）'!$E$3:$H$1003,4,TRUE)+0.0000000001,"-"))</f>
        <v>#N/A</v>
      </c>
      <c r="W33" s="347" t="e">
        <f>IF(W14="",NA(),IFERROR(W14*VLOOKUP(W14,'各種計算式等（配付時非表示）'!$E$3:$H$1003,3,TRUE)+VLOOKUP(W14,'各種計算式等（配付時非表示）'!$E$3:$H$1003,4,TRUE)+0.0000000001,"-"))</f>
        <v>#N/A</v>
      </c>
      <c r="X33" s="347" t="e">
        <f>IF(X14="",NA(),IFERROR(X14*VLOOKUP(X14,'各種計算式等（配付時非表示）'!$E$3:$H$1003,3,TRUE)+VLOOKUP(X14,'各種計算式等（配付時非表示）'!$E$3:$H$1003,4,TRUE)+0.0000000001,"-"))</f>
        <v>#N/A</v>
      </c>
      <c r="Y33" s="347" t="e">
        <f>IF(Y14="",NA(),IFERROR(Y14*VLOOKUP(Y14,'各種計算式等（配付時非表示）'!$E$3:$H$1003,3,TRUE)+VLOOKUP(Y14,'各種計算式等（配付時非表示）'!$E$3:$H$1003,4,TRUE)+0.0000000001,"-"))</f>
        <v>#N/A</v>
      </c>
      <c r="Z33" s="347" t="e">
        <f>IF(Z14="",NA(),IFERROR(Z14*VLOOKUP(Z14,'各種計算式等（配付時非表示）'!$E$3:$H$1003,3,TRUE)+VLOOKUP(Z14,'各種計算式等（配付時非表示）'!$E$3:$H$1003,4,TRUE)+0.0000000001,"-"))</f>
        <v>#N/A</v>
      </c>
      <c r="AA33" s="347" t="e">
        <f>IF(AA14="",NA(),IFERROR(AA14*VLOOKUP(AA14,'各種計算式等（配付時非表示）'!$E$3:$H$1003,3,TRUE)+VLOOKUP(AA14,'各種計算式等（配付時非表示）'!$E$3:$H$1003,4,TRUE)+0.0000000001,"-"))</f>
        <v>#N/A</v>
      </c>
      <c r="AB33" s="347" t="e">
        <f>IF(AB14="",NA(),IFERROR(AB14*VLOOKUP(AB14,'各種計算式等（配付時非表示）'!$E$3:$H$1003,3,TRUE)+VLOOKUP(AB14,'各種計算式等（配付時非表示）'!$E$3:$H$1003,4,TRUE)+0.0000000001,"-"))</f>
        <v>#N/A</v>
      </c>
      <c r="AC33" s="347" t="e">
        <f>IF(AC14="",NA(),IFERROR(AC14*VLOOKUP(AC14,'各種計算式等（配付時非表示）'!$E$3:$H$1003,3,TRUE)+VLOOKUP(AC14,'各種計算式等（配付時非表示）'!$E$3:$H$1003,4,TRUE)+0.0000000001,"-"))</f>
        <v>#N/A</v>
      </c>
      <c r="AD33" s="347" t="e">
        <f>IF(AD14="",NA(),IFERROR(AD14*VLOOKUP(AD14,'各種計算式等（配付時非表示）'!$E$3:$H$1003,3,TRUE)+VLOOKUP(AD14,'各種計算式等（配付時非表示）'!$E$3:$H$1003,4,TRUE)+0.0000000001,"-"))</f>
        <v>#N/A</v>
      </c>
      <c r="AE33" s="347" t="e">
        <f>IF(AE14="",NA(),IFERROR(AE14*VLOOKUP(AE14,'各種計算式等（配付時非表示）'!$E$3:$H$1003,3,TRUE)+VLOOKUP(AE14,'各種計算式等（配付時非表示）'!$E$3:$H$1003,4,TRUE)+0.0000000001,"-"))</f>
        <v>#N/A</v>
      </c>
      <c r="AF33" s="347" t="e">
        <f>IF(AF14="",NA(),IFERROR(AF14*VLOOKUP(AF14,'各種計算式等（配付時非表示）'!$E$3:$H$1003,3,TRUE)+VLOOKUP(AF14,'各種計算式等（配付時非表示）'!$E$3:$H$1003,4,TRUE)+0.0000000001,"-"))</f>
        <v>#N/A</v>
      </c>
      <c r="AG33" s="347" t="e">
        <f>IF(AG14="",NA(),IFERROR(AG14*VLOOKUP(AG14,'各種計算式等（配付時非表示）'!$E$3:$H$1003,3,TRUE)+VLOOKUP(AG14,'各種計算式等（配付時非表示）'!$E$3:$H$1003,4,TRUE)+0.0000000001,"-"))</f>
        <v>#N/A</v>
      </c>
      <c r="AH33" s="347" t="e">
        <f>IF(AH14="",NA(),IFERROR(AH14*VLOOKUP(AH14,'各種計算式等（配付時非表示）'!$E$3:$H$1003,3,TRUE)+VLOOKUP(AH14,'各種計算式等（配付時非表示）'!$E$3:$H$1003,4,TRUE)+0.0000000001,"-"))</f>
        <v>#N/A</v>
      </c>
      <c r="AI33" s="347" t="e">
        <f>IF(AI14="",NA(),IFERROR(AI14*VLOOKUP(AI14,'各種計算式等（配付時非表示）'!$E$3:$H$1003,3,TRUE)+VLOOKUP(AI14,'各種計算式等（配付時非表示）'!$E$3:$H$1003,4,TRUE)+0.0000000001,"-"))</f>
        <v>#N/A</v>
      </c>
      <c r="AJ33" s="347" t="e">
        <f>IF(AJ14="",NA(),IFERROR(AJ14*VLOOKUP(AJ14,'各種計算式等（配付時非表示）'!$E$3:$H$1003,3,TRUE)+VLOOKUP(AJ14,'各種計算式等（配付時非表示）'!$E$3:$H$1003,4,TRUE)+0.0000000001,"-"))</f>
        <v>#N/A</v>
      </c>
      <c r="AK33" s="347" t="e">
        <f>IF(AK14="",NA(),IFERROR(AK14*VLOOKUP(AK14,'各種計算式等（配付時非表示）'!$E$3:$H$1003,3,TRUE)+VLOOKUP(AK14,'各種計算式等（配付時非表示）'!$E$3:$H$1003,4,TRUE)+0.0000000001,"-"))</f>
        <v>#N/A</v>
      </c>
      <c r="AL33" s="347" t="e">
        <f>IF(AL14="",NA(),IFERROR(AL14*VLOOKUP(AL14,'各種計算式等（配付時非表示）'!$E$3:$H$1003,3,TRUE)+VLOOKUP(AL14,'各種計算式等（配付時非表示）'!$E$3:$H$1003,4,TRUE)+0.0000000001,"-"))</f>
        <v>#N/A</v>
      </c>
      <c r="AM33" s="347" t="e">
        <f>IF(AM14="",NA(),IFERROR(AM14*VLOOKUP(AM14,'各種計算式等（配付時非表示）'!$E$3:$H$1003,3,TRUE)+VLOOKUP(AM14,'各種計算式等（配付時非表示）'!$E$3:$H$1003,4,TRUE)+0.0000000001,"-"))</f>
        <v>#N/A</v>
      </c>
      <c r="AN33" s="347" t="e">
        <f>IF(AN14="",NA(),IFERROR(AN14*VLOOKUP(AN14,'各種計算式等（配付時非表示）'!$E$3:$H$1003,3,TRUE)+VLOOKUP(AN14,'各種計算式等（配付時非表示）'!$E$3:$H$1003,4,TRUE)+0.0000000001,"-"))</f>
        <v>#N/A</v>
      </c>
      <c r="AO33" s="347" t="e">
        <f>IF(AO14="",NA(),IFERROR(AO14*VLOOKUP(AO14,'各種計算式等（配付時非表示）'!$E$3:$H$1003,3,TRUE)+VLOOKUP(AO14,'各種計算式等（配付時非表示）'!$E$3:$H$1003,4,TRUE)+0.0000000001,"-"))</f>
        <v>#N/A</v>
      </c>
      <c r="AP33" s="347" t="e">
        <f>IF(AP14="",NA(),IFERROR(AP14*VLOOKUP(AP14,'各種計算式等（配付時非表示）'!$E$3:$H$1003,3,TRUE)+VLOOKUP(AP14,'各種計算式等（配付時非表示）'!$E$3:$H$1003,4,TRUE)+0.0000000001,"-"))</f>
        <v>#N/A</v>
      </c>
      <c r="AQ33" s="347" t="e">
        <f>IF(AQ14="",NA(),IFERROR(AQ14*VLOOKUP(AQ14,'各種計算式等（配付時非表示）'!$E$3:$H$1003,3,TRUE)+VLOOKUP(AQ14,'各種計算式等（配付時非表示）'!$E$3:$H$1003,4,TRUE)+0.0000000001,"-"))</f>
        <v>#N/A</v>
      </c>
    </row>
    <row r="34" spans="1:44" s="315" customFormat="1" ht="14.25" hidden="1">
      <c r="A34" s="620" t="s">
        <v>3</v>
      </c>
      <c r="B34" s="620"/>
      <c r="C34" s="620"/>
      <c r="D34" s="315" t="s">
        <v>487</v>
      </c>
      <c r="E34" s="348" t="e">
        <f>IFERROR((E32-E33)*260+0.21,NA())</f>
        <v>#N/A</v>
      </c>
      <c r="F34" s="348" t="e">
        <f t="shared" ref="F34:AQ34" si="11">IFERROR((F32-F33)*260+0.21,NA())</f>
        <v>#N/A</v>
      </c>
      <c r="G34" s="348" t="e">
        <f t="shared" si="11"/>
        <v>#N/A</v>
      </c>
      <c r="H34" s="348" t="e">
        <f t="shared" si="11"/>
        <v>#N/A</v>
      </c>
      <c r="I34" s="348" t="e">
        <f t="shared" si="11"/>
        <v>#N/A</v>
      </c>
      <c r="J34" s="348" t="e">
        <f t="shared" si="11"/>
        <v>#N/A</v>
      </c>
      <c r="K34" s="348" t="e">
        <f t="shared" si="11"/>
        <v>#N/A</v>
      </c>
      <c r="L34" s="348" t="e">
        <f t="shared" si="11"/>
        <v>#N/A</v>
      </c>
      <c r="M34" s="348" t="e">
        <f t="shared" si="11"/>
        <v>#N/A</v>
      </c>
      <c r="N34" s="348" t="e">
        <f t="shared" si="11"/>
        <v>#N/A</v>
      </c>
      <c r="O34" s="348" t="e">
        <f t="shared" si="11"/>
        <v>#N/A</v>
      </c>
      <c r="P34" s="348" t="e">
        <f t="shared" si="11"/>
        <v>#N/A</v>
      </c>
      <c r="Q34" s="348" t="e">
        <f t="shared" si="11"/>
        <v>#N/A</v>
      </c>
      <c r="R34" s="348" t="e">
        <f t="shared" si="11"/>
        <v>#N/A</v>
      </c>
      <c r="S34" s="348" t="e">
        <f t="shared" si="11"/>
        <v>#N/A</v>
      </c>
      <c r="T34" s="348" t="e">
        <f t="shared" si="11"/>
        <v>#N/A</v>
      </c>
      <c r="U34" s="348" t="e">
        <f t="shared" si="11"/>
        <v>#N/A</v>
      </c>
      <c r="V34" s="348" t="e">
        <f t="shared" si="11"/>
        <v>#N/A</v>
      </c>
      <c r="W34" s="348" t="e">
        <f t="shared" si="11"/>
        <v>#N/A</v>
      </c>
      <c r="X34" s="348" t="e">
        <f t="shared" si="11"/>
        <v>#N/A</v>
      </c>
      <c r="Y34" s="348" t="e">
        <f t="shared" si="11"/>
        <v>#N/A</v>
      </c>
      <c r="Z34" s="348" t="e">
        <f t="shared" si="11"/>
        <v>#N/A</v>
      </c>
      <c r="AA34" s="348" t="e">
        <f t="shared" si="11"/>
        <v>#N/A</v>
      </c>
      <c r="AB34" s="348" t="e">
        <f t="shared" si="11"/>
        <v>#N/A</v>
      </c>
      <c r="AC34" s="348" t="e">
        <f t="shared" si="11"/>
        <v>#N/A</v>
      </c>
      <c r="AD34" s="348" t="e">
        <f t="shared" si="11"/>
        <v>#N/A</v>
      </c>
      <c r="AE34" s="348" t="e">
        <f t="shared" si="11"/>
        <v>#N/A</v>
      </c>
      <c r="AF34" s="348" t="e">
        <f t="shared" si="11"/>
        <v>#N/A</v>
      </c>
      <c r="AG34" s="348" t="e">
        <f t="shared" si="11"/>
        <v>#N/A</v>
      </c>
      <c r="AH34" s="348" t="e">
        <f t="shared" si="11"/>
        <v>#N/A</v>
      </c>
      <c r="AI34" s="348" t="e">
        <f t="shared" si="11"/>
        <v>#N/A</v>
      </c>
      <c r="AJ34" s="348" t="e">
        <f t="shared" si="11"/>
        <v>#N/A</v>
      </c>
      <c r="AK34" s="348" t="e">
        <f t="shared" si="11"/>
        <v>#N/A</v>
      </c>
      <c r="AL34" s="348" t="e">
        <f t="shared" si="11"/>
        <v>#N/A</v>
      </c>
      <c r="AM34" s="348" t="e">
        <f t="shared" si="11"/>
        <v>#N/A</v>
      </c>
      <c r="AN34" s="348" t="e">
        <f t="shared" si="11"/>
        <v>#N/A</v>
      </c>
      <c r="AO34" s="348" t="e">
        <f t="shared" si="11"/>
        <v>#N/A</v>
      </c>
      <c r="AP34" s="348" t="e">
        <f t="shared" si="11"/>
        <v>#N/A</v>
      </c>
      <c r="AQ34" s="348" t="e">
        <f t="shared" si="11"/>
        <v>#N/A</v>
      </c>
    </row>
    <row r="35" spans="1:44" s="315" customFormat="1" ht="14.25" hidden="1">
      <c r="A35" s="620" t="s">
        <v>318</v>
      </c>
      <c r="B35" s="620"/>
      <c r="C35" s="620"/>
      <c r="D35" s="315" t="s">
        <v>487</v>
      </c>
      <c r="E35" s="349" t="e">
        <f>IF(E14=0,NA(),E14*1.5848)</f>
        <v>#VALUE!</v>
      </c>
      <c r="F35" s="349" t="e">
        <f t="shared" ref="F35:AQ35" si="12">IF(F14=0,NA(),F14*1.5848)</f>
        <v>#VALUE!</v>
      </c>
      <c r="G35" s="349" t="e">
        <f t="shared" si="12"/>
        <v>#VALUE!</v>
      </c>
      <c r="H35" s="349" t="e">
        <f t="shared" si="12"/>
        <v>#VALUE!</v>
      </c>
      <c r="I35" s="349" t="e">
        <f t="shared" si="12"/>
        <v>#VALUE!</v>
      </c>
      <c r="J35" s="349" t="e">
        <f t="shared" si="12"/>
        <v>#VALUE!</v>
      </c>
      <c r="K35" s="349" t="e">
        <f t="shared" si="12"/>
        <v>#VALUE!</v>
      </c>
      <c r="L35" s="349" t="e">
        <f t="shared" si="12"/>
        <v>#VALUE!</v>
      </c>
      <c r="M35" s="349" t="e">
        <f t="shared" si="12"/>
        <v>#VALUE!</v>
      </c>
      <c r="N35" s="349" t="e">
        <f t="shared" si="12"/>
        <v>#VALUE!</v>
      </c>
      <c r="O35" s="349" t="e">
        <f t="shared" si="12"/>
        <v>#VALUE!</v>
      </c>
      <c r="P35" s="349" t="e">
        <f t="shared" si="12"/>
        <v>#VALUE!</v>
      </c>
      <c r="Q35" s="349" t="e">
        <f t="shared" si="12"/>
        <v>#VALUE!</v>
      </c>
      <c r="R35" s="349" t="e">
        <f t="shared" si="12"/>
        <v>#VALUE!</v>
      </c>
      <c r="S35" s="349" t="e">
        <f t="shared" si="12"/>
        <v>#VALUE!</v>
      </c>
      <c r="T35" s="349" t="e">
        <f t="shared" si="12"/>
        <v>#VALUE!</v>
      </c>
      <c r="U35" s="349" t="e">
        <f t="shared" si="12"/>
        <v>#VALUE!</v>
      </c>
      <c r="V35" s="349" t="e">
        <f t="shared" si="12"/>
        <v>#VALUE!</v>
      </c>
      <c r="W35" s="349" t="e">
        <f t="shared" si="12"/>
        <v>#VALUE!</v>
      </c>
      <c r="X35" s="349" t="e">
        <f t="shared" si="12"/>
        <v>#VALUE!</v>
      </c>
      <c r="Y35" s="349" t="e">
        <f t="shared" si="12"/>
        <v>#VALUE!</v>
      </c>
      <c r="Z35" s="349" t="e">
        <f t="shared" si="12"/>
        <v>#VALUE!</v>
      </c>
      <c r="AA35" s="349" t="e">
        <f t="shared" si="12"/>
        <v>#VALUE!</v>
      </c>
      <c r="AB35" s="349" t="e">
        <f t="shared" si="12"/>
        <v>#VALUE!</v>
      </c>
      <c r="AC35" s="349" t="e">
        <f t="shared" si="12"/>
        <v>#VALUE!</v>
      </c>
      <c r="AD35" s="349" t="e">
        <f t="shared" si="12"/>
        <v>#VALUE!</v>
      </c>
      <c r="AE35" s="349" t="e">
        <f t="shared" si="12"/>
        <v>#VALUE!</v>
      </c>
      <c r="AF35" s="349" t="e">
        <f t="shared" si="12"/>
        <v>#VALUE!</v>
      </c>
      <c r="AG35" s="349" t="e">
        <f t="shared" si="12"/>
        <v>#VALUE!</v>
      </c>
      <c r="AH35" s="349" t="e">
        <f t="shared" si="12"/>
        <v>#VALUE!</v>
      </c>
      <c r="AI35" s="349" t="e">
        <f t="shared" si="12"/>
        <v>#VALUE!</v>
      </c>
      <c r="AJ35" s="349" t="e">
        <f t="shared" si="12"/>
        <v>#VALUE!</v>
      </c>
      <c r="AK35" s="349" t="e">
        <f t="shared" si="12"/>
        <v>#VALUE!</v>
      </c>
      <c r="AL35" s="349" t="e">
        <f t="shared" si="12"/>
        <v>#VALUE!</v>
      </c>
      <c r="AM35" s="349" t="e">
        <f t="shared" si="12"/>
        <v>#VALUE!</v>
      </c>
      <c r="AN35" s="349" t="e">
        <f t="shared" si="12"/>
        <v>#VALUE!</v>
      </c>
      <c r="AO35" s="349" t="e">
        <f t="shared" si="12"/>
        <v>#VALUE!</v>
      </c>
      <c r="AP35" s="349" t="e">
        <f t="shared" si="12"/>
        <v>#VALUE!</v>
      </c>
      <c r="AQ35" s="349" t="e">
        <f t="shared" si="12"/>
        <v>#VALUE!</v>
      </c>
    </row>
    <row r="36" spans="1:44" s="315" customFormat="1" ht="14.25" hidden="1">
      <c r="A36" s="620" t="s">
        <v>159</v>
      </c>
      <c r="B36" s="620"/>
      <c r="C36" s="620"/>
      <c r="D36" s="315" t="s">
        <v>487</v>
      </c>
      <c r="E36" s="349" t="e">
        <f>IF(E34="",NA(),E34+E35)</f>
        <v>#N/A</v>
      </c>
      <c r="F36" s="349" t="e">
        <f t="shared" ref="F36:AQ36" si="13">IF(F34="",NA(),F34+F35)</f>
        <v>#N/A</v>
      </c>
      <c r="G36" s="349" t="e">
        <f t="shared" si="13"/>
        <v>#N/A</v>
      </c>
      <c r="H36" s="349" t="e">
        <f t="shared" si="13"/>
        <v>#N/A</v>
      </c>
      <c r="I36" s="349" t="e">
        <f t="shared" si="13"/>
        <v>#N/A</v>
      </c>
      <c r="J36" s="349" t="e">
        <f t="shared" si="13"/>
        <v>#N/A</v>
      </c>
      <c r="K36" s="349" t="e">
        <f t="shared" si="13"/>
        <v>#N/A</v>
      </c>
      <c r="L36" s="349" t="e">
        <f t="shared" si="13"/>
        <v>#N/A</v>
      </c>
      <c r="M36" s="349" t="e">
        <f t="shared" si="13"/>
        <v>#N/A</v>
      </c>
      <c r="N36" s="349" t="e">
        <f t="shared" si="13"/>
        <v>#N/A</v>
      </c>
      <c r="O36" s="349" t="e">
        <f t="shared" si="13"/>
        <v>#N/A</v>
      </c>
      <c r="P36" s="349" t="e">
        <f t="shared" si="13"/>
        <v>#N/A</v>
      </c>
      <c r="Q36" s="349" t="e">
        <f t="shared" si="13"/>
        <v>#N/A</v>
      </c>
      <c r="R36" s="349" t="e">
        <f t="shared" si="13"/>
        <v>#N/A</v>
      </c>
      <c r="S36" s="349" t="e">
        <f t="shared" si="13"/>
        <v>#N/A</v>
      </c>
      <c r="T36" s="349" t="e">
        <f t="shared" si="13"/>
        <v>#N/A</v>
      </c>
      <c r="U36" s="349" t="e">
        <f t="shared" si="13"/>
        <v>#N/A</v>
      </c>
      <c r="V36" s="349" t="e">
        <f t="shared" si="13"/>
        <v>#N/A</v>
      </c>
      <c r="W36" s="349" t="e">
        <f t="shared" si="13"/>
        <v>#N/A</v>
      </c>
      <c r="X36" s="349" t="e">
        <f t="shared" si="13"/>
        <v>#N/A</v>
      </c>
      <c r="Y36" s="349" t="e">
        <f t="shared" si="13"/>
        <v>#N/A</v>
      </c>
      <c r="Z36" s="349" t="e">
        <f t="shared" si="13"/>
        <v>#N/A</v>
      </c>
      <c r="AA36" s="349" t="e">
        <f t="shared" si="13"/>
        <v>#N/A</v>
      </c>
      <c r="AB36" s="349" t="e">
        <f t="shared" si="13"/>
        <v>#N/A</v>
      </c>
      <c r="AC36" s="349" t="e">
        <f t="shared" si="13"/>
        <v>#N/A</v>
      </c>
      <c r="AD36" s="349" t="e">
        <f t="shared" si="13"/>
        <v>#N/A</v>
      </c>
      <c r="AE36" s="349" t="e">
        <f t="shared" si="13"/>
        <v>#N/A</v>
      </c>
      <c r="AF36" s="349" t="e">
        <f t="shared" si="13"/>
        <v>#N/A</v>
      </c>
      <c r="AG36" s="349" t="e">
        <f t="shared" si="13"/>
        <v>#N/A</v>
      </c>
      <c r="AH36" s="349" t="e">
        <f t="shared" si="13"/>
        <v>#N/A</v>
      </c>
      <c r="AI36" s="349" t="e">
        <f t="shared" si="13"/>
        <v>#N/A</v>
      </c>
      <c r="AJ36" s="349" t="e">
        <f t="shared" si="13"/>
        <v>#N/A</v>
      </c>
      <c r="AK36" s="349" t="e">
        <f t="shared" si="13"/>
        <v>#N/A</v>
      </c>
      <c r="AL36" s="349" t="e">
        <f t="shared" si="13"/>
        <v>#N/A</v>
      </c>
      <c r="AM36" s="349" t="e">
        <f t="shared" si="13"/>
        <v>#N/A</v>
      </c>
      <c r="AN36" s="349" t="e">
        <f t="shared" si="13"/>
        <v>#N/A</v>
      </c>
      <c r="AO36" s="349" t="e">
        <f t="shared" si="13"/>
        <v>#N/A</v>
      </c>
      <c r="AP36" s="349" t="e">
        <f t="shared" si="13"/>
        <v>#N/A</v>
      </c>
      <c r="AQ36" s="349" t="e">
        <f t="shared" si="13"/>
        <v>#N/A</v>
      </c>
    </row>
    <row r="37" spans="1:44" s="315" customFormat="1" ht="14.25" hidden="1">
      <c r="A37" s="620" t="s">
        <v>195</v>
      </c>
      <c r="B37" s="620"/>
      <c r="C37" s="620"/>
      <c r="E37" s="350" t="e">
        <f>IF(E14="",NA(),IF(E10&lt;=$B25,E14*$D28/100,IF(E10&lt;=$C25,E14*$E28/100,IF(E10&lt;=$D25,E14*$F28/100,IF(E10&lt;=$E25,E14*$G28/100,IF(E10&lt;=$F25,E14*$H28/100,IF(E10&lt;=$G25,E14*$I28/100,IF(E10&lt;=$H25,E14*$J28/100,IF(E10&lt;=$I25,E14*$K28/100,IF(E10&lt;=$J25,E14*$L28/100,IF(E10&lt;=$K25,E14*$M28/100,IF(E10&lt;=$L25,E14*$N28/100,IF(E10&lt;=$M25,E14*$O28/100,IF(E10&lt;=$N25,E14*$P28/100,IF(E10&lt;=$O25,E14*$Q28/100,IF(E10&lt;=$P25,E14*$R28/100,IF(E10&lt;=$Q25,E14*$S28/100,IF(E10&lt;=$R25,E14*$T28/100,IF(E10&lt;=$S25,E14*$U28/100,IF(E10&lt;=$T25,E14*$V28/100,IF(E10&lt;=$U25,E14*$W28/100,E14*$X28/100)))))))))))))))))))))</f>
        <v>#N/A</v>
      </c>
      <c r="F37" s="350" t="e">
        <f t="shared" ref="F37:AQ37" si="14">IF(F14="",NA(),IF(F10&lt;=$B25,F14*$D28/100,IF(F10&lt;=$C25,F14*$E28/100,IF(F10&lt;=$D25,F14*$F28/100,IF(F10&lt;=$E25,F14*$G28/100,IF(F10&lt;=$F25,F14*$H28/100,IF(F10&lt;=$G25,F14*$I28/100,IF(F10&lt;=$H25,F14*$J28/100,IF(F10&lt;=$I25,F14*$K28/100,IF(F10&lt;=$J25,F14*$L28/100,IF(F10&lt;=$K25,F14*$M28/100,IF(F10&lt;=$L25,F14*$N28/100,IF(F10&lt;=$M25,F14*$O28/100,IF(F10&lt;=$N25,F14*$P28/100,IF(F10&lt;=$O25,F14*$Q28/100,IF(F10&lt;=$P25,F14*$R28/100,IF(F10&lt;=$Q25,F14*$S28/100,IF(F10&lt;=$R25,F14*$T28/100,IF(F10&lt;=$S25,F14*$U28/100,IF(F10&lt;=$T25,F14*$V28/100,IF(F10&lt;=$U25,F14*$W28/100,F14*$X28/100)))))))))))))))))))))</f>
        <v>#N/A</v>
      </c>
      <c r="G37" s="350" t="e">
        <f t="shared" si="14"/>
        <v>#N/A</v>
      </c>
      <c r="H37" s="350" t="e">
        <f t="shared" si="14"/>
        <v>#N/A</v>
      </c>
      <c r="I37" s="350" t="e">
        <f t="shared" si="14"/>
        <v>#N/A</v>
      </c>
      <c r="J37" s="350" t="e">
        <f t="shared" si="14"/>
        <v>#N/A</v>
      </c>
      <c r="K37" s="350" t="e">
        <f t="shared" si="14"/>
        <v>#N/A</v>
      </c>
      <c r="L37" s="350" t="e">
        <f t="shared" si="14"/>
        <v>#N/A</v>
      </c>
      <c r="M37" s="350" t="e">
        <f t="shared" si="14"/>
        <v>#N/A</v>
      </c>
      <c r="N37" s="350" t="e">
        <f t="shared" si="14"/>
        <v>#N/A</v>
      </c>
      <c r="O37" s="350" t="e">
        <f t="shared" si="14"/>
        <v>#N/A</v>
      </c>
      <c r="P37" s="350" t="e">
        <f t="shared" si="14"/>
        <v>#N/A</v>
      </c>
      <c r="Q37" s="350" t="e">
        <f t="shared" si="14"/>
        <v>#N/A</v>
      </c>
      <c r="R37" s="350" t="e">
        <f t="shared" si="14"/>
        <v>#N/A</v>
      </c>
      <c r="S37" s="350" t="e">
        <f t="shared" si="14"/>
        <v>#N/A</v>
      </c>
      <c r="T37" s="350" t="e">
        <f t="shared" si="14"/>
        <v>#N/A</v>
      </c>
      <c r="U37" s="350" t="e">
        <f t="shared" si="14"/>
        <v>#N/A</v>
      </c>
      <c r="V37" s="350" t="e">
        <f t="shared" si="14"/>
        <v>#N/A</v>
      </c>
      <c r="W37" s="350" t="e">
        <f t="shared" si="14"/>
        <v>#N/A</v>
      </c>
      <c r="X37" s="350" t="e">
        <f t="shared" si="14"/>
        <v>#N/A</v>
      </c>
      <c r="Y37" s="350" t="e">
        <f t="shared" si="14"/>
        <v>#N/A</v>
      </c>
      <c r="Z37" s="350" t="e">
        <f t="shared" si="14"/>
        <v>#N/A</v>
      </c>
      <c r="AA37" s="350" t="e">
        <f t="shared" si="14"/>
        <v>#N/A</v>
      </c>
      <c r="AB37" s="350" t="e">
        <f t="shared" si="14"/>
        <v>#N/A</v>
      </c>
      <c r="AC37" s="350" t="e">
        <f t="shared" si="14"/>
        <v>#N/A</v>
      </c>
      <c r="AD37" s="350" t="e">
        <f t="shared" si="14"/>
        <v>#N/A</v>
      </c>
      <c r="AE37" s="350" t="e">
        <f t="shared" si="14"/>
        <v>#N/A</v>
      </c>
      <c r="AF37" s="350" t="e">
        <f t="shared" si="14"/>
        <v>#N/A</v>
      </c>
      <c r="AG37" s="350" t="e">
        <f t="shared" si="14"/>
        <v>#N/A</v>
      </c>
      <c r="AH37" s="350" t="e">
        <f t="shared" si="14"/>
        <v>#N/A</v>
      </c>
      <c r="AI37" s="350" t="e">
        <f t="shared" si="14"/>
        <v>#N/A</v>
      </c>
      <c r="AJ37" s="350" t="e">
        <f t="shared" si="14"/>
        <v>#N/A</v>
      </c>
      <c r="AK37" s="350" t="e">
        <f t="shared" si="14"/>
        <v>#N/A</v>
      </c>
      <c r="AL37" s="350" t="e">
        <f t="shared" si="14"/>
        <v>#N/A</v>
      </c>
      <c r="AM37" s="350" t="e">
        <f t="shared" si="14"/>
        <v>#N/A</v>
      </c>
      <c r="AN37" s="350" t="e">
        <f t="shared" si="14"/>
        <v>#N/A</v>
      </c>
      <c r="AO37" s="350" t="e">
        <f t="shared" si="14"/>
        <v>#N/A</v>
      </c>
      <c r="AP37" s="350" t="e">
        <f t="shared" si="14"/>
        <v>#N/A</v>
      </c>
      <c r="AQ37" s="350" t="e">
        <f t="shared" si="14"/>
        <v>#N/A</v>
      </c>
    </row>
    <row r="38" spans="1:44" s="315" customFormat="1" ht="14.25" hidden="1">
      <c r="A38" s="547" t="s">
        <v>485</v>
      </c>
      <c r="B38" s="620"/>
      <c r="C38" s="603"/>
      <c r="E38" s="351" t="e">
        <f t="shared" ref="E38:AQ38" si="15">IF(E37=0,NA(),ROUND(E37*1.5848,1))</f>
        <v>#N/A</v>
      </c>
      <c r="F38" s="351" t="e">
        <f>IF(F37=0,NA(),ROUND(F37*1.5848,1))</f>
        <v>#N/A</v>
      </c>
      <c r="G38" s="351" t="e">
        <f t="shared" si="15"/>
        <v>#N/A</v>
      </c>
      <c r="H38" s="351" t="e">
        <f t="shared" si="15"/>
        <v>#N/A</v>
      </c>
      <c r="I38" s="351" t="e">
        <f t="shared" si="15"/>
        <v>#N/A</v>
      </c>
      <c r="J38" s="351" t="e">
        <f t="shared" si="15"/>
        <v>#N/A</v>
      </c>
      <c r="K38" s="351" t="e">
        <f t="shared" si="15"/>
        <v>#N/A</v>
      </c>
      <c r="L38" s="351" t="e">
        <f t="shared" si="15"/>
        <v>#N/A</v>
      </c>
      <c r="M38" s="351" t="e">
        <f t="shared" si="15"/>
        <v>#N/A</v>
      </c>
      <c r="N38" s="351" t="e">
        <f t="shared" si="15"/>
        <v>#N/A</v>
      </c>
      <c r="O38" s="351" t="e">
        <f t="shared" si="15"/>
        <v>#N/A</v>
      </c>
      <c r="P38" s="351" t="e">
        <f t="shared" si="15"/>
        <v>#N/A</v>
      </c>
      <c r="Q38" s="351" t="e">
        <f t="shared" si="15"/>
        <v>#N/A</v>
      </c>
      <c r="R38" s="351" t="e">
        <f t="shared" si="15"/>
        <v>#N/A</v>
      </c>
      <c r="S38" s="351" t="e">
        <f t="shared" si="15"/>
        <v>#N/A</v>
      </c>
      <c r="T38" s="351" t="e">
        <f t="shared" si="15"/>
        <v>#N/A</v>
      </c>
      <c r="U38" s="351" t="e">
        <f t="shared" si="15"/>
        <v>#N/A</v>
      </c>
      <c r="V38" s="351" t="e">
        <f t="shared" si="15"/>
        <v>#N/A</v>
      </c>
      <c r="W38" s="351" t="e">
        <f t="shared" si="15"/>
        <v>#N/A</v>
      </c>
      <c r="X38" s="351" t="e">
        <f t="shared" si="15"/>
        <v>#N/A</v>
      </c>
      <c r="Y38" s="351" t="e">
        <f t="shared" si="15"/>
        <v>#N/A</v>
      </c>
      <c r="Z38" s="351" t="e">
        <f t="shared" si="15"/>
        <v>#N/A</v>
      </c>
      <c r="AA38" s="351" t="e">
        <f t="shared" si="15"/>
        <v>#N/A</v>
      </c>
      <c r="AB38" s="351" t="e">
        <f t="shared" si="15"/>
        <v>#N/A</v>
      </c>
      <c r="AC38" s="351" t="e">
        <f t="shared" si="15"/>
        <v>#N/A</v>
      </c>
      <c r="AD38" s="351" t="e">
        <f t="shared" si="15"/>
        <v>#N/A</v>
      </c>
      <c r="AE38" s="351" t="e">
        <f t="shared" si="15"/>
        <v>#N/A</v>
      </c>
      <c r="AF38" s="351" t="e">
        <f t="shared" si="15"/>
        <v>#N/A</v>
      </c>
      <c r="AG38" s="351" t="e">
        <f t="shared" si="15"/>
        <v>#N/A</v>
      </c>
      <c r="AH38" s="351" t="e">
        <f t="shared" si="15"/>
        <v>#N/A</v>
      </c>
      <c r="AI38" s="351" t="e">
        <f t="shared" si="15"/>
        <v>#N/A</v>
      </c>
      <c r="AJ38" s="351" t="e">
        <f t="shared" si="15"/>
        <v>#N/A</v>
      </c>
      <c r="AK38" s="351" t="e">
        <f t="shared" si="15"/>
        <v>#N/A</v>
      </c>
      <c r="AL38" s="351" t="e">
        <f t="shared" si="15"/>
        <v>#N/A</v>
      </c>
      <c r="AM38" s="351" t="e">
        <f t="shared" si="15"/>
        <v>#N/A</v>
      </c>
      <c r="AN38" s="351" t="e">
        <f t="shared" si="15"/>
        <v>#N/A</v>
      </c>
      <c r="AO38" s="351" t="e">
        <f t="shared" si="15"/>
        <v>#N/A</v>
      </c>
      <c r="AP38" s="351" t="e">
        <f t="shared" si="15"/>
        <v>#N/A</v>
      </c>
      <c r="AQ38" s="351" t="e">
        <f t="shared" si="15"/>
        <v>#N/A</v>
      </c>
    </row>
    <row r="39" spans="1:44" s="315" customFormat="1" ht="14.25" hidden="1">
      <c r="A39" s="547" t="s">
        <v>486</v>
      </c>
      <c r="B39" s="620"/>
      <c r="C39" s="603"/>
      <c r="E39" s="351" t="e">
        <f t="shared" ref="E39:AQ39" si="16">IF(E40="",NA(),ROUND(E40-E38,1))</f>
        <v>#N/A</v>
      </c>
      <c r="F39" s="351" t="e">
        <f t="shared" si="16"/>
        <v>#N/A</v>
      </c>
      <c r="G39" s="351" t="e">
        <f t="shared" si="16"/>
        <v>#N/A</v>
      </c>
      <c r="H39" s="351" t="e">
        <f t="shared" si="16"/>
        <v>#N/A</v>
      </c>
      <c r="I39" s="351" t="e">
        <f t="shared" si="16"/>
        <v>#N/A</v>
      </c>
      <c r="J39" s="351" t="e">
        <f t="shared" si="16"/>
        <v>#N/A</v>
      </c>
      <c r="K39" s="351" t="e">
        <f t="shared" si="16"/>
        <v>#N/A</v>
      </c>
      <c r="L39" s="351" t="e">
        <f t="shared" si="16"/>
        <v>#N/A</v>
      </c>
      <c r="M39" s="351" t="e">
        <f t="shared" si="16"/>
        <v>#N/A</v>
      </c>
      <c r="N39" s="351" t="e">
        <f t="shared" si="16"/>
        <v>#N/A</v>
      </c>
      <c r="O39" s="351" t="e">
        <f t="shared" si="16"/>
        <v>#N/A</v>
      </c>
      <c r="P39" s="351" t="e">
        <f t="shared" si="16"/>
        <v>#N/A</v>
      </c>
      <c r="Q39" s="351" t="e">
        <f t="shared" si="16"/>
        <v>#N/A</v>
      </c>
      <c r="R39" s="351" t="e">
        <f t="shared" si="16"/>
        <v>#N/A</v>
      </c>
      <c r="S39" s="351" t="e">
        <f t="shared" si="16"/>
        <v>#N/A</v>
      </c>
      <c r="T39" s="351" t="e">
        <f t="shared" si="16"/>
        <v>#N/A</v>
      </c>
      <c r="U39" s="351" t="e">
        <f t="shared" si="16"/>
        <v>#N/A</v>
      </c>
      <c r="V39" s="351" t="e">
        <f t="shared" si="16"/>
        <v>#N/A</v>
      </c>
      <c r="W39" s="351" t="e">
        <f t="shared" si="16"/>
        <v>#N/A</v>
      </c>
      <c r="X39" s="351" t="e">
        <f t="shared" si="16"/>
        <v>#N/A</v>
      </c>
      <c r="Y39" s="351" t="e">
        <f t="shared" si="16"/>
        <v>#N/A</v>
      </c>
      <c r="Z39" s="351" t="e">
        <f t="shared" si="16"/>
        <v>#N/A</v>
      </c>
      <c r="AA39" s="351" t="e">
        <f t="shared" si="16"/>
        <v>#N/A</v>
      </c>
      <c r="AB39" s="351" t="e">
        <f t="shared" si="16"/>
        <v>#N/A</v>
      </c>
      <c r="AC39" s="351" t="e">
        <f t="shared" si="16"/>
        <v>#N/A</v>
      </c>
      <c r="AD39" s="351" t="e">
        <f t="shared" si="16"/>
        <v>#N/A</v>
      </c>
      <c r="AE39" s="351" t="e">
        <f t="shared" si="16"/>
        <v>#N/A</v>
      </c>
      <c r="AF39" s="351" t="e">
        <f t="shared" si="16"/>
        <v>#N/A</v>
      </c>
      <c r="AG39" s="351" t="e">
        <f t="shared" si="16"/>
        <v>#N/A</v>
      </c>
      <c r="AH39" s="351" t="e">
        <f t="shared" si="16"/>
        <v>#N/A</v>
      </c>
      <c r="AI39" s="351" t="e">
        <f t="shared" si="16"/>
        <v>#N/A</v>
      </c>
      <c r="AJ39" s="351" t="e">
        <f t="shared" si="16"/>
        <v>#N/A</v>
      </c>
      <c r="AK39" s="351" t="e">
        <f t="shared" si="16"/>
        <v>#N/A</v>
      </c>
      <c r="AL39" s="351" t="e">
        <f t="shared" si="16"/>
        <v>#N/A</v>
      </c>
      <c r="AM39" s="351" t="e">
        <f t="shared" si="16"/>
        <v>#N/A</v>
      </c>
      <c r="AN39" s="351" t="e">
        <f t="shared" si="16"/>
        <v>#N/A</v>
      </c>
      <c r="AO39" s="351" t="e">
        <f t="shared" si="16"/>
        <v>#N/A</v>
      </c>
      <c r="AP39" s="351" t="e">
        <f t="shared" si="16"/>
        <v>#N/A</v>
      </c>
      <c r="AQ39" s="351" t="e">
        <f t="shared" si="16"/>
        <v>#N/A</v>
      </c>
    </row>
    <row r="40" spans="1:44" s="315" customFormat="1" ht="14.25" hidden="1">
      <c r="A40" s="547" t="s">
        <v>484</v>
      </c>
      <c r="B40" s="620"/>
      <c r="C40" s="603"/>
      <c r="E40" s="350" t="e">
        <f>IF(E36="",NA(),IF(E10&lt;=$B25,E36*$D28/100,IF(E10&lt;=$C25,E36*$E28/100,IF(E10&lt;=$D25,E36*$F28/100,IF(E10&lt;=$E25,E36*$G28/100,IF(E10&lt;=$F25,E36*$H28/100,IF(E10&lt;=$G25,E36*$I28/100,IF(E10&lt;=$H25,E36*$J28/100,IF(E10&lt;=$I25,E36*$K28/100,IF(E10&lt;=$J25,E36*$L28/100,IF(E10&lt;=$K25,E36*$M28/100,IF(E10&lt;=$L25,E36*$N28/100,IF(E10&lt;=$M25,E36*$O28/100,IF(E10&lt;=$N25,E36*$P28/100,IF(E10&lt;=$O25,E36*$Q28/100,IF(E10&lt;=$P25,E36*$R28/100,IF(E10&lt;=$Q25,E36*$S28/100,IF(E10&lt;=$R25,E36*$T28/100,IF(E10&lt;=$S25,E36*$U28/100,IF(E10&lt;=$T25,E36*$V28/100,IF(E10&lt;=$U25,E36*$W28/100,E36*$X28/100)))))))))))))))))))))</f>
        <v>#N/A</v>
      </c>
      <c r="F40" s="350" t="e">
        <f t="shared" ref="F40:AQ40" si="17">IF(F36="",NA(),IF(F10&lt;=$B25,F36*$D28/100,IF(F10&lt;=$C25,F36*$E28/100,IF(F10&lt;=$D25,F36*$F28/100,IF(F10&lt;=$E25,F36*$G28/100,IF(F10&lt;=$F25,F36*$H28/100,IF(F10&lt;=$G25,F36*$I28/100,IF(F10&lt;=$H25,F36*$J28/100,IF(F10&lt;=$I25,F36*$K28/100,IF(F10&lt;=$J25,F36*$L28/100,IF(F10&lt;=$K25,F36*$M28/100,IF(F10&lt;=$L25,F36*$N28/100,IF(F10&lt;=$M25,F36*$O28/100,IF(F10&lt;=$N25,F36*$P28/100,IF(F10&lt;=$O25,F36*$Q28/100,IF(F10&lt;=$P25,F36*$R28/100,IF(F10&lt;=$Q25,F36*$S28/100,IF(F10&lt;=$R25,F36*$T28/100,IF(F10&lt;=$S25,F36*$U28/100,IF(F10&lt;=$T25,F36*$V28/100,IF(F10&lt;=$U25,F36*$W28/100,F36*$X28/100)))))))))))))))))))))</f>
        <v>#N/A</v>
      </c>
      <c r="G40" s="350" t="e">
        <f t="shared" si="17"/>
        <v>#N/A</v>
      </c>
      <c r="H40" s="350" t="e">
        <f t="shared" si="17"/>
        <v>#N/A</v>
      </c>
      <c r="I40" s="350" t="e">
        <f t="shared" si="17"/>
        <v>#N/A</v>
      </c>
      <c r="J40" s="350" t="e">
        <f t="shared" si="17"/>
        <v>#N/A</v>
      </c>
      <c r="K40" s="350" t="e">
        <f t="shared" si="17"/>
        <v>#N/A</v>
      </c>
      <c r="L40" s="350" t="e">
        <f t="shared" si="17"/>
        <v>#N/A</v>
      </c>
      <c r="M40" s="350" t="e">
        <f t="shared" si="17"/>
        <v>#N/A</v>
      </c>
      <c r="N40" s="350" t="e">
        <f t="shared" si="17"/>
        <v>#N/A</v>
      </c>
      <c r="O40" s="350" t="e">
        <f t="shared" si="17"/>
        <v>#N/A</v>
      </c>
      <c r="P40" s="350" t="e">
        <f t="shared" si="17"/>
        <v>#N/A</v>
      </c>
      <c r="Q40" s="350" t="e">
        <f t="shared" si="17"/>
        <v>#N/A</v>
      </c>
      <c r="R40" s="350" t="e">
        <f t="shared" si="17"/>
        <v>#N/A</v>
      </c>
      <c r="S40" s="350" t="e">
        <f t="shared" si="17"/>
        <v>#N/A</v>
      </c>
      <c r="T40" s="350" t="e">
        <f t="shared" si="17"/>
        <v>#N/A</v>
      </c>
      <c r="U40" s="350" t="e">
        <f t="shared" si="17"/>
        <v>#N/A</v>
      </c>
      <c r="V40" s="350" t="e">
        <f t="shared" si="17"/>
        <v>#N/A</v>
      </c>
      <c r="W40" s="350" t="e">
        <f t="shared" si="17"/>
        <v>#N/A</v>
      </c>
      <c r="X40" s="350" t="e">
        <f t="shared" si="17"/>
        <v>#N/A</v>
      </c>
      <c r="Y40" s="350" t="e">
        <f t="shared" si="17"/>
        <v>#N/A</v>
      </c>
      <c r="Z40" s="350" t="e">
        <f t="shared" si="17"/>
        <v>#N/A</v>
      </c>
      <c r="AA40" s="350" t="e">
        <f t="shared" si="17"/>
        <v>#N/A</v>
      </c>
      <c r="AB40" s="350" t="e">
        <f t="shared" si="17"/>
        <v>#N/A</v>
      </c>
      <c r="AC40" s="350" t="e">
        <f t="shared" si="17"/>
        <v>#N/A</v>
      </c>
      <c r="AD40" s="350" t="e">
        <f t="shared" si="17"/>
        <v>#N/A</v>
      </c>
      <c r="AE40" s="350" t="e">
        <f t="shared" si="17"/>
        <v>#N/A</v>
      </c>
      <c r="AF40" s="350" t="e">
        <f t="shared" si="17"/>
        <v>#N/A</v>
      </c>
      <c r="AG40" s="350" t="e">
        <f t="shared" si="17"/>
        <v>#N/A</v>
      </c>
      <c r="AH40" s="350" t="e">
        <f t="shared" si="17"/>
        <v>#N/A</v>
      </c>
      <c r="AI40" s="350" t="e">
        <f t="shared" si="17"/>
        <v>#N/A</v>
      </c>
      <c r="AJ40" s="350" t="e">
        <f t="shared" si="17"/>
        <v>#N/A</v>
      </c>
      <c r="AK40" s="350" t="e">
        <f t="shared" si="17"/>
        <v>#N/A</v>
      </c>
      <c r="AL40" s="350" t="e">
        <f t="shared" si="17"/>
        <v>#N/A</v>
      </c>
      <c r="AM40" s="350" t="e">
        <f t="shared" si="17"/>
        <v>#N/A</v>
      </c>
      <c r="AN40" s="350" t="e">
        <f t="shared" si="17"/>
        <v>#N/A</v>
      </c>
      <c r="AO40" s="350" t="e">
        <f t="shared" si="17"/>
        <v>#N/A</v>
      </c>
      <c r="AP40" s="350" t="e">
        <f t="shared" si="17"/>
        <v>#N/A</v>
      </c>
      <c r="AQ40" s="350" t="e">
        <f t="shared" si="17"/>
        <v>#N/A</v>
      </c>
    </row>
    <row r="41" spans="1:44" s="315" customFormat="1" ht="15" hidden="1" thickBot="1">
      <c r="A41" s="557" t="s">
        <v>473</v>
      </c>
      <c r="B41" s="621"/>
      <c r="C41" s="621"/>
      <c r="E41" s="352" t="e">
        <f t="shared" ref="E41:AQ41" si="18">IF(E40="",NA(),ROUND(E38/E40*100,1))</f>
        <v>#N/A</v>
      </c>
      <c r="F41" s="352" t="e">
        <f t="shared" si="18"/>
        <v>#N/A</v>
      </c>
      <c r="G41" s="352" t="e">
        <f t="shared" si="18"/>
        <v>#N/A</v>
      </c>
      <c r="H41" s="352" t="e">
        <f t="shared" si="18"/>
        <v>#N/A</v>
      </c>
      <c r="I41" s="352" t="e">
        <f t="shared" si="18"/>
        <v>#N/A</v>
      </c>
      <c r="J41" s="352" t="e">
        <f t="shared" si="18"/>
        <v>#N/A</v>
      </c>
      <c r="K41" s="352" t="e">
        <f t="shared" si="18"/>
        <v>#N/A</v>
      </c>
      <c r="L41" s="352" t="e">
        <f t="shared" si="18"/>
        <v>#N/A</v>
      </c>
      <c r="M41" s="352" t="e">
        <f t="shared" si="18"/>
        <v>#N/A</v>
      </c>
      <c r="N41" s="352" t="e">
        <f t="shared" si="18"/>
        <v>#N/A</v>
      </c>
      <c r="O41" s="352" t="e">
        <f t="shared" si="18"/>
        <v>#N/A</v>
      </c>
      <c r="P41" s="352" t="e">
        <f t="shared" si="18"/>
        <v>#N/A</v>
      </c>
      <c r="Q41" s="352" t="e">
        <f t="shared" si="18"/>
        <v>#N/A</v>
      </c>
      <c r="R41" s="352" t="e">
        <f t="shared" si="18"/>
        <v>#N/A</v>
      </c>
      <c r="S41" s="352" t="e">
        <f t="shared" si="18"/>
        <v>#N/A</v>
      </c>
      <c r="T41" s="352" t="e">
        <f t="shared" si="18"/>
        <v>#N/A</v>
      </c>
      <c r="U41" s="352" t="e">
        <f t="shared" si="18"/>
        <v>#N/A</v>
      </c>
      <c r="V41" s="352" t="e">
        <f t="shared" si="18"/>
        <v>#N/A</v>
      </c>
      <c r="W41" s="352" t="e">
        <f t="shared" si="18"/>
        <v>#N/A</v>
      </c>
      <c r="X41" s="352" t="e">
        <f t="shared" si="18"/>
        <v>#N/A</v>
      </c>
      <c r="Y41" s="352" t="e">
        <f t="shared" si="18"/>
        <v>#N/A</v>
      </c>
      <c r="Z41" s="352" t="e">
        <f t="shared" si="18"/>
        <v>#N/A</v>
      </c>
      <c r="AA41" s="352" t="e">
        <f t="shared" si="18"/>
        <v>#N/A</v>
      </c>
      <c r="AB41" s="352" t="e">
        <f t="shared" si="18"/>
        <v>#N/A</v>
      </c>
      <c r="AC41" s="352" t="e">
        <f t="shared" si="18"/>
        <v>#N/A</v>
      </c>
      <c r="AD41" s="352" t="e">
        <f t="shared" si="18"/>
        <v>#N/A</v>
      </c>
      <c r="AE41" s="352" t="e">
        <f t="shared" si="18"/>
        <v>#N/A</v>
      </c>
      <c r="AF41" s="352" t="e">
        <f t="shared" si="18"/>
        <v>#N/A</v>
      </c>
      <c r="AG41" s="352" t="e">
        <f t="shared" si="18"/>
        <v>#N/A</v>
      </c>
      <c r="AH41" s="352" t="e">
        <f t="shared" si="18"/>
        <v>#N/A</v>
      </c>
      <c r="AI41" s="352" t="e">
        <f t="shared" si="18"/>
        <v>#N/A</v>
      </c>
      <c r="AJ41" s="352" t="e">
        <f t="shared" si="18"/>
        <v>#N/A</v>
      </c>
      <c r="AK41" s="352" t="e">
        <f t="shared" si="18"/>
        <v>#N/A</v>
      </c>
      <c r="AL41" s="352" t="e">
        <f t="shared" si="18"/>
        <v>#N/A</v>
      </c>
      <c r="AM41" s="352" t="e">
        <f t="shared" si="18"/>
        <v>#N/A</v>
      </c>
      <c r="AN41" s="352" t="e">
        <f t="shared" si="18"/>
        <v>#N/A</v>
      </c>
      <c r="AO41" s="352" t="e">
        <f t="shared" si="18"/>
        <v>#N/A</v>
      </c>
      <c r="AP41" s="352" t="e">
        <f t="shared" si="18"/>
        <v>#N/A</v>
      </c>
      <c r="AQ41" s="352" t="e">
        <f t="shared" si="18"/>
        <v>#N/A</v>
      </c>
      <c r="AR41" s="352"/>
    </row>
    <row r="42" spans="1:44" s="315" customFormat="1" ht="14.25" hidden="1">
      <c r="A42" s="547" t="s">
        <v>295</v>
      </c>
      <c r="B42" s="620"/>
      <c r="C42" s="603"/>
      <c r="D42" s="315" t="str">
        <f>IF(P5="","",P5)</f>
        <v/>
      </c>
      <c r="E42" s="315" t="str">
        <f t="shared" ref="E42:AQ42" si="19">D42</f>
        <v/>
      </c>
      <c r="F42" s="315" t="str">
        <f t="shared" si="19"/>
        <v/>
      </c>
      <c r="G42" s="315" t="str">
        <f t="shared" si="19"/>
        <v/>
      </c>
      <c r="H42" s="315" t="str">
        <f t="shared" si="19"/>
        <v/>
      </c>
      <c r="I42" s="315" t="str">
        <f t="shared" si="19"/>
        <v/>
      </c>
      <c r="J42" s="315" t="str">
        <f t="shared" si="19"/>
        <v/>
      </c>
      <c r="K42" s="315" t="str">
        <f t="shared" si="19"/>
        <v/>
      </c>
      <c r="L42" s="315" t="str">
        <f t="shared" si="19"/>
        <v/>
      </c>
      <c r="M42" s="315" t="str">
        <f t="shared" si="19"/>
        <v/>
      </c>
      <c r="N42" s="315" t="str">
        <f t="shared" si="19"/>
        <v/>
      </c>
      <c r="O42" s="315" t="str">
        <f t="shared" si="19"/>
        <v/>
      </c>
      <c r="P42" s="315" t="str">
        <f t="shared" si="19"/>
        <v/>
      </c>
      <c r="Q42" s="315" t="str">
        <f t="shared" si="19"/>
        <v/>
      </c>
      <c r="R42" s="315" t="str">
        <f t="shared" si="19"/>
        <v/>
      </c>
      <c r="S42" s="315" t="str">
        <f t="shared" si="19"/>
        <v/>
      </c>
      <c r="T42" s="315" t="str">
        <f t="shared" si="19"/>
        <v/>
      </c>
      <c r="U42" s="315" t="str">
        <f t="shared" si="19"/>
        <v/>
      </c>
      <c r="V42" s="315" t="str">
        <f t="shared" si="19"/>
        <v/>
      </c>
      <c r="W42" s="315" t="str">
        <f t="shared" si="19"/>
        <v/>
      </c>
      <c r="X42" s="315" t="str">
        <f t="shared" si="19"/>
        <v/>
      </c>
      <c r="Y42" s="315" t="str">
        <f t="shared" si="19"/>
        <v/>
      </c>
      <c r="Z42" s="315" t="str">
        <f t="shared" si="19"/>
        <v/>
      </c>
      <c r="AA42" s="315" t="str">
        <f t="shared" si="19"/>
        <v/>
      </c>
      <c r="AB42" s="315" t="str">
        <f t="shared" si="19"/>
        <v/>
      </c>
      <c r="AC42" s="315" t="str">
        <f t="shared" si="19"/>
        <v/>
      </c>
      <c r="AD42" s="315" t="str">
        <f t="shared" si="19"/>
        <v/>
      </c>
      <c r="AE42" s="315" t="str">
        <f t="shared" si="19"/>
        <v/>
      </c>
      <c r="AF42" s="315" t="str">
        <f t="shared" si="19"/>
        <v/>
      </c>
      <c r="AG42" s="315" t="str">
        <f t="shared" si="19"/>
        <v/>
      </c>
      <c r="AH42" s="315" t="str">
        <f t="shared" si="19"/>
        <v/>
      </c>
      <c r="AI42" s="315" t="str">
        <f t="shared" si="19"/>
        <v/>
      </c>
      <c r="AJ42" s="315" t="str">
        <f t="shared" si="19"/>
        <v/>
      </c>
      <c r="AK42" s="315" t="str">
        <f t="shared" si="19"/>
        <v/>
      </c>
      <c r="AL42" s="315" t="str">
        <f t="shared" si="19"/>
        <v/>
      </c>
      <c r="AM42" s="315" t="str">
        <f t="shared" si="19"/>
        <v/>
      </c>
      <c r="AN42" s="315" t="str">
        <f t="shared" si="19"/>
        <v/>
      </c>
      <c r="AO42" s="315" t="str">
        <f t="shared" si="19"/>
        <v/>
      </c>
      <c r="AP42" s="315" t="str">
        <f t="shared" si="19"/>
        <v/>
      </c>
      <c r="AQ42" s="315" t="str">
        <f t="shared" si="19"/>
        <v/>
      </c>
    </row>
    <row r="43" spans="1:44" s="315" customFormat="1" ht="14.25" hidden="1">
      <c r="A43" s="547" t="s">
        <v>437</v>
      </c>
      <c r="B43" s="620"/>
      <c r="C43" s="603"/>
      <c r="D43" s="315" t="str">
        <f>IF(P6="","",P6)</f>
        <v/>
      </c>
      <c r="E43" s="315" t="str">
        <f t="shared" ref="E43:AQ43" si="20">D43</f>
        <v/>
      </c>
      <c r="F43" s="315" t="str">
        <f t="shared" si="20"/>
        <v/>
      </c>
      <c r="G43" s="315" t="str">
        <f t="shared" si="20"/>
        <v/>
      </c>
      <c r="H43" s="315" t="str">
        <f t="shared" si="20"/>
        <v/>
      </c>
      <c r="I43" s="315" t="str">
        <f t="shared" si="20"/>
        <v/>
      </c>
      <c r="J43" s="315" t="str">
        <f t="shared" si="20"/>
        <v/>
      </c>
      <c r="K43" s="315" t="str">
        <f t="shared" si="20"/>
        <v/>
      </c>
      <c r="L43" s="315" t="str">
        <f t="shared" si="20"/>
        <v/>
      </c>
      <c r="M43" s="315" t="str">
        <f t="shared" si="20"/>
        <v/>
      </c>
      <c r="N43" s="315" t="str">
        <f t="shared" si="20"/>
        <v/>
      </c>
      <c r="O43" s="315" t="str">
        <f t="shared" si="20"/>
        <v/>
      </c>
      <c r="P43" s="315" t="str">
        <f t="shared" si="20"/>
        <v/>
      </c>
      <c r="Q43" s="315" t="str">
        <f t="shared" si="20"/>
        <v/>
      </c>
      <c r="R43" s="315" t="str">
        <f t="shared" si="20"/>
        <v/>
      </c>
      <c r="S43" s="315" t="str">
        <f t="shared" si="20"/>
        <v/>
      </c>
      <c r="T43" s="315" t="str">
        <f t="shared" si="20"/>
        <v/>
      </c>
      <c r="U43" s="315" t="str">
        <f t="shared" si="20"/>
        <v/>
      </c>
      <c r="V43" s="315" t="str">
        <f t="shared" si="20"/>
        <v/>
      </c>
      <c r="W43" s="315" t="str">
        <f t="shared" si="20"/>
        <v/>
      </c>
      <c r="X43" s="315" t="str">
        <f t="shared" si="20"/>
        <v/>
      </c>
      <c r="Y43" s="315" t="str">
        <f t="shared" si="20"/>
        <v/>
      </c>
      <c r="Z43" s="315" t="str">
        <f t="shared" si="20"/>
        <v/>
      </c>
      <c r="AA43" s="315" t="str">
        <f t="shared" si="20"/>
        <v/>
      </c>
      <c r="AB43" s="315" t="str">
        <f t="shared" si="20"/>
        <v/>
      </c>
      <c r="AC43" s="315" t="str">
        <f t="shared" si="20"/>
        <v/>
      </c>
      <c r="AD43" s="315" t="str">
        <f t="shared" si="20"/>
        <v/>
      </c>
      <c r="AE43" s="315" t="str">
        <f t="shared" si="20"/>
        <v/>
      </c>
      <c r="AF43" s="315" t="str">
        <f t="shared" si="20"/>
        <v/>
      </c>
      <c r="AG43" s="315" t="str">
        <f t="shared" si="20"/>
        <v/>
      </c>
      <c r="AH43" s="315" t="str">
        <f t="shared" si="20"/>
        <v/>
      </c>
      <c r="AI43" s="315" t="str">
        <f t="shared" si="20"/>
        <v/>
      </c>
      <c r="AJ43" s="315" t="str">
        <f t="shared" si="20"/>
        <v/>
      </c>
      <c r="AK43" s="315" t="str">
        <f t="shared" si="20"/>
        <v/>
      </c>
      <c r="AL43" s="315" t="str">
        <f t="shared" si="20"/>
        <v/>
      </c>
      <c r="AM43" s="315" t="str">
        <f t="shared" si="20"/>
        <v/>
      </c>
      <c r="AN43" s="315" t="str">
        <f t="shared" si="20"/>
        <v/>
      </c>
      <c r="AO43" s="315" t="str">
        <f t="shared" si="20"/>
        <v/>
      </c>
      <c r="AP43" s="315" t="str">
        <f t="shared" si="20"/>
        <v/>
      </c>
      <c r="AQ43" s="315" t="str">
        <f t="shared" si="20"/>
        <v/>
      </c>
    </row>
    <row r="44" spans="1:44" s="315" customFormat="1" ht="14.25" hidden="1">
      <c r="A44" s="547" t="s">
        <v>438</v>
      </c>
      <c r="B44" s="620"/>
      <c r="C44" s="603"/>
      <c r="D44" s="315" t="str">
        <f>IF(P4="","",P4)</f>
        <v/>
      </c>
      <c r="E44" s="315" t="str">
        <f>D44</f>
        <v/>
      </c>
      <c r="F44" s="315" t="str">
        <f t="shared" ref="F44:AQ44" si="21">E44</f>
        <v/>
      </c>
      <c r="G44" s="315" t="str">
        <f t="shared" si="21"/>
        <v/>
      </c>
      <c r="H44" s="315" t="str">
        <f t="shared" si="21"/>
        <v/>
      </c>
      <c r="I44" s="315" t="str">
        <f t="shared" si="21"/>
        <v/>
      </c>
      <c r="J44" s="315" t="str">
        <f t="shared" si="21"/>
        <v/>
      </c>
      <c r="K44" s="315" t="str">
        <f t="shared" si="21"/>
        <v/>
      </c>
      <c r="L44" s="315" t="str">
        <f t="shared" si="21"/>
        <v/>
      </c>
      <c r="M44" s="315" t="str">
        <f t="shared" si="21"/>
        <v/>
      </c>
      <c r="N44" s="315" t="str">
        <f t="shared" si="21"/>
        <v/>
      </c>
      <c r="O44" s="315" t="str">
        <f t="shared" si="21"/>
        <v/>
      </c>
      <c r="P44" s="315" t="str">
        <f t="shared" si="21"/>
        <v/>
      </c>
      <c r="Q44" s="315" t="str">
        <f t="shared" si="21"/>
        <v/>
      </c>
      <c r="R44" s="315" t="str">
        <f t="shared" si="21"/>
        <v/>
      </c>
      <c r="S44" s="315" t="str">
        <f t="shared" si="21"/>
        <v/>
      </c>
      <c r="T44" s="315" t="str">
        <f t="shared" si="21"/>
        <v/>
      </c>
      <c r="U44" s="315" t="str">
        <f t="shared" si="21"/>
        <v/>
      </c>
      <c r="V44" s="315" t="str">
        <f t="shared" si="21"/>
        <v/>
      </c>
      <c r="W44" s="315" t="str">
        <f t="shared" si="21"/>
        <v/>
      </c>
      <c r="X44" s="315" t="str">
        <f t="shared" si="21"/>
        <v/>
      </c>
      <c r="Y44" s="315" t="str">
        <f t="shared" si="21"/>
        <v/>
      </c>
      <c r="Z44" s="315" t="str">
        <f t="shared" si="21"/>
        <v/>
      </c>
      <c r="AA44" s="315" t="str">
        <f t="shared" si="21"/>
        <v/>
      </c>
      <c r="AB44" s="315" t="str">
        <f t="shared" si="21"/>
        <v/>
      </c>
      <c r="AC44" s="315" t="str">
        <f t="shared" si="21"/>
        <v/>
      </c>
      <c r="AD44" s="315" t="str">
        <f t="shared" si="21"/>
        <v/>
      </c>
      <c r="AE44" s="315" t="str">
        <f t="shared" si="21"/>
        <v/>
      </c>
      <c r="AF44" s="315" t="str">
        <f t="shared" si="21"/>
        <v/>
      </c>
      <c r="AG44" s="315" t="str">
        <f t="shared" si="21"/>
        <v/>
      </c>
      <c r="AH44" s="315" t="str">
        <f t="shared" si="21"/>
        <v/>
      </c>
      <c r="AI44" s="315" t="str">
        <f t="shared" si="21"/>
        <v/>
      </c>
      <c r="AJ44" s="315" t="str">
        <f t="shared" si="21"/>
        <v/>
      </c>
      <c r="AK44" s="315" t="str">
        <f t="shared" si="21"/>
        <v/>
      </c>
      <c r="AL44" s="315" t="str">
        <f t="shared" si="21"/>
        <v/>
      </c>
      <c r="AM44" s="315" t="str">
        <f t="shared" si="21"/>
        <v/>
      </c>
      <c r="AN44" s="315" t="str">
        <f t="shared" si="21"/>
        <v/>
      </c>
      <c r="AO44" s="315" t="str">
        <f t="shared" si="21"/>
        <v/>
      </c>
      <c r="AP44" s="315" t="str">
        <f t="shared" si="21"/>
        <v/>
      </c>
      <c r="AQ44" s="315" t="str">
        <f t="shared" si="21"/>
        <v/>
      </c>
    </row>
    <row r="45" spans="1:44" s="315" customFormat="1" ht="15" hidden="1" thickBot="1">
      <c r="A45" s="557" t="s">
        <v>448</v>
      </c>
      <c r="B45" s="621"/>
      <c r="C45" s="621"/>
      <c r="D45" s="315" t="str">
        <f>IF(P7="","",P7)</f>
        <v/>
      </c>
      <c r="E45" s="315" t="str">
        <f t="shared" ref="E45:AQ45" si="22">D45</f>
        <v/>
      </c>
      <c r="F45" s="315" t="str">
        <f t="shared" si="22"/>
        <v/>
      </c>
      <c r="G45" s="315" t="str">
        <f t="shared" si="22"/>
        <v/>
      </c>
      <c r="H45" s="315" t="str">
        <f t="shared" si="22"/>
        <v/>
      </c>
      <c r="I45" s="315" t="str">
        <f t="shared" si="22"/>
        <v/>
      </c>
      <c r="J45" s="315" t="str">
        <f t="shared" si="22"/>
        <v/>
      </c>
      <c r="K45" s="315" t="str">
        <f t="shared" si="22"/>
        <v/>
      </c>
      <c r="L45" s="315" t="str">
        <f t="shared" si="22"/>
        <v/>
      </c>
      <c r="M45" s="315" t="str">
        <f t="shared" si="22"/>
        <v/>
      </c>
      <c r="N45" s="315" t="str">
        <f t="shared" si="22"/>
        <v/>
      </c>
      <c r="O45" s="315" t="str">
        <f t="shared" si="22"/>
        <v/>
      </c>
      <c r="P45" s="315" t="str">
        <f t="shared" si="22"/>
        <v/>
      </c>
      <c r="Q45" s="315" t="str">
        <f t="shared" si="22"/>
        <v/>
      </c>
      <c r="R45" s="315" t="str">
        <f t="shared" si="22"/>
        <v/>
      </c>
      <c r="S45" s="315" t="str">
        <f t="shared" si="22"/>
        <v/>
      </c>
      <c r="T45" s="315" t="str">
        <f t="shared" si="22"/>
        <v/>
      </c>
      <c r="U45" s="315" t="str">
        <f t="shared" si="22"/>
        <v/>
      </c>
      <c r="V45" s="315" t="str">
        <f t="shared" si="22"/>
        <v/>
      </c>
      <c r="W45" s="315" t="str">
        <f t="shared" si="22"/>
        <v/>
      </c>
      <c r="X45" s="315" t="str">
        <f t="shared" si="22"/>
        <v/>
      </c>
      <c r="Y45" s="315" t="str">
        <f t="shared" si="22"/>
        <v/>
      </c>
      <c r="Z45" s="315" t="str">
        <f t="shared" si="22"/>
        <v/>
      </c>
      <c r="AA45" s="315" t="str">
        <f t="shared" si="22"/>
        <v/>
      </c>
      <c r="AB45" s="315" t="str">
        <f t="shared" si="22"/>
        <v/>
      </c>
      <c r="AC45" s="315" t="str">
        <f t="shared" si="22"/>
        <v/>
      </c>
      <c r="AD45" s="315" t="str">
        <f t="shared" si="22"/>
        <v/>
      </c>
      <c r="AE45" s="315" t="str">
        <f t="shared" si="22"/>
        <v/>
      </c>
      <c r="AF45" s="315" t="str">
        <f t="shared" si="22"/>
        <v/>
      </c>
      <c r="AG45" s="315" t="str">
        <f t="shared" si="22"/>
        <v/>
      </c>
      <c r="AH45" s="315" t="str">
        <f t="shared" si="22"/>
        <v/>
      </c>
      <c r="AI45" s="315" t="str">
        <f t="shared" si="22"/>
        <v/>
      </c>
      <c r="AJ45" s="315" t="str">
        <f t="shared" si="22"/>
        <v/>
      </c>
      <c r="AK45" s="315" t="str">
        <f t="shared" si="22"/>
        <v/>
      </c>
      <c r="AL45" s="315" t="str">
        <f t="shared" si="22"/>
        <v/>
      </c>
      <c r="AM45" s="315" t="str">
        <f t="shared" si="22"/>
        <v/>
      </c>
      <c r="AN45" s="315" t="str">
        <f t="shared" si="22"/>
        <v/>
      </c>
      <c r="AO45" s="315" t="str">
        <f t="shared" si="22"/>
        <v/>
      </c>
      <c r="AP45" s="315" t="str">
        <f t="shared" si="22"/>
        <v/>
      </c>
      <c r="AQ45" s="315" t="str">
        <f t="shared" si="22"/>
        <v/>
      </c>
    </row>
    <row r="46" spans="1:44" s="315" customFormat="1" ht="14.25"/>
    <row r="49" spans="1:44" ht="25.7" customHeight="1" thickBot="1">
      <c r="A49" s="314" t="s">
        <v>323</v>
      </c>
    </row>
    <row r="50" spans="1:44" s="315" customFormat="1" ht="12.95" customHeight="1" thickBot="1">
      <c r="A50" s="614" t="s">
        <v>282</v>
      </c>
      <c r="B50" s="615"/>
      <c r="C50" s="615"/>
      <c r="D50" s="618"/>
      <c r="E50" s="618"/>
      <c r="F50" s="619"/>
      <c r="H50" s="316" t="s">
        <v>290</v>
      </c>
      <c r="I50" s="618"/>
      <c r="J50" s="619"/>
      <c r="L50" s="353" t="s">
        <v>291</v>
      </c>
      <c r="M50" s="1212"/>
      <c r="N50" s="1213"/>
      <c r="O50" s="354"/>
      <c r="P50" s="1214" t="s">
        <v>293</v>
      </c>
      <c r="Q50" s="1215"/>
      <c r="R50" s="355"/>
      <c r="S50" s="355"/>
      <c r="T50" s="355"/>
    </row>
    <row r="51" spans="1:44" s="315" customFormat="1" ht="12.95" customHeight="1" thickBot="1">
      <c r="L51" s="356" t="s">
        <v>292</v>
      </c>
      <c r="M51" s="1216"/>
      <c r="N51" s="1217"/>
      <c r="P51" s="594"/>
      <c r="Q51" s="1218"/>
      <c r="R51" s="1218"/>
      <c r="S51" s="1218"/>
      <c r="T51" s="1218"/>
      <c r="U51" s="1218"/>
      <c r="V51" s="1218"/>
      <c r="W51" s="1218"/>
      <c r="X51" s="1219"/>
    </row>
    <row r="52" spans="1:44" s="315" customFormat="1" ht="14.25">
      <c r="A52" s="545" t="s">
        <v>61</v>
      </c>
      <c r="B52" s="617"/>
      <c r="C52" s="617"/>
      <c r="D52" s="366" t="s">
        <v>47</v>
      </c>
      <c r="E52" s="366" t="s">
        <v>13</v>
      </c>
      <c r="F52" s="366" t="s">
        <v>15</v>
      </c>
      <c r="G52" s="366" t="s">
        <v>48</v>
      </c>
      <c r="H52" s="366" t="s">
        <v>49</v>
      </c>
      <c r="I52" s="319" t="s">
        <v>52</v>
      </c>
      <c r="J52" s="320" t="s">
        <v>51</v>
      </c>
      <c r="K52" s="321"/>
      <c r="P52" s="1220"/>
      <c r="Q52" s="1221"/>
      <c r="R52" s="1221"/>
      <c r="S52" s="1221"/>
      <c r="T52" s="1221"/>
      <c r="U52" s="1221"/>
      <c r="V52" s="1221"/>
      <c r="W52" s="1221"/>
      <c r="X52" s="1222"/>
      <c r="Z52" s="322"/>
      <c r="AA52" s="322"/>
    </row>
    <row r="53" spans="1:44" s="315" customFormat="1" ht="14.25">
      <c r="A53" s="547" t="s">
        <v>163</v>
      </c>
      <c r="B53" s="620"/>
      <c r="C53" s="620"/>
      <c r="D53" s="363" t="str">
        <f>IF(D54+D55=0,"",D54+D55)</f>
        <v/>
      </c>
      <c r="E53" s="363" t="str">
        <f>IF(E54+E55=0,"",E54+E55)</f>
        <v/>
      </c>
      <c r="F53" s="363" t="str">
        <f>IF(F54+F55=0,"",F54+F55)</f>
        <v/>
      </c>
      <c r="G53" s="363" t="str">
        <f>IF(G54+G55=0,"",G54+G55)</f>
        <v/>
      </c>
      <c r="H53" s="363" t="str">
        <f>IF(H54+H55=0,"",H54+H55)</f>
        <v/>
      </c>
      <c r="I53" s="323"/>
      <c r="J53" s="368" t="str">
        <f>IF(SUM(D53:I53)=0,"",SUM(D53:I53))</f>
        <v/>
      </c>
      <c r="K53" s="321"/>
      <c r="P53" s="1220"/>
      <c r="Q53" s="1221"/>
      <c r="R53" s="1221"/>
      <c r="S53" s="1221"/>
      <c r="T53" s="1221"/>
      <c r="U53" s="1221"/>
      <c r="V53" s="1221"/>
      <c r="W53" s="1221"/>
      <c r="X53" s="1222"/>
      <c r="Z53" s="322"/>
      <c r="AA53" s="322"/>
    </row>
    <row r="54" spans="1:44" s="315" customFormat="1" ht="14.25">
      <c r="A54" s="547" t="s">
        <v>93</v>
      </c>
      <c r="B54" s="620"/>
      <c r="C54" s="620"/>
      <c r="D54" s="371"/>
      <c r="E54" s="371"/>
      <c r="F54" s="371"/>
      <c r="G54" s="371"/>
      <c r="H54" s="371"/>
      <c r="I54" s="323"/>
      <c r="J54" s="368" t="str">
        <f>IF(SUM(D54:I54)=0,"",SUM(D54:I54))</f>
        <v/>
      </c>
      <c r="K54" s="325"/>
      <c r="P54" s="1220"/>
      <c r="Q54" s="1221"/>
      <c r="R54" s="1221"/>
      <c r="S54" s="1221"/>
      <c r="T54" s="1221"/>
      <c r="U54" s="1221"/>
      <c r="V54" s="1221"/>
      <c r="W54" s="1221"/>
      <c r="X54" s="1222"/>
      <c r="Y54" s="589"/>
      <c r="Z54" s="589"/>
      <c r="AA54" s="589"/>
    </row>
    <row r="55" spans="1:44" s="315" customFormat="1" ht="14.25">
      <c r="A55" s="547" t="s">
        <v>50</v>
      </c>
      <c r="B55" s="620"/>
      <c r="C55" s="620"/>
      <c r="D55" s="371"/>
      <c r="E55" s="371"/>
      <c r="F55" s="371"/>
      <c r="G55" s="371"/>
      <c r="H55" s="371"/>
      <c r="I55" s="323"/>
      <c r="J55" s="368" t="str">
        <f>IF(SUM(D55:I55)=0,"",SUM(D55:I55))</f>
        <v/>
      </c>
      <c r="K55" s="325"/>
      <c r="P55" s="1220"/>
      <c r="Q55" s="1221"/>
      <c r="R55" s="1221"/>
      <c r="S55" s="1221"/>
      <c r="T55" s="1221"/>
      <c r="U55" s="1221"/>
      <c r="V55" s="1221"/>
      <c r="W55" s="1221"/>
      <c r="X55" s="1222"/>
      <c r="Y55" s="589"/>
      <c r="Z55" s="589"/>
      <c r="AA55" s="589"/>
    </row>
    <row r="56" spans="1:44" s="315" customFormat="1" ht="15" thickBot="1">
      <c r="A56" s="557" t="s">
        <v>162</v>
      </c>
      <c r="B56" s="621"/>
      <c r="C56" s="621"/>
      <c r="D56" s="372"/>
      <c r="E56" s="372"/>
      <c r="F56" s="372"/>
      <c r="G56" s="372"/>
      <c r="H56" s="372"/>
      <c r="I56" s="369" t="str">
        <f>IF(SUM(E59:AQ59)=0,"",SUM(E59:AQ59))</f>
        <v/>
      </c>
      <c r="J56" s="370" t="str">
        <f>IF(SUM(D56:I56)=0,"",SUM(D56:I56))</f>
        <v/>
      </c>
      <c r="K56" s="325"/>
      <c r="O56" s="354"/>
      <c r="P56" s="1223"/>
      <c r="Q56" s="1224"/>
      <c r="R56" s="1224"/>
      <c r="S56" s="1224"/>
      <c r="T56" s="1224"/>
      <c r="U56" s="1224"/>
      <c r="V56" s="1224"/>
      <c r="W56" s="1224"/>
      <c r="X56" s="1225"/>
      <c r="Y56" s="589"/>
      <c r="Z56" s="589"/>
      <c r="AA56" s="589"/>
    </row>
    <row r="57" spans="1:44" s="315" customFormat="1" ht="10.5" customHeight="1" thickBot="1"/>
    <row r="58" spans="1:44" s="315" customFormat="1" ht="14.25">
      <c r="A58" s="616" t="s">
        <v>16</v>
      </c>
      <c r="B58" s="617"/>
      <c r="C58" s="617"/>
      <c r="D58" s="366">
        <v>1</v>
      </c>
      <c r="E58" s="366">
        <v>2</v>
      </c>
      <c r="F58" s="366">
        <v>3</v>
      </c>
      <c r="G58" s="366">
        <v>4</v>
      </c>
      <c r="H58" s="366">
        <v>5</v>
      </c>
      <c r="I58" s="366">
        <v>6</v>
      </c>
      <c r="J58" s="366">
        <v>7</v>
      </c>
      <c r="K58" s="366">
        <v>8</v>
      </c>
      <c r="L58" s="366">
        <v>9</v>
      </c>
      <c r="M58" s="366">
        <v>10</v>
      </c>
      <c r="N58" s="366">
        <v>11</v>
      </c>
      <c r="O58" s="366">
        <v>12</v>
      </c>
      <c r="P58" s="366">
        <v>13</v>
      </c>
      <c r="Q58" s="366">
        <v>14</v>
      </c>
      <c r="R58" s="366">
        <v>15</v>
      </c>
      <c r="S58" s="366">
        <v>16</v>
      </c>
      <c r="T58" s="366">
        <v>17</v>
      </c>
      <c r="U58" s="366">
        <v>18</v>
      </c>
      <c r="V58" s="366">
        <v>19</v>
      </c>
      <c r="W58" s="366">
        <v>20</v>
      </c>
      <c r="X58" s="366">
        <v>21</v>
      </c>
      <c r="Y58" s="366">
        <v>22</v>
      </c>
      <c r="Z58" s="366">
        <v>23</v>
      </c>
      <c r="AA58" s="366">
        <v>24</v>
      </c>
      <c r="AB58" s="366">
        <v>25</v>
      </c>
      <c r="AC58" s="366">
        <v>26</v>
      </c>
      <c r="AD58" s="366">
        <v>27</v>
      </c>
      <c r="AE58" s="366">
        <v>28</v>
      </c>
      <c r="AF58" s="366">
        <v>29</v>
      </c>
      <c r="AG58" s="366">
        <v>30</v>
      </c>
      <c r="AH58" s="366">
        <v>31</v>
      </c>
      <c r="AI58" s="366">
        <v>32</v>
      </c>
      <c r="AJ58" s="366">
        <v>33</v>
      </c>
      <c r="AK58" s="366">
        <v>34</v>
      </c>
      <c r="AL58" s="366">
        <v>35</v>
      </c>
      <c r="AM58" s="366">
        <v>36</v>
      </c>
      <c r="AN58" s="366">
        <v>37</v>
      </c>
      <c r="AO58" s="366">
        <v>38</v>
      </c>
      <c r="AP58" s="366">
        <v>39</v>
      </c>
      <c r="AQ58" s="320">
        <v>40</v>
      </c>
    </row>
    <row r="59" spans="1:44" s="315" customFormat="1" ht="14.25">
      <c r="A59" s="547" t="s">
        <v>206</v>
      </c>
      <c r="B59" s="620"/>
      <c r="C59" s="620"/>
      <c r="D59" s="365"/>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6"/>
    </row>
    <row r="60" spans="1:44" s="315" customFormat="1" ht="14.25">
      <c r="A60" s="622" t="s">
        <v>1</v>
      </c>
      <c r="B60" s="623"/>
      <c r="C60" s="624" t="s">
        <v>63</v>
      </c>
      <c r="D60" s="327"/>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9"/>
      <c r="AM60" s="329"/>
      <c r="AN60" s="329"/>
      <c r="AO60" s="328"/>
      <c r="AP60" s="328"/>
      <c r="AQ60" s="330"/>
      <c r="AR60" s="362"/>
    </row>
    <row r="61" spans="1:44" s="315" customFormat="1" ht="14.25">
      <c r="A61" s="622" t="s">
        <v>2</v>
      </c>
      <c r="B61" s="623"/>
      <c r="C61" s="624"/>
      <c r="D61" s="327"/>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31"/>
      <c r="AQ61" s="332"/>
      <c r="AR61" s="362"/>
    </row>
    <row r="62" spans="1:44" s="315" customFormat="1" ht="14.25">
      <c r="A62" s="547" t="s">
        <v>261</v>
      </c>
      <c r="B62" s="620"/>
      <c r="C62" s="620"/>
      <c r="D62" s="333"/>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29"/>
      <c r="AM62" s="329"/>
      <c r="AN62" s="329"/>
      <c r="AO62" s="334"/>
      <c r="AP62" s="334"/>
      <c r="AQ62" s="335"/>
    </row>
    <row r="63" spans="1:44" s="315" customFormat="1" ht="14.25">
      <c r="A63" s="1206" t="s">
        <v>297</v>
      </c>
      <c r="B63" s="1207"/>
      <c r="C63" s="1207"/>
      <c r="D63" s="373"/>
      <c r="E63" s="374" t="str">
        <f t="shared" ref="E63:AQ63" si="23">IFERROR(E86,"")</f>
        <v/>
      </c>
      <c r="F63" s="374" t="str">
        <f t="shared" si="23"/>
        <v/>
      </c>
      <c r="G63" s="374" t="str">
        <f t="shared" si="23"/>
        <v/>
      </c>
      <c r="H63" s="374" t="str">
        <f t="shared" si="23"/>
        <v/>
      </c>
      <c r="I63" s="374" t="str">
        <f t="shared" si="23"/>
        <v/>
      </c>
      <c r="J63" s="374" t="str">
        <f t="shared" si="23"/>
        <v/>
      </c>
      <c r="K63" s="374" t="str">
        <f t="shared" si="23"/>
        <v/>
      </c>
      <c r="L63" s="374" t="str">
        <f t="shared" si="23"/>
        <v/>
      </c>
      <c r="M63" s="374" t="str">
        <f t="shared" si="23"/>
        <v/>
      </c>
      <c r="N63" s="374" t="str">
        <f t="shared" si="23"/>
        <v/>
      </c>
      <c r="O63" s="374" t="str">
        <f t="shared" si="23"/>
        <v/>
      </c>
      <c r="P63" s="374" t="str">
        <f t="shared" si="23"/>
        <v/>
      </c>
      <c r="Q63" s="374" t="str">
        <f t="shared" si="23"/>
        <v/>
      </c>
      <c r="R63" s="374" t="str">
        <f t="shared" si="23"/>
        <v/>
      </c>
      <c r="S63" s="374" t="str">
        <f t="shared" si="23"/>
        <v/>
      </c>
      <c r="T63" s="374" t="str">
        <f t="shared" si="23"/>
        <v/>
      </c>
      <c r="U63" s="374" t="str">
        <f t="shared" si="23"/>
        <v/>
      </c>
      <c r="V63" s="374" t="str">
        <f t="shared" si="23"/>
        <v/>
      </c>
      <c r="W63" s="374" t="str">
        <f t="shared" si="23"/>
        <v/>
      </c>
      <c r="X63" s="374" t="str">
        <f t="shared" si="23"/>
        <v/>
      </c>
      <c r="Y63" s="374" t="str">
        <f t="shared" si="23"/>
        <v/>
      </c>
      <c r="Z63" s="374" t="str">
        <f t="shared" si="23"/>
        <v/>
      </c>
      <c r="AA63" s="374" t="str">
        <f t="shared" si="23"/>
        <v/>
      </c>
      <c r="AB63" s="374" t="str">
        <f t="shared" si="23"/>
        <v/>
      </c>
      <c r="AC63" s="374" t="str">
        <f t="shared" si="23"/>
        <v/>
      </c>
      <c r="AD63" s="374" t="str">
        <f t="shared" si="23"/>
        <v/>
      </c>
      <c r="AE63" s="374" t="str">
        <f t="shared" si="23"/>
        <v/>
      </c>
      <c r="AF63" s="374" t="str">
        <f t="shared" si="23"/>
        <v/>
      </c>
      <c r="AG63" s="374" t="str">
        <f t="shared" si="23"/>
        <v/>
      </c>
      <c r="AH63" s="374" t="str">
        <f t="shared" si="23"/>
        <v/>
      </c>
      <c r="AI63" s="374" t="str">
        <f t="shared" si="23"/>
        <v/>
      </c>
      <c r="AJ63" s="374" t="str">
        <f t="shared" si="23"/>
        <v/>
      </c>
      <c r="AK63" s="374" t="str">
        <f t="shared" si="23"/>
        <v/>
      </c>
      <c r="AL63" s="374" t="str">
        <f t="shared" si="23"/>
        <v/>
      </c>
      <c r="AM63" s="374" t="str">
        <f t="shared" si="23"/>
        <v/>
      </c>
      <c r="AN63" s="374" t="str">
        <f t="shared" si="23"/>
        <v/>
      </c>
      <c r="AO63" s="374" t="str">
        <f t="shared" si="23"/>
        <v/>
      </c>
      <c r="AP63" s="374" t="str">
        <f t="shared" si="23"/>
        <v/>
      </c>
      <c r="AQ63" s="375" t="str">
        <f t="shared" si="23"/>
        <v/>
      </c>
      <c r="AR63" s="362"/>
    </row>
    <row r="64" spans="1:44" s="315" customFormat="1" ht="14.25" customHeight="1">
      <c r="A64" s="1206" t="s">
        <v>296</v>
      </c>
      <c r="B64" s="1207"/>
      <c r="C64" s="1207"/>
      <c r="D64" s="373"/>
      <c r="E64" s="374" t="str">
        <f t="shared" ref="E64:AQ64" si="24">IFERROR(E87,"")</f>
        <v/>
      </c>
      <c r="F64" s="374" t="str">
        <f t="shared" si="24"/>
        <v/>
      </c>
      <c r="G64" s="374" t="str">
        <f t="shared" si="24"/>
        <v/>
      </c>
      <c r="H64" s="374" t="str">
        <f t="shared" si="24"/>
        <v/>
      </c>
      <c r="I64" s="374" t="str">
        <f t="shared" si="24"/>
        <v/>
      </c>
      <c r="J64" s="374" t="str">
        <f t="shared" si="24"/>
        <v/>
      </c>
      <c r="K64" s="374" t="str">
        <f t="shared" si="24"/>
        <v/>
      </c>
      <c r="L64" s="374" t="str">
        <f t="shared" si="24"/>
        <v/>
      </c>
      <c r="M64" s="374" t="str">
        <f t="shared" si="24"/>
        <v/>
      </c>
      <c r="N64" s="374" t="str">
        <f t="shared" si="24"/>
        <v/>
      </c>
      <c r="O64" s="374" t="str">
        <f t="shared" si="24"/>
        <v/>
      </c>
      <c r="P64" s="374" t="str">
        <f t="shared" si="24"/>
        <v/>
      </c>
      <c r="Q64" s="374" t="str">
        <f t="shared" si="24"/>
        <v/>
      </c>
      <c r="R64" s="374" t="str">
        <f t="shared" si="24"/>
        <v/>
      </c>
      <c r="S64" s="374" t="str">
        <f t="shared" si="24"/>
        <v/>
      </c>
      <c r="T64" s="374" t="str">
        <f t="shared" si="24"/>
        <v/>
      </c>
      <c r="U64" s="374" t="str">
        <f t="shared" si="24"/>
        <v/>
      </c>
      <c r="V64" s="374" t="str">
        <f t="shared" si="24"/>
        <v/>
      </c>
      <c r="W64" s="374" t="str">
        <f t="shared" si="24"/>
        <v/>
      </c>
      <c r="X64" s="374" t="str">
        <f t="shared" si="24"/>
        <v/>
      </c>
      <c r="Y64" s="374" t="str">
        <f t="shared" si="24"/>
        <v/>
      </c>
      <c r="Z64" s="374" t="str">
        <f t="shared" si="24"/>
        <v/>
      </c>
      <c r="AA64" s="374" t="str">
        <f t="shared" si="24"/>
        <v/>
      </c>
      <c r="AB64" s="374" t="str">
        <f t="shared" si="24"/>
        <v/>
      </c>
      <c r="AC64" s="374" t="str">
        <f t="shared" si="24"/>
        <v/>
      </c>
      <c r="AD64" s="374" t="str">
        <f t="shared" si="24"/>
        <v/>
      </c>
      <c r="AE64" s="374" t="str">
        <f t="shared" si="24"/>
        <v/>
      </c>
      <c r="AF64" s="374" t="str">
        <f t="shared" si="24"/>
        <v/>
      </c>
      <c r="AG64" s="374" t="str">
        <f t="shared" si="24"/>
        <v/>
      </c>
      <c r="AH64" s="374" t="str">
        <f t="shared" si="24"/>
        <v/>
      </c>
      <c r="AI64" s="374" t="str">
        <f t="shared" si="24"/>
        <v/>
      </c>
      <c r="AJ64" s="374" t="str">
        <f t="shared" si="24"/>
        <v/>
      </c>
      <c r="AK64" s="374" t="str">
        <f t="shared" si="24"/>
        <v/>
      </c>
      <c r="AL64" s="374" t="str">
        <f t="shared" si="24"/>
        <v/>
      </c>
      <c r="AM64" s="374" t="str">
        <f t="shared" si="24"/>
        <v/>
      </c>
      <c r="AN64" s="374" t="str">
        <f t="shared" si="24"/>
        <v/>
      </c>
      <c r="AO64" s="374" t="str">
        <f t="shared" si="24"/>
        <v/>
      </c>
      <c r="AP64" s="374" t="str">
        <f t="shared" si="24"/>
        <v/>
      </c>
      <c r="AQ64" s="375" t="str">
        <f t="shared" si="24"/>
        <v/>
      </c>
      <c r="AR64" s="362"/>
    </row>
    <row r="65" spans="1:44" s="315" customFormat="1" ht="14.25">
      <c r="A65" s="1206" t="s">
        <v>406</v>
      </c>
      <c r="B65" s="1207"/>
      <c r="C65" s="1207"/>
      <c r="D65" s="373"/>
      <c r="E65" s="374" t="str">
        <f t="shared" ref="E65:AQ65" si="25">IFERROR(E88,"")</f>
        <v/>
      </c>
      <c r="F65" s="374" t="str">
        <f t="shared" si="25"/>
        <v/>
      </c>
      <c r="G65" s="374" t="str">
        <f t="shared" si="25"/>
        <v/>
      </c>
      <c r="H65" s="374" t="str">
        <f t="shared" si="25"/>
        <v/>
      </c>
      <c r="I65" s="374" t="str">
        <f t="shared" si="25"/>
        <v/>
      </c>
      <c r="J65" s="374" t="str">
        <f t="shared" si="25"/>
        <v/>
      </c>
      <c r="K65" s="374" t="str">
        <f t="shared" si="25"/>
        <v/>
      </c>
      <c r="L65" s="374" t="str">
        <f t="shared" si="25"/>
        <v/>
      </c>
      <c r="M65" s="374" t="str">
        <f t="shared" si="25"/>
        <v/>
      </c>
      <c r="N65" s="374" t="str">
        <f t="shared" si="25"/>
        <v/>
      </c>
      <c r="O65" s="374" t="str">
        <f t="shared" si="25"/>
        <v/>
      </c>
      <c r="P65" s="374" t="str">
        <f t="shared" si="25"/>
        <v/>
      </c>
      <c r="Q65" s="374" t="str">
        <f t="shared" si="25"/>
        <v/>
      </c>
      <c r="R65" s="374" t="str">
        <f t="shared" si="25"/>
        <v/>
      </c>
      <c r="S65" s="374" t="str">
        <f t="shared" si="25"/>
        <v/>
      </c>
      <c r="T65" s="374" t="str">
        <f t="shared" si="25"/>
        <v/>
      </c>
      <c r="U65" s="374" t="str">
        <f t="shared" si="25"/>
        <v/>
      </c>
      <c r="V65" s="374" t="str">
        <f t="shared" si="25"/>
        <v/>
      </c>
      <c r="W65" s="374" t="str">
        <f t="shared" si="25"/>
        <v/>
      </c>
      <c r="X65" s="374" t="str">
        <f t="shared" si="25"/>
        <v/>
      </c>
      <c r="Y65" s="374" t="str">
        <f t="shared" si="25"/>
        <v/>
      </c>
      <c r="Z65" s="374" t="str">
        <f t="shared" si="25"/>
        <v/>
      </c>
      <c r="AA65" s="374" t="str">
        <f t="shared" si="25"/>
        <v/>
      </c>
      <c r="AB65" s="374" t="str">
        <f t="shared" si="25"/>
        <v/>
      </c>
      <c r="AC65" s="374" t="str">
        <f t="shared" si="25"/>
        <v/>
      </c>
      <c r="AD65" s="374" t="str">
        <f t="shared" si="25"/>
        <v/>
      </c>
      <c r="AE65" s="374" t="str">
        <f t="shared" si="25"/>
        <v/>
      </c>
      <c r="AF65" s="374" t="str">
        <f t="shared" si="25"/>
        <v/>
      </c>
      <c r="AG65" s="374" t="str">
        <f t="shared" si="25"/>
        <v/>
      </c>
      <c r="AH65" s="374" t="str">
        <f t="shared" si="25"/>
        <v/>
      </c>
      <c r="AI65" s="374" t="str">
        <f t="shared" si="25"/>
        <v/>
      </c>
      <c r="AJ65" s="374" t="str">
        <f t="shared" si="25"/>
        <v/>
      </c>
      <c r="AK65" s="374" t="str">
        <f t="shared" si="25"/>
        <v/>
      </c>
      <c r="AL65" s="374" t="str">
        <f t="shared" si="25"/>
        <v/>
      </c>
      <c r="AM65" s="374" t="str">
        <f t="shared" si="25"/>
        <v/>
      </c>
      <c r="AN65" s="374" t="str">
        <f t="shared" si="25"/>
        <v/>
      </c>
      <c r="AO65" s="374" t="str">
        <f t="shared" si="25"/>
        <v/>
      </c>
      <c r="AP65" s="374" t="str">
        <f t="shared" si="25"/>
        <v/>
      </c>
      <c r="AQ65" s="376" t="str">
        <f t="shared" si="25"/>
        <v/>
      </c>
    </row>
    <row r="66" spans="1:44" s="315" customFormat="1" ht="14.25">
      <c r="A66" s="1208" t="s">
        <v>446</v>
      </c>
      <c r="B66" s="1209"/>
      <c r="C66" s="1209"/>
      <c r="D66" s="377"/>
      <c r="E66" s="374" t="str">
        <f t="shared" ref="E66:AQ66" si="26">IFERROR(E89,"")</f>
        <v/>
      </c>
      <c r="F66" s="374" t="str">
        <f t="shared" si="26"/>
        <v/>
      </c>
      <c r="G66" s="374" t="str">
        <f t="shared" si="26"/>
        <v/>
      </c>
      <c r="H66" s="374" t="str">
        <f t="shared" si="26"/>
        <v/>
      </c>
      <c r="I66" s="374" t="str">
        <f t="shared" si="26"/>
        <v/>
      </c>
      <c r="J66" s="374" t="str">
        <f t="shared" si="26"/>
        <v/>
      </c>
      <c r="K66" s="374" t="str">
        <f t="shared" si="26"/>
        <v/>
      </c>
      <c r="L66" s="374" t="str">
        <f t="shared" si="26"/>
        <v/>
      </c>
      <c r="M66" s="374" t="str">
        <f t="shared" si="26"/>
        <v/>
      </c>
      <c r="N66" s="374" t="str">
        <f t="shared" si="26"/>
        <v/>
      </c>
      <c r="O66" s="374" t="str">
        <f t="shared" si="26"/>
        <v/>
      </c>
      <c r="P66" s="374" t="str">
        <f t="shared" si="26"/>
        <v/>
      </c>
      <c r="Q66" s="374" t="str">
        <f t="shared" si="26"/>
        <v/>
      </c>
      <c r="R66" s="374" t="str">
        <f t="shared" si="26"/>
        <v/>
      </c>
      <c r="S66" s="374" t="str">
        <f t="shared" si="26"/>
        <v/>
      </c>
      <c r="T66" s="374" t="str">
        <f t="shared" si="26"/>
        <v/>
      </c>
      <c r="U66" s="374" t="str">
        <f t="shared" si="26"/>
        <v/>
      </c>
      <c r="V66" s="374" t="str">
        <f t="shared" si="26"/>
        <v/>
      </c>
      <c r="W66" s="374" t="str">
        <f t="shared" si="26"/>
        <v/>
      </c>
      <c r="X66" s="374" t="str">
        <f t="shared" si="26"/>
        <v/>
      </c>
      <c r="Y66" s="374" t="str">
        <f t="shared" si="26"/>
        <v/>
      </c>
      <c r="Z66" s="374" t="str">
        <f t="shared" si="26"/>
        <v/>
      </c>
      <c r="AA66" s="374" t="str">
        <f t="shared" si="26"/>
        <v/>
      </c>
      <c r="AB66" s="374" t="str">
        <f t="shared" si="26"/>
        <v/>
      </c>
      <c r="AC66" s="374" t="str">
        <f t="shared" si="26"/>
        <v/>
      </c>
      <c r="AD66" s="374" t="str">
        <f t="shared" si="26"/>
        <v/>
      </c>
      <c r="AE66" s="374" t="str">
        <f t="shared" si="26"/>
        <v/>
      </c>
      <c r="AF66" s="374" t="str">
        <f t="shared" si="26"/>
        <v/>
      </c>
      <c r="AG66" s="374" t="str">
        <f t="shared" si="26"/>
        <v/>
      </c>
      <c r="AH66" s="374" t="str">
        <f t="shared" si="26"/>
        <v/>
      </c>
      <c r="AI66" s="374" t="str">
        <f t="shared" si="26"/>
        <v/>
      </c>
      <c r="AJ66" s="374" t="str">
        <f t="shared" si="26"/>
        <v/>
      </c>
      <c r="AK66" s="374" t="str">
        <f t="shared" si="26"/>
        <v/>
      </c>
      <c r="AL66" s="374" t="str">
        <f t="shared" si="26"/>
        <v/>
      </c>
      <c r="AM66" s="374" t="str">
        <f t="shared" si="26"/>
        <v/>
      </c>
      <c r="AN66" s="374" t="str">
        <f t="shared" si="26"/>
        <v/>
      </c>
      <c r="AO66" s="374" t="str">
        <f t="shared" si="26"/>
        <v/>
      </c>
      <c r="AP66" s="374" t="str">
        <f t="shared" si="26"/>
        <v/>
      </c>
      <c r="AQ66" s="375" t="str">
        <f t="shared" si="26"/>
        <v/>
      </c>
      <c r="AR66" s="362"/>
    </row>
    <row r="67" spans="1:44" s="315" customFormat="1" ht="14.25" hidden="1">
      <c r="A67" s="547" t="s">
        <v>336</v>
      </c>
      <c r="B67" s="620"/>
      <c r="C67" s="620"/>
      <c r="D67" s="378"/>
      <c r="E67" s="379">
        <f t="shared" ref="E67:AQ67" si="27">IF(E59="",0,E59)</f>
        <v>0</v>
      </c>
      <c r="F67" s="379">
        <f t="shared" si="27"/>
        <v>0</v>
      </c>
      <c r="G67" s="379">
        <f t="shared" si="27"/>
        <v>0</v>
      </c>
      <c r="H67" s="379">
        <f t="shared" si="27"/>
        <v>0</v>
      </c>
      <c r="I67" s="379">
        <f t="shared" si="27"/>
        <v>0</v>
      </c>
      <c r="J67" s="379">
        <f t="shared" si="27"/>
        <v>0</v>
      </c>
      <c r="K67" s="379">
        <f t="shared" si="27"/>
        <v>0</v>
      </c>
      <c r="L67" s="379">
        <f t="shared" si="27"/>
        <v>0</v>
      </c>
      <c r="M67" s="379">
        <f t="shared" si="27"/>
        <v>0</v>
      </c>
      <c r="N67" s="379">
        <f t="shared" si="27"/>
        <v>0</v>
      </c>
      <c r="O67" s="379">
        <f t="shared" si="27"/>
        <v>0</v>
      </c>
      <c r="P67" s="379">
        <f t="shared" si="27"/>
        <v>0</v>
      </c>
      <c r="Q67" s="379">
        <f t="shared" si="27"/>
        <v>0</v>
      </c>
      <c r="R67" s="379">
        <f t="shared" si="27"/>
        <v>0</v>
      </c>
      <c r="S67" s="379">
        <f t="shared" si="27"/>
        <v>0</v>
      </c>
      <c r="T67" s="379">
        <f t="shared" si="27"/>
        <v>0</v>
      </c>
      <c r="U67" s="379">
        <f t="shared" si="27"/>
        <v>0</v>
      </c>
      <c r="V67" s="379">
        <f t="shared" si="27"/>
        <v>0</v>
      </c>
      <c r="W67" s="379">
        <f t="shared" si="27"/>
        <v>0</v>
      </c>
      <c r="X67" s="379">
        <f t="shared" si="27"/>
        <v>0</v>
      </c>
      <c r="Y67" s="379">
        <f t="shared" si="27"/>
        <v>0</v>
      </c>
      <c r="Z67" s="379">
        <f t="shared" si="27"/>
        <v>0</v>
      </c>
      <c r="AA67" s="379">
        <f t="shared" si="27"/>
        <v>0</v>
      </c>
      <c r="AB67" s="379">
        <f t="shared" si="27"/>
        <v>0</v>
      </c>
      <c r="AC67" s="379">
        <f t="shared" si="27"/>
        <v>0</v>
      </c>
      <c r="AD67" s="379">
        <f t="shared" si="27"/>
        <v>0</v>
      </c>
      <c r="AE67" s="379">
        <f t="shared" si="27"/>
        <v>0</v>
      </c>
      <c r="AF67" s="379">
        <f t="shared" si="27"/>
        <v>0</v>
      </c>
      <c r="AG67" s="379">
        <f t="shared" si="27"/>
        <v>0</v>
      </c>
      <c r="AH67" s="379">
        <f t="shared" si="27"/>
        <v>0</v>
      </c>
      <c r="AI67" s="379">
        <f t="shared" si="27"/>
        <v>0</v>
      </c>
      <c r="AJ67" s="379">
        <f t="shared" si="27"/>
        <v>0</v>
      </c>
      <c r="AK67" s="379">
        <f t="shared" si="27"/>
        <v>0</v>
      </c>
      <c r="AL67" s="379">
        <f t="shared" si="27"/>
        <v>0</v>
      </c>
      <c r="AM67" s="379">
        <f t="shared" si="27"/>
        <v>0</v>
      </c>
      <c r="AN67" s="379">
        <f t="shared" si="27"/>
        <v>0</v>
      </c>
      <c r="AO67" s="379">
        <f t="shared" si="27"/>
        <v>0</v>
      </c>
      <c r="AP67" s="379">
        <f t="shared" si="27"/>
        <v>0</v>
      </c>
      <c r="AQ67" s="380">
        <f t="shared" si="27"/>
        <v>0</v>
      </c>
      <c r="AR67" s="86"/>
    </row>
    <row r="68" spans="1:44" s="315" customFormat="1" ht="14.25" hidden="1">
      <c r="A68" s="565" t="s">
        <v>328</v>
      </c>
      <c r="B68" s="566"/>
      <c r="C68" s="567"/>
      <c r="D68" s="381">
        <f>SUM(D56:G56)</f>
        <v>0</v>
      </c>
      <c r="E68" s="382">
        <f t="shared" ref="E68:AQ68" si="28">D68+D67</f>
        <v>0</v>
      </c>
      <c r="F68" s="382">
        <f t="shared" si="28"/>
        <v>0</v>
      </c>
      <c r="G68" s="382">
        <f t="shared" si="28"/>
        <v>0</v>
      </c>
      <c r="H68" s="382">
        <f t="shared" si="28"/>
        <v>0</v>
      </c>
      <c r="I68" s="382">
        <f t="shared" si="28"/>
        <v>0</v>
      </c>
      <c r="J68" s="382">
        <f t="shared" si="28"/>
        <v>0</v>
      </c>
      <c r="K68" s="382">
        <f t="shared" si="28"/>
        <v>0</v>
      </c>
      <c r="L68" s="382">
        <f t="shared" si="28"/>
        <v>0</v>
      </c>
      <c r="M68" s="382">
        <f t="shared" si="28"/>
        <v>0</v>
      </c>
      <c r="N68" s="382">
        <f t="shared" si="28"/>
        <v>0</v>
      </c>
      <c r="O68" s="382">
        <f t="shared" si="28"/>
        <v>0</v>
      </c>
      <c r="P68" s="382">
        <f t="shared" si="28"/>
        <v>0</v>
      </c>
      <c r="Q68" s="382">
        <f t="shared" si="28"/>
        <v>0</v>
      </c>
      <c r="R68" s="382">
        <f t="shared" si="28"/>
        <v>0</v>
      </c>
      <c r="S68" s="382">
        <f t="shared" si="28"/>
        <v>0</v>
      </c>
      <c r="T68" s="382">
        <f t="shared" si="28"/>
        <v>0</v>
      </c>
      <c r="U68" s="382">
        <f t="shared" si="28"/>
        <v>0</v>
      </c>
      <c r="V68" s="382">
        <f t="shared" si="28"/>
        <v>0</v>
      </c>
      <c r="W68" s="382">
        <f t="shared" si="28"/>
        <v>0</v>
      </c>
      <c r="X68" s="382">
        <f t="shared" si="28"/>
        <v>0</v>
      </c>
      <c r="Y68" s="382">
        <f t="shared" si="28"/>
        <v>0</v>
      </c>
      <c r="Z68" s="382">
        <f t="shared" si="28"/>
        <v>0</v>
      </c>
      <c r="AA68" s="382">
        <f t="shared" si="28"/>
        <v>0</v>
      </c>
      <c r="AB68" s="382">
        <f t="shared" si="28"/>
        <v>0</v>
      </c>
      <c r="AC68" s="382">
        <f t="shared" si="28"/>
        <v>0</v>
      </c>
      <c r="AD68" s="382">
        <f t="shared" si="28"/>
        <v>0</v>
      </c>
      <c r="AE68" s="382">
        <f t="shared" si="28"/>
        <v>0</v>
      </c>
      <c r="AF68" s="382">
        <f t="shared" si="28"/>
        <v>0</v>
      </c>
      <c r="AG68" s="382">
        <f t="shared" si="28"/>
        <v>0</v>
      </c>
      <c r="AH68" s="382">
        <f t="shared" si="28"/>
        <v>0</v>
      </c>
      <c r="AI68" s="382">
        <f t="shared" si="28"/>
        <v>0</v>
      </c>
      <c r="AJ68" s="382">
        <f t="shared" si="28"/>
        <v>0</v>
      </c>
      <c r="AK68" s="382">
        <f t="shared" si="28"/>
        <v>0</v>
      </c>
      <c r="AL68" s="382">
        <f t="shared" si="28"/>
        <v>0</v>
      </c>
      <c r="AM68" s="382">
        <f t="shared" si="28"/>
        <v>0</v>
      </c>
      <c r="AN68" s="382">
        <f t="shared" si="28"/>
        <v>0</v>
      </c>
      <c r="AO68" s="382">
        <f t="shared" si="28"/>
        <v>0</v>
      </c>
      <c r="AP68" s="382">
        <f t="shared" si="28"/>
        <v>0</v>
      </c>
      <c r="AQ68" s="383">
        <f t="shared" si="28"/>
        <v>0</v>
      </c>
      <c r="AR68"/>
    </row>
    <row r="69" spans="1:44" s="315" customFormat="1" ht="14.25" hidden="1">
      <c r="A69" s="565" t="s">
        <v>329</v>
      </c>
      <c r="B69" s="566"/>
      <c r="C69" s="567"/>
      <c r="D69" s="384" t="e">
        <f t="shared" ref="D69:AQ69" si="29">(D68)/SUM($D53:$G53)*100</f>
        <v>#DIV/0!</v>
      </c>
      <c r="E69" s="384" t="e">
        <f t="shared" si="29"/>
        <v>#DIV/0!</v>
      </c>
      <c r="F69" s="384" t="e">
        <f t="shared" si="29"/>
        <v>#DIV/0!</v>
      </c>
      <c r="G69" s="384" t="e">
        <f t="shared" si="29"/>
        <v>#DIV/0!</v>
      </c>
      <c r="H69" s="384" t="e">
        <f t="shared" si="29"/>
        <v>#DIV/0!</v>
      </c>
      <c r="I69" s="384" t="e">
        <f t="shared" si="29"/>
        <v>#DIV/0!</v>
      </c>
      <c r="J69" s="384" t="e">
        <f t="shared" si="29"/>
        <v>#DIV/0!</v>
      </c>
      <c r="K69" s="384" t="e">
        <f t="shared" si="29"/>
        <v>#DIV/0!</v>
      </c>
      <c r="L69" s="384" t="e">
        <f t="shared" si="29"/>
        <v>#DIV/0!</v>
      </c>
      <c r="M69" s="384" t="e">
        <f t="shared" si="29"/>
        <v>#DIV/0!</v>
      </c>
      <c r="N69" s="384" t="e">
        <f t="shared" si="29"/>
        <v>#DIV/0!</v>
      </c>
      <c r="O69" s="384" t="e">
        <f t="shared" si="29"/>
        <v>#DIV/0!</v>
      </c>
      <c r="P69" s="384" t="e">
        <f t="shared" si="29"/>
        <v>#DIV/0!</v>
      </c>
      <c r="Q69" s="384" t="e">
        <f t="shared" si="29"/>
        <v>#DIV/0!</v>
      </c>
      <c r="R69" s="384" t="e">
        <f t="shared" si="29"/>
        <v>#DIV/0!</v>
      </c>
      <c r="S69" s="384" t="e">
        <f t="shared" si="29"/>
        <v>#DIV/0!</v>
      </c>
      <c r="T69" s="384" t="e">
        <f t="shared" si="29"/>
        <v>#DIV/0!</v>
      </c>
      <c r="U69" s="384" t="e">
        <f t="shared" si="29"/>
        <v>#DIV/0!</v>
      </c>
      <c r="V69" s="384" t="e">
        <f t="shared" si="29"/>
        <v>#DIV/0!</v>
      </c>
      <c r="W69" s="384" t="e">
        <f t="shared" si="29"/>
        <v>#DIV/0!</v>
      </c>
      <c r="X69" s="384" t="e">
        <f t="shared" si="29"/>
        <v>#DIV/0!</v>
      </c>
      <c r="Y69" s="384" t="e">
        <f t="shared" si="29"/>
        <v>#DIV/0!</v>
      </c>
      <c r="Z69" s="384" t="e">
        <f t="shared" si="29"/>
        <v>#DIV/0!</v>
      </c>
      <c r="AA69" s="384" t="e">
        <f t="shared" si="29"/>
        <v>#DIV/0!</v>
      </c>
      <c r="AB69" s="384" t="e">
        <f t="shared" si="29"/>
        <v>#DIV/0!</v>
      </c>
      <c r="AC69" s="384" t="e">
        <f t="shared" si="29"/>
        <v>#DIV/0!</v>
      </c>
      <c r="AD69" s="384" t="e">
        <f t="shared" si="29"/>
        <v>#DIV/0!</v>
      </c>
      <c r="AE69" s="384" t="e">
        <f t="shared" si="29"/>
        <v>#DIV/0!</v>
      </c>
      <c r="AF69" s="384" t="e">
        <f t="shared" si="29"/>
        <v>#DIV/0!</v>
      </c>
      <c r="AG69" s="384" t="e">
        <f t="shared" si="29"/>
        <v>#DIV/0!</v>
      </c>
      <c r="AH69" s="384" t="e">
        <f t="shared" si="29"/>
        <v>#DIV/0!</v>
      </c>
      <c r="AI69" s="384" t="e">
        <f t="shared" si="29"/>
        <v>#DIV/0!</v>
      </c>
      <c r="AJ69" s="384" t="e">
        <f t="shared" si="29"/>
        <v>#DIV/0!</v>
      </c>
      <c r="AK69" s="384" t="e">
        <f t="shared" si="29"/>
        <v>#DIV/0!</v>
      </c>
      <c r="AL69" s="384" t="e">
        <f t="shared" si="29"/>
        <v>#DIV/0!</v>
      </c>
      <c r="AM69" s="384" t="e">
        <f t="shared" si="29"/>
        <v>#DIV/0!</v>
      </c>
      <c r="AN69" s="384" t="e">
        <f t="shared" si="29"/>
        <v>#DIV/0!</v>
      </c>
      <c r="AO69" s="384" t="e">
        <f t="shared" si="29"/>
        <v>#DIV/0!</v>
      </c>
      <c r="AP69" s="384" t="e">
        <f t="shared" si="29"/>
        <v>#DIV/0!</v>
      </c>
      <c r="AQ69" s="385" t="e">
        <f t="shared" si="29"/>
        <v>#DIV/0!</v>
      </c>
      <c r="AR69"/>
    </row>
    <row r="70" spans="1:44" s="315" customFormat="1" ht="15" thickBot="1">
      <c r="A70" s="562" t="s">
        <v>329</v>
      </c>
      <c r="B70" s="563"/>
      <c r="C70" s="564"/>
      <c r="D70" s="386" t="str">
        <f t="shared" ref="D70:AQ70" si="30">IFERROR(D69,"")</f>
        <v/>
      </c>
      <c r="E70" s="387" t="str">
        <f t="shared" si="30"/>
        <v/>
      </c>
      <c r="F70" s="387" t="str">
        <f t="shared" si="30"/>
        <v/>
      </c>
      <c r="G70" s="387" t="str">
        <f t="shared" si="30"/>
        <v/>
      </c>
      <c r="H70" s="387" t="str">
        <f t="shared" si="30"/>
        <v/>
      </c>
      <c r="I70" s="387" t="str">
        <f t="shared" si="30"/>
        <v/>
      </c>
      <c r="J70" s="387" t="str">
        <f t="shared" si="30"/>
        <v/>
      </c>
      <c r="K70" s="387" t="str">
        <f t="shared" si="30"/>
        <v/>
      </c>
      <c r="L70" s="387" t="str">
        <f t="shared" si="30"/>
        <v/>
      </c>
      <c r="M70" s="387" t="str">
        <f t="shared" si="30"/>
        <v/>
      </c>
      <c r="N70" s="387" t="str">
        <f t="shared" si="30"/>
        <v/>
      </c>
      <c r="O70" s="387" t="str">
        <f t="shared" si="30"/>
        <v/>
      </c>
      <c r="P70" s="387" t="str">
        <f t="shared" si="30"/>
        <v/>
      </c>
      <c r="Q70" s="387" t="str">
        <f t="shared" si="30"/>
        <v/>
      </c>
      <c r="R70" s="387" t="str">
        <f t="shared" si="30"/>
        <v/>
      </c>
      <c r="S70" s="387" t="str">
        <f t="shared" si="30"/>
        <v/>
      </c>
      <c r="T70" s="387" t="str">
        <f t="shared" si="30"/>
        <v/>
      </c>
      <c r="U70" s="387" t="str">
        <f t="shared" si="30"/>
        <v/>
      </c>
      <c r="V70" s="387" t="str">
        <f t="shared" si="30"/>
        <v/>
      </c>
      <c r="W70" s="387" t="str">
        <f t="shared" si="30"/>
        <v/>
      </c>
      <c r="X70" s="387" t="str">
        <f t="shared" si="30"/>
        <v/>
      </c>
      <c r="Y70" s="387" t="str">
        <f t="shared" si="30"/>
        <v/>
      </c>
      <c r="Z70" s="387" t="str">
        <f t="shared" si="30"/>
        <v/>
      </c>
      <c r="AA70" s="387" t="str">
        <f t="shared" si="30"/>
        <v/>
      </c>
      <c r="AB70" s="387" t="str">
        <f t="shared" si="30"/>
        <v/>
      </c>
      <c r="AC70" s="387" t="str">
        <f t="shared" si="30"/>
        <v/>
      </c>
      <c r="AD70" s="387" t="str">
        <f t="shared" si="30"/>
        <v/>
      </c>
      <c r="AE70" s="387" t="str">
        <f t="shared" si="30"/>
        <v/>
      </c>
      <c r="AF70" s="387" t="str">
        <f t="shared" si="30"/>
        <v/>
      </c>
      <c r="AG70" s="387" t="str">
        <f t="shared" si="30"/>
        <v/>
      </c>
      <c r="AH70" s="387" t="str">
        <f t="shared" si="30"/>
        <v/>
      </c>
      <c r="AI70" s="387" t="str">
        <f t="shared" si="30"/>
        <v/>
      </c>
      <c r="AJ70" s="387" t="str">
        <f t="shared" si="30"/>
        <v/>
      </c>
      <c r="AK70" s="387" t="str">
        <f t="shared" si="30"/>
        <v/>
      </c>
      <c r="AL70" s="387" t="str">
        <f t="shared" si="30"/>
        <v/>
      </c>
      <c r="AM70" s="387" t="str">
        <f t="shared" si="30"/>
        <v/>
      </c>
      <c r="AN70" s="387" t="str">
        <f t="shared" si="30"/>
        <v/>
      </c>
      <c r="AO70" s="387" t="str">
        <f t="shared" si="30"/>
        <v/>
      </c>
      <c r="AP70" s="387" t="str">
        <f t="shared" si="30"/>
        <v/>
      </c>
      <c r="AQ70" s="388" t="str">
        <f t="shared" si="30"/>
        <v/>
      </c>
      <c r="AR70" s="86"/>
    </row>
    <row r="72" spans="1:44" s="315" customFormat="1" ht="14.25" hidden="1">
      <c r="A72" s="336"/>
      <c r="B72" s="336" t="s">
        <v>172</v>
      </c>
      <c r="C72" s="336" t="s">
        <v>173</v>
      </c>
      <c r="D72" s="337" t="s">
        <v>174</v>
      </c>
      <c r="E72" s="336" t="s">
        <v>175</v>
      </c>
      <c r="F72" s="336" t="s">
        <v>176</v>
      </c>
      <c r="G72" s="336" t="s">
        <v>177</v>
      </c>
      <c r="H72" s="336" t="s">
        <v>178</v>
      </c>
      <c r="I72" s="336" t="s">
        <v>179</v>
      </c>
      <c r="J72" s="336" t="s">
        <v>180</v>
      </c>
      <c r="K72" s="336" t="s">
        <v>181</v>
      </c>
      <c r="L72" s="336" t="s">
        <v>298</v>
      </c>
      <c r="M72" s="336" t="s">
        <v>299</v>
      </c>
      <c r="N72" s="336" t="s">
        <v>300</v>
      </c>
      <c r="O72" s="336" t="s">
        <v>301</v>
      </c>
      <c r="P72" s="336" t="s">
        <v>302</v>
      </c>
      <c r="Q72" s="336" t="s">
        <v>303</v>
      </c>
      <c r="R72" s="336" t="s">
        <v>304</v>
      </c>
      <c r="S72" s="336" t="s">
        <v>305</v>
      </c>
      <c r="T72" s="336" t="s">
        <v>306</v>
      </c>
      <c r="U72" s="336" t="s">
        <v>307</v>
      </c>
    </row>
    <row r="73" spans="1:44" s="315" customFormat="1" ht="14.25" hidden="1">
      <c r="A73" s="338" t="s">
        <v>182</v>
      </c>
      <c r="B73" s="338" t="str">
        <f t="array" aca="1" ref="B73" ca="1">IFERROR(OFFSET(INDEX(59:59,SMALL(IF(59:59&lt;&gt;"",COLUMN(59:59)),COLUMN())),-1,0),"")</f>
        <v/>
      </c>
      <c r="C73" s="338" t="str">
        <f t="array" aca="1" ref="C73" ca="1">IFERROR(OFFSET(INDEX(59:59,SMALL(IF(59:59&lt;&gt;"",COLUMN(59:59)),COLUMN())),-1,0),"")</f>
        <v/>
      </c>
      <c r="D73" s="338" t="str">
        <f t="array" aca="1" ref="D73" ca="1">IFERROR(OFFSET(INDEX(59:59,SMALL(IF(59:59&lt;&gt;"",COLUMN(59:59)),COLUMN())),-1,0),"")</f>
        <v/>
      </c>
      <c r="E73" s="338" t="str">
        <f t="array" aca="1" ref="E73" ca="1">IFERROR(OFFSET(INDEX(59:59,SMALL(IF(59:59&lt;&gt;"",COLUMN(59:59)),COLUMN())),-1,0),"")</f>
        <v/>
      </c>
      <c r="F73" s="338" t="str">
        <f t="array" aca="1" ref="F73" ca="1">IFERROR(OFFSET(INDEX(59:59,SMALL(IF(59:59&lt;&gt;"",COLUMN(59:59)),COLUMN())),-1,0),"")</f>
        <v/>
      </c>
      <c r="G73" s="338" t="str">
        <f t="array" aca="1" ref="G73" ca="1">IFERROR(OFFSET(INDEX(59:59,SMALL(IF(59:59&lt;&gt;"",COLUMN(59:59)),COLUMN())),-1,0),"")</f>
        <v/>
      </c>
      <c r="H73" s="338" t="str">
        <f t="array" aca="1" ref="H73" ca="1">IFERROR(OFFSET(INDEX(59:59,SMALL(IF(59:59&lt;&gt;"",COLUMN(59:59)),COLUMN())),-1,0),"")</f>
        <v/>
      </c>
      <c r="I73" s="338" t="str">
        <f t="array" aca="1" ref="I73" ca="1">IFERROR(OFFSET(INDEX(59:59,SMALL(IF(59:59&lt;&gt;"",COLUMN(59:59)),COLUMN())),-1,0),"")</f>
        <v/>
      </c>
      <c r="J73" s="338" t="str">
        <f t="array" aca="1" ref="J73" ca="1">IFERROR(OFFSET(INDEX(59:59,SMALL(IF(59:59&lt;&gt;"",COLUMN(59:59)),COLUMN())),-1,0),"")</f>
        <v/>
      </c>
      <c r="K73" s="338" t="str">
        <f t="array" aca="1" ref="K73" ca="1">IFERROR(OFFSET(INDEX(59:59,SMALL(IF(59:59&lt;&gt;"",COLUMN(59:59)),COLUMN())),-1,0),"")</f>
        <v/>
      </c>
      <c r="L73" s="338" t="str">
        <f t="array" aca="1" ref="L73" ca="1">IFERROR(OFFSET(INDEX(59:59,SMALL(IF(59:59&lt;&gt;"",COLUMN(59:59)),COLUMN())),-1,0),"")</f>
        <v/>
      </c>
      <c r="M73" s="338" t="str">
        <f t="array" aca="1" ref="M73" ca="1">IFERROR(OFFSET(INDEX(59:59,SMALL(IF(59:59&lt;&gt;"",COLUMN(59:59)),COLUMN())),-1,0),"")</f>
        <v/>
      </c>
      <c r="N73" s="338" t="str">
        <f t="array" aca="1" ref="N73" ca="1">IFERROR(OFFSET(INDEX(59:59,SMALL(IF(59:59&lt;&gt;"",COLUMN(59:59)),COLUMN())),-1,0),"")</f>
        <v/>
      </c>
      <c r="O73" s="338" t="str">
        <f t="array" aca="1" ref="O73" ca="1">IFERROR(OFFSET(INDEX(59:59,SMALL(IF(59:59&lt;&gt;"",COLUMN(59:59)),COLUMN())),-1,0),"")</f>
        <v/>
      </c>
      <c r="P73" s="338" t="str">
        <f t="array" aca="1" ref="P73" ca="1">IFERROR(OFFSET(INDEX(59:59,SMALL(IF(59:59&lt;&gt;"",COLUMN(59:59)),COLUMN())),-1,0),"")</f>
        <v/>
      </c>
      <c r="Q73" s="338" t="str">
        <f t="array" aca="1" ref="Q73" ca="1">IFERROR(OFFSET(INDEX(59:59,SMALL(IF(59:59&lt;&gt;"",COLUMN(59:59)),COLUMN())),-1,0),"")</f>
        <v/>
      </c>
      <c r="R73" s="338" t="str">
        <f t="array" aca="1" ref="R73" ca="1">IFERROR(OFFSET(INDEX(59:59,SMALL(IF(59:59&lt;&gt;"",COLUMN(59:59)),COLUMN())),-1,0),"")</f>
        <v/>
      </c>
      <c r="S73" s="338" t="str">
        <f t="array" aca="1" ref="S73" ca="1">IFERROR(OFFSET(INDEX(59:59,SMALL(IF(59:59&lt;&gt;"",COLUMN(59:59)),COLUMN())),-1,0),"")</f>
        <v/>
      </c>
      <c r="T73" s="338" t="str">
        <f t="array" aca="1" ref="T73" ca="1">IFERROR(OFFSET(INDEX(59:59,SMALL(IF(59:59&lt;&gt;"",COLUMN(59:59)),COLUMN())),-1,0),"")</f>
        <v/>
      </c>
      <c r="U73" s="338" t="str">
        <f t="array" aca="1" ref="U73" ca="1">IFERROR(OFFSET(INDEX(59:59,SMALL(IF(59:59&lt;&gt;"",COLUMN(59:59)),COLUMN())),-1,0),"")</f>
        <v/>
      </c>
      <c r="AR73"/>
    </row>
    <row r="74" spans="1:44" s="315" customFormat="1" ht="14.25" hidden="1">
      <c r="A74" s="338" t="str">
        <f t="array" ref="A74">IFERROR(INDEX(59:59,SMALL(IF(59:59&lt;&gt;"",COLUMN(59:59)),COLUMN())),"")</f>
        <v>追水量（L)</v>
      </c>
      <c r="B74" s="338" t="str">
        <f t="array" ref="B74">IFERROR(INDEX(59:59,SMALL(IF(59:59&lt;&gt;"",COLUMN(59:59)),COLUMN())),"")</f>
        <v/>
      </c>
      <c r="C74" s="338" t="str">
        <f t="array" ref="C74">IFERROR(INDEX(59:59,SMALL(IF(59:59&lt;&gt;"",COLUMN(59:59)),COLUMN())),"")</f>
        <v/>
      </c>
      <c r="D74" s="338" t="str">
        <f t="array" ref="D74">IFERROR(INDEX(59:59,SMALL(IF(59:59&lt;&gt;"",COLUMN(59:59)),COLUMN())),"")</f>
        <v/>
      </c>
      <c r="E74" s="338" t="str">
        <f t="array" ref="E74">IFERROR(INDEX(59:59,SMALL(IF(59:59&lt;&gt;"",COLUMN(59:59)),COLUMN())),"")</f>
        <v/>
      </c>
      <c r="F74" s="338" t="str">
        <f t="array" ref="F74">IFERROR(INDEX(59:59,SMALL(IF(59:59&lt;&gt;"",COLUMN(59:59)),COLUMN())),"")</f>
        <v/>
      </c>
      <c r="G74" s="338" t="str">
        <f t="array" ref="G74">IFERROR(INDEX(59:59,SMALL(IF(59:59&lt;&gt;"",COLUMN(59:59)),COLUMN())),"")</f>
        <v/>
      </c>
      <c r="H74" s="338" t="str">
        <f t="array" ref="H74">IFERROR(INDEX(59:59,SMALL(IF(59:59&lt;&gt;"",COLUMN(59:59)),COLUMN())),"")</f>
        <v/>
      </c>
      <c r="I74" s="338" t="str">
        <f t="array" ref="I74">IFERROR(INDEX(59:59,SMALL(IF(59:59&lt;&gt;"",COLUMN(59:59)),COLUMN())),"")</f>
        <v/>
      </c>
      <c r="J74" s="338" t="str">
        <f t="array" ref="J74">IFERROR(INDEX(59:59,SMALL(IF(59:59&lt;&gt;"",COLUMN(59:59)),COLUMN())),"")</f>
        <v/>
      </c>
      <c r="K74" s="338" t="str">
        <f t="array" ref="K74">IFERROR(INDEX(59:59,SMALL(IF(59:59&lt;&gt;"",COLUMN(59:59)),COLUMN())),"")</f>
        <v/>
      </c>
      <c r="L74" s="338" t="str">
        <f t="array" ref="L74">IFERROR(INDEX(59:59,SMALL(IF(59:59&lt;&gt;"",COLUMN(59:59)),COLUMN())),"")</f>
        <v/>
      </c>
      <c r="M74" s="338" t="str">
        <f t="array" ref="M74">IFERROR(INDEX(59:59,SMALL(IF(59:59&lt;&gt;"",COLUMN(59:59)),COLUMN())),"")</f>
        <v/>
      </c>
      <c r="N74" s="338" t="str">
        <f t="array" ref="N74">IFERROR(INDEX(59:59,SMALL(IF(59:59&lt;&gt;"",COLUMN(59:59)),COLUMN())),"")</f>
        <v/>
      </c>
      <c r="O74" s="338" t="str">
        <f t="array" ref="O74">IFERROR(INDEX(59:59,SMALL(IF(59:59&lt;&gt;"",COLUMN(59:59)),COLUMN())),"")</f>
        <v/>
      </c>
      <c r="P74" s="338" t="str">
        <f t="array" ref="P74">IFERROR(INDEX(59:59,SMALL(IF(59:59&lt;&gt;"",COLUMN(59:59)),COLUMN())),"")</f>
        <v/>
      </c>
      <c r="Q74" s="338" t="str">
        <f t="array" ref="Q74">IFERROR(INDEX(59:59,SMALL(IF(59:59&lt;&gt;"",COLUMN(59:59)),COLUMN())),"")</f>
        <v/>
      </c>
      <c r="R74" s="338" t="str">
        <f t="array" ref="R74">IFERROR(INDEX(59:59,SMALL(IF(59:59&lt;&gt;"",COLUMN(59:59)),COLUMN())),"")</f>
        <v/>
      </c>
      <c r="S74" s="338" t="str">
        <f t="array" ref="S74">IFERROR(INDEX(59:59,SMALL(IF(59:59&lt;&gt;"",COLUMN(59:59)),COLUMN())),"")</f>
        <v/>
      </c>
      <c r="T74" s="338" t="str">
        <f t="array" ref="T74">IFERROR(INDEX(59:59,SMALL(IF(59:59&lt;&gt;"",COLUMN(59:59)),COLUMN())),"")</f>
        <v/>
      </c>
      <c r="U74" s="338" t="str">
        <f t="array" ref="U74">IFERROR(INDEX(59:59,SMALL(IF(59:59&lt;&gt;"",COLUMN(59:59)),COLUMN())),"")</f>
        <v/>
      </c>
      <c r="AR74"/>
    </row>
    <row r="75" spans="1:44" s="315" customFormat="1" ht="14.25" hidden="1">
      <c r="A75" s="627" t="s">
        <v>183</v>
      </c>
      <c r="B75" s="627"/>
      <c r="C75" s="627"/>
      <c r="D75" s="339" t="s">
        <v>184</v>
      </c>
      <c r="E75" s="339" t="s">
        <v>185</v>
      </c>
      <c r="F75" s="339" t="s">
        <v>186</v>
      </c>
      <c r="G75" s="339" t="s">
        <v>187</v>
      </c>
      <c r="H75" s="339" t="s">
        <v>188</v>
      </c>
      <c r="I75" s="339" t="s">
        <v>189</v>
      </c>
      <c r="J75" s="339" t="s">
        <v>190</v>
      </c>
      <c r="K75" s="339" t="s">
        <v>191</v>
      </c>
      <c r="L75" s="337" t="s">
        <v>192</v>
      </c>
      <c r="M75" s="337" t="s">
        <v>193</v>
      </c>
      <c r="N75" s="337" t="s">
        <v>194</v>
      </c>
      <c r="O75" s="337" t="s">
        <v>308</v>
      </c>
      <c r="P75" s="337" t="s">
        <v>309</v>
      </c>
      <c r="Q75" s="337" t="s">
        <v>310</v>
      </c>
      <c r="R75" s="337" t="s">
        <v>311</v>
      </c>
      <c r="S75" s="337" t="s">
        <v>312</v>
      </c>
      <c r="T75" s="337" t="s">
        <v>313</v>
      </c>
      <c r="U75" s="337" t="s">
        <v>314</v>
      </c>
      <c r="V75" s="337" t="s">
        <v>315</v>
      </c>
      <c r="W75" s="337" t="s">
        <v>316</v>
      </c>
      <c r="X75" s="337" t="s">
        <v>317</v>
      </c>
      <c r="AR75"/>
    </row>
    <row r="76" spans="1:44" s="315" customFormat="1" ht="14.25" hidden="1">
      <c r="A76" s="628"/>
      <c r="B76" s="628"/>
      <c r="C76" s="628"/>
      <c r="D76" s="340" t="e">
        <f>SUM(D56:G56)/SUM(D53:G53)*100</f>
        <v>#DIV/0!</v>
      </c>
      <c r="E76" s="340" t="e">
        <f>(SUM(D56:G56)+SUM(B74:B74))/SUM(D53:G53)*100</f>
        <v>#DIV/0!</v>
      </c>
      <c r="F76" s="340" t="e">
        <f>(SUM(D56:G56)+SUM(B74:C74))/SUM(D53:G53)*100</f>
        <v>#DIV/0!</v>
      </c>
      <c r="G76" s="340" t="e">
        <f>(SUM(D56:G56)+SUM(B74:D74))/SUM(D53:G53)*100</f>
        <v>#DIV/0!</v>
      </c>
      <c r="H76" s="340" t="e">
        <f>(SUM(D56:G56)+SUM(B74:E74))/SUM(D53:G53)*100</f>
        <v>#DIV/0!</v>
      </c>
      <c r="I76" s="341" t="e">
        <f>(SUM(D56:G56)+SUM(B74:F74))/SUM(D53:G53)*100</f>
        <v>#DIV/0!</v>
      </c>
      <c r="J76" s="340" t="e">
        <f>(SUM(D56:G56)+SUM(B74:G74))/SUM(D53:G53)*100</f>
        <v>#DIV/0!</v>
      </c>
      <c r="K76" s="340" t="e">
        <f>(SUM(D56:G56)+SUM(B74:H74))/SUM(D53:G53)*100</f>
        <v>#DIV/0!</v>
      </c>
      <c r="L76" s="340" t="e">
        <f>(SUM(D56:G56)+SUM(B74:I74))/SUM(D53:G53)*100</f>
        <v>#DIV/0!</v>
      </c>
      <c r="M76" s="340" t="e">
        <f>(SUM(D56:G56)+SUM(B74:J74))/SUM(D53:G53)*100</f>
        <v>#DIV/0!</v>
      </c>
      <c r="N76" s="340" t="e">
        <f>(SUM(D56:G56)+SUM(B74:K74))/SUM(D53:G53)*100</f>
        <v>#DIV/0!</v>
      </c>
      <c r="O76" s="342" t="e">
        <f>(SUM(D56:G56)+SUM(B74:L74))/SUM(D53:G53)*100</f>
        <v>#DIV/0!</v>
      </c>
      <c r="P76" s="343" t="e">
        <f>(SUM(D56:G56)+SUM(B74:M74))/SUM(D53:G53)*100</f>
        <v>#DIV/0!</v>
      </c>
      <c r="Q76" s="343" t="e">
        <f>(SUM(D56:G56)+SUM(B74:N74))/SUM(D53:G53)*100</f>
        <v>#DIV/0!</v>
      </c>
      <c r="R76" s="343" t="e">
        <f>(SUM(D56:G56)+SUM(B74:O74))/SUM(D53:G53)*100</f>
        <v>#DIV/0!</v>
      </c>
      <c r="S76" s="343" t="e">
        <f>(SUM(D56:G56)+SUM(B74:P74))/SUM(D53:G53)*100</f>
        <v>#DIV/0!</v>
      </c>
      <c r="T76" s="343" t="e">
        <f>(SUM(D56:G56)+SUM(B74:Q74))/SUM(D53:G53)*100</f>
        <v>#DIV/0!</v>
      </c>
      <c r="U76" s="343" t="e">
        <f>(SUM(D56:G56)+SUM(B74:R74))/SUM(D53:G53)*100</f>
        <v>#DIV/0!</v>
      </c>
      <c r="V76" s="343" t="e">
        <f>(SUM(D56:G56)+SUM(B74:S74))/SUM(D53:G53)*100</f>
        <v>#DIV/0!</v>
      </c>
      <c r="W76" s="343" t="e">
        <f>(SUM(D56:G56)+SUM(B74:T74))/SUM(D53:G53)*100</f>
        <v>#DIV/0!</v>
      </c>
      <c r="X76" s="343" t="e">
        <f>(SUM(D56:G56)+SUM(B74:U74))/SUM(D53:G53)*100</f>
        <v>#DIV/0!</v>
      </c>
      <c r="AR76"/>
    </row>
    <row r="77" spans="1:44" s="315" customFormat="1" ht="14.25" hidden="1">
      <c r="AR77"/>
    </row>
    <row r="78" spans="1:44" s="315" customFormat="1" ht="14.25" hidden="1">
      <c r="A78" s="610" t="s">
        <v>126</v>
      </c>
      <c r="B78" s="611"/>
      <c r="C78" s="611"/>
      <c r="E78" s="344" t="e">
        <f t="shared" ref="E78:AQ78" si="31">IF(E60="",IF(E61="",NA(),E61/-10),E60)</f>
        <v>#N/A</v>
      </c>
      <c r="F78" s="344" t="e">
        <f t="shared" si="31"/>
        <v>#N/A</v>
      </c>
      <c r="G78" s="344" t="e">
        <f t="shared" si="31"/>
        <v>#N/A</v>
      </c>
      <c r="H78" s="344" t="e">
        <f t="shared" si="31"/>
        <v>#N/A</v>
      </c>
      <c r="I78" s="344" t="e">
        <f t="shared" si="31"/>
        <v>#N/A</v>
      </c>
      <c r="J78" s="344" t="e">
        <f t="shared" si="31"/>
        <v>#N/A</v>
      </c>
      <c r="K78" s="344" t="e">
        <f t="shared" si="31"/>
        <v>#N/A</v>
      </c>
      <c r="L78" s="344" t="e">
        <f t="shared" si="31"/>
        <v>#N/A</v>
      </c>
      <c r="M78" s="344" t="e">
        <f t="shared" si="31"/>
        <v>#N/A</v>
      </c>
      <c r="N78" s="344" t="e">
        <f t="shared" si="31"/>
        <v>#N/A</v>
      </c>
      <c r="O78" s="344" t="e">
        <f t="shared" si="31"/>
        <v>#N/A</v>
      </c>
      <c r="P78" s="344" t="e">
        <f t="shared" si="31"/>
        <v>#N/A</v>
      </c>
      <c r="Q78" s="344" t="e">
        <f t="shared" si="31"/>
        <v>#N/A</v>
      </c>
      <c r="R78" s="344" t="e">
        <f t="shared" si="31"/>
        <v>#N/A</v>
      </c>
      <c r="S78" s="344" t="e">
        <f t="shared" si="31"/>
        <v>#N/A</v>
      </c>
      <c r="T78" s="344" t="e">
        <f t="shared" si="31"/>
        <v>#N/A</v>
      </c>
      <c r="U78" s="344" t="e">
        <f t="shared" si="31"/>
        <v>#N/A</v>
      </c>
      <c r="V78" s="344" t="e">
        <f t="shared" si="31"/>
        <v>#N/A</v>
      </c>
      <c r="W78" s="344" t="e">
        <f t="shared" si="31"/>
        <v>#N/A</v>
      </c>
      <c r="X78" s="344" t="e">
        <f t="shared" si="31"/>
        <v>#N/A</v>
      </c>
      <c r="Y78" s="344" t="e">
        <f t="shared" si="31"/>
        <v>#N/A</v>
      </c>
      <c r="Z78" s="344" t="e">
        <f t="shared" si="31"/>
        <v>#N/A</v>
      </c>
      <c r="AA78" s="344" t="e">
        <f t="shared" si="31"/>
        <v>#N/A</v>
      </c>
      <c r="AB78" s="344" t="e">
        <f t="shared" si="31"/>
        <v>#N/A</v>
      </c>
      <c r="AC78" s="344" t="e">
        <f t="shared" si="31"/>
        <v>#N/A</v>
      </c>
      <c r="AD78" s="344" t="e">
        <f t="shared" si="31"/>
        <v>#N/A</v>
      </c>
      <c r="AE78" s="344" t="e">
        <f t="shared" si="31"/>
        <v>#N/A</v>
      </c>
      <c r="AF78" s="344" t="e">
        <f t="shared" si="31"/>
        <v>#N/A</v>
      </c>
      <c r="AG78" s="344" t="e">
        <f t="shared" si="31"/>
        <v>#N/A</v>
      </c>
      <c r="AH78" s="344" t="e">
        <f t="shared" si="31"/>
        <v>#N/A</v>
      </c>
      <c r="AI78" s="344" t="e">
        <f t="shared" si="31"/>
        <v>#N/A</v>
      </c>
      <c r="AJ78" s="344" t="e">
        <f t="shared" si="31"/>
        <v>#N/A</v>
      </c>
      <c r="AK78" s="344" t="e">
        <f t="shared" si="31"/>
        <v>#N/A</v>
      </c>
      <c r="AL78" s="344" t="e">
        <f t="shared" si="31"/>
        <v>#N/A</v>
      </c>
      <c r="AM78" s="344" t="e">
        <f t="shared" si="31"/>
        <v>#N/A</v>
      </c>
      <c r="AN78" s="344" t="e">
        <f t="shared" si="31"/>
        <v>#N/A</v>
      </c>
      <c r="AO78" s="344" t="e">
        <f t="shared" si="31"/>
        <v>#N/A</v>
      </c>
      <c r="AP78" s="344" t="e">
        <f t="shared" si="31"/>
        <v>#N/A</v>
      </c>
      <c r="AQ78" s="344" t="e">
        <f t="shared" si="31"/>
        <v>#N/A</v>
      </c>
      <c r="AR78"/>
    </row>
    <row r="79" spans="1:44" s="315" customFormat="1" ht="14.25" hidden="1">
      <c r="A79" s="629" t="s">
        <v>42</v>
      </c>
      <c r="B79" s="629"/>
      <c r="C79" s="612"/>
      <c r="E79" s="345" t="e">
        <f t="shared" ref="E79:AQ79" si="32">IF(E78="",NA(),E78*(-10))</f>
        <v>#N/A</v>
      </c>
      <c r="F79" s="345" t="e">
        <f t="shared" si="32"/>
        <v>#N/A</v>
      </c>
      <c r="G79" s="345" t="e">
        <f t="shared" si="32"/>
        <v>#N/A</v>
      </c>
      <c r="H79" s="345" t="e">
        <f t="shared" si="32"/>
        <v>#N/A</v>
      </c>
      <c r="I79" s="345" t="e">
        <f t="shared" si="32"/>
        <v>#N/A</v>
      </c>
      <c r="J79" s="345" t="e">
        <f t="shared" si="32"/>
        <v>#N/A</v>
      </c>
      <c r="K79" s="345" t="e">
        <f t="shared" si="32"/>
        <v>#N/A</v>
      </c>
      <c r="L79" s="345" t="e">
        <f t="shared" si="32"/>
        <v>#N/A</v>
      </c>
      <c r="M79" s="345" t="e">
        <f t="shared" si="32"/>
        <v>#N/A</v>
      </c>
      <c r="N79" s="345" t="e">
        <f t="shared" si="32"/>
        <v>#N/A</v>
      </c>
      <c r="O79" s="345" t="e">
        <f t="shared" si="32"/>
        <v>#N/A</v>
      </c>
      <c r="P79" s="345" t="e">
        <f t="shared" si="32"/>
        <v>#N/A</v>
      </c>
      <c r="Q79" s="345" t="e">
        <f t="shared" si="32"/>
        <v>#N/A</v>
      </c>
      <c r="R79" s="345" t="e">
        <f t="shared" si="32"/>
        <v>#N/A</v>
      </c>
      <c r="S79" s="345" t="e">
        <f t="shared" si="32"/>
        <v>#N/A</v>
      </c>
      <c r="T79" s="345" t="e">
        <f t="shared" si="32"/>
        <v>#N/A</v>
      </c>
      <c r="U79" s="345" t="e">
        <f t="shared" si="32"/>
        <v>#N/A</v>
      </c>
      <c r="V79" s="345" t="e">
        <f t="shared" si="32"/>
        <v>#N/A</v>
      </c>
      <c r="W79" s="345" t="e">
        <f t="shared" si="32"/>
        <v>#N/A</v>
      </c>
      <c r="X79" s="345" t="e">
        <f t="shared" si="32"/>
        <v>#N/A</v>
      </c>
      <c r="Y79" s="345" t="e">
        <f t="shared" si="32"/>
        <v>#N/A</v>
      </c>
      <c r="Z79" s="345" t="e">
        <f t="shared" si="32"/>
        <v>#N/A</v>
      </c>
      <c r="AA79" s="345" t="e">
        <f t="shared" si="32"/>
        <v>#N/A</v>
      </c>
      <c r="AB79" s="345" t="e">
        <f t="shared" si="32"/>
        <v>#N/A</v>
      </c>
      <c r="AC79" s="345" t="e">
        <f t="shared" si="32"/>
        <v>#N/A</v>
      </c>
      <c r="AD79" s="357" t="e">
        <f t="shared" si="32"/>
        <v>#N/A</v>
      </c>
      <c r="AE79" s="345" t="e">
        <f t="shared" si="32"/>
        <v>#N/A</v>
      </c>
      <c r="AF79" s="345" t="e">
        <f t="shared" si="32"/>
        <v>#N/A</v>
      </c>
      <c r="AG79" s="345" t="e">
        <f t="shared" si="32"/>
        <v>#N/A</v>
      </c>
      <c r="AH79" s="345" t="e">
        <f t="shared" si="32"/>
        <v>#N/A</v>
      </c>
      <c r="AI79" s="345" t="e">
        <f t="shared" si="32"/>
        <v>#N/A</v>
      </c>
      <c r="AJ79" s="345" t="e">
        <f t="shared" si="32"/>
        <v>#N/A</v>
      </c>
      <c r="AK79" s="345" t="e">
        <f t="shared" si="32"/>
        <v>#N/A</v>
      </c>
      <c r="AL79" s="345" t="e">
        <f t="shared" si="32"/>
        <v>#N/A</v>
      </c>
      <c r="AM79" s="345" t="e">
        <f t="shared" si="32"/>
        <v>#N/A</v>
      </c>
      <c r="AN79" s="345" t="e">
        <f t="shared" si="32"/>
        <v>#N/A</v>
      </c>
      <c r="AO79" s="345" t="e">
        <f t="shared" si="32"/>
        <v>#N/A</v>
      </c>
      <c r="AP79" s="345" t="e">
        <f t="shared" si="32"/>
        <v>#N/A</v>
      </c>
      <c r="AQ79" s="345" t="e">
        <f t="shared" si="32"/>
        <v>#N/A</v>
      </c>
      <c r="AR79"/>
    </row>
    <row r="80" spans="1:44" s="315" customFormat="1" ht="14.25" hidden="1">
      <c r="A80" s="346"/>
      <c r="B80" s="620" t="s">
        <v>34</v>
      </c>
      <c r="C80" s="603"/>
      <c r="E80" s="347" t="e">
        <f t="shared" ref="E80:AQ80" si="33">IF(E78="",NA(),ROUND(1443/(1443+E79),4))</f>
        <v>#N/A</v>
      </c>
      <c r="F80" s="347" t="e">
        <f t="shared" si="33"/>
        <v>#N/A</v>
      </c>
      <c r="G80" s="347" t="e">
        <f t="shared" si="33"/>
        <v>#N/A</v>
      </c>
      <c r="H80" s="347" t="e">
        <f t="shared" si="33"/>
        <v>#N/A</v>
      </c>
      <c r="I80" s="347" t="e">
        <f t="shared" si="33"/>
        <v>#N/A</v>
      </c>
      <c r="J80" s="347" t="e">
        <f t="shared" si="33"/>
        <v>#N/A</v>
      </c>
      <c r="K80" s="347" t="e">
        <f t="shared" si="33"/>
        <v>#N/A</v>
      </c>
      <c r="L80" s="347" t="e">
        <f t="shared" si="33"/>
        <v>#N/A</v>
      </c>
      <c r="M80" s="347" t="e">
        <f t="shared" si="33"/>
        <v>#N/A</v>
      </c>
      <c r="N80" s="347" t="e">
        <f t="shared" si="33"/>
        <v>#N/A</v>
      </c>
      <c r="O80" s="347" t="e">
        <f t="shared" si="33"/>
        <v>#N/A</v>
      </c>
      <c r="P80" s="347" t="e">
        <f t="shared" si="33"/>
        <v>#N/A</v>
      </c>
      <c r="Q80" s="347" t="e">
        <f t="shared" si="33"/>
        <v>#N/A</v>
      </c>
      <c r="R80" s="347" t="e">
        <f t="shared" si="33"/>
        <v>#N/A</v>
      </c>
      <c r="S80" s="347" t="e">
        <f t="shared" si="33"/>
        <v>#N/A</v>
      </c>
      <c r="T80" s="347" t="e">
        <f t="shared" si="33"/>
        <v>#N/A</v>
      </c>
      <c r="U80" s="347" t="e">
        <f t="shared" si="33"/>
        <v>#N/A</v>
      </c>
      <c r="V80" s="347" t="e">
        <f t="shared" si="33"/>
        <v>#N/A</v>
      </c>
      <c r="W80" s="347" t="e">
        <f t="shared" si="33"/>
        <v>#N/A</v>
      </c>
      <c r="X80" s="347" t="e">
        <f t="shared" si="33"/>
        <v>#N/A</v>
      </c>
      <c r="Y80" s="347" t="e">
        <f t="shared" si="33"/>
        <v>#N/A</v>
      </c>
      <c r="Z80" s="347" t="e">
        <f t="shared" si="33"/>
        <v>#N/A</v>
      </c>
      <c r="AA80" s="347" t="e">
        <f t="shared" si="33"/>
        <v>#N/A</v>
      </c>
      <c r="AB80" s="347" t="e">
        <f t="shared" si="33"/>
        <v>#N/A</v>
      </c>
      <c r="AC80" s="347" t="e">
        <f t="shared" si="33"/>
        <v>#N/A</v>
      </c>
      <c r="AD80" s="347" t="e">
        <f t="shared" si="33"/>
        <v>#N/A</v>
      </c>
      <c r="AE80" s="347" t="e">
        <f t="shared" si="33"/>
        <v>#N/A</v>
      </c>
      <c r="AF80" s="347" t="e">
        <f t="shared" si="33"/>
        <v>#N/A</v>
      </c>
      <c r="AG80" s="347" t="e">
        <f t="shared" si="33"/>
        <v>#N/A</v>
      </c>
      <c r="AH80" s="347" t="e">
        <f t="shared" si="33"/>
        <v>#N/A</v>
      </c>
      <c r="AI80" s="347" t="e">
        <f t="shared" si="33"/>
        <v>#N/A</v>
      </c>
      <c r="AJ80" s="347" t="e">
        <f t="shared" si="33"/>
        <v>#N/A</v>
      </c>
      <c r="AK80" s="347" t="e">
        <f t="shared" si="33"/>
        <v>#N/A</v>
      </c>
      <c r="AL80" s="347" t="e">
        <f t="shared" si="33"/>
        <v>#N/A</v>
      </c>
      <c r="AM80" s="347" t="e">
        <f t="shared" si="33"/>
        <v>#N/A</v>
      </c>
      <c r="AN80" s="347" t="e">
        <f t="shared" si="33"/>
        <v>#N/A</v>
      </c>
      <c r="AO80" s="347" t="e">
        <f t="shared" si="33"/>
        <v>#N/A</v>
      </c>
      <c r="AP80" s="347" t="e">
        <f t="shared" si="33"/>
        <v>#N/A</v>
      </c>
      <c r="AQ80" s="347" t="e">
        <f t="shared" si="33"/>
        <v>#N/A</v>
      </c>
      <c r="AR80"/>
    </row>
    <row r="81" spans="1:44" s="315" customFormat="1" ht="14.25" hidden="1">
      <c r="A81" s="346"/>
      <c r="B81" s="620" t="s">
        <v>35</v>
      </c>
      <c r="C81" s="603"/>
      <c r="E81" s="347" t="e">
        <f>IF(E62="",NA(),IFERROR(E62*VLOOKUP(E62,'各種計算式等（配付時非表示）'!$E$3:$H$1003,3,TRUE)+VLOOKUP(E62,'各種計算式等（配付時非表示）'!$E$3:$H$1003,4,TRUE)+0.0000000001,"-"))</f>
        <v>#N/A</v>
      </c>
      <c r="F81" s="347" t="e">
        <f>IF(F62="",NA(),IFERROR(F62*VLOOKUP(F62,'各種計算式等（配付時非表示）'!$E$3:$H$1003,3,TRUE)+VLOOKUP(F62,'各種計算式等（配付時非表示）'!$E$3:$H$1003,4,TRUE)+0.0000000001,"-"))</f>
        <v>#N/A</v>
      </c>
      <c r="G81" s="347" t="e">
        <f>IF(G62="",NA(),IFERROR(G62*VLOOKUP(G62,'各種計算式等（配付時非表示）'!$E$3:$H$1003,3,TRUE)+VLOOKUP(G62,'各種計算式等（配付時非表示）'!$E$3:$H$1003,4,TRUE)+0.0000000001,"-"))</f>
        <v>#N/A</v>
      </c>
      <c r="H81" s="347" t="e">
        <f>IF(H62="",NA(),IFERROR(H62*VLOOKUP(H62,'各種計算式等（配付時非表示）'!$E$3:$H$1003,3,TRUE)+VLOOKUP(H62,'各種計算式等（配付時非表示）'!$E$3:$H$1003,4,TRUE)+0.0000000001,"-"))</f>
        <v>#N/A</v>
      </c>
      <c r="I81" s="347" t="e">
        <f>IF(I62="",NA(),IFERROR(I62*VLOOKUP(I62,'各種計算式等（配付時非表示）'!$E$3:$H$1003,3,TRUE)+VLOOKUP(I62,'各種計算式等（配付時非表示）'!$E$3:$H$1003,4,TRUE)+0.0000000001,"-"))</f>
        <v>#N/A</v>
      </c>
      <c r="J81" s="347" t="e">
        <f>IF(J62="",NA(),IFERROR(J62*VLOOKUP(J62,'各種計算式等（配付時非表示）'!$E$3:$H$1003,3,TRUE)+VLOOKUP(J62,'各種計算式等（配付時非表示）'!$E$3:$H$1003,4,TRUE)+0.0000000001,"-"))</f>
        <v>#N/A</v>
      </c>
      <c r="K81" s="347" t="e">
        <f>IF(K62="",NA(),IFERROR(K62*VLOOKUP(K62,'各種計算式等（配付時非表示）'!$E$3:$H$1003,3,TRUE)+VLOOKUP(K62,'各種計算式等（配付時非表示）'!$E$3:$H$1003,4,TRUE)+0.0000000001,"-"))</f>
        <v>#N/A</v>
      </c>
      <c r="L81" s="347" t="e">
        <f>IF(L62="",NA(),IFERROR(L62*VLOOKUP(L62,'各種計算式等（配付時非表示）'!$E$3:$H$1003,3,TRUE)+VLOOKUP(L62,'各種計算式等（配付時非表示）'!$E$3:$H$1003,4,TRUE)+0.0000000001,"-"))</f>
        <v>#N/A</v>
      </c>
      <c r="M81" s="347" t="e">
        <f>IF(M62="",NA(),IFERROR(M62*VLOOKUP(M62,'各種計算式等（配付時非表示）'!$E$3:$H$1003,3,TRUE)+VLOOKUP(M62,'各種計算式等（配付時非表示）'!$E$3:$H$1003,4,TRUE)+0.0000000001,"-"))</f>
        <v>#N/A</v>
      </c>
      <c r="N81" s="347" t="e">
        <f>IF(N62="",NA(),IFERROR(N62*VLOOKUP(N62,'各種計算式等（配付時非表示）'!$E$3:$H$1003,3,TRUE)+VLOOKUP(N62,'各種計算式等（配付時非表示）'!$E$3:$H$1003,4,TRUE)+0.0000000001,"-"))</f>
        <v>#N/A</v>
      </c>
      <c r="O81" s="347" t="e">
        <f>IF(O62="",NA(),IFERROR(O62*VLOOKUP(O62,'各種計算式等（配付時非表示）'!$E$3:$H$1003,3,TRUE)+VLOOKUP(O62,'各種計算式等（配付時非表示）'!$E$3:$H$1003,4,TRUE)+0.0000000001,"-"))</f>
        <v>#N/A</v>
      </c>
      <c r="P81" s="347" t="e">
        <f>IF(P62="",NA(),IFERROR(P62*VLOOKUP(P62,'各種計算式等（配付時非表示）'!$E$3:$H$1003,3,TRUE)+VLOOKUP(P62,'各種計算式等（配付時非表示）'!$E$3:$H$1003,4,TRUE)+0.0000000001,"-"))</f>
        <v>#N/A</v>
      </c>
      <c r="Q81" s="347" t="e">
        <f>IF(Q62="",NA(),IFERROR(Q62*VLOOKUP(Q62,'各種計算式等（配付時非表示）'!$E$3:$H$1003,3,TRUE)+VLOOKUP(Q62,'各種計算式等（配付時非表示）'!$E$3:$H$1003,4,TRUE)+0.0000000001,"-"))</f>
        <v>#N/A</v>
      </c>
      <c r="R81" s="347" t="e">
        <f>IF(R62="",NA(),IFERROR(R62*VLOOKUP(R62,'各種計算式等（配付時非表示）'!$E$3:$H$1003,3,TRUE)+VLOOKUP(R62,'各種計算式等（配付時非表示）'!$E$3:$H$1003,4,TRUE)+0.0000000001,"-"))</f>
        <v>#N/A</v>
      </c>
      <c r="S81" s="347" t="e">
        <f>IF(S62="",NA(),IFERROR(S62*VLOOKUP(S62,'各種計算式等（配付時非表示）'!$E$3:$H$1003,3,TRUE)+VLOOKUP(S62,'各種計算式等（配付時非表示）'!$E$3:$H$1003,4,TRUE)+0.0000000001,"-"))</f>
        <v>#N/A</v>
      </c>
      <c r="T81" s="347" t="e">
        <f>IF(T62="",NA(),IFERROR(T62*VLOOKUP(T62,'各種計算式等（配付時非表示）'!$E$3:$H$1003,3,TRUE)+VLOOKUP(T62,'各種計算式等（配付時非表示）'!$E$3:$H$1003,4,TRUE)+0.0000000001,"-"))</f>
        <v>#N/A</v>
      </c>
      <c r="U81" s="347" t="e">
        <f>IF(U62="",NA(),IFERROR(U62*VLOOKUP(U62,'各種計算式等（配付時非表示）'!$E$3:$H$1003,3,TRUE)+VLOOKUP(U62,'各種計算式等（配付時非表示）'!$E$3:$H$1003,4,TRUE)+0.0000000001,"-"))</f>
        <v>#N/A</v>
      </c>
      <c r="V81" s="347" t="e">
        <f>IF(V62="",NA(),IFERROR(V62*VLOOKUP(V62,'各種計算式等（配付時非表示）'!$E$3:$H$1003,3,TRUE)+VLOOKUP(V62,'各種計算式等（配付時非表示）'!$E$3:$H$1003,4,TRUE)+0.0000000001,"-"))</f>
        <v>#N/A</v>
      </c>
      <c r="W81" s="347" t="e">
        <f>IF(W62="",NA(),IFERROR(W62*VLOOKUP(W62,'各種計算式等（配付時非表示）'!$E$3:$H$1003,3,TRUE)+VLOOKUP(W62,'各種計算式等（配付時非表示）'!$E$3:$H$1003,4,TRUE)+0.0000000001,"-"))</f>
        <v>#N/A</v>
      </c>
      <c r="X81" s="347" t="e">
        <f>IF(X62="",NA(),IFERROR(X62*VLOOKUP(X62,'各種計算式等（配付時非表示）'!$E$3:$H$1003,3,TRUE)+VLOOKUP(X62,'各種計算式等（配付時非表示）'!$E$3:$H$1003,4,TRUE)+0.0000000001,"-"))</f>
        <v>#N/A</v>
      </c>
      <c r="Y81" s="347" t="e">
        <f>IF(Y62="",NA(),IFERROR(Y62*VLOOKUP(Y62,'各種計算式等（配付時非表示）'!$E$3:$H$1003,3,TRUE)+VLOOKUP(Y62,'各種計算式等（配付時非表示）'!$E$3:$H$1003,4,TRUE)+0.0000000001,"-"))</f>
        <v>#N/A</v>
      </c>
      <c r="Z81" s="347" t="e">
        <f>IF(Z62="",NA(),IFERROR(Z62*VLOOKUP(Z62,'各種計算式等（配付時非表示）'!$E$3:$H$1003,3,TRUE)+VLOOKUP(Z62,'各種計算式等（配付時非表示）'!$E$3:$H$1003,4,TRUE)+0.0000000001,"-"))</f>
        <v>#N/A</v>
      </c>
      <c r="AA81" s="347" t="e">
        <f>IF(AA62="",NA(),IFERROR(AA62*VLOOKUP(AA62,'各種計算式等（配付時非表示）'!$E$3:$H$1003,3,TRUE)+VLOOKUP(AA62,'各種計算式等（配付時非表示）'!$E$3:$H$1003,4,TRUE)+0.0000000001,"-"))</f>
        <v>#N/A</v>
      </c>
      <c r="AB81" s="347" t="e">
        <f>IF(AB62="",NA(),IFERROR(AB62*VLOOKUP(AB62,'各種計算式等（配付時非表示）'!$E$3:$H$1003,3,TRUE)+VLOOKUP(AB62,'各種計算式等（配付時非表示）'!$E$3:$H$1003,4,TRUE)+0.0000000001,"-"))</f>
        <v>#N/A</v>
      </c>
      <c r="AC81" s="347" t="e">
        <f>IF(AC62="",NA(),IFERROR(AC62*VLOOKUP(AC62,'各種計算式等（配付時非表示）'!$E$3:$H$1003,3,TRUE)+VLOOKUP(AC62,'各種計算式等（配付時非表示）'!$E$3:$H$1003,4,TRUE)+0.0000000001,"-"))</f>
        <v>#N/A</v>
      </c>
      <c r="AD81" s="347" t="e">
        <f>IF(AD62="",NA(),IFERROR(AD62*VLOOKUP(AD62,'各種計算式等（配付時非表示）'!$E$3:$H$1003,3,TRUE)+VLOOKUP(AD62,'各種計算式等（配付時非表示）'!$E$3:$H$1003,4,TRUE)+0.0000000001,"-"))</f>
        <v>#N/A</v>
      </c>
      <c r="AE81" s="347" t="e">
        <f>IF(AE62="",NA(),IFERROR(AE62*VLOOKUP(AE62,'各種計算式等（配付時非表示）'!$E$3:$H$1003,3,TRUE)+VLOOKUP(AE62,'各種計算式等（配付時非表示）'!$E$3:$H$1003,4,TRUE)+0.0000000001,"-"))</f>
        <v>#N/A</v>
      </c>
      <c r="AF81" s="347" t="e">
        <f>IF(AF62="",NA(),IFERROR(AF62*VLOOKUP(AF62,'各種計算式等（配付時非表示）'!$E$3:$H$1003,3,TRUE)+VLOOKUP(AF62,'各種計算式等（配付時非表示）'!$E$3:$H$1003,4,TRUE)+0.0000000001,"-"))</f>
        <v>#N/A</v>
      </c>
      <c r="AG81" s="347" t="e">
        <f>IF(AG62="",NA(),IFERROR(AG62*VLOOKUP(AG62,'各種計算式等（配付時非表示）'!$E$3:$H$1003,3,TRUE)+VLOOKUP(AG62,'各種計算式等（配付時非表示）'!$E$3:$H$1003,4,TRUE)+0.0000000001,"-"))</f>
        <v>#N/A</v>
      </c>
      <c r="AH81" s="347" t="e">
        <f>IF(AH62="",NA(),IFERROR(AH62*VLOOKUP(AH62,'各種計算式等（配付時非表示）'!$E$3:$H$1003,3,TRUE)+VLOOKUP(AH62,'各種計算式等（配付時非表示）'!$E$3:$H$1003,4,TRUE)+0.0000000001,"-"))</f>
        <v>#N/A</v>
      </c>
      <c r="AI81" s="347" t="e">
        <f>IF(AI62="",NA(),IFERROR(AI62*VLOOKUP(AI62,'各種計算式等（配付時非表示）'!$E$3:$H$1003,3,TRUE)+VLOOKUP(AI62,'各種計算式等（配付時非表示）'!$E$3:$H$1003,4,TRUE)+0.0000000001,"-"))</f>
        <v>#N/A</v>
      </c>
      <c r="AJ81" s="347" t="e">
        <f>IF(AJ62="",NA(),IFERROR(AJ62*VLOOKUP(AJ62,'各種計算式等（配付時非表示）'!$E$3:$H$1003,3,TRUE)+VLOOKUP(AJ62,'各種計算式等（配付時非表示）'!$E$3:$H$1003,4,TRUE)+0.0000000001,"-"))</f>
        <v>#N/A</v>
      </c>
      <c r="AK81" s="347" t="e">
        <f>IF(AK62="",NA(),IFERROR(AK62*VLOOKUP(AK62,'各種計算式等（配付時非表示）'!$E$3:$H$1003,3,TRUE)+VLOOKUP(AK62,'各種計算式等（配付時非表示）'!$E$3:$H$1003,4,TRUE)+0.0000000001,"-"))</f>
        <v>#N/A</v>
      </c>
      <c r="AL81" s="347" t="e">
        <f>IF(AL62="",NA(),IFERROR(AL62*VLOOKUP(AL62,'各種計算式等（配付時非表示）'!$E$3:$H$1003,3,TRUE)+VLOOKUP(AL62,'各種計算式等（配付時非表示）'!$E$3:$H$1003,4,TRUE)+0.0000000001,"-"))</f>
        <v>#N/A</v>
      </c>
      <c r="AM81" s="347" t="e">
        <f>IF(AM62="",NA(),IFERROR(AM62*VLOOKUP(AM62,'各種計算式等（配付時非表示）'!$E$3:$H$1003,3,TRUE)+VLOOKUP(AM62,'各種計算式等（配付時非表示）'!$E$3:$H$1003,4,TRUE)+0.0000000001,"-"))</f>
        <v>#N/A</v>
      </c>
      <c r="AN81" s="347" t="e">
        <f>IF(AN62="",NA(),IFERROR(AN62*VLOOKUP(AN62,'各種計算式等（配付時非表示）'!$E$3:$H$1003,3,TRUE)+VLOOKUP(AN62,'各種計算式等（配付時非表示）'!$E$3:$H$1003,4,TRUE)+0.0000000001,"-"))</f>
        <v>#N/A</v>
      </c>
      <c r="AO81" s="347" t="e">
        <f>IF(AO62="",NA(),IFERROR(AO62*VLOOKUP(AO62,'各種計算式等（配付時非表示）'!$E$3:$H$1003,3,TRUE)+VLOOKUP(AO62,'各種計算式等（配付時非表示）'!$E$3:$H$1003,4,TRUE)+0.0000000001,"-"))</f>
        <v>#N/A</v>
      </c>
      <c r="AP81" s="347" t="e">
        <f>IF(AP62="",NA(),IFERROR(AP62*VLOOKUP(AP62,'各種計算式等（配付時非表示）'!$E$3:$H$1003,3,TRUE)+VLOOKUP(AP62,'各種計算式等（配付時非表示）'!$E$3:$H$1003,4,TRUE)+0.0000000001,"-"))</f>
        <v>#N/A</v>
      </c>
      <c r="AQ81" s="347" t="e">
        <f>IF(AQ62="",NA(),IFERROR(AQ62*VLOOKUP(AQ62,'各種計算式等（配付時非表示）'!$E$3:$H$1003,3,TRUE)+VLOOKUP(AQ62,'各種計算式等（配付時非表示）'!$E$3:$H$1003,4,TRUE)+0.0000000001,"-"))</f>
        <v>#N/A</v>
      </c>
      <c r="AR81"/>
    </row>
    <row r="82" spans="1:44" s="315" customFormat="1" ht="14.25" hidden="1">
      <c r="A82" s="620" t="s">
        <v>3</v>
      </c>
      <c r="B82" s="620"/>
      <c r="C82" s="620"/>
      <c r="D82" s="315" t="s">
        <v>487</v>
      </c>
      <c r="E82" s="348" t="e">
        <f>IFERROR((E80-E81)*260+0.21,NA())</f>
        <v>#N/A</v>
      </c>
      <c r="F82" s="348" t="e">
        <f t="shared" ref="F82:AQ82" si="34">IFERROR((F80-F81)*260+0.21,NA())</f>
        <v>#N/A</v>
      </c>
      <c r="G82" s="348" t="e">
        <f t="shared" si="34"/>
        <v>#N/A</v>
      </c>
      <c r="H82" s="348" t="e">
        <f t="shared" si="34"/>
        <v>#N/A</v>
      </c>
      <c r="I82" s="348" t="e">
        <f t="shared" si="34"/>
        <v>#N/A</v>
      </c>
      <c r="J82" s="348" t="e">
        <f t="shared" si="34"/>
        <v>#N/A</v>
      </c>
      <c r="K82" s="348" t="e">
        <f t="shared" si="34"/>
        <v>#N/A</v>
      </c>
      <c r="L82" s="348" t="e">
        <f t="shared" si="34"/>
        <v>#N/A</v>
      </c>
      <c r="M82" s="348" t="e">
        <f t="shared" si="34"/>
        <v>#N/A</v>
      </c>
      <c r="N82" s="348" t="e">
        <f t="shared" si="34"/>
        <v>#N/A</v>
      </c>
      <c r="O82" s="348" t="e">
        <f t="shared" si="34"/>
        <v>#N/A</v>
      </c>
      <c r="P82" s="348" t="e">
        <f t="shared" si="34"/>
        <v>#N/A</v>
      </c>
      <c r="Q82" s="348" t="e">
        <f t="shared" si="34"/>
        <v>#N/A</v>
      </c>
      <c r="R82" s="348" t="e">
        <f t="shared" si="34"/>
        <v>#N/A</v>
      </c>
      <c r="S82" s="348" t="e">
        <f t="shared" si="34"/>
        <v>#N/A</v>
      </c>
      <c r="T82" s="348" t="e">
        <f t="shared" si="34"/>
        <v>#N/A</v>
      </c>
      <c r="U82" s="348" t="e">
        <f t="shared" si="34"/>
        <v>#N/A</v>
      </c>
      <c r="V82" s="348" t="e">
        <f t="shared" si="34"/>
        <v>#N/A</v>
      </c>
      <c r="W82" s="348" t="e">
        <f t="shared" si="34"/>
        <v>#N/A</v>
      </c>
      <c r="X82" s="348" t="e">
        <f t="shared" si="34"/>
        <v>#N/A</v>
      </c>
      <c r="Y82" s="348" t="e">
        <f t="shared" si="34"/>
        <v>#N/A</v>
      </c>
      <c r="Z82" s="348" t="e">
        <f t="shared" si="34"/>
        <v>#N/A</v>
      </c>
      <c r="AA82" s="348" t="e">
        <f t="shared" si="34"/>
        <v>#N/A</v>
      </c>
      <c r="AB82" s="348" t="e">
        <f t="shared" si="34"/>
        <v>#N/A</v>
      </c>
      <c r="AC82" s="348" t="e">
        <f t="shared" si="34"/>
        <v>#N/A</v>
      </c>
      <c r="AD82" s="348" t="e">
        <f t="shared" si="34"/>
        <v>#N/A</v>
      </c>
      <c r="AE82" s="348" t="e">
        <f t="shared" si="34"/>
        <v>#N/A</v>
      </c>
      <c r="AF82" s="348" t="e">
        <f t="shared" si="34"/>
        <v>#N/A</v>
      </c>
      <c r="AG82" s="348" t="e">
        <f t="shared" si="34"/>
        <v>#N/A</v>
      </c>
      <c r="AH82" s="348" t="e">
        <f t="shared" si="34"/>
        <v>#N/A</v>
      </c>
      <c r="AI82" s="348" t="e">
        <f t="shared" si="34"/>
        <v>#N/A</v>
      </c>
      <c r="AJ82" s="348" t="e">
        <f t="shared" si="34"/>
        <v>#N/A</v>
      </c>
      <c r="AK82" s="348" t="e">
        <f t="shared" si="34"/>
        <v>#N/A</v>
      </c>
      <c r="AL82" s="348" t="e">
        <f t="shared" si="34"/>
        <v>#N/A</v>
      </c>
      <c r="AM82" s="348" t="e">
        <f t="shared" si="34"/>
        <v>#N/A</v>
      </c>
      <c r="AN82" s="348" t="e">
        <f t="shared" si="34"/>
        <v>#N/A</v>
      </c>
      <c r="AO82" s="348" t="e">
        <f t="shared" si="34"/>
        <v>#N/A</v>
      </c>
      <c r="AP82" s="348" t="e">
        <f t="shared" si="34"/>
        <v>#N/A</v>
      </c>
      <c r="AQ82" s="348" t="e">
        <f t="shared" si="34"/>
        <v>#N/A</v>
      </c>
      <c r="AR82"/>
    </row>
    <row r="83" spans="1:44" s="315" customFormat="1" ht="14.25" hidden="1">
      <c r="A83" s="620" t="s">
        <v>318</v>
      </c>
      <c r="B83" s="620"/>
      <c r="C83" s="620"/>
      <c r="D83" s="315" t="s">
        <v>487</v>
      </c>
      <c r="E83" s="349" t="e">
        <f>IF(E62="",NA(),E62*1.5848)</f>
        <v>#N/A</v>
      </c>
      <c r="F83" s="349" t="e">
        <f t="shared" ref="F83:AQ83" si="35">IF(F62="",NA(),F62*1.5848)</f>
        <v>#N/A</v>
      </c>
      <c r="G83" s="349" t="e">
        <f t="shared" si="35"/>
        <v>#N/A</v>
      </c>
      <c r="H83" s="349" t="e">
        <f t="shared" si="35"/>
        <v>#N/A</v>
      </c>
      <c r="I83" s="349" t="e">
        <f t="shared" si="35"/>
        <v>#N/A</v>
      </c>
      <c r="J83" s="349" t="e">
        <f t="shared" si="35"/>
        <v>#N/A</v>
      </c>
      <c r="K83" s="349" t="e">
        <f t="shared" si="35"/>
        <v>#N/A</v>
      </c>
      <c r="L83" s="349" t="e">
        <f t="shared" si="35"/>
        <v>#N/A</v>
      </c>
      <c r="M83" s="349" t="e">
        <f t="shared" si="35"/>
        <v>#N/A</v>
      </c>
      <c r="N83" s="349" t="e">
        <f t="shared" si="35"/>
        <v>#N/A</v>
      </c>
      <c r="O83" s="349" t="e">
        <f t="shared" si="35"/>
        <v>#N/A</v>
      </c>
      <c r="P83" s="349" t="e">
        <f t="shared" si="35"/>
        <v>#N/A</v>
      </c>
      <c r="Q83" s="349" t="e">
        <f t="shared" si="35"/>
        <v>#N/A</v>
      </c>
      <c r="R83" s="349" t="e">
        <f t="shared" si="35"/>
        <v>#N/A</v>
      </c>
      <c r="S83" s="349" t="e">
        <f t="shared" si="35"/>
        <v>#N/A</v>
      </c>
      <c r="T83" s="349" t="e">
        <f t="shared" si="35"/>
        <v>#N/A</v>
      </c>
      <c r="U83" s="349" t="e">
        <f t="shared" si="35"/>
        <v>#N/A</v>
      </c>
      <c r="V83" s="349" t="e">
        <f t="shared" si="35"/>
        <v>#N/A</v>
      </c>
      <c r="W83" s="349" t="e">
        <f t="shared" si="35"/>
        <v>#N/A</v>
      </c>
      <c r="X83" s="349" t="e">
        <f t="shared" si="35"/>
        <v>#N/A</v>
      </c>
      <c r="Y83" s="349" t="e">
        <f t="shared" si="35"/>
        <v>#N/A</v>
      </c>
      <c r="Z83" s="349" t="e">
        <f t="shared" si="35"/>
        <v>#N/A</v>
      </c>
      <c r="AA83" s="349" t="e">
        <f t="shared" si="35"/>
        <v>#N/A</v>
      </c>
      <c r="AB83" s="349" t="e">
        <f t="shared" si="35"/>
        <v>#N/A</v>
      </c>
      <c r="AC83" s="349" t="e">
        <f t="shared" si="35"/>
        <v>#N/A</v>
      </c>
      <c r="AD83" s="349" t="e">
        <f t="shared" si="35"/>
        <v>#N/A</v>
      </c>
      <c r="AE83" s="349" t="e">
        <f t="shared" si="35"/>
        <v>#N/A</v>
      </c>
      <c r="AF83" s="349" t="e">
        <f t="shared" si="35"/>
        <v>#N/A</v>
      </c>
      <c r="AG83" s="349" t="e">
        <f t="shared" si="35"/>
        <v>#N/A</v>
      </c>
      <c r="AH83" s="349" t="e">
        <f t="shared" si="35"/>
        <v>#N/A</v>
      </c>
      <c r="AI83" s="349" t="e">
        <f t="shared" si="35"/>
        <v>#N/A</v>
      </c>
      <c r="AJ83" s="349" t="e">
        <f t="shared" si="35"/>
        <v>#N/A</v>
      </c>
      <c r="AK83" s="349" t="e">
        <f t="shared" si="35"/>
        <v>#N/A</v>
      </c>
      <c r="AL83" s="349" t="e">
        <f t="shared" si="35"/>
        <v>#N/A</v>
      </c>
      <c r="AM83" s="349" t="e">
        <f t="shared" si="35"/>
        <v>#N/A</v>
      </c>
      <c r="AN83" s="349" t="e">
        <f t="shared" si="35"/>
        <v>#N/A</v>
      </c>
      <c r="AO83" s="349" t="e">
        <f t="shared" si="35"/>
        <v>#N/A</v>
      </c>
      <c r="AP83" s="349" t="e">
        <f t="shared" si="35"/>
        <v>#N/A</v>
      </c>
      <c r="AQ83" s="349" t="e">
        <f t="shared" si="35"/>
        <v>#N/A</v>
      </c>
      <c r="AR83"/>
    </row>
    <row r="84" spans="1:44" s="315" customFormat="1" ht="14.25" hidden="1">
      <c r="A84" s="620" t="s">
        <v>159</v>
      </c>
      <c r="B84" s="620"/>
      <c r="C84" s="620"/>
      <c r="D84" s="315" t="s">
        <v>487</v>
      </c>
      <c r="E84" s="349" t="e">
        <f>IF(E82="",NA(),E82+E83)</f>
        <v>#N/A</v>
      </c>
      <c r="F84" s="349" t="e">
        <f t="shared" ref="F84:AQ84" si="36">IF(F82="",NA(),F82+F83)</f>
        <v>#N/A</v>
      </c>
      <c r="G84" s="349" t="e">
        <f t="shared" si="36"/>
        <v>#N/A</v>
      </c>
      <c r="H84" s="349" t="e">
        <f t="shared" si="36"/>
        <v>#N/A</v>
      </c>
      <c r="I84" s="349" t="e">
        <f t="shared" si="36"/>
        <v>#N/A</v>
      </c>
      <c r="J84" s="349" t="e">
        <f t="shared" si="36"/>
        <v>#N/A</v>
      </c>
      <c r="K84" s="349" t="e">
        <f t="shared" si="36"/>
        <v>#N/A</v>
      </c>
      <c r="L84" s="349" t="e">
        <f t="shared" si="36"/>
        <v>#N/A</v>
      </c>
      <c r="M84" s="349" t="e">
        <f t="shared" si="36"/>
        <v>#N/A</v>
      </c>
      <c r="N84" s="349" t="e">
        <f t="shared" si="36"/>
        <v>#N/A</v>
      </c>
      <c r="O84" s="349" t="e">
        <f t="shared" si="36"/>
        <v>#N/A</v>
      </c>
      <c r="P84" s="349" t="e">
        <f t="shared" si="36"/>
        <v>#N/A</v>
      </c>
      <c r="Q84" s="349" t="e">
        <f t="shared" si="36"/>
        <v>#N/A</v>
      </c>
      <c r="R84" s="349" t="e">
        <f t="shared" si="36"/>
        <v>#N/A</v>
      </c>
      <c r="S84" s="349" t="e">
        <f t="shared" si="36"/>
        <v>#N/A</v>
      </c>
      <c r="T84" s="349" t="e">
        <f t="shared" si="36"/>
        <v>#N/A</v>
      </c>
      <c r="U84" s="349" t="e">
        <f t="shared" si="36"/>
        <v>#N/A</v>
      </c>
      <c r="V84" s="349" t="e">
        <f t="shared" si="36"/>
        <v>#N/A</v>
      </c>
      <c r="W84" s="349" t="e">
        <f t="shared" si="36"/>
        <v>#N/A</v>
      </c>
      <c r="X84" s="349" t="e">
        <f t="shared" si="36"/>
        <v>#N/A</v>
      </c>
      <c r="Y84" s="349" t="e">
        <f t="shared" si="36"/>
        <v>#N/A</v>
      </c>
      <c r="Z84" s="349" t="e">
        <f t="shared" si="36"/>
        <v>#N/A</v>
      </c>
      <c r="AA84" s="349" t="e">
        <f t="shared" si="36"/>
        <v>#N/A</v>
      </c>
      <c r="AB84" s="349" t="e">
        <f t="shared" si="36"/>
        <v>#N/A</v>
      </c>
      <c r="AC84" s="349" t="e">
        <f t="shared" si="36"/>
        <v>#N/A</v>
      </c>
      <c r="AD84" s="349" t="e">
        <f t="shared" si="36"/>
        <v>#N/A</v>
      </c>
      <c r="AE84" s="349" t="e">
        <f t="shared" si="36"/>
        <v>#N/A</v>
      </c>
      <c r="AF84" s="349" t="e">
        <f t="shared" si="36"/>
        <v>#N/A</v>
      </c>
      <c r="AG84" s="349" t="e">
        <f t="shared" si="36"/>
        <v>#N/A</v>
      </c>
      <c r="AH84" s="349" t="e">
        <f t="shared" si="36"/>
        <v>#N/A</v>
      </c>
      <c r="AI84" s="349" t="e">
        <f t="shared" si="36"/>
        <v>#N/A</v>
      </c>
      <c r="AJ84" s="349" t="e">
        <f t="shared" si="36"/>
        <v>#N/A</v>
      </c>
      <c r="AK84" s="349" t="e">
        <f t="shared" si="36"/>
        <v>#N/A</v>
      </c>
      <c r="AL84" s="349" t="e">
        <f t="shared" si="36"/>
        <v>#N/A</v>
      </c>
      <c r="AM84" s="349" t="e">
        <f t="shared" si="36"/>
        <v>#N/A</v>
      </c>
      <c r="AN84" s="349" t="e">
        <f t="shared" si="36"/>
        <v>#N/A</v>
      </c>
      <c r="AO84" s="349" t="e">
        <f t="shared" si="36"/>
        <v>#N/A</v>
      </c>
      <c r="AP84" s="349" t="e">
        <f t="shared" si="36"/>
        <v>#N/A</v>
      </c>
      <c r="AQ84" s="349" t="e">
        <f t="shared" si="36"/>
        <v>#N/A</v>
      </c>
      <c r="AR84"/>
    </row>
    <row r="85" spans="1:44" s="315" customFormat="1" ht="14.25" hidden="1">
      <c r="A85" s="620" t="s">
        <v>195</v>
      </c>
      <c r="B85" s="620"/>
      <c r="C85" s="620"/>
      <c r="E85" s="350" t="e">
        <f t="shared" ref="E85:AQ85" si="37">IF(E62="",NA(),IF(E58&lt;=$B73,E62*$D76/100,IF(E58&lt;=$C73,E62*$E76/100,IF(E58&lt;=$D73,E62*$F76/100,IF(E58&lt;=$E73,E62*$G76/100,IF(E58&lt;=$F73,E62*$H76/100,IF(E58&lt;=$G73,E62*$I76/100,IF(E58&lt;=$H73,E62*$J76/100,IF(E58&lt;=$I73,E62*$K76/100,IF(E58&lt;=$J73,E62*$L76/100,IF(E58&lt;=$K73,E62*$M76/100,IF(E58&lt;=$L73,E62*$N76/100,IF(E58&lt;=$M73,E62*$O76/100,IF(E58&lt;=$N73,E62*$P76/100,IF(E58&lt;=$O73,E62*$Q76/100,IF(E58&lt;=$P73,E62*$R76/100,IF(E58&lt;=$Q73,E62*$S76/100,IF(E58&lt;=$R73,E62*$T76/100,IF(E58&lt;=$S73,E62*$U76/100,IF(E58&lt;=$T73,E62*$V76/100,IF(E58&lt;=$U73,E62*$W76/100,E62*$X76/100)))))))))))))))))))))</f>
        <v>#N/A</v>
      </c>
      <c r="F85" s="350" t="e">
        <f t="shared" si="37"/>
        <v>#N/A</v>
      </c>
      <c r="G85" s="350" t="e">
        <f t="shared" si="37"/>
        <v>#N/A</v>
      </c>
      <c r="H85" s="350" t="e">
        <f t="shared" si="37"/>
        <v>#N/A</v>
      </c>
      <c r="I85" s="350" t="e">
        <f t="shared" si="37"/>
        <v>#N/A</v>
      </c>
      <c r="J85" s="350" t="e">
        <f t="shared" si="37"/>
        <v>#N/A</v>
      </c>
      <c r="K85" s="350" t="e">
        <f t="shared" si="37"/>
        <v>#N/A</v>
      </c>
      <c r="L85" s="350" t="e">
        <f t="shared" si="37"/>
        <v>#N/A</v>
      </c>
      <c r="M85" s="350" t="e">
        <f t="shared" si="37"/>
        <v>#N/A</v>
      </c>
      <c r="N85" s="350" t="e">
        <f t="shared" si="37"/>
        <v>#N/A</v>
      </c>
      <c r="O85" s="350" t="e">
        <f t="shared" si="37"/>
        <v>#N/A</v>
      </c>
      <c r="P85" s="350" t="e">
        <f t="shared" si="37"/>
        <v>#N/A</v>
      </c>
      <c r="Q85" s="350" t="e">
        <f t="shared" si="37"/>
        <v>#N/A</v>
      </c>
      <c r="R85" s="350" t="e">
        <f t="shared" si="37"/>
        <v>#N/A</v>
      </c>
      <c r="S85" s="350" t="e">
        <f t="shared" si="37"/>
        <v>#N/A</v>
      </c>
      <c r="T85" s="350" t="e">
        <f t="shared" si="37"/>
        <v>#N/A</v>
      </c>
      <c r="U85" s="350" t="e">
        <f t="shared" si="37"/>
        <v>#N/A</v>
      </c>
      <c r="V85" s="350" t="e">
        <f t="shared" si="37"/>
        <v>#N/A</v>
      </c>
      <c r="W85" s="350" t="e">
        <f t="shared" si="37"/>
        <v>#N/A</v>
      </c>
      <c r="X85" s="350" t="e">
        <f t="shared" si="37"/>
        <v>#N/A</v>
      </c>
      <c r="Y85" s="350" t="e">
        <f t="shared" si="37"/>
        <v>#N/A</v>
      </c>
      <c r="Z85" s="350" t="e">
        <f t="shared" si="37"/>
        <v>#N/A</v>
      </c>
      <c r="AA85" s="350" t="e">
        <f t="shared" si="37"/>
        <v>#N/A</v>
      </c>
      <c r="AB85" s="350" t="e">
        <f t="shared" si="37"/>
        <v>#N/A</v>
      </c>
      <c r="AC85" s="350" t="e">
        <f t="shared" si="37"/>
        <v>#N/A</v>
      </c>
      <c r="AD85" s="350" t="e">
        <f t="shared" si="37"/>
        <v>#N/A</v>
      </c>
      <c r="AE85" s="350" t="e">
        <f t="shared" si="37"/>
        <v>#N/A</v>
      </c>
      <c r="AF85" s="350" t="e">
        <f t="shared" si="37"/>
        <v>#N/A</v>
      </c>
      <c r="AG85" s="350" t="e">
        <f t="shared" si="37"/>
        <v>#N/A</v>
      </c>
      <c r="AH85" s="350" t="e">
        <f t="shared" si="37"/>
        <v>#N/A</v>
      </c>
      <c r="AI85" s="350" t="e">
        <f t="shared" si="37"/>
        <v>#N/A</v>
      </c>
      <c r="AJ85" s="350" t="e">
        <f t="shared" si="37"/>
        <v>#N/A</v>
      </c>
      <c r="AK85" s="350" t="e">
        <f t="shared" si="37"/>
        <v>#N/A</v>
      </c>
      <c r="AL85" s="350" t="e">
        <f t="shared" si="37"/>
        <v>#N/A</v>
      </c>
      <c r="AM85" s="350" t="e">
        <f t="shared" si="37"/>
        <v>#N/A</v>
      </c>
      <c r="AN85" s="350" t="e">
        <f t="shared" si="37"/>
        <v>#N/A</v>
      </c>
      <c r="AO85" s="350" t="e">
        <f t="shared" si="37"/>
        <v>#N/A</v>
      </c>
      <c r="AP85" s="350" t="e">
        <f t="shared" si="37"/>
        <v>#N/A</v>
      </c>
      <c r="AQ85" s="350" t="e">
        <f t="shared" si="37"/>
        <v>#N/A</v>
      </c>
      <c r="AR85"/>
    </row>
    <row r="86" spans="1:44" s="315" customFormat="1" ht="14.25" hidden="1">
      <c r="A86" s="547" t="s">
        <v>485</v>
      </c>
      <c r="B86" s="620"/>
      <c r="C86" s="603"/>
      <c r="E86" s="351" t="e">
        <f t="shared" ref="E86:AQ86" si="38">IF(E85="",NA(),ROUND(E85*1.5848,1))</f>
        <v>#N/A</v>
      </c>
      <c r="F86" s="351" t="e">
        <f t="shared" si="38"/>
        <v>#N/A</v>
      </c>
      <c r="G86" s="351" t="e">
        <f t="shared" si="38"/>
        <v>#N/A</v>
      </c>
      <c r="H86" s="351" t="e">
        <f t="shared" si="38"/>
        <v>#N/A</v>
      </c>
      <c r="I86" s="351" t="e">
        <f t="shared" si="38"/>
        <v>#N/A</v>
      </c>
      <c r="J86" s="351" t="e">
        <f t="shared" si="38"/>
        <v>#N/A</v>
      </c>
      <c r="K86" s="351" t="e">
        <f t="shared" si="38"/>
        <v>#N/A</v>
      </c>
      <c r="L86" s="351" t="e">
        <f t="shared" si="38"/>
        <v>#N/A</v>
      </c>
      <c r="M86" s="351" t="e">
        <f t="shared" si="38"/>
        <v>#N/A</v>
      </c>
      <c r="N86" s="351" t="e">
        <f t="shared" si="38"/>
        <v>#N/A</v>
      </c>
      <c r="O86" s="351" t="e">
        <f t="shared" si="38"/>
        <v>#N/A</v>
      </c>
      <c r="P86" s="351" t="e">
        <f t="shared" si="38"/>
        <v>#N/A</v>
      </c>
      <c r="Q86" s="351" t="e">
        <f t="shared" si="38"/>
        <v>#N/A</v>
      </c>
      <c r="R86" s="351" t="e">
        <f t="shared" si="38"/>
        <v>#N/A</v>
      </c>
      <c r="S86" s="351" t="e">
        <f t="shared" si="38"/>
        <v>#N/A</v>
      </c>
      <c r="T86" s="351" t="e">
        <f t="shared" si="38"/>
        <v>#N/A</v>
      </c>
      <c r="U86" s="351" t="e">
        <f t="shared" si="38"/>
        <v>#N/A</v>
      </c>
      <c r="V86" s="351" t="e">
        <f t="shared" si="38"/>
        <v>#N/A</v>
      </c>
      <c r="W86" s="351" t="e">
        <f t="shared" si="38"/>
        <v>#N/A</v>
      </c>
      <c r="X86" s="351" t="e">
        <f t="shared" si="38"/>
        <v>#N/A</v>
      </c>
      <c r="Y86" s="351" t="e">
        <f t="shared" si="38"/>
        <v>#N/A</v>
      </c>
      <c r="Z86" s="351" t="e">
        <f t="shared" si="38"/>
        <v>#N/A</v>
      </c>
      <c r="AA86" s="351" t="e">
        <f t="shared" si="38"/>
        <v>#N/A</v>
      </c>
      <c r="AB86" s="351" t="e">
        <f t="shared" si="38"/>
        <v>#N/A</v>
      </c>
      <c r="AC86" s="351" t="e">
        <f t="shared" si="38"/>
        <v>#N/A</v>
      </c>
      <c r="AD86" s="351" t="e">
        <f t="shared" si="38"/>
        <v>#N/A</v>
      </c>
      <c r="AE86" s="351" t="e">
        <f t="shared" si="38"/>
        <v>#N/A</v>
      </c>
      <c r="AF86" s="351" t="e">
        <f t="shared" si="38"/>
        <v>#N/A</v>
      </c>
      <c r="AG86" s="351" t="e">
        <f t="shared" si="38"/>
        <v>#N/A</v>
      </c>
      <c r="AH86" s="351" t="e">
        <f t="shared" si="38"/>
        <v>#N/A</v>
      </c>
      <c r="AI86" s="351" t="e">
        <f t="shared" si="38"/>
        <v>#N/A</v>
      </c>
      <c r="AJ86" s="351" t="e">
        <f t="shared" si="38"/>
        <v>#N/A</v>
      </c>
      <c r="AK86" s="351" t="e">
        <f t="shared" si="38"/>
        <v>#N/A</v>
      </c>
      <c r="AL86" s="351" t="e">
        <f t="shared" si="38"/>
        <v>#N/A</v>
      </c>
      <c r="AM86" s="351" t="e">
        <f t="shared" si="38"/>
        <v>#N/A</v>
      </c>
      <c r="AN86" s="351" t="e">
        <f t="shared" si="38"/>
        <v>#N/A</v>
      </c>
      <c r="AO86" s="351" t="e">
        <f t="shared" si="38"/>
        <v>#N/A</v>
      </c>
      <c r="AP86" s="351" t="e">
        <f t="shared" si="38"/>
        <v>#N/A</v>
      </c>
      <c r="AQ86" s="351" t="e">
        <f t="shared" si="38"/>
        <v>#N/A</v>
      </c>
      <c r="AR86"/>
    </row>
    <row r="87" spans="1:44" s="315" customFormat="1" ht="14.25" hidden="1">
      <c r="A87" s="547" t="s">
        <v>486</v>
      </c>
      <c r="B87" s="620"/>
      <c r="C87" s="603"/>
      <c r="E87" s="351" t="e">
        <f t="shared" ref="E87:AQ87" si="39">IF(E88="",NA(),ROUND(E88-E86,1))</f>
        <v>#N/A</v>
      </c>
      <c r="F87" s="351" t="e">
        <f t="shared" si="39"/>
        <v>#N/A</v>
      </c>
      <c r="G87" s="351" t="e">
        <f t="shared" si="39"/>
        <v>#N/A</v>
      </c>
      <c r="H87" s="351" t="e">
        <f t="shared" si="39"/>
        <v>#N/A</v>
      </c>
      <c r="I87" s="351" t="e">
        <f t="shared" si="39"/>
        <v>#N/A</v>
      </c>
      <c r="J87" s="351" t="e">
        <f t="shared" si="39"/>
        <v>#N/A</v>
      </c>
      <c r="K87" s="351" t="e">
        <f t="shared" si="39"/>
        <v>#N/A</v>
      </c>
      <c r="L87" s="351" t="e">
        <f t="shared" si="39"/>
        <v>#N/A</v>
      </c>
      <c r="M87" s="351" t="e">
        <f t="shared" si="39"/>
        <v>#N/A</v>
      </c>
      <c r="N87" s="351" t="e">
        <f t="shared" si="39"/>
        <v>#N/A</v>
      </c>
      <c r="O87" s="351" t="e">
        <f t="shared" si="39"/>
        <v>#N/A</v>
      </c>
      <c r="P87" s="351" t="e">
        <f t="shared" si="39"/>
        <v>#N/A</v>
      </c>
      <c r="Q87" s="351" t="e">
        <f t="shared" si="39"/>
        <v>#N/A</v>
      </c>
      <c r="R87" s="351" t="e">
        <f t="shared" si="39"/>
        <v>#N/A</v>
      </c>
      <c r="S87" s="351" t="e">
        <f t="shared" si="39"/>
        <v>#N/A</v>
      </c>
      <c r="T87" s="351" t="e">
        <f t="shared" si="39"/>
        <v>#N/A</v>
      </c>
      <c r="U87" s="351" t="e">
        <f t="shared" si="39"/>
        <v>#N/A</v>
      </c>
      <c r="V87" s="351" t="e">
        <f t="shared" si="39"/>
        <v>#N/A</v>
      </c>
      <c r="W87" s="351" t="e">
        <f t="shared" si="39"/>
        <v>#N/A</v>
      </c>
      <c r="X87" s="351" t="e">
        <f t="shared" si="39"/>
        <v>#N/A</v>
      </c>
      <c r="Y87" s="351" t="e">
        <f t="shared" si="39"/>
        <v>#N/A</v>
      </c>
      <c r="Z87" s="351" t="e">
        <f t="shared" si="39"/>
        <v>#N/A</v>
      </c>
      <c r="AA87" s="351" t="e">
        <f t="shared" si="39"/>
        <v>#N/A</v>
      </c>
      <c r="AB87" s="351" t="e">
        <f t="shared" si="39"/>
        <v>#N/A</v>
      </c>
      <c r="AC87" s="351" t="e">
        <f t="shared" si="39"/>
        <v>#N/A</v>
      </c>
      <c r="AD87" s="351" t="e">
        <f t="shared" si="39"/>
        <v>#N/A</v>
      </c>
      <c r="AE87" s="351" t="e">
        <f t="shared" si="39"/>
        <v>#N/A</v>
      </c>
      <c r="AF87" s="351" t="e">
        <f t="shared" si="39"/>
        <v>#N/A</v>
      </c>
      <c r="AG87" s="351" t="e">
        <f t="shared" si="39"/>
        <v>#N/A</v>
      </c>
      <c r="AH87" s="351" t="e">
        <f t="shared" si="39"/>
        <v>#N/A</v>
      </c>
      <c r="AI87" s="351" t="e">
        <f t="shared" si="39"/>
        <v>#N/A</v>
      </c>
      <c r="AJ87" s="351" t="e">
        <f t="shared" si="39"/>
        <v>#N/A</v>
      </c>
      <c r="AK87" s="351" t="e">
        <f t="shared" si="39"/>
        <v>#N/A</v>
      </c>
      <c r="AL87" s="351" t="e">
        <f t="shared" si="39"/>
        <v>#N/A</v>
      </c>
      <c r="AM87" s="351" t="e">
        <f t="shared" si="39"/>
        <v>#N/A</v>
      </c>
      <c r="AN87" s="351" t="e">
        <f t="shared" si="39"/>
        <v>#N/A</v>
      </c>
      <c r="AO87" s="351" t="e">
        <f t="shared" si="39"/>
        <v>#N/A</v>
      </c>
      <c r="AP87" s="351" t="e">
        <f t="shared" si="39"/>
        <v>#N/A</v>
      </c>
      <c r="AQ87" s="351" t="e">
        <f t="shared" si="39"/>
        <v>#N/A</v>
      </c>
      <c r="AR87"/>
    </row>
    <row r="88" spans="1:44" s="315" customFormat="1" ht="14.25" hidden="1">
      <c r="A88" s="547" t="s">
        <v>484</v>
      </c>
      <c r="B88" s="620"/>
      <c r="C88" s="603"/>
      <c r="E88" s="350" t="e">
        <f t="shared" ref="E88:AQ88" si="40">IF(E84="",NA(),IF(E58&lt;=$B73,E84*$D76/100,IF(E58&lt;=$C73,E84*$E76/100,IF(E58&lt;=$D73,E84*$F76/100,IF(E58&lt;=$E73,E84*$G76/100,IF(E58&lt;=$F73,E84*$H76/100,IF(E58&lt;=$G73,E84*$I76/100,IF(E58&lt;=$H73,E84*$J76/100,IF(E58&lt;=$I73,E84*$K76/100,IF(E58&lt;=$J73,E84*$L76/100,IF(E58&lt;=$K73,E84*$M76/100,IF(E58&lt;=$L73,E84*$N76/100,IF(E58&lt;=$M73,E84*$O76/100,IF(E58&lt;=$N73,E84*$P76/100,IF(E58&lt;=$O73,E84*$Q76/100,IF(E58&lt;=$P73,E84*$R76/100,IF(E58&lt;=$Q73,E84*$S76/100,IF(E58&lt;=$R73,E84*$T76/100,IF(E58&lt;=$S73,E84*$U76/100,IF(E58&lt;=$T73,E84*$V76/100,IF(E58&lt;=$U73,E84*$W76/100,E84*$X76/100)))))))))))))))))))))</f>
        <v>#N/A</v>
      </c>
      <c r="F88" s="350" t="e">
        <f t="shared" si="40"/>
        <v>#N/A</v>
      </c>
      <c r="G88" s="350" t="e">
        <f t="shared" si="40"/>
        <v>#N/A</v>
      </c>
      <c r="H88" s="350" t="e">
        <f t="shared" si="40"/>
        <v>#N/A</v>
      </c>
      <c r="I88" s="350" t="e">
        <f t="shared" si="40"/>
        <v>#N/A</v>
      </c>
      <c r="J88" s="350" t="e">
        <f t="shared" si="40"/>
        <v>#N/A</v>
      </c>
      <c r="K88" s="350" t="e">
        <f t="shared" si="40"/>
        <v>#N/A</v>
      </c>
      <c r="L88" s="350" t="e">
        <f t="shared" si="40"/>
        <v>#N/A</v>
      </c>
      <c r="M88" s="350" t="e">
        <f t="shared" si="40"/>
        <v>#N/A</v>
      </c>
      <c r="N88" s="350" t="e">
        <f t="shared" si="40"/>
        <v>#N/A</v>
      </c>
      <c r="O88" s="350" t="e">
        <f t="shared" si="40"/>
        <v>#N/A</v>
      </c>
      <c r="P88" s="350" t="e">
        <f t="shared" si="40"/>
        <v>#N/A</v>
      </c>
      <c r="Q88" s="350" t="e">
        <f t="shared" si="40"/>
        <v>#N/A</v>
      </c>
      <c r="R88" s="350" t="e">
        <f t="shared" si="40"/>
        <v>#N/A</v>
      </c>
      <c r="S88" s="350" t="e">
        <f t="shared" si="40"/>
        <v>#N/A</v>
      </c>
      <c r="T88" s="350" t="e">
        <f t="shared" si="40"/>
        <v>#N/A</v>
      </c>
      <c r="U88" s="350" t="e">
        <f t="shared" si="40"/>
        <v>#N/A</v>
      </c>
      <c r="V88" s="350" t="e">
        <f t="shared" si="40"/>
        <v>#N/A</v>
      </c>
      <c r="W88" s="350" t="e">
        <f t="shared" si="40"/>
        <v>#N/A</v>
      </c>
      <c r="X88" s="350" t="e">
        <f t="shared" si="40"/>
        <v>#N/A</v>
      </c>
      <c r="Y88" s="350" t="e">
        <f t="shared" si="40"/>
        <v>#N/A</v>
      </c>
      <c r="Z88" s="350" t="e">
        <f t="shared" si="40"/>
        <v>#N/A</v>
      </c>
      <c r="AA88" s="350" t="e">
        <f t="shared" si="40"/>
        <v>#N/A</v>
      </c>
      <c r="AB88" s="350" t="e">
        <f t="shared" si="40"/>
        <v>#N/A</v>
      </c>
      <c r="AC88" s="350" t="e">
        <f t="shared" si="40"/>
        <v>#N/A</v>
      </c>
      <c r="AD88" s="350" t="e">
        <f t="shared" si="40"/>
        <v>#N/A</v>
      </c>
      <c r="AE88" s="350" t="e">
        <f t="shared" si="40"/>
        <v>#N/A</v>
      </c>
      <c r="AF88" s="350" t="e">
        <f t="shared" si="40"/>
        <v>#N/A</v>
      </c>
      <c r="AG88" s="350" t="e">
        <f t="shared" si="40"/>
        <v>#N/A</v>
      </c>
      <c r="AH88" s="350" t="e">
        <f t="shared" si="40"/>
        <v>#N/A</v>
      </c>
      <c r="AI88" s="350" t="e">
        <f t="shared" si="40"/>
        <v>#N/A</v>
      </c>
      <c r="AJ88" s="350" t="e">
        <f t="shared" si="40"/>
        <v>#N/A</v>
      </c>
      <c r="AK88" s="350" t="e">
        <f t="shared" si="40"/>
        <v>#N/A</v>
      </c>
      <c r="AL88" s="350" t="e">
        <f t="shared" si="40"/>
        <v>#N/A</v>
      </c>
      <c r="AM88" s="350" t="e">
        <f t="shared" si="40"/>
        <v>#N/A</v>
      </c>
      <c r="AN88" s="350" t="e">
        <f t="shared" si="40"/>
        <v>#N/A</v>
      </c>
      <c r="AO88" s="350" t="e">
        <f t="shared" si="40"/>
        <v>#N/A</v>
      </c>
      <c r="AP88" s="350" t="e">
        <f t="shared" si="40"/>
        <v>#N/A</v>
      </c>
      <c r="AQ88" s="350" t="e">
        <f t="shared" si="40"/>
        <v>#N/A</v>
      </c>
      <c r="AR88"/>
    </row>
    <row r="89" spans="1:44" s="315" customFormat="1" ht="15" hidden="1" thickBot="1">
      <c r="A89" s="557" t="s">
        <v>473</v>
      </c>
      <c r="B89" s="621"/>
      <c r="C89" s="621"/>
      <c r="E89" s="352" t="e">
        <f t="shared" ref="E89:AQ89" si="41">IF(E88="",NA(),ROUND(E86/E88*100,1))</f>
        <v>#N/A</v>
      </c>
      <c r="F89" s="352" t="e">
        <f t="shared" si="41"/>
        <v>#N/A</v>
      </c>
      <c r="G89" s="352" t="e">
        <f t="shared" si="41"/>
        <v>#N/A</v>
      </c>
      <c r="H89" s="352" t="e">
        <f t="shared" si="41"/>
        <v>#N/A</v>
      </c>
      <c r="I89" s="352" t="e">
        <f t="shared" si="41"/>
        <v>#N/A</v>
      </c>
      <c r="J89" s="352" t="e">
        <f t="shared" si="41"/>
        <v>#N/A</v>
      </c>
      <c r="K89" s="352" t="e">
        <f t="shared" si="41"/>
        <v>#N/A</v>
      </c>
      <c r="L89" s="352" t="e">
        <f t="shared" si="41"/>
        <v>#N/A</v>
      </c>
      <c r="M89" s="352" t="e">
        <f t="shared" si="41"/>
        <v>#N/A</v>
      </c>
      <c r="N89" s="352" t="e">
        <f t="shared" si="41"/>
        <v>#N/A</v>
      </c>
      <c r="O89" s="352" t="e">
        <f t="shared" si="41"/>
        <v>#N/A</v>
      </c>
      <c r="P89" s="352" t="e">
        <f t="shared" si="41"/>
        <v>#N/A</v>
      </c>
      <c r="Q89" s="352" t="e">
        <f t="shared" si="41"/>
        <v>#N/A</v>
      </c>
      <c r="R89" s="352" t="e">
        <f t="shared" si="41"/>
        <v>#N/A</v>
      </c>
      <c r="S89" s="352" t="e">
        <f t="shared" si="41"/>
        <v>#N/A</v>
      </c>
      <c r="T89" s="352" t="e">
        <f t="shared" si="41"/>
        <v>#N/A</v>
      </c>
      <c r="U89" s="352" t="e">
        <f t="shared" si="41"/>
        <v>#N/A</v>
      </c>
      <c r="V89" s="352" t="e">
        <f t="shared" si="41"/>
        <v>#N/A</v>
      </c>
      <c r="W89" s="352" t="e">
        <f t="shared" si="41"/>
        <v>#N/A</v>
      </c>
      <c r="X89" s="352" t="e">
        <f t="shared" si="41"/>
        <v>#N/A</v>
      </c>
      <c r="Y89" s="352" t="e">
        <f t="shared" si="41"/>
        <v>#N/A</v>
      </c>
      <c r="Z89" s="352" t="e">
        <f t="shared" si="41"/>
        <v>#N/A</v>
      </c>
      <c r="AA89" s="352" t="e">
        <f t="shared" si="41"/>
        <v>#N/A</v>
      </c>
      <c r="AB89" s="352" t="e">
        <f t="shared" si="41"/>
        <v>#N/A</v>
      </c>
      <c r="AC89" s="352" t="e">
        <f t="shared" si="41"/>
        <v>#N/A</v>
      </c>
      <c r="AD89" s="352" t="e">
        <f t="shared" si="41"/>
        <v>#N/A</v>
      </c>
      <c r="AE89" s="352" t="e">
        <f t="shared" si="41"/>
        <v>#N/A</v>
      </c>
      <c r="AF89" s="352" t="e">
        <f t="shared" si="41"/>
        <v>#N/A</v>
      </c>
      <c r="AG89" s="352" t="e">
        <f t="shared" si="41"/>
        <v>#N/A</v>
      </c>
      <c r="AH89" s="352" t="e">
        <f t="shared" si="41"/>
        <v>#N/A</v>
      </c>
      <c r="AI89" s="352" t="e">
        <f t="shared" si="41"/>
        <v>#N/A</v>
      </c>
      <c r="AJ89" s="352" t="e">
        <f t="shared" si="41"/>
        <v>#N/A</v>
      </c>
      <c r="AK89" s="352" t="e">
        <f t="shared" si="41"/>
        <v>#N/A</v>
      </c>
      <c r="AL89" s="352" t="e">
        <f t="shared" si="41"/>
        <v>#N/A</v>
      </c>
      <c r="AM89" s="352" t="e">
        <f t="shared" si="41"/>
        <v>#N/A</v>
      </c>
      <c r="AN89" s="352" t="e">
        <f t="shared" si="41"/>
        <v>#N/A</v>
      </c>
      <c r="AO89" s="352" t="e">
        <f t="shared" si="41"/>
        <v>#N/A</v>
      </c>
      <c r="AP89" s="352" t="e">
        <f t="shared" si="41"/>
        <v>#N/A</v>
      </c>
      <c r="AQ89" s="352" t="e">
        <f t="shared" si="41"/>
        <v>#N/A</v>
      </c>
      <c r="AR89" s="352"/>
    </row>
    <row r="90" spans="1:44" s="315" customFormat="1" ht="14.25"/>
    <row r="91" spans="1:44" s="315" customFormat="1" ht="21" customHeight="1" thickBot="1">
      <c r="A91" s="314" t="s">
        <v>324</v>
      </c>
    </row>
    <row r="92" spans="1:44" s="315" customFormat="1" ht="12.95" customHeight="1" thickBot="1">
      <c r="A92" s="614" t="s">
        <v>282</v>
      </c>
      <c r="B92" s="615"/>
      <c r="C92" s="615"/>
      <c r="D92" s="618"/>
      <c r="E92" s="618"/>
      <c r="F92" s="619"/>
      <c r="H92" s="316" t="s">
        <v>290</v>
      </c>
      <c r="I92" s="618"/>
      <c r="J92" s="619"/>
      <c r="L92" s="353" t="s">
        <v>291</v>
      </c>
      <c r="M92" s="1212"/>
      <c r="N92" s="1213"/>
      <c r="O92" s="354"/>
      <c r="P92" s="1214" t="s">
        <v>293</v>
      </c>
      <c r="Q92" s="1215"/>
      <c r="R92" s="355"/>
      <c r="S92" s="355"/>
      <c r="T92" s="355"/>
    </row>
    <row r="93" spans="1:44" s="315" customFormat="1" ht="12.95" customHeight="1" thickBot="1">
      <c r="L93" s="356" t="s">
        <v>292</v>
      </c>
      <c r="M93" s="1216"/>
      <c r="N93" s="1217"/>
      <c r="P93" s="594"/>
      <c r="Q93" s="1218"/>
      <c r="R93" s="1218"/>
      <c r="S93" s="1218"/>
      <c r="T93" s="1218"/>
      <c r="U93" s="1218"/>
      <c r="V93" s="1218"/>
      <c r="W93" s="1218"/>
      <c r="X93" s="1219"/>
    </row>
    <row r="94" spans="1:44" s="315" customFormat="1" ht="14.25">
      <c r="A94" s="545" t="s">
        <v>61</v>
      </c>
      <c r="B94" s="617"/>
      <c r="C94" s="617"/>
      <c r="D94" s="366" t="s">
        <v>47</v>
      </c>
      <c r="E94" s="366" t="s">
        <v>13</v>
      </c>
      <c r="F94" s="366" t="s">
        <v>15</v>
      </c>
      <c r="G94" s="366" t="s">
        <v>48</v>
      </c>
      <c r="H94" s="366" t="s">
        <v>49</v>
      </c>
      <c r="I94" s="319" t="s">
        <v>52</v>
      </c>
      <c r="J94" s="320" t="s">
        <v>51</v>
      </c>
      <c r="K94" s="321"/>
      <c r="P94" s="1220"/>
      <c r="Q94" s="1221"/>
      <c r="R94" s="1221"/>
      <c r="S94" s="1221"/>
      <c r="T94" s="1221"/>
      <c r="U94" s="1221"/>
      <c r="V94" s="1221"/>
      <c r="W94" s="1221"/>
      <c r="X94" s="1222"/>
      <c r="Z94" s="322"/>
      <c r="AA94" s="322"/>
    </row>
    <row r="95" spans="1:44" s="315" customFormat="1" ht="14.25">
      <c r="A95" s="547" t="s">
        <v>163</v>
      </c>
      <c r="B95" s="620"/>
      <c r="C95" s="620"/>
      <c r="D95" s="363" t="str">
        <f>IF(D96+D97=0,"",D96+D97)</f>
        <v/>
      </c>
      <c r="E95" s="363" t="str">
        <f>IF(E96+E97=0,"",E96+E97)</f>
        <v/>
      </c>
      <c r="F95" s="363" t="str">
        <f>IF(F96+F97=0,"",F96+F97)</f>
        <v/>
      </c>
      <c r="G95" s="363" t="str">
        <f>IF(G96+G97=0,"",G96+G97)</f>
        <v/>
      </c>
      <c r="H95" s="363" t="str">
        <f>IF(H96+H97=0,"",H96+H97)</f>
        <v/>
      </c>
      <c r="I95" s="323"/>
      <c r="J95" s="368" t="str">
        <f>IF(SUM(D95:I95)=0,"",SUM(D95:I95))</f>
        <v/>
      </c>
      <c r="K95" s="321"/>
      <c r="P95" s="1220"/>
      <c r="Q95" s="1221"/>
      <c r="R95" s="1221"/>
      <c r="S95" s="1221"/>
      <c r="T95" s="1221"/>
      <c r="U95" s="1221"/>
      <c r="V95" s="1221"/>
      <c r="W95" s="1221"/>
      <c r="X95" s="1222"/>
      <c r="Z95" s="322"/>
      <c r="AA95" s="322"/>
    </row>
    <row r="96" spans="1:44" s="315" customFormat="1" ht="14.25">
      <c r="A96" s="547" t="s">
        <v>93</v>
      </c>
      <c r="B96" s="620"/>
      <c r="C96" s="620"/>
      <c r="D96" s="371"/>
      <c r="E96" s="371"/>
      <c r="F96" s="371"/>
      <c r="G96" s="371"/>
      <c r="H96" s="371"/>
      <c r="I96" s="323"/>
      <c r="J96" s="368" t="str">
        <f>IF(SUM(D96:I96)=0,"",SUM(D96:I96))</f>
        <v/>
      </c>
      <c r="K96" s="325"/>
      <c r="P96" s="1220"/>
      <c r="Q96" s="1221"/>
      <c r="R96" s="1221"/>
      <c r="S96" s="1221"/>
      <c r="T96" s="1221"/>
      <c r="U96" s="1221"/>
      <c r="V96" s="1221"/>
      <c r="W96" s="1221"/>
      <c r="X96" s="1222"/>
      <c r="Y96" s="589"/>
      <c r="Z96" s="589"/>
      <c r="AA96" s="589"/>
    </row>
    <row r="97" spans="1:44" s="315" customFormat="1" ht="14.25">
      <c r="A97" s="547" t="s">
        <v>50</v>
      </c>
      <c r="B97" s="620"/>
      <c r="C97" s="620"/>
      <c r="D97" s="371"/>
      <c r="E97" s="371"/>
      <c r="F97" s="371"/>
      <c r="G97" s="371"/>
      <c r="H97" s="371"/>
      <c r="I97" s="323"/>
      <c r="J97" s="368" t="str">
        <f>IF(SUM(D97:I97)=0,"",SUM(D97:I97))</f>
        <v/>
      </c>
      <c r="K97" s="325"/>
      <c r="P97" s="1220"/>
      <c r="Q97" s="1221"/>
      <c r="R97" s="1221"/>
      <c r="S97" s="1221"/>
      <c r="T97" s="1221"/>
      <c r="U97" s="1221"/>
      <c r="V97" s="1221"/>
      <c r="W97" s="1221"/>
      <c r="X97" s="1222"/>
      <c r="Y97" s="589"/>
      <c r="Z97" s="589"/>
      <c r="AA97" s="589"/>
    </row>
    <row r="98" spans="1:44" s="315" customFormat="1" ht="15" thickBot="1">
      <c r="A98" s="557" t="s">
        <v>162</v>
      </c>
      <c r="B98" s="621"/>
      <c r="C98" s="621"/>
      <c r="D98" s="372"/>
      <c r="E98" s="372"/>
      <c r="F98" s="372"/>
      <c r="G98" s="372"/>
      <c r="H98" s="372"/>
      <c r="I98" s="369" t="str">
        <f>IF(SUM(E101:AQ101)=0,"",SUM(E101:AQ101))</f>
        <v/>
      </c>
      <c r="J98" s="370" t="str">
        <f>IF(SUM(D98:I98)=0,"",SUM(D98:I98))</f>
        <v/>
      </c>
      <c r="K98" s="325"/>
      <c r="O98" s="354"/>
      <c r="P98" s="1223"/>
      <c r="Q98" s="1224"/>
      <c r="R98" s="1224"/>
      <c r="S98" s="1224"/>
      <c r="T98" s="1224"/>
      <c r="U98" s="1224"/>
      <c r="V98" s="1224"/>
      <c r="W98" s="1224"/>
      <c r="X98" s="1225"/>
      <c r="Y98" s="589"/>
      <c r="Z98" s="589"/>
      <c r="AA98" s="589"/>
    </row>
    <row r="99" spans="1:44" s="315" customFormat="1" ht="10.5" customHeight="1" thickBot="1"/>
    <row r="100" spans="1:44" s="315" customFormat="1" ht="14.25">
      <c r="A100" s="616" t="s">
        <v>16</v>
      </c>
      <c r="B100" s="617"/>
      <c r="C100" s="617"/>
      <c r="D100" s="366">
        <v>1</v>
      </c>
      <c r="E100" s="366">
        <v>2</v>
      </c>
      <c r="F100" s="366">
        <v>3</v>
      </c>
      <c r="G100" s="366">
        <v>4</v>
      </c>
      <c r="H100" s="366">
        <v>5</v>
      </c>
      <c r="I100" s="366">
        <v>6</v>
      </c>
      <c r="J100" s="366">
        <v>7</v>
      </c>
      <c r="K100" s="366">
        <v>8</v>
      </c>
      <c r="L100" s="366">
        <v>9</v>
      </c>
      <c r="M100" s="366">
        <v>10</v>
      </c>
      <c r="N100" s="366">
        <v>11</v>
      </c>
      <c r="O100" s="366">
        <v>12</v>
      </c>
      <c r="P100" s="366">
        <v>13</v>
      </c>
      <c r="Q100" s="366">
        <v>14</v>
      </c>
      <c r="R100" s="366">
        <v>15</v>
      </c>
      <c r="S100" s="366">
        <v>16</v>
      </c>
      <c r="T100" s="366">
        <v>17</v>
      </c>
      <c r="U100" s="366">
        <v>18</v>
      </c>
      <c r="V100" s="366">
        <v>19</v>
      </c>
      <c r="W100" s="366">
        <v>20</v>
      </c>
      <c r="X100" s="366">
        <v>21</v>
      </c>
      <c r="Y100" s="366">
        <v>22</v>
      </c>
      <c r="Z100" s="366">
        <v>23</v>
      </c>
      <c r="AA100" s="366">
        <v>24</v>
      </c>
      <c r="AB100" s="366">
        <v>25</v>
      </c>
      <c r="AC100" s="366">
        <v>26</v>
      </c>
      <c r="AD100" s="366">
        <v>27</v>
      </c>
      <c r="AE100" s="366">
        <v>28</v>
      </c>
      <c r="AF100" s="366">
        <v>29</v>
      </c>
      <c r="AG100" s="366">
        <v>30</v>
      </c>
      <c r="AH100" s="366">
        <v>31</v>
      </c>
      <c r="AI100" s="366">
        <v>32</v>
      </c>
      <c r="AJ100" s="366">
        <v>33</v>
      </c>
      <c r="AK100" s="366">
        <v>34</v>
      </c>
      <c r="AL100" s="366">
        <v>35</v>
      </c>
      <c r="AM100" s="366">
        <v>36</v>
      </c>
      <c r="AN100" s="366">
        <v>37</v>
      </c>
      <c r="AO100" s="366">
        <v>38</v>
      </c>
      <c r="AP100" s="366">
        <v>39</v>
      </c>
      <c r="AQ100" s="320">
        <v>40</v>
      </c>
    </row>
    <row r="101" spans="1:44" s="315" customFormat="1" ht="14.25">
      <c r="A101" s="547" t="s">
        <v>206</v>
      </c>
      <c r="B101" s="620"/>
      <c r="C101" s="620"/>
      <c r="D101" s="365"/>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6"/>
    </row>
    <row r="102" spans="1:44" s="315" customFormat="1" ht="14.25">
      <c r="A102" s="622" t="s">
        <v>1</v>
      </c>
      <c r="B102" s="623"/>
      <c r="C102" s="624" t="s">
        <v>63</v>
      </c>
      <c r="D102" s="327"/>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9"/>
      <c r="AM102" s="329"/>
      <c r="AN102" s="329"/>
      <c r="AO102" s="328"/>
      <c r="AP102" s="328"/>
      <c r="AQ102" s="330"/>
      <c r="AR102" s="362"/>
    </row>
    <row r="103" spans="1:44" s="315" customFormat="1" ht="14.25">
      <c r="A103" s="622" t="s">
        <v>2</v>
      </c>
      <c r="B103" s="623"/>
      <c r="C103" s="624"/>
      <c r="D103" s="327"/>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31"/>
      <c r="AQ103" s="332"/>
      <c r="AR103" s="362"/>
    </row>
    <row r="104" spans="1:44" s="315" customFormat="1" ht="14.25">
      <c r="A104" s="547" t="s">
        <v>261</v>
      </c>
      <c r="B104" s="620"/>
      <c r="C104" s="620"/>
      <c r="D104" s="333"/>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29"/>
      <c r="AM104" s="329"/>
      <c r="AN104" s="329"/>
      <c r="AO104" s="334"/>
      <c r="AP104" s="334"/>
      <c r="AQ104" s="335"/>
    </row>
    <row r="105" spans="1:44" s="315" customFormat="1" ht="14.25">
      <c r="A105" s="1206" t="s">
        <v>297</v>
      </c>
      <c r="B105" s="1207"/>
      <c r="C105" s="1207"/>
      <c r="D105" s="373"/>
      <c r="E105" s="374" t="str">
        <f t="shared" ref="E105:AQ105" si="42">IFERROR(E128,"")</f>
        <v/>
      </c>
      <c r="F105" s="374" t="str">
        <f t="shared" si="42"/>
        <v/>
      </c>
      <c r="G105" s="374" t="str">
        <f t="shared" si="42"/>
        <v/>
      </c>
      <c r="H105" s="374" t="str">
        <f t="shared" si="42"/>
        <v/>
      </c>
      <c r="I105" s="374" t="str">
        <f t="shared" si="42"/>
        <v/>
      </c>
      <c r="J105" s="374" t="str">
        <f t="shared" si="42"/>
        <v/>
      </c>
      <c r="K105" s="374" t="str">
        <f t="shared" si="42"/>
        <v/>
      </c>
      <c r="L105" s="374" t="str">
        <f t="shared" si="42"/>
        <v/>
      </c>
      <c r="M105" s="374" t="str">
        <f t="shared" si="42"/>
        <v/>
      </c>
      <c r="N105" s="374" t="str">
        <f t="shared" si="42"/>
        <v/>
      </c>
      <c r="O105" s="374" t="str">
        <f t="shared" si="42"/>
        <v/>
      </c>
      <c r="P105" s="374" t="str">
        <f t="shared" si="42"/>
        <v/>
      </c>
      <c r="Q105" s="374" t="str">
        <f t="shared" si="42"/>
        <v/>
      </c>
      <c r="R105" s="374" t="str">
        <f t="shared" si="42"/>
        <v/>
      </c>
      <c r="S105" s="374" t="str">
        <f t="shared" si="42"/>
        <v/>
      </c>
      <c r="T105" s="374" t="str">
        <f t="shared" si="42"/>
        <v/>
      </c>
      <c r="U105" s="374" t="str">
        <f t="shared" si="42"/>
        <v/>
      </c>
      <c r="V105" s="374" t="str">
        <f t="shared" si="42"/>
        <v/>
      </c>
      <c r="W105" s="374" t="str">
        <f t="shared" si="42"/>
        <v/>
      </c>
      <c r="X105" s="374" t="str">
        <f t="shared" si="42"/>
        <v/>
      </c>
      <c r="Y105" s="374" t="str">
        <f t="shared" si="42"/>
        <v/>
      </c>
      <c r="Z105" s="374" t="str">
        <f t="shared" si="42"/>
        <v/>
      </c>
      <c r="AA105" s="374" t="str">
        <f t="shared" si="42"/>
        <v/>
      </c>
      <c r="AB105" s="374" t="str">
        <f t="shared" si="42"/>
        <v/>
      </c>
      <c r="AC105" s="374" t="str">
        <f t="shared" si="42"/>
        <v/>
      </c>
      <c r="AD105" s="374" t="str">
        <f t="shared" si="42"/>
        <v/>
      </c>
      <c r="AE105" s="374" t="str">
        <f t="shared" si="42"/>
        <v/>
      </c>
      <c r="AF105" s="374" t="str">
        <f t="shared" si="42"/>
        <v/>
      </c>
      <c r="AG105" s="374" t="str">
        <f t="shared" si="42"/>
        <v/>
      </c>
      <c r="AH105" s="374" t="str">
        <f t="shared" si="42"/>
        <v/>
      </c>
      <c r="AI105" s="374" t="str">
        <f t="shared" si="42"/>
        <v/>
      </c>
      <c r="AJ105" s="374" t="str">
        <f t="shared" si="42"/>
        <v/>
      </c>
      <c r="AK105" s="374" t="str">
        <f t="shared" si="42"/>
        <v/>
      </c>
      <c r="AL105" s="374" t="str">
        <f t="shared" si="42"/>
        <v/>
      </c>
      <c r="AM105" s="374" t="str">
        <f t="shared" si="42"/>
        <v/>
      </c>
      <c r="AN105" s="374" t="str">
        <f t="shared" si="42"/>
        <v/>
      </c>
      <c r="AO105" s="374" t="str">
        <f t="shared" si="42"/>
        <v/>
      </c>
      <c r="AP105" s="374" t="str">
        <f t="shared" si="42"/>
        <v/>
      </c>
      <c r="AQ105" s="375" t="str">
        <f t="shared" si="42"/>
        <v/>
      </c>
      <c r="AR105" s="362"/>
    </row>
    <row r="106" spans="1:44" s="315" customFormat="1" ht="14.25" customHeight="1">
      <c r="A106" s="1206" t="s">
        <v>296</v>
      </c>
      <c r="B106" s="1207"/>
      <c r="C106" s="1207"/>
      <c r="D106" s="373"/>
      <c r="E106" s="374" t="str">
        <f t="shared" ref="E106:AQ106" si="43">IFERROR(E129,"")</f>
        <v/>
      </c>
      <c r="F106" s="374" t="str">
        <f t="shared" si="43"/>
        <v/>
      </c>
      <c r="G106" s="374" t="str">
        <f t="shared" si="43"/>
        <v/>
      </c>
      <c r="H106" s="374" t="str">
        <f t="shared" si="43"/>
        <v/>
      </c>
      <c r="I106" s="374" t="str">
        <f t="shared" si="43"/>
        <v/>
      </c>
      <c r="J106" s="374" t="str">
        <f t="shared" si="43"/>
        <v/>
      </c>
      <c r="K106" s="374" t="str">
        <f t="shared" si="43"/>
        <v/>
      </c>
      <c r="L106" s="374" t="str">
        <f t="shared" si="43"/>
        <v/>
      </c>
      <c r="M106" s="374" t="str">
        <f t="shared" si="43"/>
        <v/>
      </c>
      <c r="N106" s="374" t="str">
        <f t="shared" si="43"/>
        <v/>
      </c>
      <c r="O106" s="374" t="str">
        <f t="shared" si="43"/>
        <v/>
      </c>
      <c r="P106" s="374" t="str">
        <f t="shared" si="43"/>
        <v/>
      </c>
      <c r="Q106" s="374" t="str">
        <f t="shared" si="43"/>
        <v/>
      </c>
      <c r="R106" s="374" t="str">
        <f t="shared" si="43"/>
        <v/>
      </c>
      <c r="S106" s="374" t="str">
        <f t="shared" si="43"/>
        <v/>
      </c>
      <c r="T106" s="374" t="str">
        <f t="shared" si="43"/>
        <v/>
      </c>
      <c r="U106" s="374" t="str">
        <f t="shared" si="43"/>
        <v/>
      </c>
      <c r="V106" s="374" t="str">
        <f t="shared" si="43"/>
        <v/>
      </c>
      <c r="W106" s="374" t="str">
        <f t="shared" si="43"/>
        <v/>
      </c>
      <c r="X106" s="374" t="str">
        <f t="shared" si="43"/>
        <v/>
      </c>
      <c r="Y106" s="374" t="str">
        <f t="shared" si="43"/>
        <v/>
      </c>
      <c r="Z106" s="374" t="str">
        <f t="shared" si="43"/>
        <v/>
      </c>
      <c r="AA106" s="374" t="str">
        <f t="shared" si="43"/>
        <v/>
      </c>
      <c r="AB106" s="374" t="str">
        <f t="shared" si="43"/>
        <v/>
      </c>
      <c r="AC106" s="374" t="str">
        <f t="shared" si="43"/>
        <v/>
      </c>
      <c r="AD106" s="374" t="str">
        <f t="shared" si="43"/>
        <v/>
      </c>
      <c r="AE106" s="374" t="str">
        <f t="shared" si="43"/>
        <v/>
      </c>
      <c r="AF106" s="374" t="str">
        <f t="shared" si="43"/>
        <v/>
      </c>
      <c r="AG106" s="374" t="str">
        <f t="shared" si="43"/>
        <v/>
      </c>
      <c r="AH106" s="374" t="str">
        <f t="shared" si="43"/>
        <v/>
      </c>
      <c r="AI106" s="374" t="str">
        <f t="shared" si="43"/>
        <v/>
      </c>
      <c r="AJ106" s="374" t="str">
        <f t="shared" si="43"/>
        <v/>
      </c>
      <c r="AK106" s="374" t="str">
        <f t="shared" si="43"/>
        <v/>
      </c>
      <c r="AL106" s="374" t="str">
        <f t="shared" si="43"/>
        <v/>
      </c>
      <c r="AM106" s="374" t="str">
        <f t="shared" si="43"/>
        <v/>
      </c>
      <c r="AN106" s="374" t="str">
        <f t="shared" si="43"/>
        <v/>
      </c>
      <c r="AO106" s="374" t="str">
        <f t="shared" si="43"/>
        <v/>
      </c>
      <c r="AP106" s="374" t="str">
        <f t="shared" si="43"/>
        <v/>
      </c>
      <c r="AQ106" s="375" t="str">
        <f t="shared" si="43"/>
        <v/>
      </c>
      <c r="AR106" s="362"/>
    </row>
    <row r="107" spans="1:44" s="315" customFormat="1" ht="14.25">
      <c r="A107" s="1206" t="s">
        <v>406</v>
      </c>
      <c r="B107" s="1207"/>
      <c r="C107" s="1207"/>
      <c r="D107" s="373"/>
      <c r="E107" s="374" t="str">
        <f t="shared" ref="E107:AQ107" si="44">IFERROR(E130,"")</f>
        <v/>
      </c>
      <c r="F107" s="374" t="str">
        <f t="shared" si="44"/>
        <v/>
      </c>
      <c r="G107" s="374" t="str">
        <f t="shared" si="44"/>
        <v/>
      </c>
      <c r="H107" s="374" t="str">
        <f t="shared" si="44"/>
        <v/>
      </c>
      <c r="I107" s="374" t="str">
        <f t="shared" si="44"/>
        <v/>
      </c>
      <c r="J107" s="374" t="str">
        <f t="shared" si="44"/>
        <v/>
      </c>
      <c r="K107" s="374" t="str">
        <f t="shared" si="44"/>
        <v/>
      </c>
      <c r="L107" s="374" t="str">
        <f t="shared" si="44"/>
        <v/>
      </c>
      <c r="M107" s="374" t="str">
        <f t="shared" si="44"/>
        <v/>
      </c>
      <c r="N107" s="374" t="str">
        <f t="shared" si="44"/>
        <v/>
      </c>
      <c r="O107" s="374" t="str">
        <f t="shared" si="44"/>
        <v/>
      </c>
      <c r="P107" s="374" t="str">
        <f t="shared" si="44"/>
        <v/>
      </c>
      <c r="Q107" s="374" t="str">
        <f t="shared" si="44"/>
        <v/>
      </c>
      <c r="R107" s="374" t="str">
        <f t="shared" si="44"/>
        <v/>
      </c>
      <c r="S107" s="374" t="str">
        <f t="shared" si="44"/>
        <v/>
      </c>
      <c r="T107" s="374" t="str">
        <f t="shared" si="44"/>
        <v/>
      </c>
      <c r="U107" s="374" t="str">
        <f t="shared" si="44"/>
        <v/>
      </c>
      <c r="V107" s="374" t="str">
        <f t="shared" si="44"/>
        <v/>
      </c>
      <c r="W107" s="374" t="str">
        <f t="shared" si="44"/>
        <v/>
      </c>
      <c r="X107" s="374" t="str">
        <f t="shared" si="44"/>
        <v/>
      </c>
      <c r="Y107" s="374" t="str">
        <f t="shared" si="44"/>
        <v/>
      </c>
      <c r="Z107" s="374" t="str">
        <f t="shared" si="44"/>
        <v/>
      </c>
      <c r="AA107" s="374" t="str">
        <f t="shared" si="44"/>
        <v/>
      </c>
      <c r="AB107" s="374" t="str">
        <f t="shared" si="44"/>
        <v/>
      </c>
      <c r="AC107" s="374" t="str">
        <f t="shared" si="44"/>
        <v/>
      </c>
      <c r="AD107" s="374" t="str">
        <f t="shared" si="44"/>
        <v/>
      </c>
      <c r="AE107" s="374" t="str">
        <f t="shared" si="44"/>
        <v/>
      </c>
      <c r="AF107" s="374" t="str">
        <f t="shared" si="44"/>
        <v/>
      </c>
      <c r="AG107" s="374" t="str">
        <f t="shared" si="44"/>
        <v/>
      </c>
      <c r="AH107" s="374" t="str">
        <f t="shared" si="44"/>
        <v/>
      </c>
      <c r="AI107" s="374" t="str">
        <f t="shared" si="44"/>
        <v/>
      </c>
      <c r="AJ107" s="374" t="str">
        <f t="shared" si="44"/>
        <v/>
      </c>
      <c r="AK107" s="374" t="str">
        <f t="shared" si="44"/>
        <v/>
      </c>
      <c r="AL107" s="374" t="str">
        <f t="shared" si="44"/>
        <v/>
      </c>
      <c r="AM107" s="374" t="str">
        <f t="shared" si="44"/>
        <v/>
      </c>
      <c r="AN107" s="374" t="str">
        <f t="shared" si="44"/>
        <v/>
      </c>
      <c r="AO107" s="374" t="str">
        <f t="shared" si="44"/>
        <v/>
      </c>
      <c r="AP107" s="374" t="str">
        <f t="shared" si="44"/>
        <v/>
      </c>
      <c r="AQ107" s="375" t="str">
        <f t="shared" si="44"/>
        <v/>
      </c>
      <c r="AR107" s="362"/>
    </row>
    <row r="108" spans="1:44" s="315" customFormat="1" ht="14.25">
      <c r="A108" s="1208" t="s">
        <v>446</v>
      </c>
      <c r="B108" s="1209"/>
      <c r="C108" s="1209"/>
      <c r="D108" s="377"/>
      <c r="E108" s="374" t="str">
        <f t="shared" ref="E108:AQ108" si="45">IFERROR(E131,"")</f>
        <v/>
      </c>
      <c r="F108" s="374" t="str">
        <f t="shared" si="45"/>
        <v/>
      </c>
      <c r="G108" s="374" t="str">
        <f t="shared" si="45"/>
        <v/>
      </c>
      <c r="H108" s="374" t="str">
        <f t="shared" si="45"/>
        <v/>
      </c>
      <c r="I108" s="374" t="str">
        <f t="shared" si="45"/>
        <v/>
      </c>
      <c r="J108" s="374" t="str">
        <f t="shared" si="45"/>
        <v/>
      </c>
      <c r="K108" s="374" t="str">
        <f t="shared" si="45"/>
        <v/>
      </c>
      <c r="L108" s="374" t="str">
        <f t="shared" si="45"/>
        <v/>
      </c>
      <c r="M108" s="374" t="str">
        <f t="shared" si="45"/>
        <v/>
      </c>
      <c r="N108" s="374" t="str">
        <f t="shared" si="45"/>
        <v/>
      </c>
      <c r="O108" s="374" t="str">
        <f t="shared" si="45"/>
        <v/>
      </c>
      <c r="P108" s="374" t="str">
        <f t="shared" si="45"/>
        <v/>
      </c>
      <c r="Q108" s="374" t="str">
        <f t="shared" si="45"/>
        <v/>
      </c>
      <c r="R108" s="374" t="str">
        <f t="shared" si="45"/>
        <v/>
      </c>
      <c r="S108" s="374" t="str">
        <f t="shared" si="45"/>
        <v/>
      </c>
      <c r="T108" s="374" t="str">
        <f t="shared" si="45"/>
        <v/>
      </c>
      <c r="U108" s="374" t="str">
        <f t="shared" si="45"/>
        <v/>
      </c>
      <c r="V108" s="374" t="str">
        <f t="shared" si="45"/>
        <v/>
      </c>
      <c r="W108" s="374" t="str">
        <f t="shared" si="45"/>
        <v/>
      </c>
      <c r="X108" s="374" t="str">
        <f t="shared" si="45"/>
        <v/>
      </c>
      <c r="Y108" s="374" t="str">
        <f t="shared" si="45"/>
        <v/>
      </c>
      <c r="Z108" s="374" t="str">
        <f t="shared" si="45"/>
        <v/>
      </c>
      <c r="AA108" s="374" t="str">
        <f t="shared" si="45"/>
        <v/>
      </c>
      <c r="AB108" s="374" t="str">
        <f t="shared" si="45"/>
        <v/>
      </c>
      <c r="AC108" s="374" t="str">
        <f t="shared" si="45"/>
        <v/>
      </c>
      <c r="AD108" s="374" t="str">
        <f t="shared" si="45"/>
        <v/>
      </c>
      <c r="AE108" s="374" t="str">
        <f t="shared" si="45"/>
        <v/>
      </c>
      <c r="AF108" s="374" t="str">
        <f t="shared" si="45"/>
        <v/>
      </c>
      <c r="AG108" s="374" t="str">
        <f t="shared" si="45"/>
        <v/>
      </c>
      <c r="AH108" s="374" t="str">
        <f t="shared" si="45"/>
        <v/>
      </c>
      <c r="AI108" s="374" t="str">
        <f t="shared" si="45"/>
        <v/>
      </c>
      <c r="AJ108" s="374" t="str">
        <f t="shared" si="45"/>
        <v/>
      </c>
      <c r="AK108" s="374" t="str">
        <f t="shared" si="45"/>
        <v/>
      </c>
      <c r="AL108" s="374" t="str">
        <f t="shared" si="45"/>
        <v/>
      </c>
      <c r="AM108" s="374" t="str">
        <f t="shared" si="45"/>
        <v/>
      </c>
      <c r="AN108" s="374" t="str">
        <f t="shared" si="45"/>
        <v/>
      </c>
      <c r="AO108" s="374" t="str">
        <f t="shared" si="45"/>
        <v/>
      </c>
      <c r="AP108" s="374" t="str">
        <f t="shared" si="45"/>
        <v/>
      </c>
      <c r="AQ108" s="375" t="str">
        <f t="shared" si="45"/>
        <v/>
      </c>
      <c r="AR108" s="362"/>
    </row>
    <row r="109" spans="1:44" s="315" customFormat="1" ht="14.25" hidden="1">
      <c r="A109" s="1206" t="s">
        <v>336</v>
      </c>
      <c r="B109" s="1207"/>
      <c r="C109" s="1207"/>
      <c r="D109" s="378"/>
      <c r="E109" s="379">
        <f t="shared" ref="E109:AQ109" si="46">IF(E101="",0,E101)</f>
        <v>0</v>
      </c>
      <c r="F109" s="379">
        <f t="shared" si="46"/>
        <v>0</v>
      </c>
      <c r="G109" s="379">
        <f t="shared" si="46"/>
        <v>0</v>
      </c>
      <c r="H109" s="379">
        <f t="shared" si="46"/>
        <v>0</v>
      </c>
      <c r="I109" s="379">
        <f t="shared" si="46"/>
        <v>0</v>
      </c>
      <c r="J109" s="379">
        <f t="shared" si="46"/>
        <v>0</v>
      </c>
      <c r="K109" s="379">
        <f t="shared" si="46"/>
        <v>0</v>
      </c>
      <c r="L109" s="379">
        <f t="shared" si="46"/>
        <v>0</v>
      </c>
      <c r="M109" s="379">
        <f t="shared" si="46"/>
        <v>0</v>
      </c>
      <c r="N109" s="379">
        <f t="shared" si="46"/>
        <v>0</v>
      </c>
      <c r="O109" s="379">
        <f t="shared" si="46"/>
        <v>0</v>
      </c>
      <c r="P109" s="379">
        <f t="shared" si="46"/>
        <v>0</v>
      </c>
      <c r="Q109" s="379">
        <f t="shared" si="46"/>
        <v>0</v>
      </c>
      <c r="R109" s="379">
        <f t="shared" si="46"/>
        <v>0</v>
      </c>
      <c r="S109" s="379">
        <f t="shared" si="46"/>
        <v>0</v>
      </c>
      <c r="T109" s="379">
        <f t="shared" si="46"/>
        <v>0</v>
      </c>
      <c r="U109" s="379">
        <f t="shared" si="46"/>
        <v>0</v>
      </c>
      <c r="V109" s="379">
        <f t="shared" si="46"/>
        <v>0</v>
      </c>
      <c r="W109" s="379">
        <f t="shared" si="46"/>
        <v>0</v>
      </c>
      <c r="X109" s="379">
        <f t="shared" si="46"/>
        <v>0</v>
      </c>
      <c r="Y109" s="379">
        <f t="shared" si="46"/>
        <v>0</v>
      </c>
      <c r="Z109" s="379">
        <f t="shared" si="46"/>
        <v>0</v>
      </c>
      <c r="AA109" s="379">
        <f t="shared" si="46"/>
        <v>0</v>
      </c>
      <c r="AB109" s="379">
        <f t="shared" si="46"/>
        <v>0</v>
      </c>
      <c r="AC109" s="379">
        <f t="shared" si="46"/>
        <v>0</v>
      </c>
      <c r="AD109" s="379">
        <f t="shared" si="46"/>
        <v>0</v>
      </c>
      <c r="AE109" s="379">
        <f t="shared" si="46"/>
        <v>0</v>
      </c>
      <c r="AF109" s="379">
        <f t="shared" si="46"/>
        <v>0</v>
      </c>
      <c r="AG109" s="379">
        <f t="shared" si="46"/>
        <v>0</v>
      </c>
      <c r="AH109" s="379">
        <f t="shared" si="46"/>
        <v>0</v>
      </c>
      <c r="AI109" s="379">
        <f t="shared" si="46"/>
        <v>0</v>
      </c>
      <c r="AJ109" s="379">
        <f t="shared" si="46"/>
        <v>0</v>
      </c>
      <c r="AK109" s="379">
        <f t="shared" si="46"/>
        <v>0</v>
      </c>
      <c r="AL109" s="379">
        <f t="shared" si="46"/>
        <v>0</v>
      </c>
      <c r="AM109" s="379">
        <f t="shared" si="46"/>
        <v>0</v>
      </c>
      <c r="AN109" s="379">
        <f t="shared" si="46"/>
        <v>0</v>
      </c>
      <c r="AO109" s="379">
        <f t="shared" si="46"/>
        <v>0</v>
      </c>
      <c r="AP109" s="379">
        <f t="shared" si="46"/>
        <v>0</v>
      </c>
      <c r="AQ109" s="380">
        <f t="shared" si="46"/>
        <v>0</v>
      </c>
      <c r="AR109" s="86"/>
    </row>
    <row r="110" spans="1:44" s="315" customFormat="1" ht="14.25" hidden="1">
      <c r="A110" s="1210" t="s">
        <v>328</v>
      </c>
      <c r="B110" s="927"/>
      <c r="C110" s="928"/>
      <c r="D110" s="381">
        <f>SUM(D98:G98)</f>
        <v>0</v>
      </c>
      <c r="E110" s="382">
        <f t="shared" ref="E110:AQ110" si="47">D110+D109</f>
        <v>0</v>
      </c>
      <c r="F110" s="382">
        <f t="shared" si="47"/>
        <v>0</v>
      </c>
      <c r="G110" s="382">
        <f t="shared" si="47"/>
        <v>0</v>
      </c>
      <c r="H110" s="382">
        <f t="shared" si="47"/>
        <v>0</v>
      </c>
      <c r="I110" s="382">
        <f t="shared" si="47"/>
        <v>0</v>
      </c>
      <c r="J110" s="382">
        <f t="shared" si="47"/>
        <v>0</v>
      </c>
      <c r="K110" s="382">
        <f t="shared" si="47"/>
        <v>0</v>
      </c>
      <c r="L110" s="382">
        <f t="shared" si="47"/>
        <v>0</v>
      </c>
      <c r="M110" s="382">
        <f t="shared" si="47"/>
        <v>0</v>
      </c>
      <c r="N110" s="382">
        <f t="shared" si="47"/>
        <v>0</v>
      </c>
      <c r="O110" s="382">
        <f t="shared" si="47"/>
        <v>0</v>
      </c>
      <c r="P110" s="382">
        <f t="shared" si="47"/>
        <v>0</v>
      </c>
      <c r="Q110" s="382">
        <f t="shared" si="47"/>
        <v>0</v>
      </c>
      <c r="R110" s="382">
        <f t="shared" si="47"/>
        <v>0</v>
      </c>
      <c r="S110" s="382">
        <f t="shared" si="47"/>
        <v>0</v>
      </c>
      <c r="T110" s="382">
        <f t="shared" si="47"/>
        <v>0</v>
      </c>
      <c r="U110" s="382">
        <f t="shared" si="47"/>
        <v>0</v>
      </c>
      <c r="V110" s="382">
        <f t="shared" si="47"/>
        <v>0</v>
      </c>
      <c r="W110" s="382">
        <f t="shared" si="47"/>
        <v>0</v>
      </c>
      <c r="X110" s="382">
        <f t="shared" si="47"/>
        <v>0</v>
      </c>
      <c r="Y110" s="382">
        <f t="shared" si="47"/>
        <v>0</v>
      </c>
      <c r="Z110" s="382">
        <f t="shared" si="47"/>
        <v>0</v>
      </c>
      <c r="AA110" s="382">
        <f t="shared" si="47"/>
        <v>0</v>
      </c>
      <c r="AB110" s="382">
        <f t="shared" si="47"/>
        <v>0</v>
      </c>
      <c r="AC110" s="382">
        <f t="shared" si="47"/>
        <v>0</v>
      </c>
      <c r="AD110" s="382">
        <f t="shared" si="47"/>
        <v>0</v>
      </c>
      <c r="AE110" s="382">
        <f t="shared" si="47"/>
        <v>0</v>
      </c>
      <c r="AF110" s="382">
        <f t="shared" si="47"/>
        <v>0</v>
      </c>
      <c r="AG110" s="382">
        <f t="shared" si="47"/>
        <v>0</v>
      </c>
      <c r="AH110" s="382">
        <f t="shared" si="47"/>
        <v>0</v>
      </c>
      <c r="AI110" s="382">
        <f t="shared" si="47"/>
        <v>0</v>
      </c>
      <c r="AJ110" s="382">
        <f t="shared" si="47"/>
        <v>0</v>
      </c>
      <c r="AK110" s="382">
        <f t="shared" si="47"/>
        <v>0</v>
      </c>
      <c r="AL110" s="382">
        <f t="shared" si="47"/>
        <v>0</v>
      </c>
      <c r="AM110" s="382">
        <f t="shared" si="47"/>
        <v>0</v>
      </c>
      <c r="AN110" s="382">
        <f t="shared" si="47"/>
        <v>0</v>
      </c>
      <c r="AO110" s="382">
        <f t="shared" si="47"/>
        <v>0</v>
      </c>
      <c r="AP110" s="382">
        <f t="shared" si="47"/>
        <v>0</v>
      </c>
      <c r="AQ110" s="383">
        <f t="shared" si="47"/>
        <v>0</v>
      </c>
      <c r="AR110"/>
    </row>
    <row r="111" spans="1:44" s="315" customFormat="1" ht="14.25" hidden="1">
      <c r="A111" s="1210" t="s">
        <v>329</v>
      </c>
      <c r="B111" s="927"/>
      <c r="C111" s="928"/>
      <c r="D111" s="384" t="e">
        <f t="shared" ref="D111:AQ111" si="48">(D110)/SUM($D95:$G95)*100</f>
        <v>#DIV/0!</v>
      </c>
      <c r="E111" s="384" t="e">
        <f t="shared" si="48"/>
        <v>#DIV/0!</v>
      </c>
      <c r="F111" s="384" t="e">
        <f t="shared" si="48"/>
        <v>#DIV/0!</v>
      </c>
      <c r="G111" s="384" t="e">
        <f t="shared" si="48"/>
        <v>#DIV/0!</v>
      </c>
      <c r="H111" s="384" t="e">
        <f t="shared" si="48"/>
        <v>#DIV/0!</v>
      </c>
      <c r="I111" s="384" t="e">
        <f t="shared" si="48"/>
        <v>#DIV/0!</v>
      </c>
      <c r="J111" s="384" t="e">
        <f t="shared" si="48"/>
        <v>#DIV/0!</v>
      </c>
      <c r="K111" s="384" t="e">
        <f t="shared" si="48"/>
        <v>#DIV/0!</v>
      </c>
      <c r="L111" s="384" t="e">
        <f t="shared" si="48"/>
        <v>#DIV/0!</v>
      </c>
      <c r="M111" s="384" t="e">
        <f t="shared" si="48"/>
        <v>#DIV/0!</v>
      </c>
      <c r="N111" s="384" t="e">
        <f t="shared" si="48"/>
        <v>#DIV/0!</v>
      </c>
      <c r="O111" s="384" t="e">
        <f t="shared" si="48"/>
        <v>#DIV/0!</v>
      </c>
      <c r="P111" s="384" t="e">
        <f t="shared" si="48"/>
        <v>#DIV/0!</v>
      </c>
      <c r="Q111" s="384" t="e">
        <f t="shared" si="48"/>
        <v>#DIV/0!</v>
      </c>
      <c r="R111" s="384" t="e">
        <f t="shared" si="48"/>
        <v>#DIV/0!</v>
      </c>
      <c r="S111" s="384" t="e">
        <f t="shared" si="48"/>
        <v>#DIV/0!</v>
      </c>
      <c r="T111" s="384" t="e">
        <f t="shared" si="48"/>
        <v>#DIV/0!</v>
      </c>
      <c r="U111" s="384" t="e">
        <f t="shared" si="48"/>
        <v>#DIV/0!</v>
      </c>
      <c r="V111" s="384" t="e">
        <f t="shared" si="48"/>
        <v>#DIV/0!</v>
      </c>
      <c r="W111" s="384" t="e">
        <f t="shared" si="48"/>
        <v>#DIV/0!</v>
      </c>
      <c r="X111" s="384" t="e">
        <f t="shared" si="48"/>
        <v>#DIV/0!</v>
      </c>
      <c r="Y111" s="384" t="e">
        <f t="shared" si="48"/>
        <v>#DIV/0!</v>
      </c>
      <c r="Z111" s="384" t="e">
        <f t="shared" si="48"/>
        <v>#DIV/0!</v>
      </c>
      <c r="AA111" s="384" t="e">
        <f t="shared" si="48"/>
        <v>#DIV/0!</v>
      </c>
      <c r="AB111" s="384" t="e">
        <f t="shared" si="48"/>
        <v>#DIV/0!</v>
      </c>
      <c r="AC111" s="384" t="e">
        <f t="shared" si="48"/>
        <v>#DIV/0!</v>
      </c>
      <c r="AD111" s="384" t="e">
        <f t="shared" si="48"/>
        <v>#DIV/0!</v>
      </c>
      <c r="AE111" s="384" t="e">
        <f t="shared" si="48"/>
        <v>#DIV/0!</v>
      </c>
      <c r="AF111" s="384" t="e">
        <f t="shared" si="48"/>
        <v>#DIV/0!</v>
      </c>
      <c r="AG111" s="384" t="e">
        <f t="shared" si="48"/>
        <v>#DIV/0!</v>
      </c>
      <c r="AH111" s="384" t="e">
        <f t="shared" si="48"/>
        <v>#DIV/0!</v>
      </c>
      <c r="AI111" s="384" t="e">
        <f t="shared" si="48"/>
        <v>#DIV/0!</v>
      </c>
      <c r="AJ111" s="384" t="e">
        <f t="shared" si="48"/>
        <v>#DIV/0!</v>
      </c>
      <c r="AK111" s="384" t="e">
        <f t="shared" si="48"/>
        <v>#DIV/0!</v>
      </c>
      <c r="AL111" s="384" t="e">
        <f t="shared" si="48"/>
        <v>#DIV/0!</v>
      </c>
      <c r="AM111" s="384" t="e">
        <f t="shared" si="48"/>
        <v>#DIV/0!</v>
      </c>
      <c r="AN111" s="384" t="e">
        <f t="shared" si="48"/>
        <v>#DIV/0!</v>
      </c>
      <c r="AO111" s="384" t="e">
        <f t="shared" si="48"/>
        <v>#DIV/0!</v>
      </c>
      <c r="AP111" s="384" t="e">
        <f t="shared" si="48"/>
        <v>#DIV/0!</v>
      </c>
      <c r="AQ111" s="385" t="e">
        <f t="shared" si="48"/>
        <v>#DIV/0!</v>
      </c>
      <c r="AR111"/>
    </row>
    <row r="112" spans="1:44" s="315" customFormat="1" ht="15" thickBot="1">
      <c r="A112" s="1211" t="s">
        <v>329</v>
      </c>
      <c r="B112" s="899"/>
      <c r="C112" s="900"/>
      <c r="D112" s="386" t="str">
        <f t="shared" ref="D112:AQ112" si="49">IFERROR(D111,"")</f>
        <v/>
      </c>
      <c r="E112" s="387" t="str">
        <f t="shared" si="49"/>
        <v/>
      </c>
      <c r="F112" s="387" t="str">
        <f t="shared" si="49"/>
        <v/>
      </c>
      <c r="G112" s="387" t="str">
        <f t="shared" si="49"/>
        <v/>
      </c>
      <c r="H112" s="387" t="str">
        <f t="shared" si="49"/>
        <v/>
      </c>
      <c r="I112" s="387" t="str">
        <f t="shared" si="49"/>
        <v/>
      </c>
      <c r="J112" s="387" t="str">
        <f t="shared" si="49"/>
        <v/>
      </c>
      <c r="K112" s="387" t="str">
        <f t="shared" si="49"/>
        <v/>
      </c>
      <c r="L112" s="387" t="str">
        <f t="shared" si="49"/>
        <v/>
      </c>
      <c r="M112" s="387" t="str">
        <f t="shared" si="49"/>
        <v/>
      </c>
      <c r="N112" s="387" t="str">
        <f t="shared" si="49"/>
        <v/>
      </c>
      <c r="O112" s="387" t="str">
        <f t="shared" si="49"/>
        <v/>
      </c>
      <c r="P112" s="387" t="str">
        <f t="shared" si="49"/>
        <v/>
      </c>
      <c r="Q112" s="387" t="str">
        <f t="shared" si="49"/>
        <v/>
      </c>
      <c r="R112" s="387" t="str">
        <f t="shared" si="49"/>
        <v/>
      </c>
      <c r="S112" s="387" t="str">
        <f t="shared" si="49"/>
        <v/>
      </c>
      <c r="T112" s="387" t="str">
        <f t="shared" si="49"/>
        <v/>
      </c>
      <c r="U112" s="387" t="str">
        <f t="shared" si="49"/>
        <v/>
      </c>
      <c r="V112" s="387" t="str">
        <f t="shared" si="49"/>
        <v/>
      </c>
      <c r="W112" s="387" t="str">
        <f t="shared" si="49"/>
        <v/>
      </c>
      <c r="X112" s="387" t="str">
        <f t="shared" si="49"/>
        <v/>
      </c>
      <c r="Y112" s="387" t="str">
        <f t="shared" si="49"/>
        <v/>
      </c>
      <c r="Z112" s="387" t="str">
        <f t="shared" si="49"/>
        <v/>
      </c>
      <c r="AA112" s="387" t="str">
        <f t="shared" si="49"/>
        <v/>
      </c>
      <c r="AB112" s="387" t="str">
        <f t="shared" si="49"/>
        <v/>
      </c>
      <c r="AC112" s="387" t="str">
        <f t="shared" si="49"/>
        <v/>
      </c>
      <c r="AD112" s="387" t="str">
        <f t="shared" si="49"/>
        <v/>
      </c>
      <c r="AE112" s="387" t="str">
        <f t="shared" si="49"/>
        <v/>
      </c>
      <c r="AF112" s="387" t="str">
        <f t="shared" si="49"/>
        <v/>
      </c>
      <c r="AG112" s="387" t="str">
        <f t="shared" si="49"/>
        <v/>
      </c>
      <c r="AH112" s="387" t="str">
        <f t="shared" si="49"/>
        <v/>
      </c>
      <c r="AI112" s="387" t="str">
        <f t="shared" si="49"/>
        <v/>
      </c>
      <c r="AJ112" s="387" t="str">
        <f t="shared" si="49"/>
        <v/>
      </c>
      <c r="AK112" s="387" t="str">
        <f t="shared" si="49"/>
        <v/>
      </c>
      <c r="AL112" s="387" t="str">
        <f t="shared" si="49"/>
        <v/>
      </c>
      <c r="AM112" s="387" t="str">
        <f t="shared" si="49"/>
        <v/>
      </c>
      <c r="AN112" s="387" t="str">
        <f t="shared" si="49"/>
        <v/>
      </c>
      <c r="AO112" s="387" t="str">
        <f t="shared" si="49"/>
        <v/>
      </c>
      <c r="AP112" s="387" t="str">
        <f t="shared" si="49"/>
        <v/>
      </c>
      <c r="AQ112" s="388" t="str">
        <f t="shared" si="49"/>
        <v/>
      </c>
      <c r="AR112" s="86"/>
    </row>
    <row r="114" spans="1:43" s="315" customFormat="1" ht="14.25" hidden="1">
      <c r="A114" s="336"/>
      <c r="B114" s="336" t="s">
        <v>172</v>
      </c>
      <c r="C114" s="336" t="s">
        <v>173</v>
      </c>
      <c r="D114" s="337" t="s">
        <v>174</v>
      </c>
      <c r="E114" s="336" t="s">
        <v>175</v>
      </c>
      <c r="F114" s="336" t="s">
        <v>176</v>
      </c>
      <c r="G114" s="336" t="s">
        <v>177</v>
      </c>
      <c r="H114" s="336" t="s">
        <v>178</v>
      </c>
      <c r="I114" s="336" t="s">
        <v>179</v>
      </c>
      <c r="J114" s="336" t="s">
        <v>180</v>
      </c>
      <c r="K114" s="336" t="s">
        <v>181</v>
      </c>
      <c r="L114" s="336" t="s">
        <v>298</v>
      </c>
      <c r="M114" s="336" t="s">
        <v>299</v>
      </c>
      <c r="N114" s="336" t="s">
        <v>300</v>
      </c>
      <c r="O114" s="336" t="s">
        <v>301</v>
      </c>
      <c r="P114" s="336" t="s">
        <v>302</v>
      </c>
      <c r="Q114" s="336" t="s">
        <v>303</v>
      </c>
      <c r="R114" s="336" t="s">
        <v>304</v>
      </c>
      <c r="S114" s="336" t="s">
        <v>305</v>
      </c>
      <c r="T114" s="336" t="s">
        <v>306</v>
      </c>
      <c r="U114" s="336" t="s">
        <v>307</v>
      </c>
    </row>
    <row r="115" spans="1:43" s="315" customFormat="1" ht="14.25" hidden="1">
      <c r="A115" s="338" t="s">
        <v>182</v>
      </c>
      <c r="B115" s="338" t="str">
        <f t="array" aca="1" ref="B115" ca="1">IFERROR(OFFSET(INDEX(101:101,SMALL(IF(101:101&lt;&gt;"",COLUMN(101:101)),COLUMN())),-1,0),"")</f>
        <v/>
      </c>
      <c r="C115" s="338" t="str">
        <f t="array" aca="1" ref="C115" ca="1">IFERROR(OFFSET(INDEX(101:101,SMALL(IF(101:101&lt;&gt;"",COLUMN(101:101)),COLUMN())),-1,0),"")</f>
        <v/>
      </c>
      <c r="D115" s="338" t="str">
        <f t="array" aca="1" ref="D115" ca="1">IFERROR(OFFSET(INDEX(101:101,SMALL(IF(101:101&lt;&gt;"",COLUMN(101:101)),COLUMN())),-1,0),"")</f>
        <v/>
      </c>
      <c r="E115" s="338" t="str">
        <f t="array" aca="1" ref="E115" ca="1">IFERROR(OFFSET(INDEX(101:101,SMALL(IF(101:101&lt;&gt;"",COLUMN(101:101)),COLUMN())),-1,0),"")</f>
        <v/>
      </c>
      <c r="F115" s="338" t="str">
        <f t="array" aca="1" ref="F115" ca="1">IFERROR(OFFSET(INDEX(101:101,SMALL(IF(101:101&lt;&gt;"",COLUMN(101:101)),COLUMN())),-1,0),"")</f>
        <v/>
      </c>
      <c r="G115" s="338" t="str">
        <f t="array" aca="1" ref="G115" ca="1">IFERROR(OFFSET(INDEX(101:101,SMALL(IF(101:101&lt;&gt;"",COLUMN(101:101)),COLUMN())),-1,0),"")</f>
        <v/>
      </c>
      <c r="H115" s="338" t="str">
        <f t="array" aca="1" ref="H115" ca="1">IFERROR(OFFSET(INDEX(101:101,SMALL(IF(101:101&lt;&gt;"",COLUMN(101:101)),COLUMN())),-1,0),"")</f>
        <v/>
      </c>
      <c r="I115" s="338" t="str">
        <f t="array" aca="1" ref="I115" ca="1">IFERROR(OFFSET(INDEX(101:101,SMALL(IF(101:101&lt;&gt;"",COLUMN(101:101)),COLUMN())),-1,0),"")</f>
        <v/>
      </c>
      <c r="J115" s="338" t="str">
        <f t="array" aca="1" ref="J115" ca="1">IFERROR(OFFSET(INDEX(101:101,SMALL(IF(101:101&lt;&gt;"",COLUMN(101:101)),COLUMN())),-1,0),"")</f>
        <v/>
      </c>
      <c r="K115" s="338" t="str">
        <f t="array" aca="1" ref="K115" ca="1">IFERROR(OFFSET(INDEX(101:101,SMALL(IF(101:101&lt;&gt;"",COLUMN(101:101)),COLUMN())),-1,0),"")</f>
        <v/>
      </c>
      <c r="L115" s="338" t="str">
        <f t="array" aca="1" ref="L115" ca="1">IFERROR(OFFSET(INDEX(101:101,SMALL(IF(101:101&lt;&gt;"",COLUMN(101:101)),COLUMN())),-1,0),"")</f>
        <v/>
      </c>
      <c r="M115" s="338" t="str">
        <f t="array" aca="1" ref="M115" ca="1">IFERROR(OFFSET(INDEX(101:101,SMALL(IF(101:101&lt;&gt;"",COLUMN(101:101)),COLUMN())),-1,0),"")</f>
        <v/>
      </c>
      <c r="N115" s="338" t="str">
        <f t="array" aca="1" ref="N115" ca="1">IFERROR(OFFSET(INDEX(101:101,SMALL(IF(101:101&lt;&gt;"",COLUMN(101:101)),COLUMN())),-1,0),"")</f>
        <v/>
      </c>
      <c r="O115" s="338" t="str">
        <f t="array" aca="1" ref="O115" ca="1">IFERROR(OFFSET(INDEX(101:101,SMALL(IF(101:101&lt;&gt;"",COLUMN(101:101)),COLUMN())),-1,0),"")</f>
        <v/>
      </c>
      <c r="P115" s="338" t="str">
        <f t="array" aca="1" ref="P115" ca="1">IFERROR(OFFSET(INDEX(101:101,SMALL(IF(101:101&lt;&gt;"",COLUMN(101:101)),COLUMN())),-1,0),"")</f>
        <v/>
      </c>
      <c r="Q115" s="338" t="str">
        <f t="array" aca="1" ref="Q115" ca="1">IFERROR(OFFSET(INDEX(101:101,SMALL(IF(101:101&lt;&gt;"",COLUMN(101:101)),COLUMN())),-1,0),"")</f>
        <v/>
      </c>
      <c r="R115" s="338" t="str">
        <f t="array" aca="1" ref="R115" ca="1">IFERROR(OFFSET(INDEX(101:101,SMALL(IF(101:101&lt;&gt;"",COLUMN(101:101)),COLUMN())),-1,0),"")</f>
        <v/>
      </c>
      <c r="S115" s="338" t="str">
        <f t="array" aca="1" ref="S115" ca="1">IFERROR(OFFSET(INDEX(101:101,SMALL(IF(101:101&lt;&gt;"",COLUMN(101:101)),COLUMN())),-1,0),"")</f>
        <v/>
      </c>
      <c r="T115" s="338" t="str">
        <f t="array" aca="1" ref="T115" ca="1">IFERROR(OFFSET(INDEX(101:101,SMALL(IF(101:101&lt;&gt;"",COLUMN(101:101)),COLUMN())),-1,0),"")</f>
        <v/>
      </c>
      <c r="U115" s="338" t="str">
        <f t="array" aca="1" ref="U115" ca="1">IFERROR(OFFSET(INDEX(101:101,SMALL(IF(101:101&lt;&gt;"",COLUMN(101:101)),COLUMN())),-1,0),"")</f>
        <v/>
      </c>
    </row>
    <row r="116" spans="1:43" s="315" customFormat="1" ht="14.25" hidden="1">
      <c r="A116" s="338" t="str">
        <f t="array" ref="A116">IFERROR(INDEX(101:101,SMALL(IF(101:101&lt;&gt;"",COLUMN(101:101)),COLUMN())),"")</f>
        <v>追水量（L)</v>
      </c>
      <c r="B116" s="338" t="str">
        <f t="array" ref="B116">IFERROR(INDEX(101:101,SMALL(IF(101:101&lt;&gt;"",COLUMN(101:101)),COLUMN())),"")</f>
        <v/>
      </c>
      <c r="C116" s="338" t="str">
        <f t="array" ref="C116">IFERROR(INDEX(101:101,SMALL(IF(101:101&lt;&gt;"",COLUMN(101:101)),COLUMN())),"")</f>
        <v/>
      </c>
      <c r="D116" s="338" t="str">
        <f t="array" ref="D116">IFERROR(INDEX(101:101,SMALL(IF(101:101&lt;&gt;"",COLUMN(101:101)),COLUMN())),"")</f>
        <v/>
      </c>
      <c r="E116" s="338" t="str">
        <f t="array" ref="E116">IFERROR(INDEX(101:101,SMALL(IF(101:101&lt;&gt;"",COLUMN(101:101)),COLUMN())),"")</f>
        <v/>
      </c>
      <c r="F116" s="338" t="str">
        <f t="array" ref="F116">IFERROR(INDEX(101:101,SMALL(IF(101:101&lt;&gt;"",COLUMN(101:101)),COLUMN())),"")</f>
        <v/>
      </c>
      <c r="G116" s="338" t="str">
        <f t="array" ref="G116">IFERROR(INDEX(101:101,SMALL(IF(101:101&lt;&gt;"",COLUMN(101:101)),COLUMN())),"")</f>
        <v/>
      </c>
      <c r="H116" s="338" t="str">
        <f t="array" ref="H116">IFERROR(INDEX(101:101,SMALL(IF(101:101&lt;&gt;"",COLUMN(101:101)),COLUMN())),"")</f>
        <v/>
      </c>
      <c r="I116" s="338" t="str">
        <f t="array" ref="I116">IFERROR(INDEX(101:101,SMALL(IF(101:101&lt;&gt;"",COLUMN(101:101)),COLUMN())),"")</f>
        <v/>
      </c>
      <c r="J116" s="338" t="str">
        <f t="array" ref="J116">IFERROR(INDEX(101:101,SMALL(IF(101:101&lt;&gt;"",COLUMN(101:101)),COLUMN())),"")</f>
        <v/>
      </c>
      <c r="K116" s="338" t="str">
        <f t="array" ref="K116">IFERROR(INDEX(101:101,SMALL(IF(101:101&lt;&gt;"",COLUMN(101:101)),COLUMN())),"")</f>
        <v/>
      </c>
      <c r="L116" s="338" t="str">
        <f t="array" ref="L116">IFERROR(INDEX(101:101,SMALL(IF(101:101&lt;&gt;"",COLUMN(101:101)),COLUMN())),"")</f>
        <v/>
      </c>
      <c r="M116" s="338" t="str">
        <f t="array" ref="M116">IFERROR(INDEX(101:101,SMALL(IF(101:101&lt;&gt;"",COLUMN(101:101)),COLUMN())),"")</f>
        <v/>
      </c>
      <c r="N116" s="338" t="str">
        <f t="array" ref="N116">IFERROR(INDEX(101:101,SMALL(IF(101:101&lt;&gt;"",COLUMN(101:101)),COLUMN())),"")</f>
        <v/>
      </c>
      <c r="O116" s="338" t="str">
        <f t="array" ref="O116">IFERROR(INDEX(101:101,SMALL(IF(101:101&lt;&gt;"",COLUMN(101:101)),COLUMN())),"")</f>
        <v/>
      </c>
      <c r="P116" s="338" t="str">
        <f t="array" ref="P116">IFERROR(INDEX(101:101,SMALL(IF(101:101&lt;&gt;"",COLUMN(101:101)),COLUMN())),"")</f>
        <v/>
      </c>
      <c r="Q116" s="338" t="str">
        <f t="array" ref="Q116">IFERROR(INDEX(101:101,SMALL(IF(101:101&lt;&gt;"",COLUMN(101:101)),COLUMN())),"")</f>
        <v/>
      </c>
      <c r="R116" s="338" t="str">
        <f t="array" ref="R116">IFERROR(INDEX(101:101,SMALL(IF(101:101&lt;&gt;"",COLUMN(101:101)),COLUMN())),"")</f>
        <v/>
      </c>
      <c r="S116" s="338" t="str">
        <f t="array" ref="S116">IFERROR(INDEX(101:101,SMALL(IF(101:101&lt;&gt;"",COLUMN(101:101)),COLUMN())),"")</f>
        <v/>
      </c>
      <c r="T116" s="338" t="str">
        <f t="array" ref="T116">IFERROR(INDEX(101:101,SMALL(IF(101:101&lt;&gt;"",COLUMN(101:101)),COLUMN())),"")</f>
        <v/>
      </c>
      <c r="U116" s="338" t="str">
        <f t="array" ref="U116">IFERROR(INDEX(101:101,SMALL(IF(101:101&lt;&gt;"",COLUMN(101:101)),COLUMN())),"")</f>
        <v/>
      </c>
    </row>
    <row r="117" spans="1:43" s="315" customFormat="1" ht="14.25" hidden="1">
      <c r="A117" s="627" t="s">
        <v>183</v>
      </c>
      <c r="B117" s="627"/>
      <c r="C117" s="627"/>
      <c r="D117" s="339" t="s">
        <v>184</v>
      </c>
      <c r="E117" s="339" t="s">
        <v>185</v>
      </c>
      <c r="F117" s="339" t="s">
        <v>186</v>
      </c>
      <c r="G117" s="339" t="s">
        <v>187</v>
      </c>
      <c r="H117" s="339" t="s">
        <v>188</v>
      </c>
      <c r="I117" s="339" t="s">
        <v>189</v>
      </c>
      <c r="J117" s="339" t="s">
        <v>190</v>
      </c>
      <c r="K117" s="339" t="s">
        <v>191</v>
      </c>
      <c r="L117" s="337" t="s">
        <v>192</v>
      </c>
      <c r="M117" s="337" t="s">
        <v>193</v>
      </c>
      <c r="N117" s="337" t="s">
        <v>194</v>
      </c>
      <c r="O117" s="337" t="s">
        <v>308</v>
      </c>
      <c r="P117" s="337" t="s">
        <v>309</v>
      </c>
      <c r="Q117" s="337" t="s">
        <v>310</v>
      </c>
      <c r="R117" s="337" t="s">
        <v>311</v>
      </c>
      <c r="S117" s="337" t="s">
        <v>312</v>
      </c>
      <c r="T117" s="337" t="s">
        <v>313</v>
      </c>
      <c r="U117" s="337" t="s">
        <v>314</v>
      </c>
      <c r="V117" s="337" t="s">
        <v>315</v>
      </c>
      <c r="W117" s="337" t="s">
        <v>316</v>
      </c>
      <c r="X117" s="337" t="s">
        <v>317</v>
      </c>
    </row>
    <row r="118" spans="1:43" s="315" customFormat="1" ht="14.25" hidden="1">
      <c r="A118" s="628"/>
      <c r="B118" s="628"/>
      <c r="C118" s="628"/>
      <c r="D118" s="340" t="e">
        <f>SUM(D98:G98)/SUM(D95:G95)*100</f>
        <v>#DIV/0!</v>
      </c>
      <c r="E118" s="340" t="e">
        <f>(SUM(D98:G98)+SUM(B116:B116))/SUM(D95:G95)*100</f>
        <v>#DIV/0!</v>
      </c>
      <c r="F118" s="340" t="e">
        <f>(SUM(D98:G98)+SUM(B116:C116))/SUM(D95:G95)*100</f>
        <v>#DIV/0!</v>
      </c>
      <c r="G118" s="340" t="e">
        <f>(SUM(D98:G98)+SUM(B116:D116))/SUM(D95:G95)*100</f>
        <v>#DIV/0!</v>
      </c>
      <c r="H118" s="340" t="e">
        <f>(SUM(D98:G98)+SUM(B116:E116))/SUM(D95:G95)*100</f>
        <v>#DIV/0!</v>
      </c>
      <c r="I118" s="341" t="e">
        <f>(SUM(D98:G98)+SUM(B116:F116))/SUM(D95:G95)*100</f>
        <v>#DIV/0!</v>
      </c>
      <c r="J118" s="340" t="e">
        <f>(SUM(D98:G98)+SUM(B116:G116))/SUM(D95:G95)*100</f>
        <v>#DIV/0!</v>
      </c>
      <c r="K118" s="340" t="e">
        <f>(SUM(D98:G98)+SUM(B116:H116))/SUM(D95:G95)*100</f>
        <v>#DIV/0!</v>
      </c>
      <c r="L118" s="340" t="e">
        <f>(SUM(D98:G98)+SUM(B116:I116))/SUM(D95:G95)*100</f>
        <v>#DIV/0!</v>
      </c>
      <c r="M118" s="340" t="e">
        <f>(SUM(D98:G98)+SUM(B116:J116))/SUM(D95:G95)*100</f>
        <v>#DIV/0!</v>
      </c>
      <c r="N118" s="340" t="e">
        <f>(SUM(D98:G98)+SUM(B116:K116))/SUM(D95:G95)*100</f>
        <v>#DIV/0!</v>
      </c>
      <c r="O118" s="342" t="e">
        <f>(SUM(D98:G98)+SUM(B116:L116))/SUM(D95:G95)*100</f>
        <v>#DIV/0!</v>
      </c>
      <c r="P118" s="343" t="e">
        <f>(SUM(D98:G98)+SUM(B116:M116))/SUM(D95:G95)*100</f>
        <v>#DIV/0!</v>
      </c>
      <c r="Q118" s="343" t="e">
        <f>(SUM(D98:G98)+SUM(B116:N116))/SUM(D95:G95)*100</f>
        <v>#DIV/0!</v>
      </c>
      <c r="R118" s="343" t="e">
        <f>(SUM(D98:G98)+SUM(B116:O116))/SUM(D95:G95)*100</f>
        <v>#DIV/0!</v>
      </c>
      <c r="S118" s="343" t="e">
        <f>(SUM(D98:G98)+SUM(B116:P116))/SUM(D95:G95)*100</f>
        <v>#DIV/0!</v>
      </c>
      <c r="T118" s="343" t="e">
        <f>(SUM(D98:G98)+SUM(B116:Q116))/SUM(D95:G95)*100</f>
        <v>#DIV/0!</v>
      </c>
      <c r="U118" s="343" t="e">
        <f>(SUM(D98:G98)+SUM(B116:R116))/SUM(D95:G95)*100</f>
        <v>#DIV/0!</v>
      </c>
      <c r="V118" s="343" t="e">
        <f>(SUM(D98:G98)+SUM(B116:S116))/SUM(D95:G95)*100</f>
        <v>#DIV/0!</v>
      </c>
      <c r="W118" s="343" t="e">
        <f>(SUM(D98:G98)+SUM(B116:T116))/SUM(D95:G95)*100</f>
        <v>#DIV/0!</v>
      </c>
      <c r="X118" s="343" t="e">
        <f>(SUM(D98:G98)+SUM(B116:U116))/SUM(D95:G95)*100</f>
        <v>#DIV/0!</v>
      </c>
    </row>
    <row r="119" spans="1:43" s="315" customFormat="1" ht="14.25" hidden="1"/>
    <row r="120" spans="1:43" s="315" customFormat="1" ht="14.25" hidden="1">
      <c r="A120" s="610" t="s">
        <v>126</v>
      </c>
      <c r="B120" s="611"/>
      <c r="C120" s="611"/>
      <c r="E120" s="344" t="e">
        <f t="shared" ref="E120:AQ120" si="50">IF(E102="",IF(E103="",NA(),E103/-10),E102)</f>
        <v>#N/A</v>
      </c>
      <c r="F120" s="344" t="e">
        <f t="shared" si="50"/>
        <v>#N/A</v>
      </c>
      <c r="G120" s="344" t="e">
        <f t="shared" si="50"/>
        <v>#N/A</v>
      </c>
      <c r="H120" s="344" t="e">
        <f t="shared" si="50"/>
        <v>#N/A</v>
      </c>
      <c r="I120" s="344" t="e">
        <f t="shared" si="50"/>
        <v>#N/A</v>
      </c>
      <c r="J120" s="344" t="e">
        <f t="shared" si="50"/>
        <v>#N/A</v>
      </c>
      <c r="K120" s="344" t="e">
        <f t="shared" si="50"/>
        <v>#N/A</v>
      </c>
      <c r="L120" s="344" t="e">
        <f t="shared" si="50"/>
        <v>#N/A</v>
      </c>
      <c r="M120" s="344" t="e">
        <f t="shared" si="50"/>
        <v>#N/A</v>
      </c>
      <c r="N120" s="344" t="e">
        <f t="shared" si="50"/>
        <v>#N/A</v>
      </c>
      <c r="O120" s="344" t="e">
        <f t="shared" si="50"/>
        <v>#N/A</v>
      </c>
      <c r="P120" s="344" t="e">
        <f t="shared" si="50"/>
        <v>#N/A</v>
      </c>
      <c r="Q120" s="344" t="e">
        <f t="shared" si="50"/>
        <v>#N/A</v>
      </c>
      <c r="R120" s="344" t="e">
        <f t="shared" si="50"/>
        <v>#N/A</v>
      </c>
      <c r="S120" s="344" t="e">
        <f t="shared" si="50"/>
        <v>#N/A</v>
      </c>
      <c r="T120" s="344" t="e">
        <f t="shared" si="50"/>
        <v>#N/A</v>
      </c>
      <c r="U120" s="344" t="e">
        <f t="shared" si="50"/>
        <v>#N/A</v>
      </c>
      <c r="V120" s="344" t="e">
        <f t="shared" si="50"/>
        <v>#N/A</v>
      </c>
      <c r="W120" s="344" t="e">
        <f t="shared" si="50"/>
        <v>#N/A</v>
      </c>
      <c r="X120" s="344" t="e">
        <f t="shared" si="50"/>
        <v>#N/A</v>
      </c>
      <c r="Y120" s="344" t="e">
        <f t="shared" si="50"/>
        <v>#N/A</v>
      </c>
      <c r="Z120" s="344" t="e">
        <f t="shared" si="50"/>
        <v>#N/A</v>
      </c>
      <c r="AA120" s="344" t="e">
        <f t="shared" si="50"/>
        <v>#N/A</v>
      </c>
      <c r="AB120" s="344" t="e">
        <f t="shared" si="50"/>
        <v>#N/A</v>
      </c>
      <c r="AC120" s="344" t="e">
        <f t="shared" si="50"/>
        <v>#N/A</v>
      </c>
      <c r="AD120" s="344" t="e">
        <f t="shared" si="50"/>
        <v>#N/A</v>
      </c>
      <c r="AE120" s="344" t="e">
        <f t="shared" si="50"/>
        <v>#N/A</v>
      </c>
      <c r="AF120" s="344" t="e">
        <f t="shared" si="50"/>
        <v>#N/A</v>
      </c>
      <c r="AG120" s="344" t="e">
        <f t="shared" si="50"/>
        <v>#N/A</v>
      </c>
      <c r="AH120" s="344" t="e">
        <f t="shared" si="50"/>
        <v>#N/A</v>
      </c>
      <c r="AI120" s="344" t="e">
        <f t="shared" si="50"/>
        <v>#N/A</v>
      </c>
      <c r="AJ120" s="344" t="e">
        <f t="shared" si="50"/>
        <v>#N/A</v>
      </c>
      <c r="AK120" s="344" t="e">
        <f t="shared" si="50"/>
        <v>#N/A</v>
      </c>
      <c r="AL120" s="344" t="e">
        <f t="shared" si="50"/>
        <v>#N/A</v>
      </c>
      <c r="AM120" s="344" t="e">
        <f t="shared" si="50"/>
        <v>#N/A</v>
      </c>
      <c r="AN120" s="344" t="e">
        <f t="shared" si="50"/>
        <v>#N/A</v>
      </c>
      <c r="AO120" s="344" t="e">
        <f t="shared" si="50"/>
        <v>#N/A</v>
      </c>
      <c r="AP120" s="344" t="e">
        <f t="shared" si="50"/>
        <v>#N/A</v>
      </c>
      <c r="AQ120" s="344" t="e">
        <f t="shared" si="50"/>
        <v>#N/A</v>
      </c>
    </row>
    <row r="121" spans="1:43" s="315" customFormat="1" ht="14.25" hidden="1">
      <c r="A121" s="629" t="s">
        <v>42</v>
      </c>
      <c r="B121" s="629"/>
      <c r="C121" s="612"/>
      <c r="E121" s="345" t="e">
        <f t="shared" ref="E121:AQ121" si="51">IF(E120="",NA(),E120*(-10))</f>
        <v>#N/A</v>
      </c>
      <c r="F121" s="345" t="e">
        <f t="shared" si="51"/>
        <v>#N/A</v>
      </c>
      <c r="G121" s="345" t="e">
        <f t="shared" si="51"/>
        <v>#N/A</v>
      </c>
      <c r="H121" s="345" t="e">
        <f t="shared" si="51"/>
        <v>#N/A</v>
      </c>
      <c r="I121" s="345" t="e">
        <f t="shared" si="51"/>
        <v>#N/A</v>
      </c>
      <c r="J121" s="345" t="e">
        <f t="shared" si="51"/>
        <v>#N/A</v>
      </c>
      <c r="K121" s="345" t="e">
        <f t="shared" si="51"/>
        <v>#N/A</v>
      </c>
      <c r="L121" s="345" t="e">
        <f t="shared" si="51"/>
        <v>#N/A</v>
      </c>
      <c r="M121" s="345" t="e">
        <f t="shared" si="51"/>
        <v>#N/A</v>
      </c>
      <c r="N121" s="345" t="e">
        <f t="shared" si="51"/>
        <v>#N/A</v>
      </c>
      <c r="O121" s="345" t="e">
        <f t="shared" si="51"/>
        <v>#N/A</v>
      </c>
      <c r="P121" s="345" t="e">
        <f t="shared" si="51"/>
        <v>#N/A</v>
      </c>
      <c r="Q121" s="345" t="e">
        <f t="shared" si="51"/>
        <v>#N/A</v>
      </c>
      <c r="R121" s="345" t="e">
        <f t="shared" si="51"/>
        <v>#N/A</v>
      </c>
      <c r="S121" s="345" t="e">
        <f t="shared" si="51"/>
        <v>#N/A</v>
      </c>
      <c r="T121" s="345" t="e">
        <f t="shared" si="51"/>
        <v>#N/A</v>
      </c>
      <c r="U121" s="345" t="e">
        <f t="shared" si="51"/>
        <v>#N/A</v>
      </c>
      <c r="V121" s="345" t="e">
        <f t="shared" si="51"/>
        <v>#N/A</v>
      </c>
      <c r="W121" s="345" t="e">
        <f t="shared" si="51"/>
        <v>#N/A</v>
      </c>
      <c r="X121" s="345" t="e">
        <f t="shared" si="51"/>
        <v>#N/A</v>
      </c>
      <c r="Y121" s="345" t="e">
        <f t="shared" si="51"/>
        <v>#N/A</v>
      </c>
      <c r="Z121" s="345" t="e">
        <f t="shared" si="51"/>
        <v>#N/A</v>
      </c>
      <c r="AA121" s="345" t="e">
        <f t="shared" si="51"/>
        <v>#N/A</v>
      </c>
      <c r="AB121" s="345" t="e">
        <f t="shared" si="51"/>
        <v>#N/A</v>
      </c>
      <c r="AC121" s="345" t="e">
        <f t="shared" si="51"/>
        <v>#N/A</v>
      </c>
      <c r="AD121" s="345" t="e">
        <f t="shared" si="51"/>
        <v>#N/A</v>
      </c>
      <c r="AE121" s="345" t="e">
        <f t="shared" si="51"/>
        <v>#N/A</v>
      </c>
      <c r="AF121" s="345" t="e">
        <f t="shared" si="51"/>
        <v>#N/A</v>
      </c>
      <c r="AG121" s="345" t="e">
        <f t="shared" si="51"/>
        <v>#N/A</v>
      </c>
      <c r="AH121" s="345" t="e">
        <f t="shared" si="51"/>
        <v>#N/A</v>
      </c>
      <c r="AI121" s="345" t="e">
        <f t="shared" si="51"/>
        <v>#N/A</v>
      </c>
      <c r="AJ121" s="345" t="e">
        <f t="shared" si="51"/>
        <v>#N/A</v>
      </c>
      <c r="AK121" s="345" t="e">
        <f t="shared" si="51"/>
        <v>#N/A</v>
      </c>
      <c r="AL121" s="345" t="e">
        <f t="shared" si="51"/>
        <v>#N/A</v>
      </c>
      <c r="AM121" s="345" t="e">
        <f t="shared" si="51"/>
        <v>#N/A</v>
      </c>
      <c r="AN121" s="345" t="e">
        <f t="shared" si="51"/>
        <v>#N/A</v>
      </c>
      <c r="AO121" s="345" t="e">
        <f t="shared" si="51"/>
        <v>#N/A</v>
      </c>
      <c r="AP121" s="345" t="e">
        <f t="shared" si="51"/>
        <v>#N/A</v>
      </c>
      <c r="AQ121" s="345" t="e">
        <f t="shared" si="51"/>
        <v>#N/A</v>
      </c>
    </row>
    <row r="122" spans="1:43" s="315" customFormat="1" ht="14.25" hidden="1">
      <c r="A122" s="346"/>
      <c r="B122" s="620" t="s">
        <v>34</v>
      </c>
      <c r="C122" s="603"/>
      <c r="E122" s="347" t="e">
        <f t="shared" ref="E122:AQ122" si="52">IF(E120="",NA(),ROUND(1443/(1443+E121),4))</f>
        <v>#N/A</v>
      </c>
      <c r="F122" s="347" t="e">
        <f t="shared" si="52"/>
        <v>#N/A</v>
      </c>
      <c r="G122" s="347" t="e">
        <f t="shared" si="52"/>
        <v>#N/A</v>
      </c>
      <c r="H122" s="347" t="e">
        <f t="shared" si="52"/>
        <v>#N/A</v>
      </c>
      <c r="I122" s="347" t="e">
        <f t="shared" si="52"/>
        <v>#N/A</v>
      </c>
      <c r="J122" s="347" t="e">
        <f t="shared" si="52"/>
        <v>#N/A</v>
      </c>
      <c r="K122" s="347" t="e">
        <f t="shared" si="52"/>
        <v>#N/A</v>
      </c>
      <c r="L122" s="347" t="e">
        <f t="shared" si="52"/>
        <v>#N/A</v>
      </c>
      <c r="M122" s="347" t="e">
        <f t="shared" si="52"/>
        <v>#N/A</v>
      </c>
      <c r="N122" s="347" t="e">
        <f t="shared" si="52"/>
        <v>#N/A</v>
      </c>
      <c r="O122" s="347" t="e">
        <f t="shared" si="52"/>
        <v>#N/A</v>
      </c>
      <c r="P122" s="347" t="e">
        <f t="shared" si="52"/>
        <v>#N/A</v>
      </c>
      <c r="Q122" s="347" t="e">
        <f t="shared" si="52"/>
        <v>#N/A</v>
      </c>
      <c r="R122" s="347" t="e">
        <f t="shared" si="52"/>
        <v>#N/A</v>
      </c>
      <c r="S122" s="347" t="e">
        <f t="shared" si="52"/>
        <v>#N/A</v>
      </c>
      <c r="T122" s="347" t="e">
        <f t="shared" si="52"/>
        <v>#N/A</v>
      </c>
      <c r="U122" s="347" t="e">
        <f t="shared" si="52"/>
        <v>#N/A</v>
      </c>
      <c r="V122" s="347" t="e">
        <f t="shared" si="52"/>
        <v>#N/A</v>
      </c>
      <c r="W122" s="347" t="e">
        <f t="shared" si="52"/>
        <v>#N/A</v>
      </c>
      <c r="X122" s="347" t="e">
        <f t="shared" si="52"/>
        <v>#N/A</v>
      </c>
      <c r="Y122" s="347" t="e">
        <f t="shared" si="52"/>
        <v>#N/A</v>
      </c>
      <c r="Z122" s="347" t="e">
        <f t="shared" si="52"/>
        <v>#N/A</v>
      </c>
      <c r="AA122" s="347" t="e">
        <f t="shared" si="52"/>
        <v>#N/A</v>
      </c>
      <c r="AB122" s="347" t="e">
        <f t="shared" si="52"/>
        <v>#N/A</v>
      </c>
      <c r="AC122" s="347" t="e">
        <f t="shared" si="52"/>
        <v>#N/A</v>
      </c>
      <c r="AD122" s="347" t="e">
        <f t="shared" si="52"/>
        <v>#N/A</v>
      </c>
      <c r="AE122" s="347" t="e">
        <f t="shared" si="52"/>
        <v>#N/A</v>
      </c>
      <c r="AF122" s="347" t="e">
        <f t="shared" si="52"/>
        <v>#N/A</v>
      </c>
      <c r="AG122" s="347" t="e">
        <f t="shared" si="52"/>
        <v>#N/A</v>
      </c>
      <c r="AH122" s="347" t="e">
        <f t="shared" si="52"/>
        <v>#N/A</v>
      </c>
      <c r="AI122" s="347" t="e">
        <f t="shared" si="52"/>
        <v>#N/A</v>
      </c>
      <c r="AJ122" s="347" t="e">
        <f t="shared" si="52"/>
        <v>#N/A</v>
      </c>
      <c r="AK122" s="347" t="e">
        <f t="shared" si="52"/>
        <v>#N/A</v>
      </c>
      <c r="AL122" s="347" t="e">
        <f t="shared" si="52"/>
        <v>#N/A</v>
      </c>
      <c r="AM122" s="347" t="e">
        <f t="shared" si="52"/>
        <v>#N/A</v>
      </c>
      <c r="AN122" s="347" t="e">
        <f t="shared" si="52"/>
        <v>#N/A</v>
      </c>
      <c r="AO122" s="347" t="e">
        <f t="shared" si="52"/>
        <v>#N/A</v>
      </c>
      <c r="AP122" s="347" t="e">
        <f t="shared" si="52"/>
        <v>#N/A</v>
      </c>
      <c r="AQ122" s="347" t="e">
        <f t="shared" si="52"/>
        <v>#N/A</v>
      </c>
    </row>
    <row r="123" spans="1:43" s="315" customFormat="1" ht="14.25" hidden="1">
      <c r="A123" s="346"/>
      <c r="B123" s="620" t="s">
        <v>35</v>
      </c>
      <c r="C123" s="603"/>
      <c r="E123" s="347" t="e">
        <f>IF(E104="",NA(),IFERROR(E104*VLOOKUP(E104,'各種計算式等（配付時非表示）'!$E$3:$H$1003,3,TRUE)+VLOOKUP(E104,'各種計算式等（配付時非表示）'!$E$3:$H$1003,4,TRUE)+0.0000000001,"-"))</f>
        <v>#N/A</v>
      </c>
      <c r="F123" s="347" t="e">
        <f>IF(F104="",NA(),IFERROR(F104*VLOOKUP(F104,'各種計算式等（配付時非表示）'!$E$3:$H$1003,3,TRUE)+VLOOKUP(F104,'各種計算式等（配付時非表示）'!$E$3:$H$1003,4,TRUE)+0.0000000001,"-"))</f>
        <v>#N/A</v>
      </c>
      <c r="G123" s="347" t="e">
        <f>IF(G104="",NA(),IFERROR(G104*VLOOKUP(G104,'各種計算式等（配付時非表示）'!$E$3:$H$1003,3,TRUE)+VLOOKUP(G104,'各種計算式等（配付時非表示）'!$E$3:$H$1003,4,TRUE)+0.0000000001,"-"))</f>
        <v>#N/A</v>
      </c>
      <c r="H123" s="347" t="e">
        <f>IF(H104="",NA(),IFERROR(H104*VLOOKUP(H104,'各種計算式等（配付時非表示）'!$E$3:$H$1003,3,TRUE)+VLOOKUP(H104,'各種計算式等（配付時非表示）'!$E$3:$H$1003,4,TRUE)+0.0000000001,"-"))</f>
        <v>#N/A</v>
      </c>
      <c r="I123" s="347" t="e">
        <f>IF(I104="",NA(),IFERROR(I104*VLOOKUP(I104,'各種計算式等（配付時非表示）'!$E$3:$H$1003,3,TRUE)+VLOOKUP(I104,'各種計算式等（配付時非表示）'!$E$3:$H$1003,4,TRUE)+0.0000000001,"-"))</f>
        <v>#N/A</v>
      </c>
      <c r="J123" s="347" t="e">
        <f>IF(J104="",NA(),IFERROR(J104*VLOOKUP(J104,'各種計算式等（配付時非表示）'!$E$3:$H$1003,3,TRUE)+VLOOKUP(J104,'各種計算式等（配付時非表示）'!$E$3:$H$1003,4,TRUE)+0.0000000001,"-"))</f>
        <v>#N/A</v>
      </c>
      <c r="K123" s="347" t="e">
        <f>IF(K104="",NA(),IFERROR(K104*VLOOKUP(K104,'各種計算式等（配付時非表示）'!$E$3:$H$1003,3,TRUE)+VLOOKUP(K104,'各種計算式等（配付時非表示）'!$E$3:$H$1003,4,TRUE)+0.0000000001,"-"))</f>
        <v>#N/A</v>
      </c>
      <c r="L123" s="347" t="e">
        <f>IF(L104="",NA(),IFERROR(L104*VLOOKUP(L104,'各種計算式等（配付時非表示）'!$E$3:$H$1003,3,TRUE)+VLOOKUP(L104,'各種計算式等（配付時非表示）'!$E$3:$H$1003,4,TRUE)+0.0000000001,"-"))</f>
        <v>#N/A</v>
      </c>
      <c r="M123" s="347" t="e">
        <f>IF(M104="",NA(),IFERROR(M104*VLOOKUP(M104,'各種計算式等（配付時非表示）'!$E$3:$H$1003,3,TRUE)+VLOOKUP(M104,'各種計算式等（配付時非表示）'!$E$3:$H$1003,4,TRUE)+0.0000000001,"-"))</f>
        <v>#N/A</v>
      </c>
      <c r="N123" s="347" t="e">
        <f>IF(N104="",NA(),IFERROR(N104*VLOOKUP(N104,'各種計算式等（配付時非表示）'!$E$3:$H$1003,3,TRUE)+VLOOKUP(N104,'各種計算式等（配付時非表示）'!$E$3:$H$1003,4,TRUE)+0.0000000001,"-"))</f>
        <v>#N/A</v>
      </c>
      <c r="O123" s="347" t="e">
        <f>IF(O104="",NA(),IFERROR(O104*VLOOKUP(O104,'各種計算式等（配付時非表示）'!$E$3:$H$1003,3,TRUE)+VLOOKUP(O104,'各種計算式等（配付時非表示）'!$E$3:$H$1003,4,TRUE)+0.0000000001,"-"))</f>
        <v>#N/A</v>
      </c>
      <c r="P123" s="347" t="e">
        <f>IF(P104="",NA(),IFERROR(P104*VLOOKUP(P104,'各種計算式等（配付時非表示）'!$E$3:$H$1003,3,TRUE)+VLOOKUP(P104,'各種計算式等（配付時非表示）'!$E$3:$H$1003,4,TRUE)+0.0000000001,"-"))</f>
        <v>#N/A</v>
      </c>
      <c r="Q123" s="347" t="e">
        <f>IF(Q104="",NA(),IFERROR(Q104*VLOOKUP(Q104,'各種計算式等（配付時非表示）'!$E$3:$H$1003,3,TRUE)+VLOOKUP(Q104,'各種計算式等（配付時非表示）'!$E$3:$H$1003,4,TRUE)+0.0000000001,"-"))</f>
        <v>#N/A</v>
      </c>
      <c r="R123" s="347" t="e">
        <f>IF(R104="",NA(),IFERROR(R104*VLOOKUP(R104,'各種計算式等（配付時非表示）'!$E$3:$H$1003,3,TRUE)+VLOOKUP(R104,'各種計算式等（配付時非表示）'!$E$3:$H$1003,4,TRUE)+0.0000000001,"-"))</f>
        <v>#N/A</v>
      </c>
      <c r="S123" s="347" t="e">
        <f>IF(S104="",NA(),IFERROR(S104*VLOOKUP(S104,'各種計算式等（配付時非表示）'!$E$3:$H$1003,3,TRUE)+VLOOKUP(S104,'各種計算式等（配付時非表示）'!$E$3:$H$1003,4,TRUE)+0.0000000001,"-"))</f>
        <v>#N/A</v>
      </c>
      <c r="T123" s="347" t="e">
        <f>IF(T104="",NA(),IFERROR(T104*VLOOKUP(T104,'各種計算式等（配付時非表示）'!$E$3:$H$1003,3,TRUE)+VLOOKUP(T104,'各種計算式等（配付時非表示）'!$E$3:$H$1003,4,TRUE)+0.0000000001,"-"))</f>
        <v>#N/A</v>
      </c>
      <c r="U123" s="347" t="e">
        <f>IF(U104="",NA(),IFERROR(U104*VLOOKUP(U104,'各種計算式等（配付時非表示）'!$E$3:$H$1003,3,TRUE)+VLOOKUP(U104,'各種計算式等（配付時非表示）'!$E$3:$H$1003,4,TRUE)+0.0000000001,"-"))</f>
        <v>#N/A</v>
      </c>
      <c r="V123" s="347" t="e">
        <f>IF(V104="",NA(),IFERROR(V104*VLOOKUP(V104,'各種計算式等（配付時非表示）'!$E$3:$H$1003,3,TRUE)+VLOOKUP(V104,'各種計算式等（配付時非表示）'!$E$3:$H$1003,4,TRUE)+0.0000000001,"-"))</f>
        <v>#N/A</v>
      </c>
      <c r="W123" s="347" t="e">
        <f>IF(W104="",NA(),IFERROR(W104*VLOOKUP(W104,'各種計算式等（配付時非表示）'!$E$3:$H$1003,3,TRUE)+VLOOKUP(W104,'各種計算式等（配付時非表示）'!$E$3:$H$1003,4,TRUE)+0.0000000001,"-"))</f>
        <v>#N/A</v>
      </c>
      <c r="X123" s="347" t="e">
        <f>IF(X104="",NA(),IFERROR(X104*VLOOKUP(X104,'各種計算式等（配付時非表示）'!$E$3:$H$1003,3,TRUE)+VLOOKUP(X104,'各種計算式等（配付時非表示）'!$E$3:$H$1003,4,TRUE)+0.0000000001,"-"))</f>
        <v>#N/A</v>
      </c>
      <c r="Y123" s="347" t="e">
        <f>IF(Y104="",NA(),IFERROR(Y104*VLOOKUP(Y104,'各種計算式等（配付時非表示）'!$E$3:$H$1003,3,TRUE)+VLOOKUP(Y104,'各種計算式等（配付時非表示）'!$E$3:$H$1003,4,TRUE)+0.0000000001,"-"))</f>
        <v>#N/A</v>
      </c>
      <c r="Z123" s="347" t="e">
        <f>IF(Z104="",NA(),IFERROR(Z104*VLOOKUP(Z104,'各種計算式等（配付時非表示）'!$E$3:$H$1003,3,TRUE)+VLOOKUP(Z104,'各種計算式等（配付時非表示）'!$E$3:$H$1003,4,TRUE)+0.0000000001,"-"))</f>
        <v>#N/A</v>
      </c>
      <c r="AA123" s="347" t="e">
        <f>IF(AA104="",NA(),IFERROR(AA104*VLOOKUP(AA104,'各種計算式等（配付時非表示）'!$E$3:$H$1003,3,TRUE)+VLOOKUP(AA104,'各種計算式等（配付時非表示）'!$E$3:$H$1003,4,TRUE)+0.0000000001,"-"))</f>
        <v>#N/A</v>
      </c>
      <c r="AB123" s="347" t="e">
        <f>IF(AB104="",NA(),IFERROR(AB104*VLOOKUP(AB104,'各種計算式等（配付時非表示）'!$E$3:$H$1003,3,TRUE)+VLOOKUP(AB104,'各種計算式等（配付時非表示）'!$E$3:$H$1003,4,TRUE)+0.0000000001,"-"))</f>
        <v>#N/A</v>
      </c>
      <c r="AC123" s="347" t="e">
        <f>IF(AC104="",NA(),IFERROR(AC104*VLOOKUP(AC104,'各種計算式等（配付時非表示）'!$E$3:$H$1003,3,TRUE)+VLOOKUP(AC104,'各種計算式等（配付時非表示）'!$E$3:$H$1003,4,TRUE)+0.0000000001,"-"))</f>
        <v>#N/A</v>
      </c>
      <c r="AD123" s="347" t="e">
        <f>IF(AD104="",NA(),IFERROR(AD104*VLOOKUP(AD104,'各種計算式等（配付時非表示）'!$E$3:$H$1003,3,TRUE)+VLOOKUP(AD104,'各種計算式等（配付時非表示）'!$E$3:$H$1003,4,TRUE)+0.0000000001,"-"))</f>
        <v>#N/A</v>
      </c>
      <c r="AE123" s="347" t="e">
        <f>IF(AE104="",NA(),IFERROR(AE104*VLOOKUP(AE104,'各種計算式等（配付時非表示）'!$E$3:$H$1003,3,TRUE)+VLOOKUP(AE104,'各種計算式等（配付時非表示）'!$E$3:$H$1003,4,TRUE)+0.0000000001,"-"))</f>
        <v>#N/A</v>
      </c>
      <c r="AF123" s="347" t="e">
        <f>IF(AF104="",NA(),IFERROR(AF104*VLOOKUP(AF104,'各種計算式等（配付時非表示）'!$E$3:$H$1003,3,TRUE)+VLOOKUP(AF104,'各種計算式等（配付時非表示）'!$E$3:$H$1003,4,TRUE)+0.0000000001,"-"))</f>
        <v>#N/A</v>
      </c>
      <c r="AG123" s="347" t="e">
        <f>IF(AG104="",NA(),IFERROR(AG104*VLOOKUP(AG104,'各種計算式等（配付時非表示）'!$E$3:$H$1003,3,TRUE)+VLOOKUP(AG104,'各種計算式等（配付時非表示）'!$E$3:$H$1003,4,TRUE)+0.0000000001,"-"))</f>
        <v>#N/A</v>
      </c>
      <c r="AH123" s="347" t="e">
        <f>IF(AH104="",NA(),IFERROR(AH104*VLOOKUP(AH104,'各種計算式等（配付時非表示）'!$E$3:$H$1003,3,TRUE)+VLOOKUP(AH104,'各種計算式等（配付時非表示）'!$E$3:$H$1003,4,TRUE)+0.0000000001,"-"))</f>
        <v>#N/A</v>
      </c>
      <c r="AI123" s="347" t="e">
        <f>IF(AI104="",NA(),IFERROR(AI104*VLOOKUP(AI104,'各種計算式等（配付時非表示）'!$E$3:$H$1003,3,TRUE)+VLOOKUP(AI104,'各種計算式等（配付時非表示）'!$E$3:$H$1003,4,TRUE)+0.0000000001,"-"))</f>
        <v>#N/A</v>
      </c>
      <c r="AJ123" s="347" t="e">
        <f>IF(AJ104="",NA(),IFERROR(AJ104*VLOOKUP(AJ104,'各種計算式等（配付時非表示）'!$E$3:$H$1003,3,TRUE)+VLOOKUP(AJ104,'各種計算式等（配付時非表示）'!$E$3:$H$1003,4,TRUE)+0.0000000001,"-"))</f>
        <v>#N/A</v>
      </c>
      <c r="AK123" s="347" t="e">
        <f>IF(AK104="",NA(),IFERROR(AK104*VLOOKUP(AK104,'各種計算式等（配付時非表示）'!$E$3:$H$1003,3,TRUE)+VLOOKUP(AK104,'各種計算式等（配付時非表示）'!$E$3:$H$1003,4,TRUE)+0.0000000001,"-"))</f>
        <v>#N/A</v>
      </c>
      <c r="AL123" s="347" t="e">
        <f>IF(AL104="",NA(),IFERROR(AL104*VLOOKUP(AL104,'各種計算式等（配付時非表示）'!$E$3:$H$1003,3,TRUE)+VLOOKUP(AL104,'各種計算式等（配付時非表示）'!$E$3:$H$1003,4,TRUE)+0.0000000001,"-"))</f>
        <v>#N/A</v>
      </c>
      <c r="AM123" s="347" t="e">
        <f>IF(AM104="",NA(),IFERROR(AM104*VLOOKUP(AM104,'各種計算式等（配付時非表示）'!$E$3:$H$1003,3,TRUE)+VLOOKUP(AM104,'各種計算式等（配付時非表示）'!$E$3:$H$1003,4,TRUE)+0.0000000001,"-"))</f>
        <v>#N/A</v>
      </c>
      <c r="AN123" s="347" t="e">
        <f>IF(AN104="",NA(),IFERROR(AN104*VLOOKUP(AN104,'各種計算式等（配付時非表示）'!$E$3:$H$1003,3,TRUE)+VLOOKUP(AN104,'各種計算式等（配付時非表示）'!$E$3:$H$1003,4,TRUE)+0.0000000001,"-"))</f>
        <v>#N/A</v>
      </c>
      <c r="AO123" s="347" t="e">
        <f>IF(AO104="",NA(),IFERROR(AO104*VLOOKUP(AO104,'各種計算式等（配付時非表示）'!$E$3:$H$1003,3,TRUE)+VLOOKUP(AO104,'各種計算式等（配付時非表示）'!$E$3:$H$1003,4,TRUE)+0.0000000001,"-"))</f>
        <v>#N/A</v>
      </c>
      <c r="AP123" s="347" t="e">
        <f>IF(AP104="",NA(),IFERROR(AP104*VLOOKUP(AP104,'各種計算式等（配付時非表示）'!$E$3:$H$1003,3,TRUE)+VLOOKUP(AP104,'各種計算式等（配付時非表示）'!$E$3:$H$1003,4,TRUE)+0.0000000001,"-"))</f>
        <v>#N/A</v>
      </c>
      <c r="AQ123" s="347" t="e">
        <f>IF(AQ104="",NA(),IFERROR(AQ104*VLOOKUP(AQ104,'各種計算式等（配付時非表示）'!$E$3:$H$1003,3,TRUE)+VLOOKUP(AQ104,'各種計算式等（配付時非表示）'!$E$3:$H$1003,4,TRUE)+0.0000000001,"-"))</f>
        <v>#N/A</v>
      </c>
    </row>
    <row r="124" spans="1:43" s="315" customFormat="1" ht="14.25" hidden="1">
      <c r="A124" s="620" t="s">
        <v>3</v>
      </c>
      <c r="B124" s="620"/>
      <c r="C124" s="620"/>
      <c r="D124" s="315" t="s">
        <v>487</v>
      </c>
      <c r="E124" s="348" t="e">
        <f>IFERROR((E122-E123)*260+0.21,NA())</f>
        <v>#N/A</v>
      </c>
      <c r="F124" s="348" t="e">
        <f t="shared" ref="F124:AQ124" si="53">IFERROR((F122-F123)*260+0.21,NA())</f>
        <v>#N/A</v>
      </c>
      <c r="G124" s="348" t="e">
        <f t="shared" si="53"/>
        <v>#N/A</v>
      </c>
      <c r="H124" s="348" t="e">
        <f t="shared" si="53"/>
        <v>#N/A</v>
      </c>
      <c r="I124" s="348" t="e">
        <f t="shared" si="53"/>
        <v>#N/A</v>
      </c>
      <c r="J124" s="348" t="e">
        <f t="shared" si="53"/>
        <v>#N/A</v>
      </c>
      <c r="K124" s="348" t="e">
        <f t="shared" si="53"/>
        <v>#N/A</v>
      </c>
      <c r="L124" s="348" t="e">
        <f t="shared" si="53"/>
        <v>#N/A</v>
      </c>
      <c r="M124" s="348" t="e">
        <f t="shared" si="53"/>
        <v>#N/A</v>
      </c>
      <c r="N124" s="348" t="e">
        <f t="shared" si="53"/>
        <v>#N/A</v>
      </c>
      <c r="O124" s="348" t="e">
        <f t="shared" si="53"/>
        <v>#N/A</v>
      </c>
      <c r="P124" s="348" t="e">
        <f t="shared" si="53"/>
        <v>#N/A</v>
      </c>
      <c r="Q124" s="348" t="e">
        <f t="shared" si="53"/>
        <v>#N/A</v>
      </c>
      <c r="R124" s="348" t="e">
        <f t="shared" si="53"/>
        <v>#N/A</v>
      </c>
      <c r="S124" s="348" t="e">
        <f t="shared" si="53"/>
        <v>#N/A</v>
      </c>
      <c r="T124" s="348" t="e">
        <f t="shared" si="53"/>
        <v>#N/A</v>
      </c>
      <c r="U124" s="348" t="e">
        <f t="shared" si="53"/>
        <v>#N/A</v>
      </c>
      <c r="V124" s="348" t="e">
        <f t="shared" si="53"/>
        <v>#N/A</v>
      </c>
      <c r="W124" s="348" t="e">
        <f t="shared" si="53"/>
        <v>#N/A</v>
      </c>
      <c r="X124" s="348" t="e">
        <f t="shared" si="53"/>
        <v>#N/A</v>
      </c>
      <c r="Y124" s="348" t="e">
        <f t="shared" si="53"/>
        <v>#N/A</v>
      </c>
      <c r="Z124" s="348" t="e">
        <f t="shared" si="53"/>
        <v>#N/A</v>
      </c>
      <c r="AA124" s="348" t="e">
        <f t="shared" si="53"/>
        <v>#N/A</v>
      </c>
      <c r="AB124" s="348" t="e">
        <f t="shared" si="53"/>
        <v>#N/A</v>
      </c>
      <c r="AC124" s="348" t="e">
        <f t="shared" si="53"/>
        <v>#N/A</v>
      </c>
      <c r="AD124" s="348" t="e">
        <f t="shared" si="53"/>
        <v>#N/A</v>
      </c>
      <c r="AE124" s="348" t="e">
        <f t="shared" si="53"/>
        <v>#N/A</v>
      </c>
      <c r="AF124" s="348" t="e">
        <f t="shared" si="53"/>
        <v>#N/A</v>
      </c>
      <c r="AG124" s="348" t="e">
        <f t="shared" si="53"/>
        <v>#N/A</v>
      </c>
      <c r="AH124" s="348" t="e">
        <f t="shared" si="53"/>
        <v>#N/A</v>
      </c>
      <c r="AI124" s="348" t="e">
        <f t="shared" si="53"/>
        <v>#N/A</v>
      </c>
      <c r="AJ124" s="348" t="e">
        <f t="shared" si="53"/>
        <v>#N/A</v>
      </c>
      <c r="AK124" s="348" t="e">
        <f t="shared" si="53"/>
        <v>#N/A</v>
      </c>
      <c r="AL124" s="348" t="e">
        <f t="shared" si="53"/>
        <v>#N/A</v>
      </c>
      <c r="AM124" s="348" t="e">
        <f t="shared" si="53"/>
        <v>#N/A</v>
      </c>
      <c r="AN124" s="348" t="e">
        <f t="shared" si="53"/>
        <v>#N/A</v>
      </c>
      <c r="AO124" s="348" t="e">
        <f t="shared" si="53"/>
        <v>#N/A</v>
      </c>
      <c r="AP124" s="348" t="e">
        <f t="shared" si="53"/>
        <v>#N/A</v>
      </c>
      <c r="AQ124" s="348" t="e">
        <f t="shared" si="53"/>
        <v>#N/A</v>
      </c>
    </row>
    <row r="125" spans="1:43" s="315" customFormat="1" ht="14.25" hidden="1">
      <c r="A125" s="620" t="s">
        <v>318</v>
      </c>
      <c r="B125" s="620"/>
      <c r="C125" s="620"/>
      <c r="D125" s="315" t="s">
        <v>487</v>
      </c>
      <c r="E125" s="349" t="e">
        <f>IF(E104="",NA(),E104*1.5848)</f>
        <v>#N/A</v>
      </c>
      <c r="F125" s="349" t="e">
        <f t="shared" ref="F125:AQ125" si="54">IF(F104="",NA(),F104*1.5848)</f>
        <v>#N/A</v>
      </c>
      <c r="G125" s="349" t="e">
        <f t="shared" si="54"/>
        <v>#N/A</v>
      </c>
      <c r="H125" s="349" t="e">
        <f t="shared" si="54"/>
        <v>#N/A</v>
      </c>
      <c r="I125" s="349" t="e">
        <f t="shared" si="54"/>
        <v>#N/A</v>
      </c>
      <c r="J125" s="349" t="e">
        <f t="shared" si="54"/>
        <v>#N/A</v>
      </c>
      <c r="K125" s="349" t="e">
        <f t="shared" si="54"/>
        <v>#N/A</v>
      </c>
      <c r="L125" s="349" t="e">
        <f t="shared" si="54"/>
        <v>#N/A</v>
      </c>
      <c r="M125" s="349" t="e">
        <f t="shared" si="54"/>
        <v>#N/A</v>
      </c>
      <c r="N125" s="349" t="e">
        <f t="shared" si="54"/>
        <v>#N/A</v>
      </c>
      <c r="O125" s="349" t="e">
        <f t="shared" si="54"/>
        <v>#N/A</v>
      </c>
      <c r="P125" s="349" t="e">
        <f t="shared" si="54"/>
        <v>#N/A</v>
      </c>
      <c r="Q125" s="349" t="e">
        <f t="shared" si="54"/>
        <v>#N/A</v>
      </c>
      <c r="R125" s="349" t="e">
        <f t="shared" si="54"/>
        <v>#N/A</v>
      </c>
      <c r="S125" s="349" t="e">
        <f t="shared" si="54"/>
        <v>#N/A</v>
      </c>
      <c r="T125" s="349" t="e">
        <f t="shared" si="54"/>
        <v>#N/A</v>
      </c>
      <c r="U125" s="349" t="e">
        <f t="shared" si="54"/>
        <v>#N/A</v>
      </c>
      <c r="V125" s="349" t="e">
        <f t="shared" si="54"/>
        <v>#N/A</v>
      </c>
      <c r="W125" s="349" t="e">
        <f t="shared" si="54"/>
        <v>#N/A</v>
      </c>
      <c r="X125" s="349" t="e">
        <f t="shared" si="54"/>
        <v>#N/A</v>
      </c>
      <c r="Y125" s="349" t="e">
        <f t="shared" si="54"/>
        <v>#N/A</v>
      </c>
      <c r="Z125" s="349" t="e">
        <f t="shared" si="54"/>
        <v>#N/A</v>
      </c>
      <c r="AA125" s="349" t="e">
        <f t="shared" si="54"/>
        <v>#N/A</v>
      </c>
      <c r="AB125" s="349" t="e">
        <f t="shared" si="54"/>
        <v>#N/A</v>
      </c>
      <c r="AC125" s="349" t="e">
        <f t="shared" si="54"/>
        <v>#N/A</v>
      </c>
      <c r="AD125" s="349" t="e">
        <f t="shared" si="54"/>
        <v>#N/A</v>
      </c>
      <c r="AE125" s="349" t="e">
        <f t="shared" si="54"/>
        <v>#N/A</v>
      </c>
      <c r="AF125" s="349" t="e">
        <f t="shared" si="54"/>
        <v>#N/A</v>
      </c>
      <c r="AG125" s="349" t="e">
        <f t="shared" si="54"/>
        <v>#N/A</v>
      </c>
      <c r="AH125" s="349" t="e">
        <f t="shared" si="54"/>
        <v>#N/A</v>
      </c>
      <c r="AI125" s="349" t="e">
        <f t="shared" si="54"/>
        <v>#N/A</v>
      </c>
      <c r="AJ125" s="349" t="e">
        <f t="shared" si="54"/>
        <v>#N/A</v>
      </c>
      <c r="AK125" s="349" t="e">
        <f t="shared" si="54"/>
        <v>#N/A</v>
      </c>
      <c r="AL125" s="349" t="e">
        <f t="shared" si="54"/>
        <v>#N/A</v>
      </c>
      <c r="AM125" s="349" t="e">
        <f t="shared" si="54"/>
        <v>#N/A</v>
      </c>
      <c r="AN125" s="349" t="e">
        <f t="shared" si="54"/>
        <v>#N/A</v>
      </c>
      <c r="AO125" s="349" t="e">
        <f t="shared" si="54"/>
        <v>#N/A</v>
      </c>
      <c r="AP125" s="349" t="e">
        <f t="shared" si="54"/>
        <v>#N/A</v>
      </c>
      <c r="AQ125" s="349" t="e">
        <f t="shared" si="54"/>
        <v>#N/A</v>
      </c>
    </row>
    <row r="126" spans="1:43" s="315" customFormat="1" ht="14.25" hidden="1">
      <c r="A126" s="620" t="s">
        <v>159</v>
      </c>
      <c r="B126" s="620"/>
      <c r="C126" s="620"/>
      <c r="D126" s="315" t="s">
        <v>487</v>
      </c>
      <c r="E126" s="349" t="e">
        <f>IF(E124="",NA(),E124+E125)</f>
        <v>#N/A</v>
      </c>
      <c r="F126" s="349" t="e">
        <f t="shared" ref="F126:AQ126" si="55">IF(F124="",NA(),F124+F125)</f>
        <v>#N/A</v>
      </c>
      <c r="G126" s="349" t="e">
        <f t="shared" si="55"/>
        <v>#N/A</v>
      </c>
      <c r="H126" s="349" t="e">
        <f t="shared" si="55"/>
        <v>#N/A</v>
      </c>
      <c r="I126" s="349" t="e">
        <f t="shared" si="55"/>
        <v>#N/A</v>
      </c>
      <c r="J126" s="349" t="e">
        <f t="shared" si="55"/>
        <v>#N/A</v>
      </c>
      <c r="K126" s="349" t="e">
        <f t="shared" si="55"/>
        <v>#N/A</v>
      </c>
      <c r="L126" s="349" t="e">
        <f t="shared" si="55"/>
        <v>#N/A</v>
      </c>
      <c r="M126" s="349" t="e">
        <f t="shared" si="55"/>
        <v>#N/A</v>
      </c>
      <c r="N126" s="349" t="e">
        <f t="shared" si="55"/>
        <v>#N/A</v>
      </c>
      <c r="O126" s="349" t="e">
        <f t="shared" si="55"/>
        <v>#N/A</v>
      </c>
      <c r="P126" s="349" t="e">
        <f t="shared" si="55"/>
        <v>#N/A</v>
      </c>
      <c r="Q126" s="349" t="e">
        <f t="shared" si="55"/>
        <v>#N/A</v>
      </c>
      <c r="R126" s="349" t="e">
        <f t="shared" si="55"/>
        <v>#N/A</v>
      </c>
      <c r="S126" s="349" t="e">
        <f t="shared" si="55"/>
        <v>#N/A</v>
      </c>
      <c r="T126" s="349" t="e">
        <f t="shared" si="55"/>
        <v>#N/A</v>
      </c>
      <c r="U126" s="349" t="e">
        <f t="shared" si="55"/>
        <v>#N/A</v>
      </c>
      <c r="V126" s="349" t="e">
        <f t="shared" si="55"/>
        <v>#N/A</v>
      </c>
      <c r="W126" s="349" t="e">
        <f t="shared" si="55"/>
        <v>#N/A</v>
      </c>
      <c r="X126" s="349" t="e">
        <f t="shared" si="55"/>
        <v>#N/A</v>
      </c>
      <c r="Y126" s="349" t="e">
        <f t="shared" si="55"/>
        <v>#N/A</v>
      </c>
      <c r="Z126" s="349" t="e">
        <f t="shared" si="55"/>
        <v>#N/A</v>
      </c>
      <c r="AA126" s="349" t="e">
        <f t="shared" si="55"/>
        <v>#N/A</v>
      </c>
      <c r="AB126" s="349" t="e">
        <f t="shared" si="55"/>
        <v>#N/A</v>
      </c>
      <c r="AC126" s="349" t="e">
        <f t="shared" si="55"/>
        <v>#N/A</v>
      </c>
      <c r="AD126" s="349" t="e">
        <f t="shared" si="55"/>
        <v>#N/A</v>
      </c>
      <c r="AE126" s="349" t="e">
        <f t="shared" si="55"/>
        <v>#N/A</v>
      </c>
      <c r="AF126" s="349" t="e">
        <f t="shared" si="55"/>
        <v>#N/A</v>
      </c>
      <c r="AG126" s="349" t="e">
        <f t="shared" si="55"/>
        <v>#N/A</v>
      </c>
      <c r="AH126" s="349" t="e">
        <f t="shared" si="55"/>
        <v>#N/A</v>
      </c>
      <c r="AI126" s="349" t="e">
        <f t="shared" si="55"/>
        <v>#N/A</v>
      </c>
      <c r="AJ126" s="349" t="e">
        <f t="shared" si="55"/>
        <v>#N/A</v>
      </c>
      <c r="AK126" s="349" t="e">
        <f t="shared" si="55"/>
        <v>#N/A</v>
      </c>
      <c r="AL126" s="349" t="e">
        <f t="shared" si="55"/>
        <v>#N/A</v>
      </c>
      <c r="AM126" s="349" t="e">
        <f t="shared" si="55"/>
        <v>#N/A</v>
      </c>
      <c r="AN126" s="349" t="e">
        <f t="shared" si="55"/>
        <v>#N/A</v>
      </c>
      <c r="AO126" s="349" t="e">
        <f t="shared" si="55"/>
        <v>#N/A</v>
      </c>
      <c r="AP126" s="349" t="e">
        <f t="shared" si="55"/>
        <v>#N/A</v>
      </c>
      <c r="AQ126" s="349" t="e">
        <f t="shared" si="55"/>
        <v>#N/A</v>
      </c>
    </row>
    <row r="127" spans="1:43" s="315" customFormat="1" ht="14.25" hidden="1">
      <c r="A127" s="620" t="s">
        <v>195</v>
      </c>
      <c r="B127" s="620"/>
      <c r="C127" s="620"/>
      <c r="E127" s="350" t="e">
        <f t="shared" ref="E127:AQ127" si="56">IF(E104="",NA(),IF(E100&lt;=$B115,E104*$D118/100,IF(E100&lt;=$C115,E104*$E118/100,IF(E100&lt;=$D115,E104*$F118/100,IF(E100&lt;=$E115,E104*$G118/100,IF(E100&lt;=$F115,E104*$H118/100,IF(E100&lt;=$G115,E104*$I118/100,IF(E100&lt;=$H115,E104*$J118/100,IF(E100&lt;=$I115,E104*$K118/100,IF(E100&lt;=$J115,E104*$L118/100,IF(E100&lt;=$K115,E104*$M118/100,IF(E100&lt;=$L115,E104*$N118/100,IF(E100&lt;=$M115,E104*$O118/100,IF(E100&lt;=$N115,E104*$P118/100,IF(E100&lt;=$O115,E104*$Q118/100,IF(E100&lt;=$P115,E104*$R118/100,IF(E100&lt;=$Q115,E104*$S118/100,IF(E100&lt;=$R115,E104*$T118/100,IF(E100&lt;=$S115,E104*$U118/100,IF(E100&lt;=$T115,E104*$V118/100,IF(E100&lt;=$U115,E104*$W118/100,E104*$X118/100)))))))))))))))))))))</f>
        <v>#N/A</v>
      </c>
      <c r="F127" s="350" t="e">
        <f t="shared" si="56"/>
        <v>#N/A</v>
      </c>
      <c r="G127" s="350" t="e">
        <f t="shared" si="56"/>
        <v>#N/A</v>
      </c>
      <c r="H127" s="350" t="e">
        <f t="shared" si="56"/>
        <v>#N/A</v>
      </c>
      <c r="I127" s="350" t="e">
        <f t="shared" si="56"/>
        <v>#N/A</v>
      </c>
      <c r="J127" s="350" t="e">
        <f t="shared" si="56"/>
        <v>#N/A</v>
      </c>
      <c r="K127" s="350" t="e">
        <f t="shared" si="56"/>
        <v>#N/A</v>
      </c>
      <c r="L127" s="350" t="e">
        <f t="shared" si="56"/>
        <v>#N/A</v>
      </c>
      <c r="M127" s="350" t="e">
        <f t="shared" si="56"/>
        <v>#N/A</v>
      </c>
      <c r="N127" s="350" t="e">
        <f t="shared" si="56"/>
        <v>#N/A</v>
      </c>
      <c r="O127" s="350" t="e">
        <f t="shared" si="56"/>
        <v>#N/A</v>
      </c>
      <c r="P127" s="350" t="e">
        <f t="shared" si="56"/>
        <v>#N/A</v>
      </c>
      <c r="Q127" s="350" t="e">
        <f t="shared" si="56"/>
        <v>#N/A</v>
      </c>
      <c r="R127" s="350" t="e">
        <f t="shared" si="56"/>
        <v>#N/A</v>
      </c>
      <c r="S127" s="350" t="e">
        <f t="shared" si="56"/>
        <v>#N/A</v>
      </c>
      <c r="T127" s="350" t="e">
        <f t="shared" si="56"/>
        <v>#N/A</v>
      </c>
      <c r="U127" s="350" t="e">
        <f t="shared" si="56"/>
        <v>#N/A</v>
      </c>
      <c r="V127" s="350" t="e">
        <f t="shared" si="56"/>
        <v>#N/A</v>
      </c>
      <c r="W127" s="350" t="e">
        <f t="shared" si="56"/>
        <v>#N/A</v>
      </c>
      <c r="X127" s="350" t="e">
        <f t="shared" si="56"/>
        <v>#N/A</v>
      </c>
      <c r="Y127" s="350" t="e">
        <f t="shared" si="56"/>
        <v>#N/A</v>
      </c>
      <c r="Z127" s="350" t="e">
        <f t="shared" si="56"/>
        <v>#N/A</v>
      </c>
      <c r="AA127" s="350" t="e">
        <f t="shared" si="56"/>
        <v>#N/A</v>
      </c>
      <c r="AB127" s="350" t="e">
        <f t="shared" si="56"/>
        <v>#N/A</v>
      </c>
      <c r="AC127" s="350" t="e">
        <f t="shared" si="56"/>
        <v>#N/A</v>
      </c>
      <c r="AD127" s="350" t="e">
        <f t="shared" si="56"/>
        <v>#N/A</v>
      </c>
      <c r="AE127" s="350" t="e">
        <f t="shared" si="56"/>
        <v>#N/A</v>
      </c>
      <c r="AF127" s="350" t="e">
        <f t="shared" si="56"/>
        <v>#N/A</v>
      </c>
      <c r="AG127" s="350" t="e">
        <f t="shared" si="56"/>
        <v>#N/A</v>
      </c>
      <c r="AH127" s="350" t="e">
        <f t="shared" si="56"/>
        <v>#N/A</v>
      </c>
      <c r="AI127" s="350" t="e">
        <f t="shared" si="56"/>
        <v>#N/A</v>
      </c>
      <c r="AJ127" s="350" t="e">
        <f t="shared" si="56"/>
        <v>#N/A</v>
      </c>
      <c r="AK127" s="350" t="e">
        <f t="shared" si="56"/>
        <v>#N/A</v>
      </c>
      <c r="AL127" s="350" t="e">
        <f t="shared" si="56"/>
        <v>#N/A</v>
      </c>
      <c r="AM127" s="350" t="e">
        <f t="shared" si="56"/>
        <v>#N/A</v>
      </c>
      <c r="AN127" s="350" t="e">
        <f t="shared" si="56"/>
        <v>#N/A</v>
      </c>
      <c r="AO127" s="350" t="e">
        <f t="shared" si="56"/>
        <v>#N/A</v>
      </c>
      <c r="AP127" s="350" t="e">
        <f t="shared" si="56"/>
        <v>#N/A</v>
      </c>
      <c r="AQ127" s="350" t="e">
        <f t="shared" si="56"/>
        <v>#N/A</v>
      </c>
    </row>
    <row r="128" spans="1:43" s="315" customFormat="1" ht="14.25" hidden="1">
      <c r="A128" s="547" t="s">
        <v>485</v>
      </c>
      <c r="B128" s="620"/>
      <c r="C128" s="603"/>
      <c r="E128" s="351" t="e">
        <f t="shared" ref="E128:AQ128" si="57">IF(E127="",NA(),ROUND(E127*1.5848,1))</f>
        <v>#N/A</v>
      </c>
      <c r="F128" s="351" t="e">
        <f t="shared" si="57"/>
        <v>#N/A</v>
      </c>
      <c r="G128" s="351" t="e">
        <f t="shared" si="57"/>
        <v>#N/A</v>
      </c>
      <c r="H128" s="351" t="e">
        <f t="shared" si="57"/>
        <v>#N/A</v>
      </c>
      <c r="I128" s="351" t="e">
        <f t="shared" si="57"/>
        <v>#N/A</v>
      </c>
      <c r="J128" s="351" t="e">
        <f t="shared" si="57"/>
        <v>#N/A</v>
      </c>
      <c r="K128" s="351" t="e">
        <f t="shared" si="57"/>
        <v>#N/A</v>
      </c>
      <c r="L128" s="351" t="e">
        <f t="shared" si="57"/>
        <v>#N/A</v>
      </c>
      <c r="M128" s="351" t="e">
        <f t="shared" si="57"/>
        <v>#N/A</v>
      </c>
      <c r="N128" s="351" t="e">
        <f t="shared" si="57"/>
        <v>#N/A</v>
      </c>
      <c r="O128" s="351" t="e">
        <f t="shared" si="57"/>
        <v>#N/A</v>
      </c>
      <c r="P128" s="351" t="e">
        <f t="shared" si="57"/>
        <v>#N/A</v>
      </c>
      <c r="Q128" s="351" t="e">
        <f t="shared" si="57"/>
        <v>#N/A</v>
      </c>
      <c r="R128" s="351" t="e">
        <f t="shared" si="57"/>
        <v>#N/A</v>
      </c>
      <c r="S128" s="351" t="e">
        <f t="shared" si="57"/>
        <v>#N/A</v>
      </c>
      <c r="T128" s="351" t="e">
        <f t="shared" si="57"/>
        <v>#N/A</v>
      </c>
      <c r="U128" s="351" t="e">
        <f t="shared" si="57"/>
        <v>#N/A</v>
      </c>
      <c r="V128" s="351" t="e">
        <f t="shared" si="57"/>
        <v>#N/A</v>
      </c>
      <c r="W128" s="351" t="e">
        <f t="shared" si="57"/>
        <v>#N/A</v>
      </c>
      <c r="X128" s="351" t="e">
        <f t="shared" si="57"/>
        <v>#N/A</v>
      </c>
      <c r="Y128" s="351" t="e">
        <f t="shared" si="57"/>
        <v>#N/A</v>
      </c>
      <c r="Z128" s="351" t="e">
        <f t="shared" si="57"/>
        <v>#N/A</v>
      </c>
      <c r="AA128" s="351" t="e">
        <f t="shared" si="57"/>
        <v>#N/A</v>
      </c>
      <c r="AB128" s="351" t="e">
        <f t="shared" si="57"/>
        <v>#N/A</v>
      </c>
      <c r="AC128" s="351" t="e">
        <f t="shared" si="57"/>
        <v>#N/A</v>
      </c>
      <c r="AD128" s="351" t="e">
        <f t="shared" si="57"/>
        <v>#N/A</v>
      </c>
      <c r="AE128" s="351" t="e">
        <f t="shared" si="57"/>
        <v>#N/A</v>
      </c>
      <c r="AF128" s="351" t="e">
        <f t="shared" si="57"/>
        <v>#N/A</v>
      </c>
      <c r="AG128" s="351" t="e">
        <f t="shared" si="57"/>
        <v>#N/A</v>
      </c>
      <c r="AH128" s="351" t="e">
        <f t="shared" si="57"/>
        <v>#N/A</v>
      </c>
      <c r="AI128" s="351" t="e">
        <f t="shared" si="57"/>
        <v>#N/A</v>
      </c>
      <c r="AJ128" s="351" t="e">
        <f t="shared" si="57"/>
        <v>#N/A</v>
      </c>
      <c r="AK128" s="351" t="e">
        <f t="shared" si="57"/>
        <v>#N/A</v>
      </c>
      <c r="AL128" s="351" t="e">
        <f t="shared" si="57"/>
        <v>#N/A</v>
      </c>
      <c r="AM128" s="351" t="e">
        <f t="shared" si="57"/>
        <v>#N/A</v>
      </c>
      <c r="AN128" s="351" t="e">
        <f t="shared" si="57"/>
        <v>#N/A</v>
      </c>
      <c r="AO128" s="351" t="e">
        <f t="shared" si="57"/>
        <v>#N/A</v>
      </c>
      <c r="AP128" s="351" t="e">
        <f t="shared" si="57"/>
        <v>#N/A</v>
      </c>
      <c r="AQ128" s="351" t="e">
        <f t="shared" si="57"/>
        <v>#N/A</v>
      </c>
    </row>
    <row r="129" spans="1:44" s="315" customFormat="1" ht="14.25" hidden="1">
      <c r="A129" s="547" t="s">
        <v>486</v>
      </c>
      <c r="B129" s="620"/>
      <c r="C129" s="603"/>
      <c r="E129" s="351" t="e">
        <f t="shared" ref="E129:AQ129" si="58">IF(E130="",NA(),ROUND(E130-E128,1))</f>
        <v>#N/A</v>
      </c>
      <c r="F129" s="351" t="e">
        <f t="shared" si="58"/>
        <v>#N/A</v>
      </c>
      <c r="G129" s="351" t="e">
        <f t="shared" si="58"/>
        <v>#N/A</v>
      </c>
      <c r="H129" s="351" t="e">
        <f t="shared" si="58"/>
        <v>#N/A</v>
      </c>
      <c r="I129" s="351" t="e">
        <f t="shared" si="58"/>
        <v>#N/A</v>
      </c>
      <c r="J129" s="351" t="e">
        <f t="shared" si="58"/>
        <v>#N/A</v>
      </c>
      <c r="K129" s="351" t="e">
        <f t="shared" si="58"/>
        <v>#N/A</v>
      </c>
      <c r="L129" s="351" t="e">
        <f t="shared" si="58"/>
        <v>#N/A</v>
      </c>
      <c r="M129" s="351" t="e">
        <f t="shared" si="58"/>
        <v>#N/A</v>
      </c>
      <c r="N129" s="351" t="e">
        <f t="shared" si="58"/>
        <v>#N/A</v>
      </c>
      <c r="O129" s="351" t="e">
        <f t="shared" si="58"/>
        <v>#N/A</v>
      </c>
      <c r="P129" s="351" t="e">
        <f t="shared" si="58"/>
        <v>#N/A</v>
      </c>
      <c r="Q129" s="351" t="e">
        <f t="shared" si="58"/>
        <v>#N/A</v>
      </c>
      <c r="R129" s="351" t="e">
        <f t="shared" si="58"/>
        <v>#N/A</v>
      </c>
      <c r="S129" s="351" t="e">
        <f t="shared" si="58"/>
        <v>#N/A</v>
      </c>
      <c r="T129" s="351" t="e">
        <f t="shared" si="58"/>
        <v>#N/A</v>
      </c>
      <c r="U129" s="351" t="e">
        <f t="shared" si="58"/>
        <v>#N/A</v>
      </c>
      <c r="V129" s="351" t="e">
        <f t="shared" si="58"/>
        <v>#N/A</v>
      </c>
      <c r="W129" s="351" t="e">
        <f t="shared" si="58"/>
        <v>#N/A</v>
      </c>
      <c r="X129" s="351" t="e">
        <f t="shared" si="58"/>
        <v>#N/A</v>
      </c>
      <c r="Y129" s="351" t="e">
        <f t="shared" si="58"/>
        <v>#N/A</v>
      </c>
      <c r="Z129" s="351" t="e">
        <f t="shared" si="58"/>
        <v>#N/A</v>
      </c>
      <c r="AA129" s="351" t="e">
        <f t="shared" si="58"/>
        <v>#N/A</v>
      </c>
      <c r="AB129" s="351" t="e">
        <f t="shared" si="58"/>
        <v>#N/A</v>
      </c>
      <c r="AC129" s="351" t="e">
        <f t="shared" si="58"/>
        <v>#N/A</v>
      </c>
      <c r="AD129" s="351" t="e">
        <f t="shared" si="58"/>
        <v>#N/A</v>
      </c>
      <c r="AE129" s="351" t="e">
        <f t="shared" si="58"/>
        <v>#N/A</v>
      </c>
      <c r="AF129" s="351" t="e">
        <f t="shared" si="58"/>
        <v>#N/A</v>
      </c>
      <c r="AG129" s="351" t="e">
        <f t="shared" si="58"/>
        <v>#N/A</v>
      </c>
      <c r="AH129" s="351" t="e">
        <f t="shared" si="58"/>
        <v>#N/A</v>
      </c>
      <c r="AI129" s="351" t="e">
        <f t="shared" si="58"/>
        <v>#N/A</v>
      </c>
      <c r="AJ129" s="351" t="e">
        <f t="shared" si="58"/>
        <v>#N/A</v>
      </c>
      <c r="AK129" s="351" t="e">
        <f t="shared" si="58"/>
        <v>#N/A</v>
      </c>
      <c r="AL129" s="351" t="e">
        <f t="shared" si="58"/>
        <v>#N/A</v>
      </c>
      <c r="AM129" s="351" t="e">
        <f t="shared" si="58"/>
        <v>#N/A</v>
      </c>
      <c r="AN129" s="351" t="e">
        <f t="shared" si="58"/>
        <v>#N/A</v>
      </c>
      <c r="AO129" s="351" t="e">
        <f t="shared" si="58"/>
        <v>#N/A</v>
      </c>
      <c r="AP129" s="351" t="e">
        <f t="shared" si="58"/>
        <v>#N/A</v>
      </c>
      <c r="AQ129" s="351" t="e">
        <f t="shared" si="58"/>
        <v>#N/A</v>
      </c>
    </row>
    <row r="130" spans="1:44" s="315" customFormat="1" ht="14.25" hidden="1">
      <c r="A130" s="547" t="s">
        <v>484</v>
      </c>
      <c r="B130" s="620"/>
      <c r="C130" s="603"/>
      <c r="E130" s="350" t="e">
        <f t="shared" ref="E130:AQ130" si="59">IF(E126="",NA(),IF(E100&lt;=$B115,E126*$D118/100,IF(E100&lt;=$C115,E126*$E118/100,IF(E100&lt;=$D115,E126*$F118/100,IF(E100&lt;=$E115,E126*$G118/100,IF(E100&lt;=$F115,E126*$H118/100,IF(E100&lt;=$G115,E126*$I118/100,IF(E100&lt;=$H115,E126*$J118/100,IF(E100&lt;=$I115,E126*$K118/100,IF(E100&lt;=$J115,E126*$L118/100,IF(E100&lt;=$K115,E126*$M118/100,IF(E100&lt;=$L115,E126*$N118/100,IF(E100&lt;=$M115,E126*$O118/100,IF(E100&lt;=$N115,E126*$P118/100,IF(E100&lt;=$O115,E126*$Q118/100,IF(E100&lt;=$P115,E126*$R118/100,IF(E100&lt;=$Q115,E126*$S118/100,IF(E100&lt;=$R115,E126*$T118/100,IF(E100&lt;=$S115,E126*$U118/100,IF(E100&lt;=$T115,E126*$V118/100,IF(E100&lt;=$U115,E126*$W118/100,E126*$X118/100)))))))))))))))))))))</f>
        <v>#N/A</v>
      </c>
      <c r="F130" s="350" t="e">
        <f t="shared" si="59"/>
        <v>#N/A</v>
      </c>
      <c r="G130" s="350" t="e">
        <f t="shared" si="59"/>
        <v>#N/A</v>
      </c>
      <c r="H130" s="350" t="e">
        <f t="shared" si="59"/>
        <v>#N/A</v>
      </c>
      <c r="I130" s="350" t="e">
        <f t="shared" si="59"/>
        <v>#N/A</v>
      </c>
      <c r="J130" s="350" t="e">
        <f t="shared" si="59"/>
        <v>#N/A</v>
      </c>
      <c r="K130" s="350" t="e">
        <f t="shared" si="59"/>
        <v>#N/A</v>
      </c>
      <c r="L130" s="350" t="e">
        <f t="shared" si="59"/>
        <v>#N/A</v>
      </c>
      <c r="M130" s="350" t="e">
        <f t="shared" si="59"/>
        <v>#N/A</v>
      </c>
      <c r="N130" s="350" t="e">
        <f t="shared" si="59"/>
        <v>#N/A</v>
      </c>
      <c r="O130" s="350" t="e">
        <f t="shared" si="59"/>
        <v>#N/A</v>
      </c>
      <c r="P130" s="350" t="e">
        <f t="shared" si="59"/>
        <v>#N/A</v>
      </c>
      <c r="Q130" s="350" t="e">
        <f t="shared" si="59"/>
        <v>#N/A</v>
      </c>
      <c r="R130" s="350" t="e">
        <f t="shared" si="59"/>
        <v>#N/A</v>
      </c>
      <c r="S130" s="350" t="e">
        <f t="shared" si="59"/>
        <v>#N/A</v>
      </c>
      <c r="T130" s="350" t="e">
        <f t="shared" si="59"/>
        <v>#N/A</v>
      </c>
      <c r="U130" s="350" t="e">
        <f t="shared" si="59"/>
        <v>#N/A</v>
      </c>
      <c r="V130" s="350" t="e">
        <f t="shared" si="59"/>
        <v>#N/A</v>
      </c>
      <c r="W130" s="350" t="e">
        <f t="shared" si="59"/>
        <v>#N/A</v>
      </c>
      <c r="X130" s="350" t="e">
        <f t="shared" si="59"/>
        <v>#N/A</v>
      </c>
      <c r="Y130" s="350" t="e">
        <f t="shared" si="59"/>
        <v>#N/A</v>
      </c>
      <c r="Z130" s="350" t="e">
        <f t="shared" si="59"/>
        <v>#N/A</v>
      </c>
      <c r="AA130" s="350" t="e">
        <f t="shared" si="59"/>
        <v>#N/A</v>
      </c>
      <c r="AB130" s="350" t="e">
        <f t="shared" si="59"/>
        <v>#N/A</v>
      </c>
      <c r="AC130" s="350" t="e">
        <f t="shared" si="59"/>
        <v>#N/A</v>
      </c>
      <c r="AD130" s="350" t="e">
        <f t="shared" si="59"/>
        <v>#N/A</v>
      </c>
      <c r="AE130" s="350" t="e">
        <f t="shared" si="59"/>
        <v>#N/A</v>
      </c>
      <c r="AF130" s="350" t="e">
        <f t="shared" si="59"/>
        <v>#N/A</v>
      </c>
      <c r="AG130" s="350" t="e">
        <f t="shared" si="59"/>
        <v>#N/A</v>
      </c>
      <c r="AH130" s="350" t="e">
        <f t="shared" si="59"/>
        <v>#N/A</v>
      </c>
      <c r="AI130" s="350" t="e">
        <f t="shared" si="59"/>
        <v>#N/A</v>
      </c>
      <c r="AJ130" s="350" t="e">
        <f t="shared" si="59"/>
        <v>#N/A</v>
      </c>
      <c r="AK130" s="350" t="e">
        <f t="shared" si="59"/>
        <v>#N/A</v>
      </c>
      <c r="AL130" s="350" t="e">
        <f t="shared" si="59"/>
        <v>#N/A</v>
      </c>
      <c r="AM130" s="350" t="e">
        <f t="shared" si="59"/>
        <v>#N/A</v>
      </c>
      <c r="AN130" s="350" t="e">
        <f t="shared" si="59"/>
        <v>#N/A</v>
      </c>
      <c r="AO130" s="350" t="e">
        <f t="shared" si="59"/>
        <v>#N/A</v>
      </c>
      <c r="AP130" s="350" t="e">
        <f t="shared" si="59"/>
        <v>#N/A</v>
      </c>
      <c r="AQ130" s="350" t="e">
        <f t="shared" si="59"/>
        <v>#N/A</v>
      </c>
    </row>
    <row r="131" spans="1:44" s="315" customFormat="1" ht="15" hidden="1" thickBot="1">
      <c r="A131" s="557" t="s">
        <v>473</v>
      </c>
      <c r="B131" s="621"/>
      <c r="C131" s="621"/>
      <c r="E131" s="352" t="e">
        <f t="shared" ref="E131:AQ131" si="60">IF(E130="",NA(),ROUND(E128/E130*100,1))</f>
        <v>#N/A</v>
      </c>
      <c r="F131" s="352" t="e">
        <f t="shared" si="60"/>
        <v>#N/A</v>
      </c>
      <c r="G131" s="352" t="e">
        <f t="shared" si="60"/>
        <v>#N/A</v>
      </c>
      <c r="H131" s="352" t="e">
        <f t="shared" si="60"/>
        <v>#N/A</v>
      </c>
      <c r="I131" s="352" t="e">
        <f t="shared" si="60"/>
        <v>#N/A</v>
      </c>
      <c r="J131" s="352" t="e">
        <f t="shared" si="60"/>
        <v>#N/A</v>
      </c>
      <c r="K131" s="352" t="e">
        <f t="shared" si="60"/>
        <v>#N/A</v>
      </c>
      <c r="L131" s="352" t="e">
        <f t="shared" si="60"/>
        <v>#N/A</v>
      </c>
      <c r="M131" s="352" t="e">
        <f t="shared" si="60"/>
        <v>#N/A</v>
      </c>
      <c r="N131" s="352" t="e">
        <f t="shared" si="60"/>
        <v>#N/A</v>
      </c>
      <c r="O131" s="352" t="e">
        <f t="shared" si="60"/>
        <v>#N/A</v>
      </c>
      <c r="P131" s="352" t="e">
        <f t="shared" si="60"/>
        <v>#N/A</v>
      </c>
      <c r="Q131" s="352" t="e">
        <f t="shared" si="60"/>
        <v>#N/A</v>
      </c>
      <c r="R131" s="352" t="e">
        <f t="shared" si="60"/>
        <v>#N/A</v>
      </c>
      <c r="S131" s="352" t="e">
        <f t="shared" si="60"/>
        <v>#N/A</v>
      </c>
      <c r="T131" s="352" t="e">
        <f t="shared" si="60"/>
        <v>#N/A</v>
      </c>
      <c r="U131" s="352" t="e">
        <f t="shared" si="60"/>
        <v>#N/A</v>
      </c>
      <c r="V131" s="352" t="e">
        <f t="shared" si="60"/>
        <v>#N/A</v>
      </c>
      <c r="W131" s="352" t="e">
        <f t="shared" si="60"/>
        <v>#N/A</v>
      </c>
      <c r="X131" s="352" t="e">
        <f t="shared" si="60"/>
        <v>#N/A</v>
      </c>
      <c r="Y131" s="352" t="e">
        <f t="shared" si="60"/>
        <v>#N/A</v>
      </c>
      <c r="Z131" s="352" t="e">
        <f t="shared" si="60"/>
        <v>#N/A</v>
      </c>
      <c r="AA131" s="352" t="e">
        <f t="shared" si="60"/>
        <v>#N/A</v>
      </c>
      <c r="AB131" s="352" t="e">
        <f t="shared" si="60"/>
        <v>#N/A</v>
      </c>
      <c r="AC131" s="352" t="e">
        <f t="shared" si="60"/>
        <v>#N/A</v>
      </c>
      <c r="AD131" s="352" t="e">
        <f t="shared" si="60"/>
        <v>#N/A</v>
      </c>
      <c r="AE131" s="352" t="e">
        <f t="shared" si="60"/>
        <v>#N/A</v>
      </c>
      <c r="AF131" s="352" t="e">
        <f t="shared" si="60"/>
        <v>#N/A</v>
      </c>
      <c r="AG131" s="352" t="e">
        <f t="shared" si="60"/>
        <v>#N/A</v>
      </c>
      <c r="AH131" s="352" t="e">
        <f t="shared" si="60"/>
        <v>#N/A</v>
      </c>
      <c r="AI131" s="352" t="e">
        <f t="shared" si="60"/>
        <v>#N/A</v>
      </c>
      <c r="AJ131" s="352" t="e">
        <f t="shared" si="60"/>
        <v>#N/A</v>
      </c>
      <c r="AK131" s="352" t="e">
        <f t="shared" si="60"/>
        <v>#N/A</v>
      </c>
      <c r="AL131" s="352" t="e">
        <f t="shared" si="60"/>
        <v>#N/A</v>
      </c>
      <c r="AM131" s="352" t="e">
        <f t="shared" si="60"/>
        <v>#N/A</v>
      </c>
      <c r="AN131" s="352" t="e">
        <f t="shared" si="60"/>
        <v>#N/A</v>
      </c>
      <c r="AO131" s="352" t="e">
        <f t="shared" si="60"/>
        <v>#N/A</v>
      </c>
      <c r="AP131" s="352" t="e">
        <f t="shared" si="60"/>
        <v>#N/A</v>
      </c>
      <c r="AQ131" s="352" t="e">
        <f t="shared" si="60"/>
        <v>#N/A</v>
      </c>
      <c r="AR131" s="352"/>
    </row>
    <row r="132" spans="1:44" s="315" customFormat="1" ht="14.25"/>
    <row r="133" spans="1:44" s="315" customFormat="1" ht="21" customHeight="1" thickBot="1">
      <c r="A133" s="314" t="s">
        <v>325</v>
      </c>
    </row>
    <row r="134" spans="1:44" s="315" customFormat="1" ht="12.95" customHeight="1" thickBot="1">
      <c r="A134" s="614" t="s">
        <v>282</v>
      </c>
      <c r="B134" s="615"/>
      <c r="C134" s="615"/>
      <c r="D134" s="618"/>
      <c r="E134" s="618"/>
      <c r="F134" s="619"/>
      <c r="H134" s="316" t="s">
        <v>290</v>
      </c>
      <c r="I134" s="618"/>
      <c r="J134" s="619"/>
      <c r="L134" s="353" t="s">
        <v>291</v>
      </c>
      <c r="M134" s="1212"/>
      <c r="N134" s="1213"/>
      <c r="O134" s="354"/>
      <c r="P134" s="1214" t="s">
        <v>293</v>
      </c>
      <c r="Q134" s="1215"/>
      <c r="R134" s="355"/>
      <c r="S134" s="355"/>
      <c r="T134" s="355"/>
    </row>
    <row r="135" spans="1:44" s="315" customFormat="1" ht="12.95" customHeight="1" thickBot="1">
      <c r="L135" s="356" t="s">
        <v>292</v>
      </c>
      <c r="M135" s="1216"/>
      <c r="N135" s="1217"/>
      <c r="P135" s="594"/>
      <c r="Q135" s="1218"/>
      <c r="R135" s="1218"/>
      <c r="S135" s="1218"/>
      <c r="T135" s="1218"/>
      <c r="U135" s="1218"/>
      <c r="V135" s="1218"/>
      <c r="W135" s="1218"/>
      <c r="X135" s="1219"/>
    </row>
    <row r="136" spans="1:44" s="315" customFormat="1" ht="14.25">
      <c r="A136" s="545" t="s">
        <v>61</v>
      </c>
      <c r="B136" s="617"/>
      <c r="C136" s="617"/>
      <c r="D136" s="366" t="s">
        <v>47</v>
      </c>
      <c r="E136" s="366" t="s">
        <v>13</v>
      </c>
      <c r="F136" s="366" t="s">
        <v>15</v>
      </c>
      <c r="G136" s="366" t="s">
        <v>48</v>
      </c>
      <c r="H136" s="366" t="s">
        <v>49</v>
      </c>
      <c r="I136" s="319" t="s">
        <v>52</v>
      </c>
      <c r="J136" s="320" t="s">
        <v>51</v>
      </c>
      <c r="K136" s="321"/>
      <c r="P136" s="1220"/>
      <c r="Q136" s="1221"/>
      <c r="R136" s="1221"/>
      <c r="S136" s="1221"/>
      <c r="T136" s="1221"/>
      <c r="U136" s="1221"/>
      <c r="V136" s="1221"/>
      <c r="W136" s="1221"/>
      <c r="X136" s="1222"/>
      <c r="Z136" s="322"/>
      <c r="AA136" s="322"/>
    </row>
    <row r="137" spans="1:44" s="315" customFormat="1" ht="14.25">
      <c r="A137" s="547" t="s">
        <v>163</v>
      </c>
      <c r="B137" s="620"/>
      <c r="C137" s="620"/>
      <c r="D137" s="363" t="str">
        <f>IF(D138+D139=0,"",D138+D139)</f>
        <v/>
      </c>
      <c r="E137" s="363" t="str">
        <f>IF(E138+E139=0,"",E138+E139)</f>
        <v/>
      </c>
      <c r="F137" s="363" t="str">
        <f>IF(F138+F139=0,"",F138+F139)</f>
        <v/>
      </c>
      <c r="G137" s="363" t="str">
        <f>IF(G138+G139=0,"",G138+G139)</f>
        <v/>
      </c>
      <c r="H137" s="363" t="str">
        <f>IF(H138+H139=0,"",H138+H139)</f>
        <v/>
      </c>
      <c r="I137" s="323"/>
      <c r="J137" s="368" t="str">
        <f>IF(SUM(D137:I137)=0,"",SUM(D137:I137))</f>
        <v/>
      </c>
      <c r="K137" s="321"/>
      <c r="P137" s="1220"/>
      <c r="Q137" s="1221"/>
      <c r="R137" s="1221"/>
      <c r="S137" s="1221"/>
      <c r="T137" s="1221"/>
      <c r="U137" s="1221"/>
      <c r="V137" s="1221"/>
      <c r="W137" s="1221"/>
      <c r="X137" s="1222"/>
      <c r="Z137" s="322"/>
      <c r="AA137" s="322"/>
    </row>
    <row r="138" spans="1:44" s="315" customFormat="1" ht="14.25">
      <c r="A138" s="547" t="s">
        <v>93</v>
      </c>
      <c r="B138" s="620"/>
      <c r="C138" s="620"/>
      <c r="D138" s="371"/>
      <c r="E138" s="371"/>
      <c r="F138" s="371"/>
      <c r="G138" s="371"/>
      <c r="H138" s="371"/>
      <c r="I138" s="323"/>
      <c r="J138" s="368" t="str">
        <f>IF(SUM(D138:I138)=0,"",SUM(D138:I138))</f>
        <v/>
      </c>
      <c r="K138" s="325"/>
      <c r="P138" s="1220"/>
      <c r="Q138" s="1221"/>
      <c r="R138" s="1221"/>
      <c r="S138" s="1221"/>
      <c r="T138" s="1221"/>
      <c r="U138" s="1221"/>
      <c r="V138" s="1221"/>
      <c r="W138" s="1221"/>
      <c r="X138" s="1222"/>
      <c r="Y138" s="589"/>
      <c r="Z138" s="589"/>
      <c r="AA138" s="589"/>
    </row>
    <row r="139" spans="1:44" s="315" customFormat="1" ht="14.25">
      <c r="A139" s="547" t="s">
        <v>50</v>
      </c>
      <c r="B139" s="620"/>
      <c r="C139" s="620"/>
      <c r="D139" s="371"/>
      <c r="E139" s="371"/>
      <c r="F139" s="371"/>
      <c r="G139" s="371"/>
      <c r="H139" s="371"/>
      <c r="I139" s="323"/>
      <c r="J139" s="368" t="str">
        <f>IF(SUM(D139:I139)=0,"",SUM(D139:I139))</f>
        <v/>
      </c>
      <c r="K139" s="325"/>
      <c r="P139" s="1220"/>
      <c r="Q139" s="1221"/>
      <c r="R139" s="1221"/>
      <c r="S139" s="1221"/>
      <c r="T139" s="1221"/>
      <c r="U139" s="1221"/>
      <c r="V139" s="1221"/>
      <c r="W139" s="1221"/>
      <c r="X139" s="1222"/>
      <c r="Y139" s="589"/>
      <c r="Z139" s="589"/>
      <c r="AA139" s="589"/>
    </row>
    <row r="140" spans="1:44" s="315" customFormat="1" ht="15" thickBot="1">
      <c r="A140" s="557" t="s">
        <v>162</v>
      </c>
      <c r="B140" s="621"/>
      <c r="C140" s="621"/>
      <c r="D140" s="372"/>
      <c r="E140" s="372"/>
      <c r="F140" s="372"/>
      <c r="G140" s="372"/>
      <c r="H140" s="372"/>
      <c r="I140" s="369" t="str">
        <f>IF(SUM(E143:AQ143)=0,"",SUM(E143:AQ143))</f>
        <v/>
      </c>
      <c r="J140" s="370" t="str">
        <f>IF(SUM(D140:I140)=0,"",SUM(D140:I140))</f>
        <v/>
      </c>
      <c r="K140" s="325"/>
      <c r="O140" s="354"/>
      <c r="P140" s="1223"/>
      <c r="Q140" s="1224"/>
      <c r="R140" s="1224"/>
      <c r="S140" s="1224"/>
      <c r="T140" s="1224"/>
      <c r="U140" s="1224"/>
      <c r="V140" s="1224"/>
      <c r="W140" s="1224"/>
      <c r="X140" s="1225"/>
      <c r="Y140" s="589"/>
      <c r="Z140" s="589"/>
      <c r="AA140" s="589"/>
    </row>
    <row r="141" spans="1:44" s="315" customFormat="1" ht="10.5" customHeight="1" thickBot="1"/>
    <row r="142" spans="1:44" s="315" customFormat="1" ht="14.25">
      <c r="A142" s="616" t="s">
        <v>16</v>
      </c>
      <c r="B142" s="617"/>
      <c r="C142" s="617"/>
      <c r="D142" s="366">
        <v>1</v>
      </c>
      <c r="E142" s="366">
        <v>2</v>
      </c>
      <c r="F142" s="366">
        <v>3</v>
      </c>
      <c r="G142" s="366">
        <v>4</v>
      </c>
      <c r="H142" s="366">
        <v>5</v>
      </c>
      <c r="I142" s="366">
        <v>6</v>
      </c>
      <c r="J142" s="366">
        <v>7</v>
      </c>
      <c r="K142" s="366">
        <v>8</v>
      </c>
      <c r="L142" s="366">
        <v>9</v>
      </c>
      <c r="M142" s="366">
        <v>10</v>
      </c>
      <c r="N142" s="366">
        <v>11</v>
      </c>
      <c r="O142" s="366">
        <v>12</v>
      </c>
      <c r="P142" s="366">
        <v>13</v>
      </c>
      <c r="Q142" s="366">
        <v>14</v>
      </c>
      <c r="R142" s="366">
        <v>15</v>
      </c>
      <c r="S142" s="366">
        <v>16</v>
      </c>
      <c r="T142" s="366">
        <v>17</v>
      </c>
      <c r="U142" s="366">
        <v>18</v>
      </c>
      <c r="V142" s="366">
        <v>19</v>
      </c>
      <c r="W142" s="366">
        <v>20</v>
      </c>
      <c r="X142" s="366">
        <v>21</v>
      </c>
      <c r="Y142" s="366">
        <v>22</v>
      </c>
      <c r="Z142" s="366">
        <v>23</v>
      </c>
      <c r="AA142" s="366">
        <v>24</v>
      </c>
      <c r="AB142" s="366">
        <v>25</v>
      </c>
      <c r="AC142" s="366">
        <v>26</v>
      </c>
      <c r="AD142" s="366">
        <v>27</v>
      </c>
      <c r="AE142" s="366">
        <v>28</v>
      </c>
      <c r="AF142" s="366">
        <v>29</v>
      </c>
      <c r="AG142" s="366">
        <v>30</v>
      </c>
      <c r="AH142" s="366">
        <v>31</v>
      </c>
      <c r="AI142" s="366">
        <v>32</v>
      </c>
      <c r="AJ142" s="366">
        <v>33</v>
      </c>
      <c r="AK142" s="366">
        <v>34</v>
      </c>
      <c r="AL142" s="366">
        <v>35</v>
      </c>
      <c r="AM142" s="366">
        <v>36</v>
      </c>
      <c r="AN142" s="366">
        <v>37</v>
      </c>
      <c r="AO142" s="366">
        <v>38</v>
      </c>
      <c r="AP142" s="366">
        <v>39</v>
      </c>
      <c r="AQ142" s="320">
        <v>40</v>
      </c>
    </row>
    <row r="143" spans="1:44" s="315" customFormat="1" ht="14.25">
      <c r="A143" s="547" t="s">
        <v>206</v>
      </c>
      <c r="B143" s="620"/>
      <c r="C143" s="620"/>
      <c r="D143" s="365"/>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6"/>
    </row>
    <row r="144" spans="1:44" s="315" customFormat="1" ht="14.25">
      <c r="A144" s="622" t="s">
        <v>1</v>
      </c>
      <c r="B144" s="623"/>
      <c r="C144" s="624" t="s">
        <v>63</v>
      </c>
      <c r="D144" s="327"/>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c r="AK144" s="328"/>
      <c r="AL144" s="329"/>
      <c r="AM144" s="329"/>
      <c r="AN144" s="329"/>
      <c r="AO144" s="328"/>
      <c r="AP144" s="328"/>
      <c r="AQ144" s="330"/>
      <c r="AR144" s="362"/>
    </row>
    <row r="145" spans="1:44" s="315" customFormat="1" ht="14.25">
      <c r="A145" s="622" t="s">
        <v>2</v>
      </c>
      <c r="B145" s="623"/>
      <c r="C145" s="624"/>
      <c r="D145" s="327"/>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31"/>
      <c r="AQ145" s="332"/>
      <c r="AR145" s="362"/>
    </row>
    <row r="146" spans="1:44" s="315" customFormat="1" ht="14.25">
      <c r="A146" s="547" t="s">
        <v>261</v>
      </c>
      <c r="B146" s="620"/>
      <c r="C146" s="620"/>
      <c r="D146" s="333"/>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29"/>
      <c r="AM146" s="329"/>
      <c r="AN146" s="329"/>
      <c r="AO146" s="334"/>
      <c r="AP146" s="334"/>
      <c r="AQ146" s="335"/>
    </row>
    <row r="147" spans="1:44" s="315" customFormat="1" ht="14.25">
      <c r="A147" s="1206" t="s">
        <v>297</v>
      </c>
      <c r="B147" s="1207"/>
      <c r="C147" s="1207"/>
      <c r="D147" s="373"/>
      <c r="E147" s="374" t="str">
        <f t="shared" ref="E147:AQ147" si="61">IFERROR(E170,"")</f>
        <v/>
      </c>
      <c r="F147" s="374" t="str">
        <f t="shared" si="61"/>
        <v/>
      </c>
      <c r="G147" s="374" t="str">
        <f t="shared" si="61"/>
        <v/>
      </c>
      <c r="H147" s="374" t="str">
        <f t="shared" si="61"/>
        <v/>
      </c>
      <c r="I147" s="374" t="str">
        <f t="shared" si="61"/>
        <v/>
      </c>
      <c r="J147" s="374" t="str">
        <f t="shared" si="61"/>
        <v/>
      </c>
      <c r="K147" s="374" t="str">
        <f t="shared" si="61"/>
        <v/>
      </c>
      <c r="L147" s="374" t="str">
        <f t="shared" si="61"/>
        <v/>
      </c>
      <c r="M147" s="374" t="str">
        <f t="shared" si="61"/>
        <v/>
      </c>
      <c r="N147" s="374" t="str">
        <f t="shared" si="61"/>
        <v/>
      </c>
      <c r="O147" s="374" t="str">
        <f t="shared" si="61"/>
        <v/>
      </c>
      <c r="P147" s="374" t="str">
        <f t="shared" si="61"/>
        <v/>
      </c>
      <c r="Q147" s="374" t="str">
        <f t="shared" si="61"/>
        <v/>
      </c>
      <c r="R147" s="374" t="str">
        <f t="shared" si="61"/>
        <v/>
      </c>
      <c r="S147" s="374" t="str">
        <f t="shared" si="61"/>
        <v/>
      </c>
      <c r="T147" s="374" t="str">
        <f t="shared" si="61"/>
        <v/>
      </c>
      <c r="U147" s="374" t="str">
        <f t="shared" si="61"/>
        <v/>
      </c>
      <c r="V147" s="374" t="str">
        <f t="shared" si="61"/>
        <v/>
      </c>
      <c r="W147" s="374" t="str">
        <f t="shared" si="61"/>
        <v/>
      </c>
      <c r="X147" s="374" t="str">
        <f t="shared" si="61"/>
        <v/>
      </c>
      <c r="Y147" s="374" t="str">
        <f t="shared" si="61"/>
        <v/>
      </c>
      <c r="Z147" s="374" t="str">
        <f t="shared" si="61"/>
        <v/>
      </c>
      <c r="AA147" s="374" t="str">
        <f t="shared" si="61"/>
        <v/>
      </c>
      <c r="AB147" s="374" t="str">
        <f t="shared" si="61"/>
        <v/>
      </c>
      <c r="AC147" s="374" t="str">
        <f t="shared" si="61"/>
        <v/>
      </c>
      <c r="AD147" s="374" t="str">
        <f t="shared" si="61"/>
        <v/>
      </c>
      <c r="AE147" s="374" t="str">
        <f t="shared" si="61"/>
        <v/>
      </c>
      <c r="AF147" s="374" t="str">
        <f t="shared" si="61"/>
        <v/>
      </c>
      <c r="AG147" s="374" t="str">
        <f t="shared" si="61"/>
        <v/>
      </c>
      <c r="AH147" s="374" t="str">
        <f t="shared" si="61"/>
        <v/>
      </c>
      <c r="AI147" s="374" t="str">
        <f t="shared" si="61"/>
        <v/>
      </c>
      <c r="AJ147" s="374" t="str">
        <f t="shared" si="61"/>
        <v/>
      </c>
      <c r="AK147" s="374" t="str">
        <f t="shared" si="61"/>
        <v/>
      </c>
      <c r="AL147" s="374" t="str">
        <f t="shared" si="61"/>
        <v/>
      </c>
      <c r="AM147" s="374" t="str">
        <f t="shared" si="61"/>
        <v/>
      </c>
      <c r="AN147" s="374" t="str">
        <f t="shared" si="61"/>
        <v/>
      </c>
      <c r="AO147" s="374" t="str">
        <f t="shared" si="61"/>
        <v/>
      </c>
      <c r="AP147" s="374" t="str">
        <f t="shared" si="61"/>
        <v/>
      </c>
      <c r="AQ147" s="375" t="str">
        <f t="shared" si="61"/>
        <v/>
      </c>
      <c r="AR147" s="362"/>
    </row>
    <row r="148" spans="1:44" s="315" customFormat="1" ht="14.25" customHeight="1">
      <c r="A148" s="1206" t="s">
        <v>296</v>
      </c>
      <c r="B148" s="1207"/>
      <c r="C148" s="1207"/>
      <c r="D148" s="373"/>
      <c r="E148" s="374" t="str">
        <f t="shared" ref="E148:AQ148" si="62">IFERROR(E171,"")</f>
        <v/>
      </c>
      <c r="F148" s="374" t="str">
        <f t="shared" si="62"/>
        <v/>
      </c>
      <c r="G148" s="374" t="str">
        <f t="shared" si="62"/>
        <v/>
      </c>
      <c r="H148" s="374" t="str">
        <f t="shared" si="62"/>
        <v/>
      </c>
      <c r="I148" s="374" t="str">
        <f t="shared" si="62"/>
        <v/>
      </c>
      <c r="J148" s="374" t="str">
        <f t="shared" si="62"/>
        <v/>
      </c>
      <c r="K148" s="374" t="str">
        <f t="shared" si="62"/>
        <v/>
      </c>
      <c r="L148" s="374" t="str">
        <f t="shared" si="62"/>
        <v/>
      </c>
      <c r="M148" s="374" t="str">
        <f t="shared" si="62"/>
        <v/>
      </c>
      <c r="N148" s="374" t="str">
        <f t="shared" si="62"/>
        <v/>
      </c>
      <c r="O148" s="374" t="str">
        <f t="shared" si="62"/>
        <v/>
      </c>
      <c r="P148" s="374" t="str">
        <f t="shared" si="62"/>
        <v/>
      </c>
      <c r="Q148" s="374" t="str">
        <f t="shared" si="62"/>
        <v/>
      </c>
      <c r="R148" s="374" t="str">
        <f t="shared" si="62"/>
        <v/>
      </c>
      <c r="S148" s="374" t="str">
        <f t="shared" si="62"/>
        <v/>
      </c>
      <c r="T148" s="374" t="str">
        <f t="shared" si="62"/>
        <v/>
      </c>
      <c r="U148" s="374" t="str">
        <f t="shared" si="62"/>
        <v/>
      </c>
      <c r="V148" s="374" t="str">
        <f t="shared" si="62"/>
        <v/>
      </c>
      <c r="W148" s="374" t="str">
        <f t="shared" si="62"/>
        <v/>
      </c>
      <c r="X148" s="374" t="str">
        <f t="shared" si="62"/>
        <v/>
      </c>
      <c r="Y148" s="374" t="str">
        <f t="shared" si="62"/>
        <v/>
      </c>
      <c r="Z148" s="374" t="str">
        <f t="shared" si="62"/>
        <v/>
      </c>
      <c r="AA148" s="374" t="str">
        <f t="shared" si="62"/>
        <v/>
      </c>
      <c r="AB148" s="374" t="str">
        <f t="shared" si="62"/>
        <v/>
      </c>
      <c r="AC148" s="374" t="str">
        <f t="shared" si="62"/>
        <v/>
      </c>
      <c r="AD148" s="374" t="str">
        <f t="shared" si="62"/>
        <v/>
      </c>
      <c r="AE148" s="374" t="str">
        <f t="shared" si="62"/>
        <v/>
      </c>
      <c r="AF148" s="374" t="str">
        <f t="shared" si="62"/>
        <v/>
      </c>
      <c r="AG148" s="374" t="str">
        <f t="shared" si="62"/>
        <v/>
      </c>
      <c r="AH148" s="374" t="str">
        <f t="shared" si="62"/>
        <v/>
      </c>
      <c r="AI148" s="374" t="str">
        <f t="shared" si="62"/>
        <v/>
      </c>
      <c r="AJ148" s="374" t="str">
        <f t="shared" si="62"/>
        <v/>
      </c>
      <c r="AK148" s="374" t="str">
        <f t="shared" si="62"/>
        <v/>
      </c>
      <c r="AL148" s="374" t="str">
        <f t="shared" si="62"/>
        <v/>
      </c>
      <c r="AM148" s="374" t="str">
        <f t="shared" si="62"/>
        <v/>
      </c>
      <c r="AN148" s="374" t="str">
        <f t="shared" si="62"/>
        <v/>
      </c>
      <c r="AO148" s="374" t="str">
        <f t="shared" si="62"/>
        <v/>
      </c>
      <c r="AP148" s="374" t="str">
        <f t="shared" si="62"/>
        <v/>
      </c>
      <c r="AQ148" s="375" t="str">
        <f t="shared" si="62"/>
        <v/>
      </c>
      <c r="AR148" s="362"/>
    </row>
    <row r="149" spans="1:44" s="315" customFormat="1" ht="14.25">
      <c r="A149" s="1206" t="s">
        <v>406</v>
      </c>
      <c r="B149" s="1207"/>
      <c r="C149" s="1207"/>
      <c r="D149" s="373"/>
      <c r="E149" s="374" t="str">
        <f t="shared" ref="E149:AQ149" si="63">IFERROR(E172,"")</f>
        <v/>
      </c>
      <c r="F149" s="374" t="str">
        <f t="shared" si="63"/>
        <v/>
      </c>
      <c r="G149" s="374" t="str">
        <f t="shared" si="63"/>
        <v/>
      </c>
      <c r="H149" s="374" t="str">
        <f t="shared" si="63"/>
        <v/>
      </c>
      <c r="I149" s="374" t="str">
        <f t="shared" si="63"/>
        <v/>
      </c>
      <c r="J149" s="374" t="str">
        <f t="shared" si="63"/>
        <v/>
      </c>
      <c r="K149" s="374" t="str">
        <f t="shared" si="63"/>
        <v/>
      </c>
      <c r="L149" s="374" t="str">
        <f t="shared" si="63"/>
        <v/>
      </c>
      <c r="M149" s="374" t="str">
        <f t="shared" si="63"/>
        <v/>
      </c>
      <c r="N149" s="374" t="str">
        <f t="shared" si="63"/>
        <v/>
      </c>
      <c r="O149" s="374" t="str">
        <f t="shared" si="63"/>
        <v/>
      </c>
      <c r="P149" s="374" t="str">
        <f t="shared" si="63"/>
        <v/>
      </c>
      <c r="Q149" s="374" t="str">
        <f t="shared" si="63"/>
        <v/>
      </c>
      <c r="R149" s="374" t="str">
        <f t="shared" si="63"/>
        <v/>
      </c>
      <c r="S149" s="374" t="str">
        <f t="shared" si="63"/>
        <v/>
      </c>
      <c r="T149" s="374" t="str">
        <f t="shared" si="63"/>
        <v/>
      </c>
      <c r="U149" s="374" t="str">
        <f t="shared" si="63"/>
        <v/>
      </c>
      <c r="V149" s="374" t="str">
        <f t="shared" si="63"/>
        <v/>
      </c>
      <c r="W149" s="374" t="str">
        <f t="shared" si="63"/>
        <v/>
      </c>
      <c r="X149" s="374" t="str">
        <f t="shared" si="63"/>
        <v/>
      </c>
      <c r="Y149" s="374" t="str">
        <f t="shared" si="63"/>
        <v/>
      </c>
      <c r="Z149" s="374" t="str">
        <f t="shared" si="63"/>
        <v/>
      </c>
      <c r="AA149" s="374" t="str">
        <f t="shared" si="63"/>
        <v/>
      </c>
      <c r="AB149" s="374" t="str">
        <f t="shared" si="63"/>
        <v/>
      </c>
      <c r="AC149" s="374" t="str">
        <f t="shared" si="63"/>
        <v/>
      </c>
      <c r="AD149" s="374" t="str">
        <f t="shared" si="63"/>
        <v/>
      </c>
      <c r="AE149" s="374" t="str">
        <f t="shared" si="63"/>
        <v/>
      </c>
      <c r="AF149" s="374" t="str">
        <f t="shared" si="63"/>
        <v/>
      </c>
      <c r="AG149" s="374" t="str">
        <f t="shared" si="63"/>
        <v/>
      </c>
      <c r="AH149" s="374" t="str">
        <f t="shared" si="63"/>
        <v/>
      </c>
      <c r="AI149" s="374" t="str">
        <f t="shared" si="63"/>
        <v/>
      </c>
      <c r="AJ149" s="374" t="str">
        <f t="shared" si="63"/>
        <v/>
      </c>
      <c r="AK149" s="374" t="str">
        <f t="shared" si="63"/>
        <v/>
      </c>
      <c r="AL149" s="374" t="str">
        <f t="shared" si="63"/>
        <v/>
      </c>
      <c r="AM149" s="374" t="str">
        <f t="shared" si="63"/>
        <v/>
      </c>
      <c r="AN149" s="374" t="str">
        <f t="shared" si="63"/>
        <v/>
      </c>
      <c r="AO149" s="374" t="str">
        <f t="shared" si="63"/>
        <v/>
      </c>
      <c r="AP149" s="374" t="str">
        <f t="shared" si="63"/>
        <v/>
      </c>
      <c r="AQ149" s="375" t="str">
        <f t="shared" si="63"/>
        <v/>
      </c>
      <c r="AR149" s="362"/>
    </row>
    <row r="150" spans="1:44" s="315" customFormat="1" ht="14.25">
      <c r="A150" s="1208" t="s">
        <v>446</v>
      </c>
      <c r="B150" s="1209"/>
      <c r="C150" s="1209"/>
      <c r="D150" s="373"/>
      <c r="E150" s="374" t="str">
        <f t="shared" ref="E150:AQ150" si="64">IFERROR(E173,"")</f>
        <v/>
      </c>
      <c r="F150" s="374" t="str">
        <f t="shared" si="64"/>
        <v/>
      </c>
      <c r="G150" s="374" t="str">
        <f t="shared" si="64"/>
        <v/>
      </c>
      <c r="H150" s="374" t="str">
        <f t="shared" si="64"/>
        <v/>
      </c>
      <c r="I150" s="374" t="str">
        <f t="shared" si="64"/>
        <v/>
      </c>
      <c r="J150" s="374" t="str">
        <f t="shared" si="64"/>
        <v/>
      </c>
      <c r="K150" s="374" t="str">
        <f t="shared" si="64"/>
        <v/>
      </c>
      <c r="L150" s="374" t="str">
        <f t="shared" si="64"/>
        <v/>
      </c>
      <c r="M150" s="374" t="str">
        <f t="shared" si="64"/>
        <v/>
      </c>
      <c r="N150" s="374" t="str">
        <f t="shared" si="64"/>
        <v/>
      </c>
      <c r="O150" s="374" t="str">
        <f t="shared" si="64"/>
        <v/>
      </c>
      <c r="P150" s="374" t="str">
        <f t="shared" si="64"/>
        <v/>
      </c>
      <c r="Q150" s="374" t="str">
        <f t="shared" si="64"/>
        <v/>
      </c>
      <c r="R150" s="374" t="str">
        <f t="shared" si="64"/>
        <v/>
      </c>
      <c r="S150" s="374" t="str">
        <f t="shared" si="64"/>
        <v/>
      </c>
      <c r="T150" s="374" t="str">
        <f t="shared" si="64"/>
        <v/>
      </c>
      <c r="U150" s="374" t="str">
        <f t="shared" si="64"/>
        <v/>
      </c>
      <c r="V150" s="374" t="str">
        <f t="shared" si="64"/>
        <v/>
      </c>
      <c r="W150" s="374" t="str">
        <f t="shared" si="64"/>
        <v/>
      </c>
      <c r="X150" s="374" t="str">
        <f t="shared" si="64"/>
        <v/>
      </c>
      <c r="Y150" s="374" t="str">
        <f t="shared" si="64"/>
        <v/>
      </c>
      <c r="Z150" s="374" t="str">
        <f t="shared" si="64"/>
        <v/>
      </c>
      <c r="AA150" s="374" t="str">
        <f t="shared" si="64"/>
        <v/>
      </c>
      <c r="AB150" s="374" t="str">
        <f t="shared" si="64"/>
        <v/>
      </c>
      <c r="AC150" s="374" t="str">
        <f t="shared" si="64"/>
        <v/>
      </c>
      <c r="AD150" s="374" t="str">
        <f t="shared" si="64"/>
        <v/>
      </c>
      <c r="AE150" s="374" t="str">
        <f t="shared" si="64"/>
        <v/>
      </c>
      <c r="AF150" s="374" t="str">
        <f t="shared" si="64"/>
        <v/>
      </c>
      <c r="AG150" s="374" t="str">
        <f t="shared" si="64"/>
        <v/>
      </c>
      <c r="AH150" s="374" t="str">
        <f t="shared" si="64"/>
        <v/>
      </c>
      <c r="AI150" s="374" t="str">
        <f t="shared" si="64"/>
        <v/>
      </c>
      <c r="AJ150" s="374" t="str">
        <f t="shared" si="64"/>
        <v/>
      </c>
      <c r="AK150" s="374" t="str">
        <f t="shared" si="64"/>
        <v/>
      </c>
      <c r="AL150" s="374" t="str">
        <f t="shared" si="64"/>
        <v/>
      </c>
      <c r="AM150" s="374" t="str">
        <f t="shared" si="64"/>
        <v/>
      </c>
      <c r="AN150" s="374" t="str">
        <f t="shared" si="64"/>
        <v/>
      </c>
      <c r="AO150" s="374" t="str">
        <f t="shared" si="64"/>
        <v/>
      </c>
      <c r="AP150" s="374" t="str">
        <f t="shared" si="64"/>
        <v/>
      </c>
      <c r="AQ150" s="375" t="str">
        <f t="shared" si="64"/>
        <v/>
      </c>
      <c r="AR150" s="362"/>
    </row>
    <row r="151" spans="1:44" s="315" customFormat="1" ht="14.25" hidden="1">
      <c r="A151" s="1206" t="s">
        <v>336</v>
      </c>
      <c r="B151" s="1207"/>
      <c r="C151" s="1207"/>
      <c r="D151" s="378"/>
      <c r="E151" s="379">
        <f t="shared" ref="E151:AQ151" si="65">IF(E143="",0,E143)</f>
        <v>0</v>
      </c>
      <c r="F151" s="379">
        <f t="shared" si="65"/>
        <v>0</v>
      </c>
      <c r="G151" s="379">
        <f t="shared" si="65"/>
        <v>0</v>
      </c>
      <c r="H151" s="379">
        <f t="shared" si="65"/>
        <v>0</v>
      </c>
      <c r="I151" s="379">
        <f t="shared" si="65"/>
        <v>0</v>
      </c>
      <c r="J151" s="379">
        <f t="shared" si="65"/>
        <v>0</v>
      </c>
      <c r="K151" s="379">
        <f t="shared" si="65"/>
        <v>0</v>
      </c>
      <c r="L151" s="379">
        <f t="shared" si="65"/>
        <v>0</v>
      </c>
      <c r="M151" s="379">
        <f t="shared" si="65"/>
        <v>0</v>
      </c>
      <c r="N151" s="379">
        <f t="shared" si="65"/>
        <v>0</v>
      </c>
      <c r="O151" s="379">
        <f t="shared" si="65"/>
        <v>0</v>
      </c>
      <c r="P151" s="379">
        <f t="shared" si="65"/>
        <v>0</v>
      </c>
      <c r="Q151" s="379">
        <f t="shared" si="65"/>
        <v>0</v>
      </c>
      <c r="R151" s="379">
        <f t="shared" si="65"/>
        <v>0</v>
      </c>
      <c r="S151" s="379">
        <f t="shared" si="65"/>
        <v>0</v>
      </c>
      <c r="T151" s="379">
        <f t="shared" si="65"/>
        <v>0</v>
      </c>
      <c r="U151" s="379">
        <f t="shared" si="65"/>
        <v>0</v>
      </c>
      <c r="V151" s="379">
        <f t="shared" si="65"/>
        <v>0</v>
      </c>
      <c r="W151" s="379">
        <f t="shared" si="65"/>
        <v>0</v>
      </c>
      <c r="X151" s="379">
        <f t="shared" si="65"/>
        <v>0</v>
      </c>
      <c r="Y151" s="379">
        <f t="shared" si="65"/>
        <v>0</v>
      </c>
      <c r="Z151" s="379">
        <f t="shared" si="65"/>
        <v>0</v>
      </c>
      <c r="AA151" s="379">
        <f t="shared" si="65"/>
        <v>0</v>
      </c>
      <c r="AB151" s="379">
        <f t="shared" si="65"/>
        <v>0</v>
      </c>
      <c r="AC151" s="379">
        <f t="shared" si="65"/>
        <v>0</v>
      </c>
      <c r="AD151" s="379">
        <f t="shared" si="65"/>
        <v>0</v>
      </c>
      <c r="AE151" s="379">
        <f t="shared" si="65"/>
        <v>0</v>
      </c>
      <c r="AF151" s="379">
        <f t="shared" si="65"/>
        <v>0</v>
      </c>
      <c r="AG151" s="379">
        <f t="shared" si="65"/>
        <v>0</v>
      </c>
      <c r="AH151" s="379">
        <f t="shared" si="65"/>
        <v>0</v>
      </c>
      <c r="AI151" s="379">
        <f t="shared" si="65"/>
        <v>0</v>
      </c>
      <c r="AJ151" s="379">
        <f t="shared" si="65"/>
        <v>0</v>
      </c>
      <c r="AK151" s="379">
        <f t="shared" si="65"/>
        <v>0</v>
      </c>
      <c r="AL151" s="379">
        <f t="shared" si="65"/>
        <v>0</v>
      </c>
      <c r="AM151" s="379">
        <f t="shared" si="65"/>
        <v>0</v>
      </c>
      <c r="AN151" s="379">
        <f t="shared" si="65"/>
        <v>0</v>
      </c>
      <c r="AO151" s="379">
        <f t="shared" si="65"/>
        <v>0</v>
      </c>
      <c r="AP151" s="379">
        <f t="shared" si="65"/>
        <v>0</v>
      </c>
      <c r="AQ151" s="380">
        <f t="shared" si="65"/>
        <v>0</v>
      </c>
      <c r="AR151" s="86"/>
    </row>
    <row r="152" spans="1:44" s="315" customFormat="1" ht="14.25" hidden="1">
      <c r="A152" s="1210" t="s">
        <v>328</v>
      </c>
      <c r="B152" s="927"/>
      <c r="C152" s="928"/>
      <c r="D152" s="381">
        <f>SUM(D140:G140)</f>
        <v>0</v>
      </c>
      <c r="E152" s="382">
        <f t="shared" ref="E152:AQ152" si="66">D152+D151</f>
        <v>0</v>
      </c>
      <c r="F152" s="382">
        <f t="shared" si="66"/>
        <v>0</v>
      </c>
      <c r="G152" s="382">
        <f t="shared" si="66"/>
        <v>0</v>
      </c>
      <c r="H152" s="382">
        <f t="shared" si="66"/>
        <v>0</v>
      </c>
      <c r="I152" s="382">
        <f t="shared" si="66"/>
        <v>0</v>
      </c>
      <c r="J152" s="382">
        <f t="shared" si="66"/>
        <v>0</v>
      </c>
      <c r="K152" s="382">
        <f t="shared" si="66"/>
        <v>0</v>
      </c>
      <c r="L152" s="382">
        <f t="shared" si="66"/>
        <v>0</v>
      </c>
      <c r="M152" s="382">
        <f t="shared" si="66"/>
        <v>0</v>
      </c>
      <c r="N152" s="382">
        <f t="shared" si="66"/>
        <v>0</v>
      </c>
      <c r="O152" s="382">
        <f t="shared" si="66"/>
        <v>0</v>
      </c>
      <c r="P152" s="382">
        <f t="shared" si="66"/>
        <v>0</v>
      </c>
      <c r="Q152" s="382">
        <f t="shared" si="66"/>
        <v>0</v>
      </c>
      <c r="R152" s="382">
        <f t="shared" si="66"/>
        <v>0</v>
      </c>
      <c r="S152" s="382">
        <f t="shared" si="66"/>
        <v>0</v>
      </c>
      <c r="T152" s="382">
        <f t="shared" si="66"/>
        <v>0</v>
      </c>
      <c r="U152" s="382">
        <f t="shared" si="66"/>
        <v>0</v>
      </c>
      <c r="V152" s="382">
        <f t="shared" si="66"/>
        <v>0</v>
      </c>
      <c r="W152" s="382">
        <f t="shared" si="66"/>
        <v>0</v>
      </c>
      <c r="X152" s="382">
        <f t="shared" si="66"/>
        <v>0</v>
      </c>
      <c r="Y152" s="382">
        <f t="shared" si="66"/>
        <v>0</v>
      </c>
      <c r="Z152" s="382">
        <f t="shared" si="66"/>
        <v>0</v>
      </c>
      <c r="AA152" s="382">
        <f t="shared" si="66"/>
        <v>0</v>
      </c>
      <c r="AB152" s="382">
        <f t="shared" si="66"/>
        <v>0</v>
      </c>
      <c r="AC152" s="382">
        <f t="shared" si="66"/>
        <v>0</v>
      </c>
      <c r="AD152" s="382">
        <f t="shared" si="66"/>
        <v>0</v>
      </c>
      <c r="AE152" s="382">
        <f t="shared" si="66"/>
        <v>0</v>
      </c>
      <c r="AF152" s="382">
        <f t="shared" si="66"/>
        <v>0</v>
      </c>
      <c r="AG152" s="382">
        <f t="shared" si="66"/>
        <v>0</v>
      </c>
      <c r="AH152" s="382">
        <f t="shared" si="66"/>
        <v>0</v>
      </c>
      <c r="AI152" s="382">
        <f t="shared" si="66"/>
        <v>0</v>
      </c>
      <c r="AJ152" s="382">
        <f t="shared" si="66"/>
        <v>0</v>
      </c>
      <c r="AK152" s="382">
        <f t="shared" si="66"/>
        <v>0</v>
      </c>
      <c r="AL152" s="382">
        <f t="shared" si="66"/>
        <v>0</v>
      </c>
      <c r="AM152" s="382">
        <f t="shared" si="66"/>
        <v>0</v>
      </c>
      <c r="AN152" s="382">
        <f t="shared" si="66"/>
        <v>0</v>
      </c>
      <c r="AO152" s="382">
        <f t="shared" si="66"/>
        <v>0</v>
      </c>
      <c r="AP152" s="382">
        <f t="shared" si="66"/>
        <v>0</v>
      </c>
      <c r="AQ152" s="383">
        <f t="shared" si="66"/>
        <v>0</v>
      </c>
      <c r="AR152"/>
    </row>
    <row r="153" spans="1:44" s="315" customFormat="1" ht="14.25" hidden="1">
      <c r="A153" s="1210" t="s">
        <v>329</v>
      </c>
      <c r="B153" s="927"/>
      <c r="C153" s="928"/>
      <c r="D153" s="384" t="e">
        <f t="shared" ref="D153:AQ153" si="67">(D152)/SUM($D137:$G137)*100</f>
        <v>#DIV/0!</v>
      </c>
      <c r="E153" s="384" t="e">
        <f t="shared" si="67"/>
        <v>#DIV/0!</v>
      </c>
      <c r="F153" s="384" t="e">
        <f t="shared" si="67"/>
        <v>#DIV/0!</v>
      </c>
      <c r="G153" s="384" t="e">
        <f t="shared" si="67"/>
        <v>#DIV/0!</v>
      </c>
      <c r="H153" s="384" t="e">
        <f t="shared" si="67"/>
        <v>#DIV/0!</v>
      </c>
      <c r="I153" s="384" t="e">
        <f t="shared" si="67"/>
        <v>#DIV/0!</v>
      </c>
      <c r="J153" s="384" t="e">
        <f t="shared" si="67"/>
        <v>#DIV/0!</v>
      </c>
      <c r="K153" s="384" t="e">
        <f t="shared" si="67"/>
        <v>#DIV/0!</v>
      </c>
      <c r="L153" s="384" t="e">
        <f t="shared" si="67"/>
        <v>#DIV/0!</v>
      </c>
      <c r="M153" s="384" t="e">
        <f t="shared" si="67"/>
        <v>#DIV/0!</v>
      </c>
      <c r="N153" s="384" t="e">
        <f t="shared" si="67"/>
        <v>#DIV/0!</v>
      </c>
      <c r="O153" s="384" t="e">
        <f t="shared" si="67"/>
        <v>#DIV/0!</v>
      </c>
      <c r="P153" s="384" t="e">
        <f t="shared" si="67"/>
        <v>#DIV/0!</v>
      </c>
      <c r="Q153" s="384" t="e">
        <f t="shared" si="67"/>
        <v>#DIV/0!</v>
      </c>
      <c r="R153" s="384" t="e">
        <f t="shared" si="67"/>
        <v>#DIV/0!</v>
      </c>
      <c r="S153" s="384" t="e">
        <f t="shared" si="67"/>
        <v>#DIV/0!</v>
      </c>
      <c r="T153" s="384" t="e">
        <f t="shared" si="67"/>
        <v>#DIV/0!</v>
      </c>
      <c r="U153" s="384" t="e">
        <f t="shared" si="67"/>
        <v>#DIV/0!</v>
      </c>
      <c r="V153" s="384" t="e">
        <f t="shared" si="67"/>
        <v>#DIV/0!</v>
      </c>
      <c r="W153" s="384" t="e">
        <f t="shared" si="67"/>
        <v>#DIV/0!</v>
      </c>
      <c r="X153" s="384" t="e">
        <f t="shared" si="67"/>
        <v>#DIV/0!</v>
      </c>
      <c r="Y153" s="384" t="e">
        <f t="shared" si="67"/>
        <v>#DIV/0!</v>
      </c>
      <c r="Z153" s="384" t="e">
        <f t="shared" si="67"/>
        <v>#DIV/0!</v>
      </c>
      <c r="AA153" s="384" t="e">
        <f t="shared" si="67"/>
        <v>#DIV/0!</v>
      </c>
      <c r="AB153" s="384" t="e">
        <f t="shared" si="67"/>
        <v>#DIV/0!</v>
      </c>
      <c r="AC153" s="384" t="e">
        <f t="shared" si="67"/>
        <v>#DIV/0!</v>
      </c>
      <c r="AD153" s="384" t="e">
        <f t="shared" si="67"/>
        <v>#DIV/0!</v>
      </c>
      <c r="AE153" s="384" t="e">
        <f t="shared" si="67"/>
        <v>#DIV/0!</v>
      </c>
      <c r="AF153" s="384" t="e">
        <f t="shared" si="67"/>
        <v>#DIV/0!</v>
      </c>
      <c r="AG153" s="384" t="e">
        <f t="shared" si="67"/>
        <v>#DIV/0!</v>
      </c>
      <c r="AH153" s="384" t="e">
        <f t="shared" si="67"/>
        <v>#DIV/0!</v>
      </c>
      <c r="AI153" s="384" t="e">
        <f t="shared" si="67"/>
        <v>#DIV/0!</v>
      </c>
      <c r="AJ153" s="384" t="e">
        <f t="shared" si="67"/>
        <v>#DIV/0!</v>
      </c>
      <c r="AK153" s="384" t="e">
        <f t="shared" si="67"/>
        <v>#DIV/0!</v>
      </c>
      <c r="AL153" s="384" t="e">
        <f t="shared" si="67"/>
        <v>#DIV/0!</v>
      </c>
      <c r="AM153" s="384" t="e">
        <f t="shared" si="67"/>
        <v>#DIV/0!</v>
      </c>
      <c r="AN153" s="384" t="e">
        <f t="shared" si="67"/>
        <v>#DIV/0!</v>
      </c>
      <c r="AO153" s="384" t="e">
        <f t="shared" si="67"/>
        <v>#DIV/0!</v>
      </c>
      <c r="AP153" s="384" t="e">
        <f t="shared" si="67"/>
        <v>#DIV/0!</v>
      </c>
      <c r="AQ153" s="385" t="e">
        <f t="shared" si="67"/>
        <v>#DIV/0!</v>
      </c>
      <c r="AR153"/>
    </row>
    <row r="154" spans="1:44" s="315" customFormat="1" ht="15" thickBot="1">
      <c r="A154" s="1211" t="s">
        <v>329</v>
      </c>
      <c r="B154" s="899"/>
      <c r="C154" s="900"/>
      <c r="D154" s="389" t="str">
        <f t="shared" ref="D154:AQ154" si="68">IFERROR(D153,"")</f>
        <v/>
      </c>
      <c r="E154" s="387" t="str">
        <f t="shared" si="68"/>
        <v/>
      </c>
      <c r="F154" s="387" t="str">
        <f t="shared" si="68"/>
        <v/>
      </c>
      <c r="G154" s="387" t="str">
        <f t="shared" si="68"/>
        <v/>
      </c>
      <c r="H154" s="387" t="str">
        <f t="shared" si="68"/>
        <v/>
      </c>
      <c r="I154" s="387" t="str">
        <f t="shared" si="68"/>
        <v/>
      </c>
      <c r="J154" s="387" t="str">
        <f t="shared" si="68"/>
        <v/>
      </c>
      <c r="K154" s="387" t="str">
        <f t="shared" si="68"/>
        <v/>
      </c>
      <c r="L154" s="387" t="str">
        <f t="shared" si="68"/>
        <v/>
      </c>
      <c r="M154" s="387" t="str">
        <f t="shared" si="68"/>
        <v/>
      </c>
      <c r="N154" s="387" t="str">
        <f t="shared" si="68"/>
        <v/>
      </c>
      <c r="O154" s="387" t="str">
        <f t="shared" si="68"/>
        <v/>
      </c>
      <c r="P154" s="387" t="str">
        <f t="shared" si="68"/>
        <v/>
      </c>
      <c r="Q154" s="387" t="str">
        <f t="shared" si="68"/>
        <v/>
      </c>
      <c r="R154" s="387" t="str">
        <f t="shared" si="68"/>
        <v/>
      </c>
      <c r="S154" s="387" t="str">
        <f t="shared" si="68"/>
        <v/>
      </c>
      <c r="T154" s="387" t="str">
        <f t="shared" si="68"/>
        <v/>
      </c>
      <c r="U154" s="387" t="str">
        <f t="shared" si="68"/>
        <v/>
      </c>
      <c r="V154" s="387" t="str">
        <f t="shared" si="68"/>
        <v/>
      </c>
      <c r="W154" s="387" t="str">
        <f t="shared" si="68"/>
        <v/>
      </c>
      <c r="X154" s="387" t="str">
        <f t="shared" si="68"/>
        <v/>
      </c>
      <c r="Y154" s="387" t="str">
        <f t="shared" si="68"/>
        <v/>
      </c>
      <c r="Z154" s="387" t="str">
        <f t="shared" si="68"/>
        <v/>
      </c>
      <c r="AA154" s="387" t="str">
        <f t="shared" si="68"/>
        <v/>
      </c>
      <c r="AB154" s="387" t="str">
        <f t="shared" si="68"/>
        <v/>
      </c>
      <c r="AC154" s="387" t="str">
        <f t="shared" si="68"/>
        <v/>
      </c>
      <c r="AD154" s="387" t="str">
        <f t="shared" si="68"/>
        <v/>
      </c>
      <c r="AE154" s="387" t="str">
        <f t="shared" si="68"/>
        <v/>
      </c>
      <c r="AF154" s="387" t="str">
        <f t="shared" si="68"/>
        <v/>
      </c>
      <c r="AG154" s="387" t="str">
        <f t="shared" si="68"/>
        <v/>
      </c>
      <c r="AH154" s="387" t="str">
        <f t="shared" si="68"/>
        <v/>
      </c>
      <c r="AI154" s="387" t="str">
        <f t="shared" si="68"/>
        <v/>
      </c>
      <c r="AJ154" s="387" t="str">
        <f t="shared" si="68"/>
        <v/>
      </c>
      <c r="AK154" s="387" t="str">
        <f t="shared" si="68"/>
        <v/>
      </c>
      <c r="AL154" s="387" t="str">
        <f t="shared" si="68"/>
        <v/>
      </c>
      <c r="AM154" s="387" t="str">
        <f t="shared" si="68"/>
        <v/>
      </c>
      <c r="AN154" s="387" t="str">
        <f t="shared" si="68"/>
        <v/>
      </c>
      <c r="AO154" s="387" t="str">
        <f t="shared" si="68"/>
        <v/>
      </c>
      <c r="AP154" s="387" t="str">
        <f t="shared" si="68"/>
        <v/>
      </c>
      <c r="AQ154" s="388" t="str">
        <f t="shared" si="68"/>
        <v/>
      </c>
      <c r="AR154" s="86"/>
    </row>
    <row r="156" spans="1:44" s="315" customFormat="1" ht="14.25" hidden="1">
      <c r="A156" s="336"/>
      <c r="B156" s="336" t="s">
        <v>172</v>
      </c>
      <c r="C156" s="336" t="s">
        <v>173</v>
      </c>
      <c r="D156" s="337" t="s">
        <v>174</v>
      </c>
      <c r="E156" s="336" t="s">
        <v>175</v>
      </c>
      <c r="F156" s="336" t="s">
        <v>176</v>
      </c>
      <c r="G156" s="336" t="s">
        <v>177</v>
      </c>
      <c r="H156" s="336" t="s">
        <v>178</v>
      </c>
      <c r="I156" s="336" t="s">
        <v>179</v>
      </c>
      <c r="J156" s="336" t="s">
        <v>180</v>
      </c>
      <c r="K156" s="336" t="s">
        <v>181</v>
      </c>
      <c r="L156" s="336" t="s">
        <v>298</v>
      </c>
      <c r="M156" s="336" t="s">
        <v>299</v>
      </c>
      <c r="N156" s="336" t="s">
        <v>300</v>
      </c>
      <c r="O156" s="336" t="s">
        <v>301</v>
      </c>
      <c r="P156" s="336" t="s">
        <v>302</v>
      </c>
      <c r="Q156" s="336" t="s">
        <v>303</v>
      </c>
      <c r="R156" s="336" t="s">
        <v>304</v>
      </c>
      <c r="S156" s="336" t="s">
        <v>305</v>
      </c>
      <c r="T156" s="336" t="s">
        <v>306</v>
      </c>
      <c r="U156" s="336" t="s">
        <v>307</v>
      </c>
    </row>
    <row r="157" spans="1:44" s="315" customFormat="1" ht="14.25" hidden="1">
      <c r="A157" s="338" t="s">
        <v>182</v>
      </c>
      <c r="B157" s="338" t="str">
        <f t="array" aca="1" ref="B157" ca="1">IFERROR(OFFSET(INDEX(143:143,SMALL(IF(143:143&lt;&gt;"",COLUMN(143:143)),COLUMN())),-1,0),"")</f>
        <v/>
      </c>
      <c r="C157" s="338" t="str">
        <f t="array" aca="1" ref="C157" ca="1">IFERROR(OFFSET(INDEX(143:143,SMALL(IF(143:143&lt;&gt;"",COLUMN(143:143)),COLUMN())),-1,0),"")</f>
        <v/>
      </c>
      <c r="D157" s="338" t="str">
        <f t="array" aca="1" ref="D157" ca="1">IFERROR(OFFSET(INDEX(143:143,SMALL(IF(143:143&lt;&gt;"",COLUMN(143:143)),COLUMN())),-1,0),"")</f>
        <v/>
      </c>
      <c r="E157" s="338" t="str">
        <f t="array" aca="1" ref="E157" ca="1">IFERROR(OFFSET(INDEX(143:143,SMALL(IF(143:143&lt;&gt;"",COLUMN(143:143)),COLUMN())),-1,0),"")</f>
        <v/>
      </c>
      <c r="F157" s="338" t="str">
        <f t="array" aca="1" ref="F157" ca="1">IFERROR(OFFSET(INDEX(143:143,SMALL(IF(143:143&lt;&gt;"",COLUMN(143:143)),COLUMN())),-1,0),"")</f>
        <v/>
      </c>
      <c r="G157" s="338" t="str">
        <f t="array" aca="1" ref="G157" ca="1">IFERROR(OFFSET(INDEX(143:143,SMALL(IF(143:143&lt;&gt;"",COLUMN(143:143)),COLUMN())),-1,0),"")</f>
        <v/>
      </c>
      <c r="H157" s="338" t="str">
        <f t="array" aca="1" ref="H157" ca="1">IFERROR(OFFSET(INDEX(143:143,SMALL(IF(143:143&lt;&gt;"",COLUMN(143:143)),COLUMN())),-1,0),"")</f>
        <v/>
      </c>
      <c r="I157" s="338" t="str">
        <f t="array" aca="1" ref="I157" ca="1">IFERROR(OFFSET(INDEX(143:143,SMALL(IF(143:143&lt;&gt;"",COLUMN(143:143)),COLUMN())),-1,0),"")</f>
        <v/>
      </c>
      <c r="J157" s="338" t="str">
        <f t="array" aca="1" ref="J157" ca="1">IFERROR(OFFSET(INDEX(143:143,SMALL(IF(143:143&lt;&gt;"",COLUMN(143:143)),COLUMN())),-1,0),"")</f>
        <v/>
      </c>
      <c r="K157" s="338" t="str">
        <f t="array" aca="1" ref="K157" ca="1">IFERROR(OFFSET(INDEX(143:143,SMALL(IF(143:143&lt;&gt;"",COLUMN(143:143)),COLUMN())),-1,0),"")</f>
        <v/>
      </c>
      <c r="L157" s="338" t="str">
        <f t="array" aca="1" ref="L157" ca="1">IFERROR(OFFSET(INDEX(143:143,SMALL(IF(143:143&lt;&gt;"",COLUMN(143:143)),COLUMN())),-1,0),"")</f>
        <v/>
      </c>
      <c r="M157" s="338" t="str">
        <f t="array" aca="1" ref="M157" ca="1">IFERROR(OFFSET(INDEX(143:143,SMALL(IF(143:143&lt;&gt;"",COLUMN(143:143)),COLUMN())),-1,0),"")</f>
        <v/>
      </c>
      <c r="N157" s="338" t="str">
        <f t="array" aca="1" ref="N157" ca="1">IFERROR(OFFSET(INDEX(143:143,SMALL(IF(143:143&lt;&gt;"",COLUMN(143:143)),COLUMN())),-1,0),"")</f>
        <v/>
      </c>
      <c r="O157" s="338" t="str">
        <f t="array" aca="1" ref="O157" ca="1">IFERROR(OFFSET(INDEX(143:143,SMALL(IF(143:143&lt;&gt;"",COLUMN(143:143)),COLUMN())),-1,0),"")</f>
        <v/>
      </c>
      <c r="P157" s="338" t="str">
        <f t="array" aca="1" ref="P157" ca="1">IFERROR(OFFSET(INDEX(143:143,SMALL(IF(143:143&lt;&gt;"",COLUMN(143:143)),COLUMN())),-1,0),"")</f>
        <v/>
      </c>
      <c r="Q157" s="338" t="str">
        <f t="array" aca="1" ref="Q157" ca="1">IFERROR(OFFSET(INDEX(143:143,SMALL(IF(143:143&lt;&gt;"",COLUMN(143:143)),COLUMN())),-1,0),"")</f>
        <v/>
      </c>
      <c r="R157" s="338" t="str">
        <f t="array" aca="1" ref="R157" ca="1">IFERROR(OFFSET(INDEX(143:143,SMALL(IF(143:143&lt;&gt;"",COLUMN(143:143)),COLUMN())),-1,0),"")</f>
        <v/>
      </c>
      <c r="S157" s="338" t="str">
        <f t="array" aca="1" ref="S157" ca="1">IFERROR(OFFSET(INDEX(143:143,SMALL(IF(143:143&lt;&gt;"",COLUMN(143:143)),COLUMN())),-1,0),"")</f>
        <v/>
      </c>
      <c r="T157" s="338" t="str">
        <f t="array" aca="1" ref="T157" ca="1">IFERROR(OFFSET(INDEX(143:143,SMALL(IF(143:143&lt;&gt;"",COLUMN(143:143)),COLUMN())),-1,0),"")</f>
        <v/>
      </c>
      <c r="U157" s="338" t="str">
        <f t="array" aca="1" ref="U157" ca="1">IFERROR(OFFSET(INDEX(143:143,SMALL(IF(143:143&lt;&gt;"",COLUMN(143:143)),COLUMN())),-1,0),"")</f>
        <v/>
      </c>
    </row>
    <row r="158" spans="1:44" s="315" customFormat="1" ht="14.25" hidden="1">
      <c r="A158" s="338" t="str">
        <f t="array" ref="A158">IFERROR(INDEX(143:143,SMALL(IF(143:143&lt;&gt;"",COLUMN(143:143)),COLUMN())),"")</f>
        <v>追水量（L)</v>
      </c>
      <c r="B158" s="338" t="str">
        <f t="array" ref="B158">IFERROR(INDEX(143:143,SMALL(IF(143:143&lt;&gt;"",COLUMN(143:143)),COLUMN())),"")</f>
        <v/>
      </c>
      <c r="C158" s="338" t="str">
        <f t="array" ref="C158">IFERROR(INDEX(143:143,SMALL(IF(143:143&lt;&gt;"",COLUMN(143:143)),COLUMN())),"")</f>
        <v/>
      </c>
      <c r="D158" s="338" t="str">
        <f t="array" ref="D158">IFERROR(INDEX(143:143,SMALL(IF(143:143&lt;&gt;"",COLUMN(143:143)),COLUMN())),"")</f>
        <v/>
      </c>
      <c r="E158" s="338" t="str">
        <f t="array" ref="E158">IFERROR(INDEX(143:143,SMALL(IF(143:143&lt;&gt;"",COLUMN(143:143)),COLUMN())),"")</f>
        <v/>
      </c>
      <c r="F158" s="338" t="str">
        <f t="array" ref="F158">IFERROR(INDEX(143:143,SMALL(IF(143:143&lt;&gt;"",COLUMN(143:143)),COLUMN())),"")</f>
        <v/>
      </c>
      <c r="G158" s="338" t="str">
        <f t="array" ref="G158">IFERROR(INDEX(143:143,SMALL(IF(143:143&lt;&gt;"",COLUMN(143:143)),COLUMN())),"")</f>
        <v/>
      </c>
      <c r="H158" s="338" t="str">
        <f t="array" ref="H158">IFERROR(INDEX(143:143,SMALL(IF(143:143&lt;&gt;"",COLUMN(143:143)),COLUMN())),"")</f>
        <v/>
      </c>
      <c r="I158" s="338" t="str">
        <f t="array" ref="I158">IFERROR(INDEX(143:143,SMALL(IF(143:143&lt;&gt;"",COLUMN(143:143)),COLUMN())),"")</f>
        <v/>
      </c>
      <c r="J158" s="338" t="str">
        <f t="array" ref="J158">IFERROR(INDEX(143:143,SMALL(IF(143:143&lt;&gt;"",COLUMN(143:143)),COLUMN())),"")</f>
        <v/>
      </c>
      <c r="K158" s="338" t="str">
        <f t="array" ref="K158">IFERROR(INDEX(143:143,SMALL(IF(143:143&lt;&gt;"",COLUMN(143:143)),COLUMN())),"")</f>
        <v/>
      </c>
      <c r="L158" s="338" t="str">
        <f t="array" ref="L158">IFERROR(INDEX(143:143,SMALL(IF(143:143&lt;&gt;"",COLUMN(143:143)),COLUMN())),"")</f>
        <v/>
      </c>
      <c r="M158" s="338" t="str">
        <f t="array" ref="M158">IFERROR(INDEX(143:143,SMALL(IF(143:143&lt;&gt;"",COLUMN(143:143)),COLUMN())),"")</f>
        <v/>
      </c>
      <c r="N158" s="338" t="str">
        <f t="array" ref="N158">IFERROR(INDEX(143:143,SMALL(IF(143:143&lt;&gt;"",COLUMN(143:143)),COLUMN())),"")</f>
        <v/>
      </c>
      <c r="O158" s="338" t="str">
        <f t="array" ref="O158">IFERROR(INDEX(143:143,SMALL(IF(143:143&lt;&gt;"",COLUMN(143:143)),COLUMN())),"")</f>
        <v/>
      </c>
      <c r="P158" s="338" t="str">
        <f t="array" ref="P158">IFERROR(INDEX(143:143,SMALL(IF(143:143&lt;&gt;"",COLUMN(143:143)),COLUMN())),"")</f>
        <v/>
      </c>
      <c r="Q158" s="338" t="str">
        <f t="array" ref="Q158">IFERROR(INDEX(143:143,SMALL(IF(143:143&lt;&gt;"",COLUMN(143:143)),COLUMN())),"")</f>
        <v/>
      </c>
      <c r="R158" s="338" t="str">
        <f t="array" ref="R158">IFERROR(INDEX(143:143,SMALL(IF(143:143&lt;&gt;"",COLUMN(143:143)),COLUMN())),"")</f>
        <v/>
      </c>
      <c r="S158" s="338" t="str">
        <f t="array" ref="S158">IFERROR(INDEX(143:143,SMALL(IF(143:143&lt;&gt;"",COLUMN(143:143)),COLUMN())),"")</f>
        <v/>
      </c>
      <c r="T158" s="338" t="str">
        <f t="array" ref="T158">IFERROR(INDEX(143:143,SMALL(IF(143:143&lt;&gt;"",COLUMN(143:143)),COLUMN())),"")</f>
        <v/>
      </c>
      <c r="U158" s="338" t="str">
        <f t="array" ref="U158">IFERROR(INDEX(143:143,SMALL(IF(143:143&lt;&gt;"",COLUMN(143:143)),COLUMN())),"")</f>
        <v/>
      </c>
    </row>
    <row r="159" spans="1:44" s="315" customFormat="1" ht="14.25" hidden="1">
      <c r="A159" s="627" t="s">
        <v>183</v>
      </c>
      <c r="B159" s="627"/>
      <c r="C159" s="627"/>
      <c r="D159" s="339" t="s">
        <v>184</v>
      </c>
      <c r="E159" s="339" t="s">
        <v>185</v>
      </c>
      <c r="F159" s="339" t="s">
        <v>186</v>
      </c>
      <c r="G159" s="339" t="s">
        <v>187</v>
      </c>
      <c r="H159" s="339" t="s">
        <v>188</v>
      </c>
      <c r="I159" s="339" t="s">
        <v>189</v>
      </c>
      <c r="J159" s="339" t="s">
        <v>190</v>
      </c>
      <c r="K159" s="339" t="s">
        <v>191</v>
      </c>
      <c r="L159" s="337" t="s">
        <v>192</v>
      </c>
      <c r="M159" s="337" t="s">
        <v>193</v>
      </c>
      <c r="N159" s="337" t="s">
        <v>194</v>
      </c>
      <c r="O159" s="337" t="s">
        <v>308</v>
      </c>
      <c r="P159" s="337" t="s">
        <v>309</v>
      </c>
      <c r="Q159" s="337" t="s">
        <v>310</v>
      </c>
      <c r="R159" s="337" t="s">
        <v>311</v>
      </c>
      <c r="S159" s="337" t="s">
        <v>312</v>
      </c>
      <c r="T159" s="337" t="s">
        <v>313</v>
      </c>
      <c r="U159" s="337" t="s">
        <v>314</v>
      </c>
      <c r="V159" s="337" t="s">
        <v>315</v>
      </c>
      <c r="W159" s="337" t="s">
        <v>316</v>
      </c>
      <c r="X159" s="337" t="s">
        <v>317</v>
      </c>
    </row>
    <row r="160" spans="1:44" s="315" customFormat="1" ht="14.25" hidden="1">
      <c r="A160" s="628"/>
      <c r="B160" s="628"/>
      <c r="C160" s="628"/>
      <c r="D160" s="340" t="e">
        <f>SUM(D140:G140)/SUM(D137:G137)*100</f>
        <v>#DIV/0!</v>
      </c>
      <c r="E160" s="340" t="e">
        <f>(SUM(D140:G140)+SUM(B158:B158))/SUM(D137:G137)*100</f>
        <v>#DIV/0!</v>
      </c>
      <c r="F160" s="340" t="e">
        <f>(SUM(D140:G140)+SUM(B158:C158))/SUM(D137:G137)*100</f>
        <v>#DIV/0!</v>
      </c>
      <c r="G160" s="340" t="e">
        <f>(SUM(D140:G140)+SUM(B158:D158))/SUM(D137:G137)*100</f>
        <v>#DIV/0!</v>
      </c>
      <c r="H160" s="340" t="e">
        <f>(SUM(D140:G140)+SUM(B158:E158))/SUM(D137:G137)*100</f>
        <v>#DIV/0!</v>
      </c>
      <c r="I160" s="341" t="e">
        <f>(SUM(D140:G140)+SUM(B158:F158))/SUM(D137:G137)*100</f>
        <v>#DIV/0!</v>
      </c>
      <c r="J160" s="340" t="e">
        <f>(SUM(D140:G140)+SUM(B158:G158))/SUM(D137:G137)*100</f>
        <v>#DIV/0!</v>
      </c>
      <c r="K160" s="340" t="e">
        <f>(SUM(D140:G140)+SUM(B158:H158))/SUM(D137:G137)*100</f>
        <v>#DIV/0!</v>
      </c>
      <c r="L160" s="340" t="e">
        <f>(SUM(D140:G140)+SUM(B158:I158))/SUM(D137:G137)*100</f>
        <v>#DIV/0!</v>
      </c>
      <c r="M160" s="340" t="e">
        <f>(SUM(D140:G140)+SUM(B158:J158))/SUM(D137:G137)*100</f>
        <v>#DIV/0!</v>
      </c>
      <c r="N160" s="340" t="e">
        <f>(SUM(D140:G140)+SUM(B158:K158))/SUM(D137:G137)*100</f>
        <v>#DIV/0!</v>
      </c>
      <c r="O160" s="342" t="e">
        <f>(SUM(D140:G140)+SUM(B158:L158))/SUM(D137:G137)*100</f>
        <v>#DIV/0!</v>
      </c>
      <c r="P160" s="343" t="e">
        <f>(SUM(D140:G140)+SUM(B158:M158))/SUM(D137:G137)*100</f>
        <v>#DIV/0!</v>
      </c>
      <c r="Q160" s="343" t="e">
        <f>(SUM(D140:G140)+SUM(B158:N158))/SUM(D137:G137)*100</f>
        <v>#DIV/0!</v>
      </c>
      <c r="R160" s="343" t="e">
        <f>(SUM(D140:G140)+SUM(B158:O158))/SUM(D137:G137)*100</f>
        <v>#DIV/0!</v>
      </c>
      <c r="S160" s="343" t="e">
        <f>(SUM(D140:G140)+SUM(B158:P158))/SUM(D137:G137)*100</f>
        <v>#DIV/0!</v>
      </c>
      <c r="T160" s="343" t="e">
        <f>(SUM(D140:G140)+SUM(B158:Q158))/SUM(D137:G137)*100</f>
        <v>#DIV/0!</v>
      </c>
      <c r="U160" s="343" t="e">
        <f>(SUM(D140:G140)+SUM(B158:R158))/SUM(D137:G137)*100</f>
        <v>#DIV/0!</v>
      </c>
      <c r="V160" s="343" t="e">
        <f>(SUM(D140:G140)+SUM(B158:S158))/SUM(D137:G137)*100</f>
        <v>#DIV/0!</v>
      </c>
      <c r="W160" s="343" t="e">
        <f>(SUM(D140:G140)+SUM(B158:T158))/SUM(D137:G137)*100</f>
        <v>#DIV/0!</v>
      </c>
      <c r="X160" s="343" t="e">
        <f>(SUM(D140:G140)+SUM(B158:U158))/SUM(D137:G137)*100</f>
        <v>#DIV/0!</v>
      </c>
    </row>
    <row r="161" spans="1:44" s="315" customFormat="1" ht="14.25" hidden="1"/>
    <row r="162" spans="1:44" s="315" customFormat="1" ht="14.25" hidden="1">
      <c r="A162" s="610" t="s">
        <v>126</v>
      </c>
      <c r="B162" s="611"/>
      <c r="C162" s="611"/>
      <c r="E162" s="344" t="e">
        <f t="shared" ref="E162:AQ162" si="69">IF(E144="",IF(E145="",NA(),E145/-10),E144)</f>
        <v>#N/A</v>
      </c>
      <c r="F162" s="344" t="e">
        <f t="shared" si="69"/>
        <v>#N/A</v>
      </c>
      <c r="G162" s="344" t="e">
        <f t="shared" si="69"/>
        <v>#N/A</v>
      </c>
      <c r="H162" s="344" t="e">
        <f t="shared" si="69"/>
        <v>#N/A</v>
      </c>
      <c r="I162" s="344" t="e">
        <f t="shared" si="69"/>
        <v>#N/A</v>
      </c>
      <c r="J162" s="344" t="e">
        <f t="shared" si="69"/>
        <v>#N/A</v>
      </c>
      <c r="K162" s="344" t="e">
        <f t="shared" si="69"/>
        <v>#N/A</v>
      </c>
      <c r="L162" s="344" t="e">
        <f t="shared" si="69"/>
        <v>#N/A</v>
      </c>
      <c r="M162" s="344" t="e">
        <f t="shared" si="69"/>
        <v>#N/A</v>
      </c>
      <c r="N162" s="344" t="e">
        <f t="shared" si="69"/>
        <v>#N/A</v>
      </c>
      <c r="O162" s="344" t="e">
        <f t="shared" si="69"/>
        <v>#N/A</v>
      </c>
      <c r="P162" s="344" t="e">
        <f t="shared" si="69"/>
        <v>#N/A</v>
      </c>
      <c r="Q162" s="344" t="e">
        <f t="shared" si="69"/>
        <v>#N/A</v>
      </c>
      <c r="R162" s="344" t="e">
        <f t="shared" si="69"/>
        <v>#N/A</v>
      </c>
      <c r="S162" s="344" t="e">
        <f t="shared" si="69"/>
        <v>#N/A</v>
      </c>
      <c r="T162" s="344" t="e">
        <f t="shared" si="69"/>
        <v>#N/A</v>
      </c>
      <c r="U162" s="344" t="e">
        <f t="shared" si="69"/>
        <v>#N/A</v>
      </c>
      <c r="V162" s="344" t="e">
        <f t="shared" si="69"/>
        <v>#N/A</v>
      </c>
      <c r="W162" s="344" t="e">
        <f t="shared" si="69"/>
        <v>#N/A</v>
      </c>
      <c r="X162" s="344" t="e">
        <f t="shared" si="69"/>
        <v>#N/A</v>
      </c>
      <c r="Y162" s="344" t="e">
        <f t="shared" si="69"/>
        <v>#N/A</v>
      </c>
      <c r="Z162" s="344" t="e">
        <f t="shared" si="69"/>
        <v>#N/A</v>
      </c>
      <c r="AA162" s="344" t="e">
        <f t="shared" si="69"/>
        <v>#N/A</v>
      </c>
      <c r="AB162" s="344" t="e">
        <f t="shared" si="69"/>
        <v>#N/A</v>
      </c>
      <c r="AC162" s="344" t="e">
        <f t="shared" si="69"/>
        <v>#N/A</v>
      </c>
      <c r="AD162" s="344" t="e">
        <f t="shared" si="69"/>
        <v>#N/A</v>
      </c>
      <c r="AE162" s="344" t="e">
        <f t="shared" si="69"/>
        <v>#N/A</v>
      </c>
      <c r="AF162" s="344" t="e">
        <f t="shared" si="69"/>
        <v>#N/A</v>
      </c>
      <c r="AG162" s="344" t="e">
        <f t="shared" si="69"/>
        <v>#N/A</v>
      </c>
      <c r="AH162" s="344" t="e">
        <f t="shared" si="69"/>
        <v>#N/A</v>
      </c>
      <c r="AI162" s="344" t="e">
        <f t="shared" si="69"/>
        <v>#N/A</v>
      </c>
      <c r="AJ162" s="344" t="e">
        <f t="shared" si="69"/>
        <v>#N/A</v>
      </c>
      <c r="AK162" s="344" t="e">
        <f t="shared" si="69"/>
        <v>#N/A</v>
      </c>
      <c r="AL162" s="344" t="e">
        <f t="shared" si="69"/>
        <v>#N/A</v>
      </c>
      <c r="AM162" s="344" t="e">
        <f t="shared" si="69"/>
        <v>#N/A</v>
      </c>
      <c r="AN162" s="344" t="e">
        <f t="shared" si="69"/>
        <v>#N/A</v>
      </c>
      <c r="AO162" s="344" t="e">
        <f t="shared" si="69"/>
        <v>#N/A</v>
      </c>
      <c r="AP162" s="344" t="e">
        <f t="shared" si="69"/>
        <v>#N/A</v>
      </c>
      <c r="AQ162" s="344" t="e">
        <f t="shared" si="69"/>
        <v>#N/A</v>
      </c>
    </row>
    <row r="163" spans="1:44" s="315" customFormat="1" ht="14.25" hidden="1">
      <c r="A163" s="629" t="s">
        <v>42</v>
      </c>
      <c r="B163" s="629"/>
      <c r="C163" s="612"/>
      <c r="E163" s="345" t="e">
        <f t="shared" ref="E163:AQ163" si="70">IF(E162="",NA(),E162*(-10))</f>
        <v>#N/A</v>
      </c>
      <c r="F163" s="345" t="e">
        <f t="shared" si="70"/>
        <v>#N/A</v>
      </c>
      <c r="G163" s="345" t="e">
        <f t="shared" si="70"/>
        <v>#N/A</v>
      </c>
      <c r="H163" s="345" t="e">
        <f t="shared" si="70"/>
        <v>#N/A</v>
      </c>
      <c r="I163" s="345" t="e">
        <f t="shared" si="70"/>
        <v>#N/A</v>
      </c>
      <c r="J163" s="345" t="e">
        <f t="shared" si="70"/>
        <v>#N/A</v>
      </c>
      <c r="K163" s="345" t="e">
        <f t="shared" si="70"/>
        <v>#N/A</v>
      </c>
      <c r="L163" s="345" t="e">
        <f t="shared" si="70"/>
        <v>#N/A</v>
      </c>
      <c r="M163" s="345" t="e">
        <f t="shared" si="70"/>
        <v>#N/A</v>
      </c>
      <c r="N163" s="345" t="e">
        <f t="shared" si="70"/>
        <v>#N/A</v>
      </c>
      <c r="O163" s="345" t="e">
        <f t="shared" si="70"/>
        <v>#N/A</v>
      </c>
      <c r="P163" s="345" t="e">
        <f t="shared" si="70"/>
        <v>#N/A</v>
      </c>
      <c r="Q163" s="345" t="e">
        <f t="shared" si="70"/>
        <v>#N/A</v>
      </c>
      <c r="R163" s="345" t="e">
        <f t="shared" si="70"/>
        <v>#N/A</v>
      </c>
      <c r="S163" s="345" t="e">
        <f t="shared" si="70"/>
        <v>#N/A</v>
      </c>
      <c r="T163" s="345" t="e">
        <f t="shared" si="70"/>
        <v>#N/A</v>
      </c>
      <c r="U163" s="345" t="e">
        <f t="shared" si="70"/>
        <v>#N/A</v>
      </c>
      <c r="V163" s="345" t="e">
        <f t="shared" si="70"/>
        <v>#N/A</v>
      </c>
      <c r="W163" s="345" t="e">
        <f t="shared" si="70"/>
        <v>#N/A</v>
      </c>
      <c r="X163" s="345" t="e">
        <f t="shared" si="70"/>
        <v>#N/A</v>
      </c>
      <c r="Y163" s="345" t="e">
        <f t="shared" si="70"/>
        <v>#N/A</v>
      </c>
      <c r="Z163" s="345" t="e">
        <f t="shared" si="70"/>
        <v>#N/A</v>
      </c>
      <c r="AA163" s="345" t="e">
        <f t="shared" si="70"/>
        <v>#N/A</v>
      </c>
      <c r="AB163" s="345" t="e">
        <f t="shared" si="70"/>
        <v>#N/A</v>
      </c>
      <c r="AC163" s="345" t="e">
        <f t="shared" si="70"/>
        <v>#N/A</v>
      </c>
      <c r="AD163" s="345" t="e">
        <f t="shared" si="70"/>
        <v>#N/A</v>
      </c>
      <c r="AE163" s="345" t="e">
        <f t="shared" si="70"/>
        <v>#N/A</v>
      </c>
      <c r="AF163" s="345" t="e">
        <f t="shared" si="70"/>
        <v>#N/A</v>
      </c>
      <c r="AG163" s="345" t="e">
        <f t="shared" si="70"/>
        <v>#N/A</v>
      </c>
      <c r="AH163" s="345" t="e">
        <f t="shared" si="70"/>
        <v>#N/A</v>
      </c>
      <c r="AI163" s="345" t="e">
        <f t="shared" si="70"/>
        <v>#N/A</v>
      </c>
      <c r="AJ163" s="345" t="e">
        <f t="shared" si="70"/>
        <v>#N/A</v>
      </c>
      <c r="AK163" s="345" t="e">
        <f t="shared" si="70"/>
        <v>#N/A</v>
      </c>
      <c r="AL163" s="345" t="e">
        <f t="shared" si="70"/>
        <v>#N/A</v>
      </c>
      <c r="AM163" s="345" t="e">
        <f t="shared" si="70"/>
        <v>#N/A</v>
      </c>
      <c r="AN163" s="345" t="e">
        <f t="shared" si="70"/>
        <v>#N/A</v>
      </c>
      <c r="AO163" s="345" t="e">
        <f t="shared" si="70"/>
        <v>#N/A</v>
      </c>
      <c r="AP163" s="345" t="e">
        <f t="shared" si="70"/>
        <v>#N/A</v>
      </c>
      <c r="AQ163" s="345" t="e">
        <f t="shared" si="70"/>
        <v>#N/A</v>
      </c>
    </row>
    <row r="164" spans="1:44" s="315" customFormat="1" ht="14.25" hidden="1">
      <c r="A164" s="346"/>
      <c r="B164" s="620" t="s">
        <v>34</v>
      </c>
      <c r="C164" s="603"/>
      <c r="E164" s="347" t="e">
        <f t="shared" ref="E164:AQ164" si="71">IF(E162="",NA(),ROUND(1443/(1443+E163),4))</f>
        <v>#N/A</v>
      </c>
      <c r="F164" s="347" t="e">
        <f t="shared" si="71"/>
        <v>#N/A</v>
      </c>
      <c r="G164" s="347" t="e">
        <f t="shared" si="71"/>
        <v>#N/A</v>
      </c>
      <c r="H164" s="347" t="e">
        <f t="shared" si="71"/>
        <v>#N/A</v>
      </c>
      <c r="I164" s="347" t="e">
        <f t="shared" si="71"/>
        <v>#N/A</v>
      </c>
      <c r="J164" s="347" t="e">
        <f t="shared" si="71"/>
        <v>#N/A</v>
      </c>
      <c r="K164" s="347" t="e">
        <f t="shared" si="71"/>
        <v>#N/A</v>
      </c>
      <c r="L164" s="347" t="e">
        <f t="shared" si="71"/>
        <v>#N/A</v>
      </c>
      <c r="M164" s="347" t="e">
        <f t="shared" si="71"/>
        <v>#N/A</v>
      </c>
      <c r="N164" s="347" t="e">
        <f t="shared" si="71"/>
        <v>#N/A</v>
      </c>
      <c r="O164" s="347" t="e">
        <f t="shared" si="71"/>
        <v>#N/A</v>
      </c>
      <c r="P164" s="347" t="e">
        <f t="shared" si="71"/>
        <v>#N/A</v>
      </c>
      <c r="Q164" s="347" t="e">
        <f t="shared" si="71"/>
        <v>#N/A</v>
      </c>
      <c r="R164" s="347" t="e">
        <f t="shared" si="71"/>
        <v>#N/A</v>
      </c>
      <c r="S164" s="347" t="e">
        <f t="shared" si="71"/>
        <v>#N/A</v>
      </c>
      <c r="T164" s="347" t="e">
        <f t="shared" si="71"/>
        <v>#N/A</v>
      </c>
      <c r="U164" s="347" t="e">
        <f t="shared" si="71"/>
        <v>#N/A</v>
      </c>
      <c r="V164" s="347" t="e">
        <f t="shared" si="71"/>
        <v>#N/A</v>
      </c>
      <c r="W164" s="347" t="e">
        <f t="shared" si="71"/>
        <v>#N/A</v>
      </c>
      <c r="X164" s="347" t="e">
        <f t="shared" si="71"/>
        <v>#N/A</v>
      </c>
      <c r="Y164" s="347" t="e">
        <f t="shared" si="71"/>
        <v>#N/A</v>
      </c>
      <c r="Z164" s="347" t="e">
        <f t="shared" si="71"/>
        <v>#N/A</v>
      </c>
      <c r="AA164" s="347" t="e">
        <f t="shared" si="71"/>
        <v>#N/A</v>
      </c>
      <c r="AB164" s="347" t="e">
        <f t="shared" si="71"/>
        <v>#N/A</v>
      </c>
      <c r="AC164" s="347" t="e">
        <f t="shared" si="71"/>
        <v>#N/A</v>
      </c>
      <c r="AD164" s="347" t="e">
        <f t="shared" si="71"/>
        <v>#N/A</v>
      </c>
      <c r="AE164" s="347" t="e">
        <f t="shared" si="71"/>
        <v>#N/A</v>
      </c>
      <c r="AF164" s="347" t="e">
        <f t="shared" si="71"/>
        <v>#N/A</v>
      </c>
      <c r="AG164" s="347" t="e">
        <f t="shared" si="71"/>
        <v>#N/A</v>
      </c>
      <c r="AH164" s="347" t="e">
        <f t="shared" si="71"/>
        <v>#N/A</v>
      </c>
      <c r="AI164" s="347" t="e">
        <f t="shared" si="71"/>
        <v>#N/A</v>
      </c>
      <c r="AJ164" s="347" t="e">
        <f t="shared" si="71"/>
        <v>#N/A</v>
      </c>
      <c r="AK164" s="347" t="e">
        <f t="shared" si="71"/>
        <v>#N/A</v>
      </c>
      <c r="AL164" s="347" t="e">
        <f t="shared" si="71"/>
        <v>#N/A</v>
      </c>
      <c r="AM164" s="347" t="e">
        <f t="shared" si="71"/>
        <v>#N/A</v>
      </c>
      <c r="AN164" s="347" t="e">
        <f t="shared" si="71"/>
        <v>#N/A</v>
      </c>
      <c r="AO164" s="347" t="e">
        <f t="shared" si="71"/>
        <v>#N/A</v>
      </c>
      <c r="AP164" s="347" t="e">
        <f t="shared" si="71"/>
        <v>#N/A</v>
      </c>
      <c r="AQ164" s="347" t="e">
        <f t="shared" si="71"/>
        <v>#N/A</v>
      </c>
    </row>
    <row r="165" spans="1:44" s="315" customFormat="1" ht="14.25" hidden="1">
      <c r="A165" s="346"/>
      <c r="B165" s="620" t="s">
        <v>35</v>
      </c>
      <c r="C165" s="603"/>
      <c r="E165" s="347" t="e">
        <f>IF(E146="",NA(),IFERROR(E146*VLOOKUP(E146,'各種計算式等（配付時非表示）'!$E$3:$H$1003,3,TRUE)+VLOOKUP(E146,'各種計算式等（配付時非表示）'!$E$3:$H$1003,4,TRUE)+0.0000000001,"-"))</f>
        <v>#N/A</v>
      </c>
      <c r="F165" s="347" t="e">
        <f>IF(F146="",NA(),IFERROR(F146*VLOOKUP(F146,'各種計算式等（配付時非表示）'!$E$3:$H$1003,3,TRUE)+VLOOKUP(F146,'各種計算式等（配付時非表示）'!$E$3:$H$1003,4,TRUE)+0.0000000001,"-"))</f>
        <v>#N/A</v>
      </c>
      <c r="G165" s="347" t="e">
        <f>IF(G146="",NA(),IFERROR(G146*VLOOKUP(G146,'各種計算式等（配付時非表示）'!$E$3:$H$1003,3,TRUE)+VLOOKUP(G146,'各種計算式等（配付時非表示）'!$E$3:$H$1003,4,TRUE)+0.0000000001,"-"))</f>
        <v>#N/A</v>
      </c>
      <c r="H165" s="347" t="e">
        <f>IF(H146="",NA(),IFERROR(H146*VLOOKUP(H146,'各種計算式等（配付時非表示）'!$E$3:$H$1003,3,TRUE)+VLOOKUP(H146,'各種計算式等（配付時非表示）'!$E$3:$H$1003,4,TRUE)+0.0000000001,"-"))</f>
        <v>#N/A</v>
      </c>
      <c r="I165" s="347" t="e">
        <f>IF(I146="",NA(),IFERROR(I146*VLOOKUP(I146,'各種計算式等（配付時非表示）'!$E$3:$H$1003,3,TRUE)+VLOOKUP(I146,'各種計算式等（配付時非表示）'!$E$3:$H$1003,4,TRUE)+0.0000000001,"-"))</f>
        <v>#N/A</v>
      </c>
      <c r="J165" s="347" t="e">
        <f>IF(J146="",NA(),IFERROR(J146*VLOOKUP(J146,'各種計算式等（配付時非表示）'!$E$3:$H$1003,3,TRUE)+VLOOKUP(J146,'各種計算式等（配付時非表示）'!$E$3:$H$1003,4,TRUE)+0.0000000001,"-"))</f>
        <v>#N/A</v>
      </c>
      <c r="K165" s="347" t="e">
        <f>IF(K146="",NA(),IFERROR(K146*VLOOKUP(K146,'各種計算式等（配付時非表示）'!$E$3:$H$1003,3,TRUE)+VLOOKUP(K146,'各種計算式等（配付時非表示）'!$E$3:$H$1003,4,TRUE)+0.0000000001,"-"))</f>
        <v>#N/A</v>
      </c>
      <c r="L165" s="347" t="e">
        <f>IF(L146="",NA(),IFERROR(L146*VLOOKUP(L146,'各種計算式等（配付時非表示）'!$E$3:$H$1003,3,TRUE)+VLOOKUP(L146,'各種計算式等（配付時非表示）'!$E$3:$H$1003,4,TRUE)+0.0000000001,"-"))</f>
        <v>#N/A</v>
      </c>
      <c r="M165" s="347" t="e">
        <f>IF(M146="",NA(),IFERROR(M146*VLOOKUP(M146,'各種計算式等（配付時非表示）'!$E$3:$H$1003,3,TRUE)+VLOOKUP(M146,'各種計算式等（配付時非表示）'!$E$3:$H$1003,4,TRUE)+0.0000000001,"-"))</f>
        <v>#N/A</v>
      </c>
      <c r="N165" s="347" t="e">
        <f>IF(N146="",NA(),IFERROR(N146*VLOOKUP(N146,'各種計算式等（配付時非表示）'!$E$3:$H$1003,3,TRUE)+VLOOKUP(N146,'各種計算式等（配付時非表示）'!$E$3:$H$1003,4,TRUE)+0.0000000001,"-"))</f>
        <v>#N/A</v>
      </c>
      <c r="O165" s="347" t="e">
        <f>IF(O146="",NA(),IFERROR(O146*VLOOKUP(O146,'各種計算式等（配付時非表示）'!$E$3:$H$1003,3,TRUE)+VLOOKUP(O146,'各種計算式等（配付時非表示）'!$E$3:$H$1003,4,TRUE)+0.0000000001,"-"))</f>
        <v>#N/A</v>
      </c>
      <c r="P165" s="347" t="e">
        <f>IF(P146="",NA(),IFERROR(P146*VLOOKUP(P146,'各種計算式等（配付時非表示）'!$E$3:$H$1003,3,TRUE)+VLOOKUP(P146,'各種計算式等（配付時非表示）'!$E$3:$H$1003,4,TRUE)+0.0000000001,"-"))</f>
        <v>#N/A</v>
      </c>
      <c r="Q165" s="347" t="e">
        <f>IF(Q146="",NA(),IFERROR(Q146*VLOOKUP(Q146,'各種計算式等（配付時非表示）'!$E$3:$H$1003,3,TRUE)+VLOOKUP(Q146,'各種計算式等（配付時非表示）'!$E$3:$H$1003,4,TRUE)+0.0000000001,"-"))</f>
        <v>#N/A</v>
      </c>
      <c r="R165" s="347" t="e">
        <f>IF(R146="",NA(),IFERROR(R146*VLOOKUP(R146,'各種計算式等（配付時非表示）'!$E$3:$H$1003,3,TRUE)+VLOOKUP(R146,'各種計算式等（配付時非表示）'!$E$3:$H$1003,4,TRUE)+0.0000000001,"-"))</f>
        <v>#N/A</v>
      </c>
      <c r="S165" s="347" t="e">
        <f>IF(S146="",NA(),IFERROR(S146*VLOOKUP(S146,'各種計算式等（配付時非表示）'!$E$3:$H$1003,3,TRUE)+VLOOKUP(S146,'各種計算式等（配付時非表示）'!$E$3:$H$1003,4,TRUE)+0.0000000001,"-"))</f>
        <v>#N/A</v>
      </c>
      <c r="T165" s="347" t="e">
        <f>IF(T146="",NA(),IFERROR(T146*VLOOKUP(T146,'各種計算式等（配付時非表示）'!$E$3:$H$1003,3,TRUE)+VLOOKUP(T146,'各種計算式等（配付時非表示）'!$E$3:$H$1003,4,TRUE)+0.0000000001,"-"))</f>
        <v>#N/A</v>
      </c>
      <c r="U165" s="347" t="e">
        <f>IF(U146="",NA(),IFERROR(U146*VLOOKUP(U146,'各種計算式等（配付時非表示）'!$E$3:$H$1003,3,TRUE)+VLOOKUP(U146,'各種計算式等（配付時非表示）'!$E$3:$H$1003,4,TRUE)+0.0000000001,"-"))</f>
        <v>#N/A</v>
      </c>
      <c r="V165" s="347" t="e">
        <f>IF(V146="",NA(),IFERROR(V146*VLOOKUP(V146,'各種計算式等（配付時非表示）'!$E$3:$H$1003,3,TRUE)+VLOOKUP(V146,'各種計算式等（配付時非表示）'!$E$3:$H$1003,4,TRUE)+0.0000000001,"-"))</f>
        <v>#N/A</v>
      </c>
      <c r="W165" s="347" t="e">
        <f>IF(W146="",NA(),IFERROR(W146*VLOOKUP(W146,'各種計算式等（配付時非表示）'!$E$3:$H$1003,3,TRUE)+VLOOKUP(W146,'各種計算式等（配付時非表示）'!$E$3:$H$1003,4,TRUE)+0.0000000001,"-"))</f>
        <v>#N/A</v>
      </c>
      <c r="X165" s="347" t="e">
        <f>IF(X146="",NA(),IFERROR(X146*VLOOKUP(X146,'各種計算式等（配付時非表示）'!$E$3:$H$1003,3,TRUE)+VLOOKUP(X146,'各種計算式等（配付時非表示）'!$E$3:$H$1003,4,TRUE)+0.0000000001,"-"))</f>
        <v>#N/A</v>
      </c>
      <c r="Y165" s="347" t="e">
        <f>IF(Y146="",NA(),IFERROR(Y146*VLOOKUP(Y146,'各種計算式等（配付時非表示）'!$E$3:$H$1003,3,TRUE)+VLOOKUP(Y146,'各種計算式等（配付時非表示）'!$E$3:$H$1003,4,TRUE)+0.0000000001,"-"))</f>
        <v>#N/A</v>
      </c>
      <c r="Z165" s="347" t="e">
        <f>IF(Z146="",NA(),IFERROR(Z146*VLOOKUP(Z146,'各種計算式等（配付時非表示）'!$E$3:$H$1003,3,TRUE)+VLOOKUP(Z146,'各種計算式等（配付時非表示）'!$E$3:$H$1003,4,TRUE)+0.0000000001,"-"))</f>
        <v>#N/A</v>
      </c>
      <c r="AA165" s="347" t="e">
        <f>IF(AA146="",NA(),IFERROR(AA146*VLOOKUP(AA146,'各種計算式等（配付時非表示）'!$E$3:$H$1003,3,TRUE)+VLOOKUP(AA146,'各種計算式等（配付時非表示）'!$E$3:$H$1003,4,TRUE)+0.0000000001,"-"))</f>
        <v>#N/A</v>
      </c>
      <c r="AB165" s="347" t="e">
        <f>IF(AB146="",NA(),IFERROR(AB146*VLOOKUP(AB146,'各種計算式等（配付時非表示）'!$E$3:$H$1003,3,TRUE)+VLOOKUP(AB146,'各種計算式等（配付時非表示）'!$E$3:$H$1003,4,TRUE)+0.0000000001,"-"))</f>
        <v>#N/A</v>
      </c>
      <c r="AC165" s="347" t="e">
        <f>IF(AC146="",NA(),IFERROR(AC146*VLOOKUP(AC146,'各種計算式等（配付時非表示）'!$E$3:$H$1003,3,TRUE)+VLOOKUP(AC146,'各種計算式等（配付時非表示）'!$E$3:$H$1003,4,TRUE)+0.0000000001,"-"))</f>
        <v>#N/A</v>
      </c>
      <c r="AD165" s="347" t="e">
        <f>IF(AD146="",NA(),IFERROR(AD146*VLOOKUP(AD146,'各種計算式等（配付時非表示）'!$E$3:$H$1003,3,TRUE)+VLOOKUP(AD146,'各種計算式等（配付時非表示）'!$E$3:$H$1003,4,TRUE)+0.0000000001,"-"))</f>
        <v>#N/A</v>
      </c>
      <c r="AE165" s="347" t="e">
        <f>IF(AE146="",NA(),IFERROR(AE146*VLOOKUP(AE146,'各種計算式等（配付時非表示）'!$E$3:$H$1003,3,TRUE)+VLOOKUP(AE146,'各種計算式等（配付時非表示）'!$E$3:$H$1003,4,TRUE)+0.0000000001,"-"))</f>
        <v>#N/A</v>
      </c>
      <c r="AF165" s="347" t="e">
        <f>IF(AF146="",NA(),IFERROR(AF146*VLOOKUP(AF146,'各種計算式等（配付時非表示）'!$E$3:$H$1003,3,TRUE)+VLOOKUP(AF146,'各種計算式等（配付時非表示）'!$E$3:$H$1003,4,TRUE)+0.0000000001,"-"))</f>
        <v>#N/A</v>
      </c>
      <c r="AG165" s="347" t="e">
        <f>IF(AG146="",NA(),IFERROR(AG146*VLOOKUP(AG146,'各種計算式等（配付時非表示）'!$E$3:$H$1003,3,TRUE)+VLOOKUP(AG146,'各種計算式等（配付時非表示）'!$E$3:$H$1003,4,TRUE)+0.0000000001,"-"))</f>
        <v>#N/A</v>
      </c>
      <c r="AH165" s="347" t="e">
        <f>IF(AH146="",NA(),IFERROR(AH146*VLOOKUP(AH146,'各種計算式等（配付時非表示）'!$E$3:$H$1003,3,TRUE)+VLOOKUP(AH146,'各種計算式等（配付時非表示）'!$E$3:$H$1003,4,TRUE)+0.0000000001,"-"))</f>
        <v>#N/A</v>
      </c>
      <c r="AI165" s="347" t="e">
        <f>IF(AI146="",NA(),IFERROR(AI146*VLOOKUP(AI146,'各種計算式等（配付時非表示）'!$E$3:$H$1003,3,TRUE)+VLOOKUP(AI146,'各種計算式等（配付時非表示）'!$E$3:$H$1003,4,TRUE)+0.0000000001,"-"))</f>
        <v>#N/A</v>
      </c>
      <c r="AJ165" s="347" t="e">
        <f>IF(AJ146="",NA(),IFERROR(AJ146*VLOOKUP(AJ146,'各種計算式等（配付時非表示）'!$E$3:$H$1003,3,TRUE)+VLOOKUP(AJ146,'各種計算式等（配付時非表示）'!$E$3:$H$1003,4,TRUE)+0.0000000001,"-"))</f>
        <v>#N/A</v>
      </c>
      <c r="AK165" s="347" t="e">
        <f>IF(AK146="",NA(),IFERROR(AK146*VLOOKUP(AK146,'各種計算式等（配付時非表示）'!$E$3:$H$1003,3,TRUE)+VLOOKUP(AK146,'各種計算式等（配付時非表示）'!$E$3:$H$1003,4,TRUE)+0.0000000001,"-"))</f>
        <v>#N/A</v>
      </c>
      <c r="AL165" s="347" t="e">
        <f>IF(AL146="",NA(),IFERROR(AL146*VLOOKUP(AL146,'各種計算式等（配付時非表示）'!$E$3:$H$1003,3,TRUE)+VLOOKUP(AL146,'各種計算式等（配付時非表示）'!$E$3:$H$1003,4,TRUE)+0.0000000001,"-"))</f>
        <v>#N/A</v>
      </c>
      <c r="AM165" s="347" t="e">
        <f>IF(AM146="",NA(),IFERROR(AM146*VLOOKUP(AM146,'各種計算式等（配付時非表示）'!$E$3:$H$1003,3,TRUE)+VLOOKUP(AM146,'各種計算式等（配付時非表示）'!$E$3:$H$1003,4,TRUE)+0.0000000001,"-"))</f>
        <v>#N/A</v>
      </c>
      <c r="AN165" s="347" t="e">
        <f>IF(AN146="",NA(),IFERROR(AN146*VLOOKUP(AN146,'各種計算式等（配付時非表示）'!$E$3:$H$1003,3,TRUE)+VLOOKUP(AN146,'各種計算式等（配付時非表示）'!$E$3:$H$1003,4,TRUE)+0.0000000001,"-"))</f>
        <v>#N/A</v>
      </c>
      <c r="AO165" s="347" t="e">
        <f>IF(AO146="",NA(),IFERROR(AO146*VLOOKUP(AO146,'各種計算式等（配付時非表示）'!$E$3:$H$1003,3,TRUE)+VLOOKUP(AO146,'各種計算式等（配付時非表示）'!$E$3:$H$1003,4,TRUE)+0.0000000001,"-"))</f>
        <v>#N/A</v>
      </c>
      <c r="AP165" s="347" t="e">
        <f>IF(AP146="",NA(),IFERROR(AP146*VLOOKUP(AP146,'各種計算式等（配付時非表示）'!$E$3:$H$1003,3,TRUE)+VLOOKUP(AP146,'各種計算式等（配付時非表示）'!$E$3:$H$1003,4,TRUE)+0.0000000001,"-"))</f>
        <v>#N/A</v>
      </c>
      <c r="AQ165" s="347" t="e">
        <f>IF(AQ146="",NA(),IFERROR(AQ146*VLOOKUP(AQ146,'各種計算式等（配付時非表示）'!$E$3:$H$1003,3,TRUE)+VLOOKUP(AQ146,'各種計算式等（配付時非表示）'!$E$3:$H$1003,4,TRUE)+0.0000000001,"-"))</f>
        <v>#N/A</v>
      </c>
    </row>
    <row r="166" spans="1:44" s="315" customFormat="1" ht="14.25" hidden="1">
      <c r="A166" s="620" t="s">
        <v>3</v>
      </c>
      <c r="B166" s="620"/>
      <c r="C166" s="620"/>
      <c r="D166" s="315" t="s">
        <v>487</v>
      </c>
      <c r="E166" s="348" t="e">
        <f>IFERROR((E164-E165)*260+0.21,NA())</f>
        <v>#N/A</v>
      </c>
      <c r="F166" s="348" t="e">
        <f t="shared" ref="F166:AQ166" si="72">IFERROR((F164-F165)*260+0.21,NA())</f>
        <v>#N/A</v>
      </c>
      <c r="G166" s="348" t="e">
        <f t="shared" si="72"/>
        <v>#N/A</v>
      </c>
      <c r="H166" s="348" t="e">
        <f t="shared" si="72"/>
        <v>#N/A</v>
      </c>
      <c r="I166" s="348" t="e">
        <f t="shared" si="72"/>
        <v>#N/A</v>
      </c>
      <c r="J166" s="348" t="e">
        <f t="shared" si="72"/>
        <v>#N/A</v>
      </c>
      <c r="K166" s="348" t="e">
        <f t="shared" si="72"/>
        <v>#N/A</v>
      </c>
      <c r="L166" s="348" t="e">
        <f t="shared" si="72"/>
        <v>#N/A</v>
      </c>
      <c r="M166" s="348" t="e">
        <f t="shared" si="72"/>
        <v>#N/A</v>
      </c>
      <c r="N166" s="348" t="e">
        <f t="shared" si="72"/>
        <v>#N/A</v>
      </c>
      <c r="O166" s="348" t="e">
        <f t="shared" si="72"/>
        <v>#N/A</v>
      </c>
      <c r="P166" s="348" t="e">
        <f t="shared" si="72"/>
        <v>#N/A</v>
      </c>
      <c r="Q166" s="348" t="e">
        <f t="shared" si="72"/>
        <v>#N/A</v>
      </c>
      <c r="R166" s="348" t="e">
        <f t="shared" si="72"/>
        <v>#N/A</v>
      </c>
      <c r="S166" s="348" t="e">
        <f t="shared" si="72"/>
        <v>#N/A</v>
      </c>
      <c r="T166" s="348" t="e">
        <f t="shared" si="72"/>
        <v>#N/A</v>
      </c>
      <c r="U166" s="348" t="e">
        <f t="shared" si="72"/>
        <v>#N/A</v>
      </c>
      <c r="V166" s="348" t="e">
        <f t="shared" si="72"/>
        <v>#N/A</v>
      </c>
      <c r="W166" s="348" t="e">
        <f t="shared" si="72"/>
        <v>#N/A</v>
      </c>
      <c r="X166" s="348" t="e">
        <f t="shared" si="72"/>
        <v>#N/A</v>
      </c>
      <c r="Y166" s="348" t="e">
        <f t="shared" si="72"/>
        <v>#N/A</v>
      </c>
      <c r="Z166" s="348" t="e">
        <f t="shared" si="72"/>
        <v>#N/A</v>
      </c>
      <c r="AA166" s="348" t="e">
        <f t="shared" si="72"/>
        <v>#N/A</v>
      </c>
      <c r="AB166" s="348" t="e">
        <f t="shared" si="72"/>
        <v>#N/A</v>
      </c>
      <c r="AC166" s="348" t="e">
        <f t="shared" si="72"/>
        <v>#N/A</v>
      </c>
      <c r="AD166" s="348" t="e">
        <f t="shared" si="72"/>
        <v>#N/A</v>
      </c>
      <c r="AE166" s="348" t="e">
        <f t="shared" si="72"/>
        <v>#N/A</v>
      </c>
      <c r="AF166" s="348" t="e">
        <f t="shared" si="72"/>
        <v>#N/A</v>
      </c>
      <c r="AG166" s="348" t="e">
        <f t="shared" si="72"/>
        <v>#N/A</v>
      </c>
      <c r="AH166" s="348" t="e">
        <f t="shared" si="72"/>
        <v>#N/A</v>
      </c>
      <c r="AI166" s="348" t="e">
        <f t="shared" si="72"/>
        <v>#N/A</v>
      </c>
      <c r="AJ166" s="348" t="e">
        <f t="shared" si="72"/>
        <v>#N/A</v>
      </c>
      <c r="AK166" s="348" t="e">
        <f t="shared" si="72"/>
        <v>#N/A</v>
      </c>
      <c r="AL166" s="348" t="e">
        <f t="shared" si="72"/>
        <v>#N/A</v>
      </c>
      <c r="AM166" s="348" t="e">
        <f t="shared" si="72"/>
        <v>#N/A</v>
      </c>
      <c r="AN166" s="348" t="e">
        <f t="shared" si="72"/>
        <v>#N/A</v>
      </c>
      <c r="AO166" s="348" t="e">
        <f t="shared" si="72"/>
        <v>#N/A</v>
      </c>
      <c r="AP166" s="348" t="e">
        <f t="shared" si="72"/>
        <v>#N/A</v>
      </c>
      <c r="AQ166" s="348" t="e">
        <f t="shared" si="72"/>
        <v>#N/A</v>
      </c>
    </row>
    <row r="167" spans="1:44" s="315" customFormat="1" ht="14.25" hidden="1">
      <c r="A167" s="620" t="s">
        <v>318</v>
      </c>
      <c r="B167" s="620"/>
      <c r="C167" s="620"/>
      <c r="D167" s="315" t="s">
        <v>487</v>
      </c>
      <c r="E167" s="349" t="e">
        <f>IF(E146="",NA(),E146*1.5848)</f>
        <v>#N/A</v>
      </c>
      <c r="F167" s="349" t="e">
        <f t="shared" ref="F167:AQ167" si="73">IF(F146="",NA(),F146*1.5848)</f>
        <v>#N/A</v>
      </c>
      <c r="G167" s="349" t="e">
        <f t="shared" si="73"/>
        <v>#N/A</v>
      </c>
      <c r="H167" s="349" t="e">
        <f t="shared" si="73"/>
        <v>#N/A</v>
      </c>
      <c r="I167" s="349" t="e">
        <f t="shared" si="73"/>
        <v>#N/A</v>
      </c>
      <c r="J167" s="349" t="e">
        <f t="shared" si="73"/>
        <v>#N/A</v>
      </c>
      <c r="K167" s="349" t="e">
        <f t="shared" si="73"/>
        <v>#N/A</v>
      </c>
      <c r="L167" s="349" t="e">
        <f t="shared" si="73"/>
        <v>#N/A</v>
      </c>
      <c r="M167" s="349" t="e">
        <f t="shared" si="73"/>
        <v>#N/A</v>
      </c>
      <c r="N167" s="349" t="e">
        <f t="shared" si="73"/>
        <v>#N/A</v>
      </c>
      <c r="O167" s="349" t="e">
        <f t="shared" si="73"/>
        <v>#N/A</v>
      </c>
      <c r="P167" s="349" t="e">
        <f t="shared" si="73"/>
        <v>#N/A</v>
      </c>
      <c r="Q167" s="349" t="e">
        <f t="shared" si="73"/>
        <v>#N/A</v>
      </c>
      <c r="R167" s="349" t="e">
        <f t="shared" si="73"/>
        <v>#N/A</v>
      </c>
      <c r="S167" s="349" t="e">
        <f t="shared" si="73"/>
        <v>#N/A</v>
      </c>
      <c r="T167" s="349" t="e">
        <f t="shared" si="73"/>
        <v>#N/A</v>
      </c>
      <c r="U167" s="349" t="e">
        <f t="shared" si="73"/>
        <v>#N/A</v>
      </c>
      <c r="V167" s="349" t="e">
        <f t="shared" si="73"/>
        <v>#N/A</v>
      </c>
      <c r="W167" s="349" t="e">
        <f t="shared" si="73"/>
        <v>#N/A</v>
      </c>
      <c r="X167" s="349" t="e">
        <f t="shared" si="73"/>
        <v>#N/A</v>
      </c>
      <c r="Y167" s="349" t="e">
        <f t="shared" si="73"/>
        <v>#N/A</v>
      </c>
      <c r="Z167" s="349" t="e">
        <f t="shared" si="73"/>
        <v>#N/A</v>
      </c>
      <c r="AA167" s="349" t="e">
        <f t="shared" si="73"/>
        <v>#N/A</v>
      </c>
      <c r="AB167" s="349" t="e">
        <f t="shared" si="73"/>
        <v>#N/A</v>
      </c>
      <c r="AC167" s="349" t="e">
        <f t="shared" si="73"/>
        <v>#N/A</v>
      </c>
      <c r="AD167" s="349" t="e">
        <f t="shared" si="73"/>
        <v>#N/A</v>
      </c>
      <c r="AE167" s="349" t="e">
        <f t="shared" si="73"/>
        <v>#N/A</v>
      </c>
      <c r="AF167" s="349" t="e">
        <f t="shared" si="73"/>
        <v>#N/A</v>
      </c>
      <c r="AG167" s="349" t="e">
        <f t="shared" si="73"/>
        <v>#N/A</v>
      </c>
      <c r="AH167" s="349" t="e">
        <f t="shared" si="73"/>
        <v>#N/A</v>
      </c>
      <c r="AI167" s="349" t="e">
        <f t="shared" si="73"/>
        <v>#N/A</v>
      </c>
      <c r="AJ167" s="349" t="e">
        <f t="shared" si="73"/>
        <v>#N/A</v>
      </c>
      <c r="AK167" s="349" t="e">
        <f t="shared" si="73"/>
        <v>#N/A</v>
      </c>
      <c r="AL167" s="349" t="e">
        <f t="shared" si="73"/>
        <v>#N/A</v>
      </c>
      <c r="AM167" s="349" t="e">
        <f t="shared" si="73"/>
        <v>#N/A</v>
      </c>
      <c r="AN167" s="349" t="e">
        <f t="shared" si="73"/>
        <v>#N/A</v>
      </c>
      <c r="AO167" s="349" t="e">
        <f t="shared" si="73"/>
        <v>#N/A</v>
      </c>
      <c r="AP167" s="349" t="e">
        <f t="shared" si="73"/>
        <v>#N/A</v>
      </c>
      <c r="AQ167" s="349" t="e">
        <f t="shared" si="73"/>
        <v>#N/A</v>
      </c>
    </row>
    <row r="168" spans="1:44" s="315" customFormat="1" ht="14.25" hidden="1">
      <c r="A168" s="620" t="s">
        <v>159</v>
      </c>
      <c r="B168" s="620"/>
      <c r="C168" s="620"/>
      <c r="D168" s="315" t="s">
        <v>487</v>
      </c>
      <c r="E168" s="349" t="e">
        <f>IF(E166="",NA(),E166+E167)</f>
        <v>#N/A</v>
      </c>
      <c r="F168" s="349" t="e">
        <f t="shared" ref="F168:AQ168" si="74">IF(F166="",NA(),F166+F167)</f>
        <v>#N/A</v>
      </c>
      <c r="G168" s="349" t="e">
        <f t="shared" si="74"/>
        <v>#N/A</v>
      </c>
      <c r="H168" s="349" t="e">
        <f t="shared" si="74"/>
        <v>#N/A</v>
      </c>
      <c r="I168" s="349" t="e">
        <f t="shared" si="74"/>
        <v>#N/A</v>
      </c>
      <c r="J168" s="349" t="e">
        <f t="shared" si="74"/>
        <v>#N/A</v>
      </c>
      <c r="K168" s="349" t="e">
        <f t="shared" si="74"/>
        <v>#N/A</v>
      </c>
      <c r="L168" s="349" t="e">
        <f t="shared" si="74"/>
        <v>#N/A</v>
      </c>
      <c r="M168" s="349" t="e">
        <f t="shared" si="74"/>
        <v>#N/A</v>
      </c>
      <c r="N168" s="349" t="e">
        <f t="shared" si="74"/>
        <v>#N/A</v>
      </c>
      <c r="O168" s="349" t="e">
        <f t="shared" si="74"/>
        <v>#N/A</v>
      </c>
      <c r="P168" s="349" t="e">
        <f t="shared" si="74"/>
        <v>#N/A</v>
      </c>
      <c r="Q168" s="349" t="e">
        <f t="shared" si="74"/>
        <v>#N/A</v>
      </c>
      <c r="R168" s="349" t="e">
        <f t="shared" si="74"/>
        <v>#N/A</v>
      </c>
      <c r="S168" s="349" t="e">
        <f t="shared" si="74"/>
        <v>#N/A</v>
      </c>
      <c r="T168" s="349" t="e">
        <f t="shared" si="74"/>
        <v>#N/A</v>
      </c>
      <c r="U168" s="349" t="e">
        <f t="shared" si="74"/>
        <v>#N/A</v>
      </c>
      <c r="V168" s="349" t="e">
        <f t="shared" si="74"/>
        <v>#N/A</v>
      </c>
      <c r="W168" s="349" t="e">
        <f t="shared" si="74"/>
        <v>#N/A</v>
      </c>
      <c r="X168" s="349" t="e">
        <f t="shared" si="74"/>
        <v>#N/A</v>
      </c>
      <c r="Y168" s="349" t="e">
        <f t="shared" si="74"/>
        <v>#N/A</v>
      </c>
      <c r="Z168" s="349" t="e">
        <f t="shared" si="74"/>
        <v>#N/A</v>
      </c>
      <c r="AA168" s="349" t="e">
        <f t="shared" si="74"/>
        <v>#N/A</v>
      </c>
      <c r="AB168" s="349" t="e">
        <f t="shared" si="74"/>
        <v>#N/A</v>
      </c>
      <c r="AC168" s="349" t="e">
        <f t="shared" si="74"/>
        <v>#N/A</v>
      </c>
      <c r="AD168" s="349" t="e">
        <f t="shared" si="74"/>
        <v>#N/A</v>
      </c>
      <c r="AE168" s="349" t="e">
        <f t="shared" si="74"/>
        <v>#N/A</v>
      </c>
      <c r="AF168" s="349" t="e">
        <f t="shared" si="74"/>
        <v>#N/A</v>
      </c>
      <c r="AG168" s="349" t="e">
        <f t="shared" si="74"/>
        <v>#N/A</v>
      </c>
      <c r="AH168" s="349" t="e">
        <f t="shared" si="74"/>
        <v>#N/A</v>
      </c>
      <c r="AI168" s="349" t="e">
        <f t="shared" si="74"/>
        <v>#N/A</v>
      </c>
      <c r="AJ168" s="349" t="e">
        <f t="shared" si="74"/>
        <v>#N/A</v>
      </c>
      <c r="AK168" s="349" t="e">
        <f t="shared" si="74"/>
        <v>#N/A</v>
      </c>
      <c r="AL168" s="349" t="e">
        <f t="shared" si="74"/>
        <v>#N/A</v>
      </c>
      <c r="AM168" s="349" t="e">
        <f t="shared" si="74"/>
        <v>#N/A</v>
      </c>
      <c r="AN168" s="349" t="e">
        <f t="shared" si="74"/>
        <v>#N/A</v>
      </c>
      <c r="AO168" s="349" t="e">
        <f t="shared" si="74"/>
        <v>#N/A</v>
      </c>
      <c r="AP168" s="349" t="e">
        <f t="shared" si="74"/>
        <v>#N/A</v>
      </c>
      <c r="AQ168" s="349" t="e">
        <f t="shared" si="74"/>
        <v>#N/A</v>
      </c>
    </row>
    <row r="169" spans="1:44" s="315" customFormat="1" ht="14.25" hidden="1">
      <c r="A169" s="620" t="s">
        <v>195</v>
      </c>
      <c r="B169" s="620"/>
      <c r="C169" s="620"/>
      <c r="E169" s="350" t="e">
        <f t="shared" ref="E169:AQ169" si="75">IF(E146="",NA(),IF(E142&lt;=$B157,E146*$D160/100,IF(E142&lt;=$C157,E146*$E160/100,IF(E142&lt;=$D157,E146*$F160/100,IF(E142&lt;=$E157,E146*$G160/100,IF(E142&lt;=$F157,E146*$H160/100,IF(E142&lt;=$G157,E146*$I160/100,IF(E142&lt;=$H157,E146*$J160/100,IF(E142&lt;=$I157,E146*$K160/100,IF(E142&lt;=$J157,E146*$L160/100,IF(E142&lt;=$K157,E146*$M160/100,IF(E142&lt;=$L157,E146*$N160/100,IF(E142&lt;=$M157,E146*$O160/100,IF(E142&lt;=$N157,E146*$P160/100,IF(E142&lt;=$O157,E146*$Q160/100,IF(E142&lt;=$P157,E146*$R160/100,IF(E142&lt;=$Q157,E146*$S160/100,IF(E142&lt;=$R157,E146*$T160/100,IF(E142&lt;=$S157,E146*$U160/100,IF(E142&lt;=$T157,E146*$V160/100,IF(E142&lt;=$U157,E146*$W160/100,E146*$X160/100)))))))))))))))))))))</f>
        <v>#N/A</v>
      </c>
      <c r="F169" s="350" t="e">
        <f t="shared" si="75"/>
        <v>#N/A</v>
      </c>
      <c r="G169" s="350" t="e">
        <f t="shared" si="75"/>
        <v>#N/A</v>
      </c>
      <c r="H169" s="350" t="e">
        <f t="shared" si="75"/>
        <v>#N/A</v>
      </c>
      <c r="I169" s="350" t="e">
        <f t="shared" si="75"/>
        <v>#N/A</v>
      </c>
      <c r="J169" s="350" t="e">
        <f t="shared" si="75"/>
        <v>#N/A</v>
      </c>
      <c r="K169" s="350" t="e">
        <f t="shared" si="75"/>
        <v>#N/A</v>
      </c>
      <c r="L169" s="350" t="e">
        <f t="shared" si="75"/>
        <v>#N/A</v>
      </c>
      <c r="M169" s="350" t="e">
        <f t="shared" si="75"/>
        <v>#N/A</v>
      </c>
      <c r="N169" s="350" t="e">
        <f t="shared" si="75"/>
        <v>#N/A</v>
      </c>
      <c r="O169" s="350" t="e">
        <f t="shared" si="75"/>
        <v>#N/A</v>
      </c>
      <c r="P169" s="350" t="e">
        <f t="shared" si="75"/>
        <v>#N/A</v>
      </c>
      <c r="Q169" s="350" t="e">
        <f t="shared" si="75"/>
        <v>#N/A</v>
      </c>
      <c r="R169" s="350" t="e">
        <f t="shared" si="75"/>
        <v>#N/A</v>
      </c>
      <c r="S169" s="350" t="e">
        <f t="shared" si="75"/>
        <v>#N/A</v>
      </c>
      <c r="T169" s="350" t="e">
        <f t="shared" si="75"/>
        <v>#N/A</v>
      </c>
      <c r="U169" s="350" t="e">
        <f t="shared" si="75"/>
        <v>#N/A</v>
      </c>
      <c r="V169" s="350" t="e">
        <f t="shared" si="75"/>
        <v>#N/A</v>
      </c>
      <c r="W169" s="350" t="e">
        <f t="shared" si="75"/>
        <v>#N/A</v>
      </c>
      <c r="X169" s="350" t="e">
        <f t="shared" si="75"/>
        <v>#N/A</v>
      </c>
      <c r="Y169" s="350" t="e">
        <f t="shared" si="75"/>
        <v>#N/A</v>
      </c>
      <c r="Z169" s="350" t="e">
        <f t="shared" si="75"/>
        <v>#N/A</v>
      </c>
      <c r="AA169" s="350" t="e">
        <f t="shared" si="75"/>
        <v>#N/A</v>
      </c>
      <c r="AB169" s="350" t="e">
        <f t="shared" si="75"/>
        <v>#N/A</v>
      </c>
      <c r="AC169" s="350" t="e">
        <f t="shared" si="75"/>
        <v>#N/A</v>
      </c>
      <c r="AD169" s="350" t="e">
        <f t="shared" si="75"/>
        <v>#N/A</v>
      </c>
      <c r="AE169" s="350" t="e">
        <f t="shared" si="75"/>
        <v>#N/A</v>
      </c>
      <c r="AF169" s="350" t="e">
        <f t="shared" si="75"/>
        <v>#N/A</v>
      </c>
      <c r="AG169" s="350" t="e">
        <f t="shared" si="75"/>
        <v>#N/A</v>
      </c>
      <c r="AH169" s="350" t="e">
        <f t="shared" si="75"/>
        <v>#N/A</v>
      </c>
      <c r="AI169" s="350" t="e">
        <f t="shared" si="75"/>
        <v>#N/A</v>
      </c>
      <c r="AJ169" s="350" t="e">
        <f t="shared" si="75"/>
        <v>#N/A</v>
      </c>
      <c r="AK169" s="350" t="e">
        <f t="shared" si="75"/>
        <v>#N/A</v>
      </c>
      <c r="AL169" s="350" t="e">
        <f t="shared" si="75"/>
        <v>#N/A</v>
      </c>
      <c r="AM169" s="350" t="e">
        <f t="shared" si="75"/>
        <v>#N/A</v>
      </c>
      <c r="AN169" s="350" t="e">
        <f t="shared" si="75"/>
        <v>#N/A</v>
      </c>
      <c r="AO169" s="350" t="e">
        <f t="shared" si="75"/>
        <v>#N/A</v>
      </c>
      <c r="AP169" s="350" t="e">
        <f t="shared" si="75"/>
        <v>#N/A</v>
      </c>
      <c r="AQ169" s="350" t="e">
        <f t="shared" si="75"/>
        <v>#N/A</v>
      </c>
    </row>
    <row r="170" spans="1:44" s="315" customFormat="1" ht="14.25" hidden="1">
      <c r="A170" s="547" t="s">
        <v>485</v>
      </c>
      <c r="B170" s="620"/>
      <c r="C170" s="603"/>
      <c r="E170" s="351" t="e">
        <f t="shared" ref="E170:AQ170" si="76">IF(E169="",NA(),ROUND(E169*1.5848,1))</f>
        <v>#N/A</v>
      </c>
      <c r="F170" s="351" t="e">
        <f t="shared" si="76"/>
        <v>#N/A</v>
      </c>
      <c r="G170" s="351" t="e">
        <f t="shared" si="76"/>
        <v>#N/A</v>
      </c>
      <c r="H170" s="351" t="e">
        <f t="shared" si="76"/>
        <v>#N/A</v>
      </c>
      <c r="I170" s="351" t="e">
        <f t="shared" si="76"/>
        <v>#N/A</v>
      </c>
      <c r="J170" s="351" t="e">
        <f t="shared" si="76"/>
        <v>#N/A</v>
      </c>
      <c r="K170" s="351" t="e">
        <f t="shared" si="76"/>
        <v>#N/A</v>
      </c>
      <c r="L170" s="351" t="e">
        <f t="shared" si="76"/>
        <v>#N/A</v>
      </c>
      <c r="M170" s="351" t="e">
        <f t="shared" si="76"/>
        <v>#N/A</v>
      </c>
      <c r="N170" s="351" t="e">
        <f t="shared" si="76"/>
        <v>#N/A</v>
      </c>
      <c r="O170" s="351" t="e">
        <f t="shared" si="76"/>
        <v>#N/A</v>
      </c>
      <c r="P170" s="351" t="e">
        <f t="shared" si="76"/>
        <v>#N/A</v>
      </c>
      <c r="Q170" s="351" t="e">
        <f t="shared" si="76"/>
        <v>#N/A</v>
      </c>
      <c r="R170" s="351" t="e">
        <f t="shared" si="76"/>
        <v>#N/A</v>
      </c>
      <c r="S170" s="351" t="e">
        <f t="shared" si="76"/>
        <v>#N/A</v>
      </c>
      <c r="T170" s="351" t="e">
        <f t="shared" si="76"/>
        <v>#N/A</v>
      </c>
      <c r="U170" s="351" t="e">
        <f t="shared" si="76"/>
        <v>#N/A</v>
      </c>
      <c r="V170" s="351" t="e">
        <f t="shared" si="76"/>
        <v>#N/A</v>
      </c>
      <c r="W170" s="351" t="e">
        <f t="shared" si="76"/>
        <v>#N/A</v>
      </c>
      <c r="X170" s="351" t="e">
        <f t="shared" si="76"/>
        <v>#N/A</v>
      </c>
      <c r="Y170" s="351" t="e">
        <f t="shared" si="76"/>
        <v>#N/A</v>
      </c>
      <c r="Z170" s="351" t="e">
        <f t="shared" si="76"/>
        <v>#N/A</v>
      </c>
      <c r="AA170" s="351" t="e">
        <f t="shared" si="76"/>
        <v>#N/A</v>
      </c>
      <c r="AB170" s="351" t="e">
        <f t="shared" si="76"/>
        <v>#N/A</v>
      </c>
      <c r="AC170" s="351" t="e">
        <f t="shared" si="76"/>
        <v>#N/A</v>
      </c>
      <c r="AD170" s="351" t="e">
        <f t="shared" si="76"/>
        <v>#N/A</v>
      </c>
      <c r="AE170" s="351" t="e">
        <f t="shared" si="76"/>
        <v>#N/A</v>
      </c>
      <c r="AF170" s="351" t="e">
        <f t="shared" si="76"/>
        <v>#N/A</v>
      </c>
      <c r="AG170" s="351" t="e">
        <f t="shared" si="76"/>
        <v>#N/A</v>
      </c>
      <c r="AH170" s="351" t="e">
        <f t="shared" si="76"/>
        <v>#N/A</v>
      </c>
      <c r="AI170" s="351" t="e">
        <f t="shared" si="76"/>
        <v>#N/A</v>
      </c>
      <c r="AJ170" s="351" t="e">
        <f t="shared" si="76"/>
        <v>#N/A</v>
      </c>
      <c r="AK170" s="351" t="e">
        <f t="shared" si="76"/>
        <v>#N/A</v>
      </c>
      <c r="AL170" s="351" t="e">
        <f t="shared" si="76"/>
        <v>#N/A</v>
      </c>
      <c r="AM170" s="351" t="e">
        <f t="shared" si="76"/>
        <v>#N/A</v>
      </c>
      <c r="AN170" s="351" t="e">
        <f t="shared" si="76"/>
        <v>#N/A</v>
      </c>
      <c r="AO170" s="351" t="e">
        <f t="shared" si="76"/>
        <v>#N/A</v>
      </c>
      <c r="AP170" s="351" t="e">
        <f t="shared" si="76"/>
        <v>#N/A</v>
      </c>
      <c r="AQ170" s="351" t="e">
        <f t="shared" si="76"/>
        <v>#N/A</v>
      </c>
    </row>
    <row r="171" spans="1:44" s="315" customFormat="1" ht="14.25" hidden="1">
      <c r="A171" s="547" t="s">
        <v>486</v>
      </c>
      <c r="B171" s="620"/>
      <c r="C171" s="603"/>
      <c r="E171" s="351" t="e">
        <f t="shared" ref="E171:AQ171" si="77">IF(E172="",NA(),ROUND(E172-E170,1))</f>
        <v>#N/A</v>
      </c>
      <c r="F171" s="351" t="e">
        <f t="shared" si="77"/>
        <v>#N/A</v>
      </c>
      <c r="G171" s="351" t="e">
        <f t="shared" si="77"/>
        <v>#N/A</v>
      </c>
      <c r="H171" s="351" t="e">
        <f t="shared" si="77"/>
        <v>#N/A</v>
      </c>
      <c r="I171" s="351" t="e">
        <f t="shared" si="77"/>
        <v>#N/A</v>
      </c>
      <c r="J171" s="351" t="e">
        <f t="shared" si="77"/>
        <v>#N/A</v>
      </c>
      <c r="K171" s="351" t="e">
        <f t="shared" si="77"/>
        <v>#N/A</v>
      </c>
      <c r="L171" s="351" t="e">
        <f t="shared" si="77"/>
        <v>#N/A</v>
      </c>
      <c r="M171" s="351" t="e">
        <f t="shared" si="77"/>
        <v>#N/A</v>
      </c>
      <c r="N171" s="351" t="e">
        <f t="shared" si="77"/>
        <v>#N/A</v>
      </c>
      <c r="O171" s="351" t="e">
        <f t="shared" si="77"/>
        <v>#N/A</v>
      </c>
      <c r="P171" s="351" t="e">
        <f t="shared" si="77"/>
        <v>#N/A</v>
      </c>
      <c r="Q171" s="351" t="e">
        <f t="shared" si="77"/>
        <v>#N/A</v>
      </c>
      <c r="R171" s="351" t="e">
        <f t="shared" si="77"/>
        <v>#N/A</v>
      </c>
      <c r="S171" s="351" t="e">
        <f t="shared" si="77"/>
        <v>#N/A</v>
      </c>
      <c r="T171" s="351" t="e">
        <f t="shared" si="77"/>
        <v>#N/A</v>
      </c>
      <c r="U171" s="351" t="e">
        <f t="shared" si="77"/>
        <v>#N/A</v>
      </c>
      <c r="V171" s="351" t="e">
        <f t="shared" si="77"/>
        <v>#N/A</v>
      </c>
      <c r="W171" s="351" t="e">
        <f t="shared" si="77"/>
        <v>#N/A</v>
      </c>
      <c r="X171" s="351" t="e">
        <f t="shared" si="77"/>
        <v>#N/A</v>
      </c>
      <c r="Y171" s="351" t="e">
        <f t="shared" si="77"/>
        <v>#N/A</v>
      </c>
      <c r="Z171" s="351" t="e">
        <f t="shared" si="77"/>
        <v>#N/A</v>
      </c>
      <c r="AA171" s="351" t="e">
        <f t="shared" si="77"/>
        <v>#N/A</v>
      </c>
      <c r="AB171" s="351" t="e">
        <f t="shared" si="77"/>
        <v>#N/A</v>
      </c>
      <c r="AC171" s="351" t="e">
        <f t="shared" si="77"/>
        <v>#N/A</v>
      </c>
      <c r="AD171" s="351" t="e">
        <f t="shared" si="77"/>
        <v>#N/A</v>
      </c>
      <c r="AE171" s="351" t="e">
        <f t="shared" si="77"/>
        <v>#N/A</v>
      </c>
      <c r="AF171" s="351" t="e">
        <f t="shared" si="77"/>
        <v>#N/A</v>
      </c>
      <c r="AG171" s="351" t="e">
        <f t="shared" si="77"/>
        <v>#N/A</v>
      </c>
      <c r="AH171" s="351" t="e">
        <f t="shared" si="77"/>
        <v>#N/A</v>
      </c>
      <c r="AI171" s="351" t="e">
        <f t="shared" si="77"/>
        <v>#N/A</v>
      </c>
      <c r="AJ171" s="351" t="e">
        <f t="shared" si="77"/>
        <v>#N/A</v>
      </c>
      <c r="AK171" s="351" t="e">
        <f t="shared" si="77"/>
        <v>#N/A</v>
      </c>
      <c r="AL171" s="351" t="e">
        <f t="shared" si="77"/>
        <v>#N/A</v>
      </c>
      <c r="AM171" s="351" t="e">
        <f t="shared" si="77"/>
        <v>#N/A</v>
      </c>
      <c r="AN171" s="351" t="e">
        <f t="shared" si="77"/>
        <v>#N/A</v>
      </c>
      <c r="AO171" s="351" t="e">
        <f t="shared" si="77"/>
        <v>#N/A</v>
      </c>
      <c r="AP171" s="351" t="e">
        <f t="shared" si="77"/>
        <v>#N/A</v>
      </c>
      <c r="AQ171" s="351" t="e">
        <f t="shared" si="77"/>
        <v>#N/A</v>
      </c>
    </row>
    <row r="172" spans="1:44" s="315" customFormat="1" ht="14.25" hidden="1">
      <c r="A172" s="547" t="s">
        <v>484</v>
      </c>
      <c r="B172" s="620"/>
      <c r="C172" s="603"/>
      <c r="E172" s="350" t="e">
        <f t="shared" ref="E172:AQ172" si="78">IF(E168="",NA(),IF(E142&lt;=$B157,E168*$D160/100,IF(E142&lt;=$C157,E168*$E160/100,IF(E142&lt;=$D157,E168*$F160/100,IF(E142&lt;=$E157,E168*$G160/100,IF(E142&lt;=$F157,E168*$H160/100,IF(E142&lt;=$G157,E168*$I160/100,IF(E142&lt;=$H157,E168*$J160/100,IF(E142&lt;=$I157,E168*$K160/100,IF(E142&lt;=$J157,E168*$L160/100,IF(E142&lt;=$K157,E168*$M160/100,IF(E142&lt;=$L157,E168*$N160/100,IF(E142&lt;=$M157,E168*$O160/100,IF(E142&lt;=$N157,E168*$P160/100,IF(E142&lt;=$O157,E168*$Q160/100,IF(E142&lt;=$P157,E168*$R160/100,IF(E142&lt;=$Q157,E168*$S160/100,IF(E142&lt;=$R157,E168*$T160/100,IF(E142&lt;=$S157,E168*$U160/100,IF(E142&lt;=$T157,E168*$V160/100,IF(E142&lt;=$U157,E168*$W160/100,E168*$X160/100)))))))))))))))))))))</f>
        <v>#N/A</v>
      </c>
      <c r="F172" s="350" t="e">
        <f t="shared" si="78"/>
        <v>#N/A</v>
      </c>
      <c r="G172" s="350" t="e">
        <f t="shared" si="78"/>
        <v>#N/A</v>
      </c>
      <c r="H172" s="350" t="e">
        <f t="shared" si="78"/>
        <v>#N/A</v>
      </c>
      <c r="I172" s="350" t="e">
        <f t="shared" si="78"/>
        <v>#N/A</v>
      </c>
      <c r="J172" s="350" t="e">
        <f t="shared" si="78"/>
        <v>#N/A</v>
      </c>
      <c r="K172" s="350" t="e">
        <f t="shared" si="78"/>
        <v>#N/A</v>
      </c>
      <c r="L172" s="350" t="e">
        <f t="shared" si="78"/>
        <v>#N/A</v>
      </c>
      <c r="M172" s="350" t="e">
        <f t="shared" si="78"/>
        <v>#N/A</v>
      </c>
      <c r="N172" s="350" t="e">
        <f t="shared" si="78"/>
        <v>#N/A</v>
      </c>
      <c r="O172" s="350" t="e">
        <f t="shared" si="78"/>
        <v>#N/A</v>
      </c>
      <c r="P172" s="350" t="e">
        <f t="shared" si="78"/>
        <v>#N/A</v>
      </c>
      <c r="Q172" s="350" t="e">
        <f t="shared" si="78"/>
        <v>#N/A</v>
      </c>
      <c r="R172" s="350" t="e">
        <f t="shared" si="78"/>
        <v>#N/A</v>
      </c>
      <c r="S172" s="350" t="e">
        <f t="shared" si="78"/>
        <v>#N/A</v>
      </c>
      <c r="T172" s="350" t="e">
        <f t="shared" si="78"/>
        <v>#N/A</v>
      </c>
      <c r="U172" s="350" t="e">
        <f t="shared" si="78"/>
        <v>#N/A</v>
      </c>
      <c r="V172" s="350" t="e">
        <f t="shared" si="78"/>
        <v>#N/A</v>
      </c>
      <c r="W172" s="350" t="e">
        <f t="shared" si="78"/>
        <v>#N/A</v>
      </c>
      <c r="X172" s="350" t="e">
        <f t="shared" si="78"/>
        <v>#N/A</v>
      </c>
      <c r="Y172" s="350" t="e">
        <f t="shared" si="78"/>
        <v>#N/A</v>
      </c>
      <c r="Z172" s="350" t="e">
        <f t="shared" si="78"/>
        <v>#N/A</v>
      </c>
      <c r="AA172" s="350" t="e">
        <f t="shared" si="78"/>
        <v>#N/A</v>
      </c>
      <c r="AB172" s="350" t="e">
        <f t="shared" si="78"/>
        <v>#N/A</v>
      </c>
      <c r="AC172" s="350" t="e">
        <f t="shared" si="78"/>
        <v>#N/A</v>
      </c>
      <c r="AD172" s="350" t="e">
        <f t="shared" si="78"/>
        <v>#N/A</v>
      </c>
      <c r="AE172" s="350" t="e">
        <f t="shared" si="78"/>
        <v>#N/A</v>
      </c>
      <c r="AF172" s="350" t="e">
        <f t="shared" si="78"/>
        <v>#N/A</v>
      </c>
      <c r="AG172" s="350" t="e">
        <f t="shared" si="78"/>
        <v>#N/A</v>
      </c>
      <c r="AH172" s="350" t="e">
        <f t="shared" si="78"/>
        <v>#N/A</v>
      </c>
      <c r="AI172" s="350" t="e">
        <f t="shared" si="78"/>
        <v>#N/A</v>
      </c>
      <c r="AJ172" s="350" t="e">
        <f t="shared" si="78"/>
        <v>#N/A</v>
      </c>
      <c r="AK172" s="350" t="e">
        <f t="shared" si="78"/>
        <v>#N/A</v>
      </c>
      <c r="AL172" s="350" t="e">
        <f t="shared" si="78"/>
        <v>#N/A</v>
      </c>
      <c r="AM172" s="350" t="e">
        <f t="shared" si="78"/>
        <v>#N/A</v>
      </c>
      <c r="AN172" s="350" t="e">
        <f t="shared" si="78"/>
        <v>#N/A</v>
      </c>
      <c r="AO172" s="350" t="e">
        <f t="shared" si="78"/>
        <v>#N/A</v>
      </c>
      <c r="AP172" s="350" t="e">
        <f t="shared" si="78"/>
        <v>#N/A</v>
      </c>
      <c r="AQ172" s="350" t="e">
        <f t="shared" si="78"/>
        <v>#N/A</v>
      </c>
    </row>
    <row r="173" spans="1:44" s="315" customFormat="1" ht="15" hidden="1" thickBot="1">
      <c r="A173" s="557" t="s">
        <v>473</v>
      </c>
      <c r="B173" s="621"/>
      <c r="C173" s="621"/>
      <c r="E173" s="352" t="e">
        <f t="shared" ref="E173:AQ173" si="79">IF(E172="",NA(),ROUND(E170/E172*100,1))</f>
        <v>#N/A</v>
      </c>
      <c r="F173" s="352" t="e">
        <f t="shared" si="79"/>
        <v>#N/A</v>
      </c>
      <c r="G173" s="352" t="e">
        <f t="shared" si="79"/>
        <v>#N/A</v>
      </c>
      <c r="H173" s="352" t="e">
        <f t="shared" si="79"/>
        <v>#N/A</v>
      </c>
      <c r="I173" s="352" t="e">
        <f t="shared" si="79"/>
        <v>#N/A</v>
      </c>
      <c r="J173" s="352" t="e">
        <f t="shared" si="79"/>
        <v>#N/A</v>
      </c>
      <c r="K173" s="352" t="e">
        <f t="shared" si="79"/>
        <v>#N/A</v>
      </c>
      <c r="L173" s="352" t="e">
        <f t="shared" si="79"/>
        <v>#N/A</v>
      </c>
      <c r="M173" s="352" t="e">
        <f t="shared" si="79"/>
        <v>#N/A</v>
      </c>
      <c r="N173" s="352" t="e">
        <f t="shared" si="79"/>
        <v>#N/A</v>
      </c>
      <c r="O173" s="352" t="e">
        <f t="shared" si="79"/>
        <v>#N/A</v>
      </c>
      <c r="P173" s="352" t="e">
        <f t="shared" si="79"/>
        <v>#N/A</v>
      </c>
      <c r="Q173" s="352" t="e">
        <f t="shared" si="79"/>
        <v>#N/A</v>
      </c>
      <c r="R173" s="352" t="e">
        <f t="shared" si="79"/>
        <v>#N/A</v>
      </c>
      <c r="S173" s="352" t="e">
        <f t="shared" si="79"/>
        <v>#N/A</v>
      </c>
      <c r="T173" s="352" t="e">
        <f t="shared" si="79"/>
        <v>#N/A</v>
      </c>
      <c r="U173" s="352" t="e">
        <f t="shared" si="79"/>
        <v>#N/A</v>
      </c>
      <c r="V173" s="352" t="e">
        <f t="shared" si="79"/>
        <v>#N/A</v>
      </c>
      <c r="W173" s="352" t="e">
        <f t="shared" si="79"/>
        <v>#N/A</v>
      </c>
      <c r="X173" s="352" t="e">
        <f t="shared" si="79"/>
        <v>#N/A</v>
      </c>
      <c r="Y173" s="352" t="e">
        <f t="shared" si="79"/>
        <v>#N/A</v>
      </c>
      <c r="Z173" s="352" t="e">
        <f t="shared" si="79"/>
        <v>#N/A</v>
      </c>
      <c r="AA173" s="352" t="e">
        <f t="shared" si="79"/>
        <v>#N/A</v>
      </c>
      <c r="AB173" s="352" t="e">
        <f t="shared" si="79"/>
        <v>#N/A</v>
      </c>
      <c r="AC173" s="352" t="e">
        <f t="shared" si="79"/>
        <v>#N/A</v>
      </c>
      <c r="AD173" s="352" t="e">
        <f t="shared" si="79"/>
        <v>#N/A</v>
      </c>
      <c r="AE173" s="352" t="e">
        <f t="shared" si="79"/>
        <v>#N/A</v>
      </c>
      <c r="AF173" s="352" t="e">
        <f t="shared" si="79"/>
        <v>#N/A</v>
      </c>
      <c r="AG173" s="352" t="e">
        <f t="shared" si="79"/>
        <v>#N/A</v>
      </c>
      <c r="AH173" s="352" t="e">
        <f t="shared" si="79"/>
        <v>#N/A</v>
      </c>
      <c r="AI173" s="352" t="e">
        <f t="shared" si="79"/>
        <v>#N/A</v>
      </c>
      <c r="AJ173" s="352" t="e">
        <f t="shared" si="79"/>
        <v>#N/A</v>
      </c>
      <c r="AK173" s="352" t="e">
        <f t="shared" si="79"/>
        <v>#N/A</v>
      </c>
      <c r="AL173" s="352" t="e">
        <f t="shared" si="79"/>
        <v>#N/A</v>
      </c>
      <c r="AM173" s="352" t="e">
        <f t="shared" si="79"/>
        <v>#N/A</v>
      </c>
      <c r="AN173" s="352" t="e">
        <f t="shared" si="79"/>
        <v>#N/A</v>
      </c>
      <c r="AO173" s="352" t="e">
        <f t="shared" si="79"/>
        <v>#N/A</v>
      </c>
      <c r="AP173" s="352" t="e">
        <f t="shared" si="79"/>
        <v>#N/A</v>
      </c>
      <c r="AQ173" s="352" t="e">
        <f t="shared" si="79"/>
        <v>#N/A</v>
      </c>
      <c r="AR173" s="352"/>
    </row>
    <row r="174" spans="1:44" s="315" customFormat="1" ht="14.25"/>
    <row r="175" spans="1:44" s="315" customFormat="1" ht="21" customHeight="1" thickBot="1">
      <c r="A175" s="314" t="s">
        <v>326</v>
      </c>
    </row>
    <row r="176" spans="1:44" s="315" customFormat="1" ht="12.95" customHeight="1" thickBot="1">
      <c r="A176" s="614" t="s">
        <v>282</v>
      </c>
      <c r="B176" s="615"/>
      <c r="C176" s="615"/>
      <c r="D176" s="618"/>
      <c r="E176" s="618"/>
      <c r="F176" s="619"/>
      <c r="H176" s="316" t="s">
        <v>290</v>
      </c>
      <c r="I176" s="618"/>
      <c r="J176" s="619"/>
      <c r="L176" s="353" t="s">
        <v>291</v>
      </c>
      <c r="M176" s="1212"/>
      <c r="N176" s="1213"/>
      <c r="O176" s="354"/>
      <c r="P176" s="1214" t="s">
        <v>293</v>
      </c>
      <c r="Q176" s="1215"/>
      <c r="R176" s="355"/>
      <c r="S176" s="355"/>
      <c r="T176" s="355"/>
    </row>
    <row r="177" spans="1:44" s="315" customFormat="1" ht="12.95" customHeight="1" thickBot="1">
      <c r="L177" s="356" t="s">
        <v>292</v>
      </c>
      <c r="M177" s="1216"/>
      <c r="N177" s="1217"/>
      <c r="P177" s="594"/>
      <c r="Q177" s="1218"/>
      <c r="R177" s="1218"/>
      <c r="S177" s="1218"/>
      <c r="T177" s="1218"/>
      <c r="U177" s="1218"/>
      <c r="V177" s="1218"/>
      <c r="W177" s="1218"/>
      <c r="X177" s="1219"/>
    </row>
    <row r="178" spans="1:44" s="315" customFormat="1" ht="14.25">
      <c r="A178" s="545" t="s">
        <v>61</v>
      </c>
      <c r="B178" s="617"/>
      <c r="C178" s="617"/>
      <c r="D178" s="366" t="s">
        <v>47</v>
      </c>
      <c r="E178" s="366" t="s">
        <v>13</v>
      </c>
      <c r="F178" s="366" t="s">
        <v>15</v>
      </c>
      <c r="G178" s="366" t="s">
        <v>48</v>
      </c>
      <c r="H178" s="366" t="s">
        <v>49</v>
      </c>
      <c r="I178" s="319" t="s">
        <v>52</v>
      </c>
      <c r="J178" s="320" t="s">
        <v>51</v>
      </c>
      <c r="K178" s="321"/>
      <c r="P178" s="1220"/>
      <c r="Q178" s="1221"/>
      <c r="R178" s="1221"/>
      <c r="S178" s="1221"/>
      <c r="T178" s="1221"/>
      <c r="U178" s="1221"/>
      <c r="V178" s="1221"/>
      <c r="W178" s="1221"/>
      <c r="X178" s="1222"/>
      <c r="Z178" s="322"/>
      <c r="AA178" s="322"/>
    </row>
    <row r="179" spans="1:44" s="315" customFormat="1" ht="14.25">
      <c r="A179" s="547" t="s">
        <v>163</v>
      </c>
      <c r="B179" s="620"/>
      <c r="C179" s="620"/>
      <c r="D179" s="363" t="str">
        <f>IF(D180+D181=0,"",D180+D181)</f>
        <v/>
      </c>
      <c r="E179" s="363" t="str">
        <f>IF(E180+E181=0,"",E180+E181)</f>
        <v/>
      </c>
      <c r="F179" s="363" t="str">
        <f>IF(F180+F181=0,"",F180+F181)</f>
        <v/>
      </c>
      <c r="G179" s="363" t="str">
        <f>IF(G180+G181=0,"",G180+G181)</f>
        <v/>
      </c>
      <c r="H179" s="363" t="str">
        <f>IF(H180+H181=0,"",H180+H181)</f>
        <v/>
      </c>
      <c r="I179" s="323"/>
      <c r="J179" s="368" t="str">
        <f>IF(SUM(D179:I179)=0,"",SUM(D179:I179))</f>
        <v/>
      </c>
      <c r="K179" s="321"/>
      <c r="P179" s="1220"/>
      <c r="Q179" s="1221"/>
      <c r="R179" s="1221"/>
      <c r="S179" s="1221"/>
      <c r="T179" s="1221"/>
      <c r="U179" s="1221"/>
      <c r="V179" s="1221"/>
      <c r="W179" s="1221"/>
      <c r="X179" s="1222"/>
      <c r="Z179" s="322"/>
      <c r="AA179" s="322"/>
    </row>
    <row r="180" spans="1:44" s="315" customFormat="1" ht="14.25">
      <c r="A180" s="547" t="s">
        <v>93</v>
      </c>
      <c r="B180" s="620"/>
      <c r="C180" s="620"/>
      <c r="D180" s="371"/>
      <c r="E180" s="371"/>
      <c r="F180" s="371"/>
      <c r="G180" s="371"/>
      <c r="H180" s="371"/>
      <c r="I180" s="323"/>
      <c r="J180" s="368" t="str">
        <f>IF(SUM(D180:I180)=0,"",SUM(D180:I180))</f>
        <v/>
      </c>
      <c r="K180" s="325"/>
      <c r="P180" s="1220"/>
      <c r="Q180" s="1221"/>
      <c r="R180" s="1221"/>
      <c r="S180" s="1221"/>
      <c r="T180" s="1221"/>
      <c r="U180" s="1221"/>
      <c r="V180" s="1221"/>
      <c r="W180" s="1221"/>
      <c r="X180" s="1222"/>
      <c r="Y180" s="589"/>
      <c r="Z180" s="589"/>
      <c r="AA180" s="589"/>
    </row>
    <row r="181" spans="1:44" s="315" customFormat="1" ht="14.25">
      <c r="A181" s="547" t="s">
        <v>50</v>
      </c>
      <c r="B181" s="620"/>
      <c r="C181" s="620"/>
      <c r="D181" s="371"/>
      <c r="E181" s="371"/>
      <c r="F181" s="371"/>
      <c r="G181" s="371"/>
      <c r="H181" s="371"/>
      <c r="I181" s="323"/>
      <c r="J181" s="368" t="str">
        <f>IF(SUM(D181:I181)=0,"",SUM(D181:I181))</f>
        <v/>
      </c>
      <c r="K181" s="325"/>
      <c r="P181" s="1220"/>
      <c r="Q181" s="1221"/>
      <c r="R181" s="1221"/>
      <c r="S181" s="1221"/>
      <c r="T181" s="1221"/>
      <c r="U181" s="1221"/>
      <c r="V181" s="1221"/>
      <c r="W181" s="1221"/>
      <c r="X181" s="1222"/>
      <c r="Y181" s="589"/>
      <c r="Z181" s="589"/>
      <c r="AA181" s="589"/>
    </row>
    <row r="182" spans="1:44" s="315" customFormat="1" ht="15" thickBot="1">
      <c r="A182" s="557" t="s">
        <v>162</v>
      </c>
      <c r="B182" s="621"/>
      <c r="C182" s="621"/>
      <c r="D182" s="372"/>
      <c r="E182" s="372"/>
      <c r="F182" s="372"/>
      <c r="G182" s="372"/>
      <c r="H182" s="372"/>
      <c r="I182" s="369" t="str">
        <f>IF(SUM(E185:AQ185)=0,"",SUM(E185:AQ185))</f>
        <v/>
      </c>
      <c r="J182" s="370" t="str">
        <f>IF(SUM(D182:I182)=0,"",SUM(D182:I182))</f>
        <v/>
      </c>
      <c r="K182" s="325"/>
      <c r="O182" s="354"/>
      <c r="P182" s="1223"/>
      <c r="Q182" s="1224"/>
      <c r="R182" s="1224"/>
      <c r="S182" s="1224"/>
      <c r="T182" s="1224"/>
      <c r="U182" s="1224"/>
      <c r="V182" s="1224"/>
      <c r="W182" s="1224"/>
      <c r="X182" s="1225"/>
      <c r="Y182" s="589"/>
      <c r="Z182" s="589"/>
      <c r="AA182" s="589"/>
    </row>
    <row r="183" spans="1:44" s="315" customFormat="1" ht="10.5" customHeight="1" thickBot="1"/>
    <row r="184" spans="1:44" s="315" customFormat="1" ht="14.25">
      <c r="A184" s="616" t="s">
        <v>16</v>
      </c>
      <c r="B184" s="617"/>
      <c r="C184" s="617"/>
      <c r="D184" s="366">
        <v>1</v>
      </c>
      <c r="E184" s="366">
        <v>2</v>
      </c>
      <c r="F184" s="366">
        <v>3</v>
      </c>
      <c r="G184" s="366">
        <v>4</v>
      </c>
      <c r="H184" s="366">
        <v>5</v>
      </c>
      <c r="I184" s="366">
        <v>6</v>
      </c>
      <c r="J184" s="366">
        <v>7</v>
      </c>
      <c r="K184" s="366">
        <v>8</v>
      </c>
      <c r="L184" s="366">
        <v>9</v>
      </c>
      <c r="M184" s="366">
        <v>10</v>
      </c>
      <c r="N184" s="366">
        <v>11</v>
      </c>
      <c r="O184" s="366">
        <v>12</v>
      </c>
      <c r="P184" s="366">
        <v>13</v>
      </c>
      <c r="Q184" s="366">
        <v>14</v>
      </c>
      <c r="R184" s="366">
        <v>15</v>
      </c>
      <c r="S184" s="366">
        <v>16</v>
      </c>
      <c r="T184" s="366">
        <v>17</v>
      </c>
      <c r="U184" s="366">
        <v>18</v>
      </c>
      <c r="V184" s="366">
        <v>19</v>
      </c>
      <c r="W184" s="366">
        <v>20</v>
      </c>
      <c r="X184" s="366">
        <v>21</v>
      </c>
      <c r="Y184" s="366">
        <v>22</v>
      </c>
      <c r="Z184" s="366">
        <v>23</v>
      </c>
      <c r="AA184" s="366">
        <v>24</v>
      </c>
      <c r="AB184" s="366">
        <v>25</v>
      </c>
      <c r="AC184" s="366">
        <v>26</v>
      </c>
      <c r="AD184" s="366">
        <v>27</v>
      </c>
      <c r="AE184" s="366">
        <v>28</v>
      </c>
      <c r="AF184" s="366">
        <v>29</v>
      </c>
      <c r="AG184" s="366">
        <v>30</v>
      </c>
      <c r="AH184" s="366">
        <v>31</v>
      </c>
      <c r="AI184" s="366">
        <v>32</v>
      </c>
      <c r="AJ184" s="366">
        <v>33</v>
      </c>
      <c r="AK184" s="366">
        <v>34</v>
      </c>
      <c r="AL184" s="366">
        <v>35</v>
      </c>
      <c r="AM184" s="366">
        <v>36</v>
      </c>
      <c r="AN184" s="366">
        <v>37</v>
      </c>
      <c r="AO184" s="366">
        <v>38</v>
      </c>
      <c r="AP184" s="366">
        <v>39</v>
      </c>
      <c r="AQ184" s="320">
        <v>40</v>
      </c>
    </row>
    <row r="185" spans="1:44" s="315" customFormat="1" ht="14.25">
      <c r="A185" s="547" t="s">
        <v>206</v>
      </c>
      <c r="B185" s="620"/>
      <c r="C185" s="620"/>
      <c r="D185" s="365"/>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4"/>
      <c r="AL185" s="324"/>
      <c r="AM185" s="324"/>
      <c r="AN185" s="324"/>
      <c r="AO185" s="324"/>
      <c r="AP185" s="324"/>
      <c r="AQ185" s="326"/>
    </row>
    <row r="186" spans="1:44" s="315" customFormat="1" ht="14.25">
      <c r="A186" s="622" t="s">
        <v>1</v>
      </c>
      <c r="B186" s="623"/>
      <c r="C186" s="624" t="s">
        <v>63</v>
      </c>
      <c r="D186" s="327"/>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9"/>
      <c r="AM186" s="329"/>
      <c r="AN186" s="329"/>
      <c r="AO186" s="328"/>
      <c r="AP186" s="328"/>
      <c r="AQ186" s="330"/>
      <c r="AR186" s="362"/>
    </row>
    <row r="187" spans="1:44" s="315" customFormat="1" ht="14.25">
      <c r="A187" s="622" t="s">
        <v>2</v>
      </c>
      <c r="B187" s="623"/>
      <c r="C187" s="624"/>
      <c r="D187" s="327"/>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31"/>
      <c r="AQ187" s="332"/>
      <c r="AR187" s="362"/>
    </row>
    <row r="188" spans="1:44" s="315" customFormat="1" ht="14.25">
      <c r="A188" s="547" t="s">
        <v>261</v>
      </c>
      <c r="B188" s="620"/>
      <c r="C188" s="620"/>
      <c r="D188" s="333"/>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29"/>
      <c r="AM188" s="329"/>
      <c r="AN188" s="329"/>
      <c r="AO188" s="334"/>
      <c r="AP188" s="334"/>
      <c r="AQ188" s="335"/>
    </row>
    <row r="189" spans="1:44" s="315" customFormat="1" ht="14.25">
      <c r="A189" s="1206" t="s">
        <v>297</v>
      </c>
      <c r="B189" s="1207"/>
      <c r="C189" s="1207"/>
      <c r="D189" s="373"/>
      <c r="E189" s="374" t="str">
        <f t="shared" ref="E189:AQ189" si="80">IFERROR(E212,"")</f>
        <v/>
      </c>
      <c r="F189" s="374" t="str">
        <f t="shared" si="80"/>
        <v/>
      </c>
      <c r="G189" s="374" t="str">
        <f t="shared" si="80"/>
        <v/>
      </c>
      <c r="H189" s="374" t="str">
        <f t="shared" si="80"/>
        <v/>
      </c>
      <c r="I189" s="374" t="str">
        <f t="shared" si="80"/>
        <v/>
      </c>
      <c r="J189" s="374" t="str">
        <f t="shared" si="80"/>
        <v/>
      </c>
      <c r="K189" s="374" t="str">
        <f t="shared" si="80"/>
        <v/>
      </c>
      <c r="L189" s="374" t="str">
        <f t="shared" si="80"/>
        <v/>
      </c>
      <c r="M189" s="374" t="str">
        <f t="shared" si="80"/>
        <v/>
      </c>
      <c r="N189" s="374" t="str">
        <f t="shared" si="80"/>
        <v/>
      </c>
      <c r="O189" s="374" t="str">
        <f t="shared" si="80"/>
        <v/>
      </c>
      <c r="P189" s="374" t="str">
        <f t="shared" si="80"/>
        <v/>
      </c>
      <c r="Q189" s="374" t="str">
        <f t="shared" si="80"/>
        <v/>
      </c>
      <c r="R189" s="374" t="str">
        <f t="shared" si="80"/>
        <v/>
      </c>
      <c r="S189" s="374" t="str">
        <f t="shared" si="80"/>
        <v/>
      </c>
      <c r="T189" s="374" t="str">
        <f t="shared" si="80"/>
        <v/>
      </c>
      <c r="U189" s="374" t="str">
        <f t="shared" si="80"/>
        <v/>
      </c>
      <c r="V189" s="374" t="str">
        <f t="shared" si="80"/>
        <v/>
      </c>
      <c r="W189" s="374" t="str">
        <f t="shared" si="80"/>
        <v/>
      </c>
      <c r="X189" s="374" t="str">
        <f t="shared" si="80"/>
        <v/>
      </c>
      <c r="Y189" s="374" t="str">
        <f t="shared" si="80"/>
        <v/>
      </c>
      <c r="Z189" s="374" t="str">
        <f t="shared" si="80"/>
        <v/>
      </c>
      <c r="AA189" s="374" t="str">
        <f t="shared" si="80"/>
        <v/>
      </c>
      <c r="AB189" s="374" t="str">
        <f t="shared" si="80"/>
        <v/>
      </c>
      <c r="AC189" s="374" t="str">
        <f t="shared" si="80"/>
        <v/>
      </c>
      <c r="AD189" s="374" t="str">
        <f t="shared" si="80"/>
        <v/>
      </c>
      <c r="AE189" s="374" t="str">
        <f t="shared" si="80"/>
        <v/>
      </c>
      <c r="AF189" s="374" t="str">
        <f t="shared" si="80"/>
        <v/>
      </c>
      <c r="AG189" s="374" t="str">
        <f t="shared" si="80"/>
        <v/>
      </c>
      <c r="AH189" s="374" t="str">
        <f t="shared" si="80"/>
        <v/>
      </c>
      <c r="AI189" s="374" t="str">
        <f t="shared" si="80"/>
        <v/>
      </c>
      <c r="AJ189" s="374" t="str">
        <f t="shared" si="80"/>
        <v/>
      </c>
      <c r="AK189" s="374" t="str">
        <f t="shared" si="80"/>
        <v/>
      </c>
      <c r="AL189" s="374" t="str">
        <f t="shared" si="80"/>
        <v/>
      </c>
      <c r="AM189" s="374" t="str">
        <f t="shared" si="80"/>
        <v/>
      </c>
      <c r="AN189" s="374" t="str">
        <f t="shared" si="80"/>
        <v/>
      </c>
      <c r="AO189" s="374" t="str">
        <f t="shared" si="80"/>
        <v/>
      </c>
      <c r="AP189" s="374" t="str">
        <f t="shared" si="80"/>
        <v/>
      </c>
      <c r="AQ189" s="375" t="str">
        <f t="shared" si="80"/>
        <v/>
      </c>
      <c r="AR189" s="362"/>
    </row>
    <row r="190" spans="1:44" s="315" customFormat="1" ht="14.25" customHeight="1">
      <c r="A190" s="1206" t="s">
        <v>296</v>
      </c>
      <c r="B190" s="1207"/>
      <c r="C190" s="1207"/>
      <c r="D190" s="373"/>
      <c r="E190" s="374" t="str">
        <f t="shared" ref="E190:AQ190" si="81">IFERROR(E213,"")</f>
        <v/>
      </c>
      <c r="F190" s="374" t="str">
        <f t="shared" si="81"/>
        <v/>
      </c>
      <c r="G190" s="374" t="str">
        <f t="shared" si="81"/>
        <v/>
      </c>
      <c r="H190" s="374" t="str">
        <f t="shared" si="81"/>
        <v/>
      </c>
      <c r="I190" s="374" t="str">
        <f t="shared" si="81"/>
        <v/>
      </c>
      <c r="J190" s="374" t="str">
        <f t="shared" si="81"/>
        <v/>
      </c>
      <c r="K190" s="374" t="str">
        <f t="shared" si="81"/>
        <v/>
      </c>
      <c r="L190" s="374" t="str">
        <f t="shared" si="81"/>
        <v/>
      </c>
      <c r="M190" s="374" t="str">
        <f t="shared" si="81"/>
        <v/>
      </c>
      <c r="N190" s="374" t="str">
        <f t="shared" si="81"/>
        <v/>
      </c>
      <c r="O190" s="374" t="str">
        <f t="shared" si="81"/>
        <v/>
      </c>
      <c r="P190" s="374" t="str">
        <f t="shared" si="81"/>
        <v/>
      </c>
      <c r="Q190" s="374" t="str">
        <f t="shared" si="81"/>
        <v/>
      </c>
      <c r="R190" s="374" t="str">
        <f t="shared" si="81"/>
        <v/>
      </c>
      <c r="S190" s="374" t="str">
        <f t="shared" si="81"/>
        <v/>
      </c>
      <c r="T190" s="374" t="str">
        <f t="shared" si="81"/>
        <v/>
      </c>
      <c r="U190" s="374" t="str">
        <f t="shared" si="81"/>
        <v/>
      </c>
      <c r="V190" s="374" t="str">
        <f t="shared" si="81"/>
        <v/>
      </c>
      <c r="W190" s="374" t="str">
        <f t="shared" si="81"/>
        <v/>
      </c>
      <c r="X190" s="374" t="str">
        <f t="shared" si="81"/>
        <v/>
      </c>
      <c r="Y190" s="374" t="str">
        <f t="shared" si="81"/>
        <v/>
      </c>
      <c r="Z190" s="374" t="str">
        <f t="shared" si="81"/>
        <v/>
      </c>
      <c r="AA190" s="374" t="str">
        <f t="shared" si="81"/>
        <v/>
      </c>
      <c r="AB190" s="374" t="str">
        <f t="shared" si="81"/>
        <v/>
      </c>
      <c r="AC190" s="374" t="str">
        <f t="shared" si="81"/>
        <v/>
      </c>
      <c r="AD190" s="374" t="str">
        <f t="shared" si="81"/>
        <v/>
      </c>
      <c r="AE190" s="374" t="str">
        <f t="shared" si="81"/>
        <v/>
      </c>
      <c r="AF190" s="374" t="str">
        <f t="shared" si="81"/>
        <v/>
      </c>
      <c r="AG190" s="374" t="str">
        <f t="shared" si="81"/>
        <v/>
      </c>
      <c r="AH190" s="374" t="str">
        <f t="shared" si="81"/>
        <v/>
      </c>
      <c r="AI190" s="374" t="str">
        <f t="shared" si="81"/>
        <v/>
      </c>
      <c r="AJ190" s="374" t="str">
        <f t="shared" si="81"/>
        <v/>
      </c>
      <c r="AK190" s="374" t="str">
        <f t="shared" si="81"/>
        <v/>
      </c>
      <c r="AL190" s="374" t="str">
        <f t="shared" si="81"/>
        <v/>
      </c>
      <c r="AM190" s="374" t="str">
        <f t="shared" si="81"/>
        <v/>
      </c>
      <c r="AN190" s="374" t="str">
        <f t="shared" si="81"/>
        <v/>
      </c>
      <c r="AO190" s="374" t="str">
        <f t="shared" si="81"/>
        <v/>
      </c>
      <c r="AP190" s="374" t="str">
        <f t="shared" si="81"/>
        <v/>
      </c>
      <c r="AQ190" s="375" t="str">
        <f t="shared" si="81"/>
        <v/>
      </c>
      <c r="AR190" s="362"/>
    </row>
    <row r="191" spans="1:44" s="315" customFormat="1" ht="14.25">
      <c r="A191" s="1206" t="s">
        <v>406</v>
      </c>
      <c r="B191" s="1207"/>
      <c r="C191" s="1207"/>
      <c r="D191" s="373"/>
      <c r="E191" s="374" t="str">
        <f t="shared" ref="E191:AQ191" si="82">IFERROR(E214,"")</f>
        <v/>
      </c>
      <c r="F191" s="374" t="str">
        <f t="shared" si="82"/>
        <v/>
      </c>
      <c r="G191" s="374" t="str">
        <f t="shared" si="82"/>
        <v/>
      </c>
      <c r="H191" s="374" t="str">
        <f t="shared" si="82"/>
        <v/>
      </c>
      <c r="I191" s="374" t="str">
        <f t="shared" si="82"/>
        <v/>
      </c>
      <c r="J191" s="374" t="str">
        <f t="shared" si="82"/>
        <v/>
      </c>
      <c r="K191" s="374" t="str">
        <f t="shared" si="82"/>
        <v/>
      </c>
      <c r="L191" s="374" t="str">
        <f t="shared" si="82"/>
        <v/>
      </c>
      <c r="M191" s="374" t="str">
        <f t="shared" si="82"/>
        <v/>
      </c>
      <c r="N191" s="374" t="str">
        <f t="shared" si="82"/>
        <v/>
      </c>
      <c r="O191" s="374" t="str">
        <f t="shared" si="82"/>
        <v/>
      </c>
      <c r="P191" s="374" t="str">
        <f t="shared" si="82"/>
        <v/>
      </c>
      <c r="Q191" s="374" t="str">
        <f t="shared" si="82"/>
        <v/>
      </c>
      <c r="R191" s="374" t="str">
        <f t="shared" si="82"/>
        <v/>
      </c>
      <c r="S191" s="374" t="str">
        <f t="shared" si="82"/>
        <v/>
      </c>
      <c r="T191" s="374" t="str">
        <f t="shared" si="82"/>
        <v/>
      </c>
      <c r="U191" s="374" t="str">
        <f t="shared" si="82"/>
        <v/>
      </c>
      <c r="V191" s="374" t="str">
        <f t="shared" si="82"/>
        <v/>
      </c>
      <c r="W191" s="374" t="str">
        <f t="shared" si="82"/>
        <v/>
      </c>
      <c r="X191" s="374" t="str">
        <f t="shared" si="82"/>
        <v/>
      </c>
      <c r="Y191" s="374" t="str">
        <f t="shared" si="82"/>
        <v/>
      </c>
      <c r="Z191" s="374" t="str">
        <f t="shared" si="82"/>
        <v/>
      </c>
      <c r="AA191" s="374" t="str">
        <f t="shared" si="82"/>
        <v/>
      </c>
      <c r="AB191" s="374" t="str">
        <f t="shared" si="82"/>
        <v/>
      </c>
      <c r="AC191" s="374" t="str">
        <f t="shared" si="82"/>
        <v/>
      </c>
      <c r="AD191" s="374" t="str">
        <f t="shared" si="82"/>
        <v/>
      </c>
      <c r="AE191" s="374" t="str">
        <f t="shared" si="82"/>
        <v/>
      </c>
      <c r="AF191" s="374" t="str">
        <f t="shared" si="82"/>
        <v/>
      </c>
      <c r="AG191" s="374" t="str">
        <f t="shared" si="82"/>
        <v/>
      </c>
      <c r="AH191" s="374" t="str">
        <f t="shared" si="82"/>
        <v/>
      </c>
      <c r="AI191" s="374" t="str">
        <f t="shared" si="82"/>
        <v/>
      </c>
      <c r="AJ191" s="374" t="str">
        <f t="shared" si="82"/>
        <v/>
      </c>
      <c r="AK191" s="374" t="str">
        <f t="shared" si="82"/>
        <v/>
      </c>
      <c r="AL191" s="374" t="str">
        <f t="shared" si="82"/>
        <v/>
      </c>
      <c r="AM191" s="374" t="str">
        <f t="shared" si="82"/>
        <v/>
      </c>
      <c r="AN191" s="374" t="str">
        <f t="shared" si="82"/>
        <v/>
      </c>
      <c r="AO191" s="374" t="str">
        <f t="shared" si="82"/>
        <v/>
      </c>
      <c r="AP191" s="374" t="str">
        <f t="shared" si="82"/>
        <v/>
      </c>
      <c r="AQ191" s="375" t="str">
        <f t="shared" si="82"/>
        <v/>
      </c>
      <c r="AR191" s="362"/>
    </row>
    <row r="192" spans="1:44" s="315" customFormat="1" ht="14.25">
      <c r="A192" s="1208" t="s">
        <v>446</v>
      </c>
      <c r="B192" s="1209"/>
      <c r="C192" s="1209"/>
      <c r="D192" s="377"/>
      <c r="E192" s="374" t="str">
        <f t="shared" ref="E192:AQ192" si="83">IFERROR(E215,"")</f>
        <v/>
      </c>
      <c r="F192" s="374" t="str">
        <f t="shared" si="83"/>
        <v/>
      </c>
      <c r="G192" s="374" t="str">
        <f t="shared" si="83"/>
        <v/>
      </c>
      <c r="H192" s="374" t="str">
        <f t="shared" si="83"/>
        <v/>
      </c>
      <c r="I192" s="374" t="str">
        <f t="shared" si="83"/>
        <v/>
      </c>
      <c r="J192" s="374" t="str">
        <f t="shared" si="83"/>
        <v/>
      </c>
      <c r="K192" s="374" t="str">
        <f t="shared" si="83"/>
        <v/>
      </c>
      <c r="L192" s="374" t="str">
        <f t="shared" si="83"/>
        <v/>
      </c>
      <c r="M192" s="374" t="str">
        <f t="shared" si="83"/>
        <v/>
      </c>
      <c r="N192" s="374" t="str">
        <f t="shared" si="83"/>
        <v/>
      </c>
      <c r="O192" s="374" t="str">
        <f t="shared" si="83"/>
        <v/>
      </c>
      <c r="P192" s="374" t="str">
        <f t="shared" si="83"/>
        <v/>
      </c>
      <c r="Q192" s="374" t="str">
        <f t="shared" si="83"/>
        <v/>
      </c>
      <c r="R192" s="374" t="str">
        <f t="shared" si="83"/>
        <v/>
      </c>
      <c r="S192" s="374" t="str">
        <f t="shared" si="83"/>
        <v/>
      </c>
      <c r="T192" s="374" t="str">
        <f t="shared" si="83"/>
        <v/>
      </c>
      <c r="U192" s="374" t="str">
        <f t="shared" si="83"/>
        <v/>
      </c>
      <c r="V192" s="374" t="str">
        <f t="shared" si="83"/>
        <v/>
      </c>
      <c r="W192" s="374" t="str">
        <f t="shared" si="83"/>
        <v/>
      </c>
      <c r="X192" s="374" t="str">
        <f t="shared" si="83"/>
        <v/>
      </c>
      <c r="Y192" s="374" t="str">
        <f t="shared" si="83"/>
        <v/>
      </c>
      <c r="Z192" s="374" t="str">
        <f t="shared" si="83"/>
        <v/>
      </c>
      <c r="AA192" s="374" t="str">
        <f t="shared" si="83"/>
        <v/>
      </c>
      <c r="AB192" s="374" t="str">
        <f t="shared" si="83"/>
        <v/>
      </c>
      <c r="AC192" s="374" t="str">
        <f t="shared" si="83"/>
        <v/>
      </c>
      <c r="AD192" s="374" t="str">
        <f t="shared" si="83"/>
        <v/>
      </c>
      <c r="AE192" s="374" t="str">
        <f t="shared" si="83"/>
        <v/>
      </c>
      <c r="AF192" s="374" t="str">
        <f t="shared" si="83"/>
        <v/>
      </c>
      <c r="AG192" s="374" t="str">
        <f t="shared" si="83"/>
        <v/>
      </c>
      <c r="AH192" s="374" t="str">
        <f t="shared" si="83"/>
        <v/>
      </c>
      <c r="AI192" s="374" t="str">
        <f t="shared" si="83"/>
        <v/>
      </c>
      <c r="AJ192" s="374" t="str">
        <f t="shared" si="83"/>
        <v/>
      </c>
      <c r="AK192" s="374" t="str">
        <f t="shared" si="83"/>
        <v/>
      </c>
      <c r="AL192" s="374" t="str">
        <f t="shared" si="83"/>
        <v/>
      </c>
      <c r="AM192" s="374" t="str">
        <f t="shared" si="83"/>
        <v/>
      </c>
      <c r="AN192" s="374" t="str">
        <f t="shared" si="83"/>
        <v/>
      </c>
      <c r="AO192" s="374" t="str">
        <f t="shared" si="83"/>
        <v/>
      </c>
      <c r="AP192" s="374" t="str">
        <f t="shared" si="83"/>
        <v/>
      </c>
      <c r="AQ192" s="375" t="str">
        <f t="shared" si="83"/>
        <v/>
      </c>
      <c r="AR192" s="362"/>
    </row>
    <row r="193" spans="1:44" s="315" customFormat="1" ht="14.25" hidden="1">
      <c r="A193" s="1206" t="s">
        <v>336</v>
      </c>
      <c r="B193" s="1207"/>
      <c r="C193" s="1207"/>
      <c r="D193" s="378"/>
      <c r="E193" s="379">
        <f t="shared" ref="E193:AQ193" si="84">IF(E185="",0,E185)</f>
        <v>0</v>
      </c>
      <c r="F193" s="379">
        <f t="shared" si="84"/>
        <v>0</v>
      </c>
      <c r="G193" s="379">
        <f t="shared" si="84"/>
        <v>0</v>
      </c>
      <c r="H193" s="379">
        <f t="shared" si="84"/>
        <v>0</v>
      </c>
      <c r="I193" s="379">
        <f t="shared" si="84"/>
        <v>0</v>
      </c>
      <c r="J193" s="379">
        <f t="shared" si="84"/>
        <v>0</v>
      </c>
      <c r="K193" s="379">
        <f t="shared" si="84"/>
        <v>0</v>
      </c>
      <c r="L193" s="379">
        <f t="shared" si="84"/>
        <v>0</v>
      </c>
      <c r="M193" s="379">
        <f t="shared" si="84"/>
        <v>0</v>
      </c>
      <c r="N193" s="379">
        <f t="shared" si="84"/>
        <v>0</v>
      </c>
      <c r="O193" s="379">
        <f t="shared" si="84"/>
        <v>0</v>
      </c>
      <c r="P193" s="379">
        <f t="shared" si="84"/>
        <v>0</v>
      </c>
      <c r="Q193" s="379">
        <f t="shared" si="84"/>
        <v>0</v>
      </c>
      <c r="R193" s="379">
        <f t="shared" si="84"/>
        <v>0</v>
      </c>
      <c r="S193" s="379">
        <f t="shared" si="84"/>
        <v>0</v>
      </c>
      <c r="T193" s="379">
        <f t="shared" si="84"/>
        <v>0</v>
      </c>
      <c r="U193" s="379">
        <f t="shared" si="84"/>
        <v>0</v>
      </c>
      <c r="V193" s="379">
        <f t="shared" si="84"/>
        <v>0</v>
      </c>
      <c r="W193" s="379">
        <f t="shared" si="84"/>
        <v>0</v>
      </c>
      <c r="X193" s="379">
        <f t="shared" si="84"/>
        <v>0</v>
      </c>
      <c r="Y193" s="379">
        <f t="shared" si="84"/>
        <v>0</v>
      </c>
      <c r="Z193" s="379">
        <f t="shared" si="84"/>
        <v>0</v>
      </c>
      <c r="AA193" s="379">
        <f t="shared" si="84"/>
        <v>0</v>
      </c>
      <c r="AB193" s="379">
        <f t="shared" si="84"/>
        <v>0</v>
      </c>
      <c r="AC193" s="379">
        <f t="shared" si="84"/>
        <v>0</v>
      </c>
      <c r="AD193" s="379">
        <f t="shared" si="84"/>
        <v>0</v>
      </c>
      <c r="AE193" s="379">
        <f t="shared" si="84"/>
        <v>0</v>
      </c>
      <c r="AF193" s="379">
        <f t="shared" si="84"/>
        <v>0</v>
      </c>
      <c r="AG193" s="379">
        <f t="shared" si="84"/>
        <v>0</v>
      </c>
      <c r="AH193" s="379">
        <f t="shared" si="84"/>
        <v>0</v>
      </c>
      <c r="AI193" s="379">
        <f t="shared" si="84"/>
        <v>0</v>
      </c>
      <c r="AJ193" s="379">
        <f t="shared" si="84"/>
        <v>0</v>
      </c>
      <c r="AK193" s="379">
        <f t="shared" si="84"/>
        <v>0</v>
      </c>
      <c r="AL193" s="379">
        <f t="shared" si="84"/>
        <v>0</v>
      </c>
      <c r="AM193" s="379">
        <f t="shared" si="84"/>
        <v>0</v>
      </c>
      <c r="AN193" s="379">
        <f t="shared" si="84"/>
        <v>0</v>
      </c>
      <c r="AO193" s="379">
        <f t="shared" si="84"/>
        <v>0</v>
      </c>
      <c r="AP193" s="379">
        <f t="shared" si="84"/>
        <v>0</v>
      </c>
      <c r="AQ193" s="380">
        <f t="shared" si="84"/>
        <v>0</v>
      </c>
      <c r="AR193" s="86"/>
    </row>
    <row r="194" spans="1:44" s="315" customFormat="1" ht="14.25" hidden="1">
      <c r="A194" s="1210" t="s">
        <v>328</v>
      </c>
      <c r="B194" s="927"/>
      <c r="C194" s="928"/>
      <c r="D194" s="381">
        <f>SUM(D182:G182)</f>
        <v>0</v>
      </c>
      <c r="E194" s="382">
        <f t="shared" ref="E194:AQ194" si="85">D194+D193</f>
        <v>0</v>
      </c>
      <c r="F194" s="382">
        <f t="shared" si="85"/>
        <v>0</v>
      </c>
      <c r="G194" s="382">
        <f t="shared" si="85"/>
        <v>0</v>
      </c>
      <c r="H194" s="382">
        <f t="shared" si="85"/>
        <v>0</v>
      </c>
      <c r="I194" s="382">
        <f t="shared" si="85"/>
        <v>0</v>
      </c>
      <c r="J194" s="382">
        <f t="shared" si="85"/>
        <v>0</v>
      </c>
      <c r="K194" s="382">
        <f t="shared" si="85"/>
        <v>0</v>
      </c>
      <c r="L194" s="382">
        <f t="shared" si="85"/>
        <v>0</v>
      </c>
      <c r="M194" s="382">
        <f t="shared" si="85"/>
        <v>0</v>
      </c>
      <c r="N194" s="382">
        <f t="shared" si="85"/>
        <v>0</v>
      </c>
      <c r="O194" s="382">
        <f t="shared" si="85"/>
        <v>0</v>
      </c>
      <c r="P194" s="382">
        <f t="shared" si="85"/>
        <v>0</v>
      </c>
      <c r="Q194" s="382">
        <f t="shared" si="85"/>
        <v>0</v>
      </c>
      <c r="R194" s="382">
        <f t="shared" si="85"/>
        <v>0</v>
      </c>
      <c r="S194" s="382">
        <f t="shared" si="85"/>
        <v>0</v>
      </c>
      <c r="T194" s="382">
        <f t="shared" si="85"/>
        <v>0</v>
      </c>
      <c r="U194" s="382">
        <f t="shared" si="85"/>
        <v>0</v>
      </c>
      <c r="V194" s="382">
        <f t="shared" si="85"/>
        <v>0</v>
      </c>
      <c r="W194" s="382">
        <f t="shared" si="85"/>
        <v>0</v>
      </c>
      <c r="X194" s="382">
        <f t="shared" si="85"/>
        <v>0</v>
      </c>
      <c r="Y194" s="382">
        <f t="shared" si="85"/>
        <v>0</v>
      </c>
      <c r="Z194" s="382">
        <f t="shared" si="85"/>
        <v>0</v>
      </c>
      <c r="AA194" s="382">
        <f t="shared" si="85"/>
        <v>0</v>
      </c>
      <c r="AB194" s="382">
        <f t="shared" si="85"/>
        <v>0</v>
      </c>
      <c r="AC194" s="382">
        <f t="shared" si="85"/>
        <v>0</v>
      </c>
      <c r="AD194" s="382">
        <f t="shared" si="85"/>
        <v>0</v>
      </c>
      <c r="AE194" s="382">
        <f t="shared" si="85"/>
        <v>0</v>
      </c>
      <c r="AF194" s="382">
        <f t="shared" si="85"/>
        <v>0</v>
      </c>
      <c r="AG194" s="382">
        <f t="shared" si="85"/>
        <v>0</v>
      </c>
      <c r="AH194" s="382">
        <f t="shared" si="85"/>
        <v>0</v>
      </c>
      <c r="AI194" s="382">
        <f t="shared" si="85"/>
        <v>0</v>
      </c>
      <c r="AJ194" s="382">
        <f t="shared" si="85"/>
        <v>0</v>
      </c>
      <c r="AK194" s="382">
        <f t="shared" si="85"/>
        <v>0</v>
      </c>
      <c r="AL194" s="382">
        <f t="shared" si="85"/>
        <v>0</v>
      </c>
      <c r="AM194" s="382">
        <f t="shared" si="85"/>
        <v>0</v>
      </c>
      <c r="AN194" s="382">
        <f t="shared" si="85"/>
        <v>0</v>
      </c>
      <c r="AO194" s="382">
        <f t="shared" si="85"/>
        <v>0</v>
      </c>
      <c r="AP194" s="382">
        <f t="shared" si="85"/>
        <v>0</v>
      </c>
      <c r="AQ194" s="383">
        <f t="shared" si="85"/>
        <v>0</v>
      </c>
      <c r="AR194"/>
    </row>
    <row r="195" spans="1:44" s="315" customFormat="1" ht="14.25" hidden="1">
      <c r="A195" s="1210" t="s">
        <v>329</v>
      </c>
      <c r="B195" s="927"/>
      <c r="C195" s="928"/>
      <c r="D195" s="384" t="e">
        <f t="shared" ref="D195:AQ195" si="86">(D194)/SUM($D179:$G179)*100</f>
        <v>#DIV/0!</v>
      </c>
      <c r="E195" s="384" t="e">
        <f t="shared" si="86"/>
        <v>#DIV/0!</v>
      </c>
      <c r="F195" s="384" t="e">
        <f t="shared" si="86"/>
        <v>#DIV/0!</v>
      </c>
      <c r="G195" s="384" t="e">
        <f t="shared" si="86"/>
        <v>#DIV/0!</v>
      </c>
      <c r="H195" s="384" t="e">
        <f t="shared" si="86"/>
        <v>#DIV/0!</v>
      </c>
      <c r="I195" s="384" t="e">
        <f t="shared" si="86"/>
        <v>#DIV/0!</v>
      </c>
      <c r="J195" s="384" t="e">
        <f t="shared" si="86"/>
        <v>#DIV/0!</v>
      </c>
      <c r="K195" s="384" t="e">
        <f t="shared" si="86"/>
        <v>#DIV/0!</v>
      </c>
      <c r="L195" s="384" t="e">
        <f t="shared" si="86"/>
        <v>#DIV/0!</v>
      </c>
      <c r="M195" s="384" t="e">
        <f t="shared" si="86"/>
        <v>#DIV/0!</v>
      </c>
      <c r="N195" s="384" t="e">
        <f t="shared" si="86"/>
        <v>#DIV/0!</v>
      </c>
      <c r="O195" s="384" t="e">
        <f t="shared" si="86"/>
        <v>#DIV/0!</v>
      </c>
      <c r="P195" s="384" t="e">
        <f t="shared" si="86"/>
        <v>#DIV/0!</v>
      </c>
      <c r="Q195" s="384" t="e">
        <f t="shared" si="86"/>
        <v>#DIV/0!</v>
      </c>
      <c r="R195" s="384" t="e">
        <f t="shared" si="86"/>
        <v>#DIV/0!</v>
      </c>
      <c r="S195" s="384" t="e">
        <f t="shared" si="86"/>
        <v>#DIV/0!</v>
      </c>
      <c r="T195" s="384" t="e">
        <f t="shared" si="86"/>
        <v>#DIV/0!</v>
      </c>
      <c r="U195" s="384" t="e">
        <f t="shared" si="86"/>
        <v>#DIV/0!</v>
      </c>
      <c r="V195" s="384" t="e">
        <f t="shared" si="86"/>
        <v>#DIV/0!</v>
      </c>
      <c r="W195" s="384" t="e">
        <f t="shared" si="86"/>
        <v>#DIV/0!</v>
      </c>
      <c r="X195" s="384" t="e">
        <f t="shared" si="86"/>
        <v>#DIV/0!</v>
      </c>
      <c r="Y195" s="384" t="e">
        <f t="shared" si="86"/>
        <v>#DIV/0!</v>
      </c>
      <c r="Z195" s="384" t="e">
        <f t="shared" si="86"/>
        <v>#DIV/0!</v>
      </c>
      <c r="AA195" s="384" t="e">
        <f t="shared" si="86"/>
        <v>#DIV/0!</v>
      </c>
      <c r="AB195" s="384" t="e">
        <f t="shared" si="86"/>
        <v>#DIV/0!</v>
      </c>
      <c r="AC195" s="384" t="e">
        <f t="shared" si="86"/>
        <v>#DIV/0!</v>
      </c>
      <c r="AD195" s="384" t="e">
        <f t="shared" si="86"/>
        <v>#DIV/0!</v>
      </c>
      <c r="AE195" s="384" t="e">
        <f t="shared" si="86"/>
        <v>#DIV/0!</v>
      </c>
      <c r="AF195" s="384" t="e">
        <f t="shared" si="86"/>
        <v>#DIV/0!</v>
      </c>
      <c r="AG195" s="384" t="e">
        <f t="shared" si="86"/>
        <v>#DIV/0!</v>
      </c>
      <c r="AH195" s="384" t="e">
        <f t="shared" si="86"/>
        <v>#DIV/0!</v>
      </c>
      <c r="AI195" s="384" t="e">
        <f t="shared" si="86"/>
        <v>#DIV/0!</v>
      </c>
      <c r="AJ195" s="384" t="e">
        <f t="shared" si="86"/>
        <v>#DIV/0!</v>
      </c>
      <c r="AK195" s="384" t="e">
        <f t="shared" si="86"/>
        <v>#DIV/0!</v>
      </c>
      <c r="AL195" s="384" t="e">
        <f t="shared" si="86"/>
        <v>#DIV/0!</v>
      </c>
      <c r="AM195" s="384" t="e">
        <f t="shared" si="86"/>
        <v>#DIV/0!</v>
      </c>
      <c r="AN195" s="384" t="e">
        <f t="shared" si="86"/>
        <v>#DIV/0!</v>
      </c>
      <c r="AO195" s="384" t="e">
        <f t="shared" si="86"/>
        <v>#DIV/0!</v>
      </c>
      <c r="AP195" s="384" t="e">
        <f t="shared" si="86"/>
        <v>#DIV/0!</v>
      </c>
      <c r="AQ195" s="385" t="e">
        <f t="shared" si="86"/>
        <v>#DIV/0!</v>
      </c>
      <c r="AR195"/>
    </row>
    <row r="196" spans="1:44" s="315" customFormat="1" ht="15" thickBot="1">
      <c r="A196" s="1226" t="s">
        <v>329</v>
      </c>
      <c r="B196" s="1227"/>
      <c r="C196" s="1228"/>
      <c r="D196" s="386" t="str">
        <f t="shared" ref="D196:AQ196" si="87">IFERROR(D195,"")</f>
        <v/>
      </c>
      <c r="E196" s="387" t="str">
        <f t="shared" si="87"/>
        <v/>
      </c>
      <c r="F196" s="387" t="str">
        <f t="shared" si="87"/>
        <v/>
      </c>
      <c r="G196" s="387" t="str">
        <f t="shared" si="87"/>
        <v/>
      </c>
      <c r="H196" s="387" t="str">
        <f t="shared" si="87"/>
        <v/>
      </c>
      <c r="I196" s="387" t="str">
        <f t="shared" si="87"/>
        <v/>
      </c>
      <c r="J196" s="387" t="str">
        <f t="shared" si="87"/>
        <v/>
      </c>
      <c r="K196" s="387" t="str">
        <f t="shared" si="87"/>
        <v/>
      </c>
      <c r="L196" s="387" t="str">
        <f t="shared" si="87"/>
        <v/>
      </c>
      <c r="M196" s="387" t="str">
        <f t="shared" si="87"/>
        <v/>
      </c>
      <c r="N196" s="387" t="str">
        <f t="shared" si="87"/>
        <v/>
      </c>
      <c r="O196" s="387" t="str">
        <f t="shared" si="87"/>
        <v/>
      </c>
      <c r="P196" s="387" t="str">
        <f t="shared" si="87"/>
        <v/>
      </c>
      <c r="Q196" s="387" t="str">
        <f t="shared" si="87"/>
        <v/>
      </c>
      <c r="R196" s="387" t="str">
        <f t="shared" si="87"/>
        <v/>
      </c>
      <c r="S196" s="387" t="str">
        <f t="shared" si="87"/>
        <v/>
      </c>
      <c r="T196" s="387" t="str">
        <f t="shared" si="87"/>
        <v/>
      </c>
      <c r="U196" s="387" t="str">
        <f t="shared" si="87"/>
        <v/>
      </c>
      <c r="V196" s="387" t="str">
        <f t="shared" si="87"/>
        <v/>
      </c>
      <c r="W196" s="387" t="str">
        <f t="shared" si="87"/>
        <v/>
      </c>
      <c r="X196" s="387" t="str">
        <f t="shared" si="87"/>
        <v/>
      </c>
      <c r="Y196" s="387" t="str">
        <f t="shared" si="87"/>
        <v/>
      </c>
      <c r="Z196" s="387" t="str">
        <f t="shared" si="87"/>
        <v/>
      </c>
      <c r="AA196" s="387" t="str">
        <f t="shared" si="87"/>
        <v/>
      </c>
      <c r="AB196" s="387" t="str">
        <f t="shared" si="87"/>
        <v/>
      </c>
      <c r="AC196" s="387" t="str">
        <f t="shared" si="87"/>
        <v/>
      </c>
      <c r="AD196" s="387" t="str">
        <f t="shared" si="87"/>
        <v/>
      </c>
      <c r="AE196" s="387" t="str">
        <f t="shared" si="87"/>
        <v/>
      </c>
      <c r="AF196" s="387" t="str">
        <f t="shared" si="87"/>
        <v/>
      </c>
      <c r="AG196" s="387" t="str">
        <f t="shared" si="87"/>
        <v/>
      </c>
      <c r="AH196" s="387" t="str">
        <f t="shared" si="87"/>
        <v/>
      </c>
      <c r="AI196" s="387" t="str">
        <f t="shared" si="87"/>
        <v/>
      </c>
      <c r="AJ196" s="387" t="str">
        <f t="shared" si="87"/>
        <v/>
      </c>
      <c r="AK196" s="387" t="str">
        <f t="shared" si="87"/>
        <v/>
      </c>
      <c r="AL196" s="387" t="str">
        <f t="shared" si="87"/>
        <v/>
      </c>
      <c r="AM196" s="387" t="str">
        <f t="shared" si="87"/>
        <v/>
      </c>
      <c r="AN196" s="387" t="str">
        <f t="shared" si="87"/>
        <v/>
      </c>
      <c r="AO196" s="387" t="str">
        <f t="shared" si="87"/>
        <v/>
      </c>
      <c r="AP196" s="387" t="str">
        <f t="shared" si="87"/>
        <v/>
      </c>
      <c r="AQ196" s="388" t="str">
        <f t="shared" si="87"/>
        <v/>
      </c>
      <c r="AR196" s="86"/>
    </row>
    <row r="198" spans="1:44" s="315" customFormat="1" ht="14.25" hidden="1">
      <c r="A198" s="336"/>
      <c r="B198" s="336" t="s">
        <v>172</v>
      </c>
      <c r="C198" s="336" t="s">
        <v>173</v>
      </c>
      <c r="D198" s="337" t="s">
        <v>174</v>
      </c>
      <c r="E198" s="336" t="s">
        <v>175</v>
      </c>
      <c r="F198" s="336" t="s">
        <v>176</v>
      </c>
      <c r="G198" s="336" t="s">
        <v>177</v>
      </c>
      <c r="H198" s="336" t="s">
        <v>178</v>
      </c>
      <c r="I198" s="336" t="s">
        <v>179</v>
      </c>
      <c r="J198" s="336" t="s">
        <v>180</v>
      </c>
      <c r="K198" s="336" t="s">
        <v>181</v>
      </c>
      <c r="L198" s="336" t="s">
        <v>298</v>
      </c>
      <c r="M198" s="336" t="s">
        <v>299</v>
      </c>
      <c r="N198" s="336" t="s">
        <v>300</v>
      </c>
      <c r="O198" s="336" t="s">
        <v>301</v>
      </c>
      <c r="P198" s="336" t="s">
        <v>302</v>
      </c>
      <c r="Q198" s="336" t="s">
        <v>303</v>
      </c>
      <c r="R198" s="336" t="s">
        <v>304</v>
      </c>
      <c r="S198" s="336" t="s">
        <v>305</v>
      </c>
      <c r="T198" s="336" t="s">
        <v>306</v>
      </c>
      <c r="U198" s="336" t="s">
        <v>307</v>
      </c>
      <c r="AR198"/>
    </row>
    <row r="199" spans="1:44" s="315" customFormat="1" ht="14.25" hidden="1">
      <c r="A199" s="338" t="s">
        <v>182</v>
      </c>
      <c r="B199" s="338" t="str">
        <f t="array" aca="1" ref="B199" ca="1">IFERROR(OFFSET(INDEX(185:185,SMALL(IF(185:185&lt;&gt;"",COLUMN(185:185)),COLUMN())),-1,0),"")</f>
        <v/>
      </c>
      <c r="C199" s="338" t="str">
        <f t="array" aca="1" ref="C199" ca="1">IFERROR(OFFSET(INDEX(185:185,SMALL(IF(185:185&lt;&gt;"",COLUMN(185:185)),COLUMN())),-1,0),"")</f>
        <v/>
      </c>
      <c r="D199" s="338" t="str">
        <f t="array" aca="1" ref="D199" ca="1">IFERROR(OFFSET(INDEX(185:185,SMALL(IF(185:185&lt;&gt;"",COLUMN(185:185)),COLUMN())),-1,0),"")</f>
        <v/>
      </c>
      <c r="E199" s="338" t="str">
        <f t="array" aca="1" ref="E199" ca="1">IFERROR(OFFSET(INDEX(185:185,SMALL(IF(185:185&lt;&gt;"",COLUMN(185:185)),COLUMN())),-1,0),"")</f>
        <v/>
      </c>
      <c r="F199" s="338" t="str">
        <f t="array" aca="1" ref="F199" ca="1">IFERROR(OFFSET(INDEX(185:185,SMALL(IF(185:185&lt;&gt;"",COLUMN(185:185)),COLUMN())),-1,0),"")</f>
        <v/>
      </c>
      <c r="G199" s="338" t="str">
        <f t="array" aca="1" ref="G199" ca="1">IFERROR(OFFSET(INDEX(185:185,SMALL(IF(185:185&lt;&gt;"",COLUMN(185:185)),COLUMN())),-1,0),"")</f>
        <v/>
      </c>
      <c r="H199" s="338" t="str">
        <f t="array" aca="1" ref="H199" ca="1">IFERROR(OFFSET(INDEX(185:185,SMALL(IF(185:185&lt;&gt;"",COLUMN(185:185)),COLUMN())),-1,0),"")</f>
        <v/>
      </c>
      <c r="I199" s="338" t="str">
        <f t="array" aca="1" ref="I199" ca="1">IFERROR(OFFSET(INDEX(185:185,SMALL(IF(185:185&lt;&gt;"",COLUMN(185:185)),COLUMN())),-1,0),"")</f>
        <v/>
      </c>
      <c r="J199" s="338" t="str">
        <f t="array" aca="1" ref="J199" ca="1">IFERROR(OFFSET(INDEX(185:185,SMALL(IF(185:185&lt;&gt;"",COLUMN(185:185)),COLUMN())),-1,0),"")</f>
        <v/>
      </c>
      <c r="K199" s="338" t="str">
        <f t="array" aca="1" ref="K199" ca="1">IFERROR(OFFSET(INDEX(185:185,SMALL(IF(185:185&lt;&gt;"",COLUMN(185:185)),COLUMN())),-1,0),"")</f>
        <v/>
      </c>
      <c r="L199" s="338" t="str">
        <f t="array" aca="1" ref="L199" ca="1">IFERROR(OFFSET(INDEX(185:185,SMALL(IF(185:185&lt;&gt;"",COLUMN(185:185)),COLUMN())),-1,0),"")</f>
        <v/>
      </c>
      <c r="M199" s="338" t="str">
        <f t="array" aca="1" ref="M199" ca="1">IFERROR(OFFSET(INDEX(185:185,SMALL(IF(185:185&lt;&gt;"",COLUMN(185:185)),COLUMN())),-1,0),"")</f>
        <v/>
      </c>
      <c r="N199" s="338" t="str">
        <f t="array" aca="1" ref="N199" ca="1">IFERROR(OFFSET(INDEX(185:185,SMALL(IF(185:185&lt;&gt;"",COLUMN(185:185)),COLUMN())),-1,0),"")</f>
        <v/>
      </c>
      <c r="O199" s="338" t="str">
        <f t="array" aca="1" ref="O199" ca="1">IFERROR(OFFSET(INDEX(185:185,SMALL(IF(185:185&lt;&gt;"",COLUMN(185:185)),COLUMN())),-1,0),"")</f>
        <v/>
      </c>
      <c r="P199" s="338" t="str">
        <f t="array" aca="1" ref="P199" ca="1">IFERROR(OFFSET(INDEX(185:185,SMALL(IF(185:185&lt;&gt;"",COLUMN(185:185)),COLUMN())),-1,0),"")</f>
        <v/>
      </c>
      <c r="Q199" s="338" t="str">
        <f t="array" aca="1" ref="Q199" ca="1">IFERROR(OFFSET(INDEX(185:185,SMALL(IF(185:185&lt;&gt;"",COLUMN(185:185)),COLUMN())),-1,0),"")</f>
        <v/>
      </c>
      <c r="R199" s="338" t="str">
        <f t="array" aca="1" ref="R199" ca="1">IFERROR(OFFSET(INDEX(185:185,SMALL(IF(185:185&lt;&gt;"",COLUMN(185:185)),COLUMN())),-1,0),"")</f>
        <v/>
      </c>
      <c r="S199" s="338" t="str">
        <f t="array" aca="1" ref="S199" ca="1">IFERROR(OFFSET(INDEX(185:185,SMALL(IF(185:185&lt;&gt;"",COLUMN(185:185)),COLUMN())),-1,0),"")</f>
        <v/>
      </c>
      <c r="T199" s="338" t="str">
        <f t="array" aca="1" ref="T199" ca="1">IFERROR(OFFSET(INDEX(185:185,SMALL(IF(185:185&lt;&gt;"",COLUMN(185:185)),COLUMN())),-1,0),"")</f>
        <v/>
      </c>
      <c r="U199" s="338" t="str">
        <f t="array" aca="1" ref="U199" ca="1">IFERROR(OFFSET(INDEX(185:185,SMALL(IF(185:185&lt;&gt;"",COLUMN(185:185)),COLUMN())),-1,0),"")</f>
        <v/>
      </c>
      <c r="AR199"/>
    </row>
    <row r="200" spans="1:44" s="315" customFormat="1" ht="14.25" hidden="1">
      <c r="A200" s="338" t="str">
        <f t="array" ref="A200">IFERROR(INDEX(185:185,SMALL(IF(185:185&lt;&gt;"",COLUMN(185:185)),COLUMN())),"")</f>
        <v>追水量（L)</v>
      </c>
      <c r="B200" s="338" t="str">
        <f t="array" ref="B200">IFERROR(INDEX(185:185,SMALL(IF(185:185&lt;&gt;"",COLUMN(185:185)),COLUMN())),"")</f>
        <v/>
      </c>
      <c r="C200" s="338" t="str">
        <f t="array" ref="C200">IFERROR(INDEX(185:185,SMALL(IF(185:185&lt;&gt;"",COLUMN(185:185)),COLUMN())),"")</f>
        <v/>
      </c>
      <c r="D200" s="338" t="str">
        <f t="array" ref="D200">IFERROR(INDEX(185:185,SMALL(IF(185:185&lt;&gt;"",COLUMN(185:185)),COLUMN())),"")</f>
        <v/>
      </c>
      <c r="E200" s="338" t="str">
        <f t="array" ref="E200">IFERROR(INDEX(185:185,SMALL(IF(185:185&lt;&gt;"",COLUMN(185:185)),COLUMN())),"")</f>
        <v/>
      </c>
      <c r="F200" s="338" t="str">
        <f t="array" ref="F200">IFERROR(INDEX(185:185,SMALL(IF(185:185&lt;&gt;"",COLUMN(185:185)),COLUMN())),"")</f>
        <v/>
      </c>
      <c r="G200" s="338" t="str">
        <f t="array" ref="G200">IFERROR(INDEX(185:185,SMALL(IF(185:185&lt;&gt;"",COLUMN(185:185)),COLUMN())),"")</f>
        <v/>
      </c>
      <c r="H200" s="338" t="str">
        <f t="array" ref="H200">IFERROR(INDEX(185:185,SMALL(IF(185:185&lt;&gt;"",COLUMN(185:185)),COLUMN())),"")</f>
        <v/>
      </c>
      <c r="I200" s="338" t="str">
        <f t="array" ref="I200">IFERROR(INDEX(185:185,SMALL(IF(185:185&lt;&gt;"",COLUMN(185:185)),COLUMN())),"")</f>
        <v/>
      </c>
      <c r="J200" s="338" t="str">
        <f t="array" ref="J200">IFERROR(INDEX(185:185,SMALL(IF(185:185&lt;&gt;"",COLUMN(185:185)),COLUMN())),"")</f>
        <v/>
      </c>
      <c r="K200" s="338" t="str">
        <f t="array" ref="K200">IFERROR(INDEX(185:185,SMALL(IF(185:185&lt;&gt;"",COLUMN(185:185)),COLUMN())),"")</f>
        <v/>
      </c>
      <c r="L200" s="338" t="str">
        <f t="array" ref="L200">IFERROR(INDEX(185:185,SMALL(IF(185:185&lt;&gt;"",COLUMN(185:185)),COLUMN())),"")</f>
        <v/>
      </c>
      <c r="M200" s="338" t="str">
        <f t="array" ref="M200">IFERROR(INDEX(185:185,SMALL(IF(185:185&lt;&gt;"",COLUMN(185:185)),COLUMN())),"")</f>
        <v/>
      </c>
      <c r="N200" s="338" t="str">
        <f t="array" ref="N200">IFERROR(INDEX(185:185,SMALL(IF(185:185&lt;&gt;"",COLUMN(185:185)),COLUMN())),"")</f>
        <v/>
      </c>
      <c r="O200" s="338" t="str">
        <f t="array" ref="O200">IFERROR(INDEX(185:185,SMALL(IF(185:185&lt;&gt;"",COLUMN(185:185)),COLUMN())),"")</f>
        <v/>
      </c>
      <c r="P200" s="338" t="str">
        <f t="array" ref="P200">IFERROR(INDEX(185:185,SMALL(IF(185:185&lt;&gt;"",COLUMN(185:185)),COLUMN())),"")</f>
        <v/>
      </c>
      <c r="Q200" s="338" t="str">
        <f t="array" ref="Q200">IFERROR(INDEX(185:185,SMALL(IF(185:185&lt;&gt;"",COLUMN(185:185)),COLUMN())),"")</f>
        <v/>
      </c>
      <c r="R200" s="338" t="str">
        <f t="array" ref="R200">IFERROR(INDEX(185:185,SMALL(IF(185:185&lt;&gt;"",COLUMN(185:185)),COLUMN())),"")</f>
        <v/>
      </c>
      <c r="S200" s="338" t="str">
        <f t="array" ref="S200">IFERROR(INDEX(185:185,SMALL(IF(185:185&lt;&gt;"",COLUMN(185:185)),COLUMN())),"")</f>
        <v/>
      </c>
      <c r="T200" s="338" t="str">
        <f t="array" ref="T200">IFERROR(INDEX(185:185,SMALL(IF(185:185&lt;&gt;"",COLUMN(185:185)),COLUMN())),"")</f>
        <v/>
      </c>
      <c r="U200" s="338" t="str">
        <f t="array" ref="U200">IFERROR(INDEX(185:185,SMALL(IF(185:185&lt;&gt;"",COLUMN(185:185)),COLUMN())),"")</f>
        <v/>
      </c>
      <c r="AR200"/>
    </row>
    <row r="201" spans="1:44" s="315" customFormat="1" ht="14.25" hidden="1">
      <c r="A201" s="627" t="s">
        <v>183</v>
      </c>
      <c r="B201" s="627"/>
      <c r="C201" s="627"/>
      <c r="D201" s="339" t="s">
        <v>184</v>
      </c>
      <c r="E201" s="339" t="s">
        <v>185</v>
      </c>
      <c r="F201" s="339" t="s">
        <v>186</v>
      </c>
      <c r="G201" s="339" t="s">
        <v>187</v>
      </c>
      <c r="H201" s="339" t="s">
        <v>188</v>
      </c>
      <c r="I201" s="339" t="s">
        <v>189</v>
      </c>
      <c r="J201" s="339" t="s">
        <v>190</v>
      </c>
      <c r="K201" s="339" t="s">
        <v>191</v>
      </c>
      <c r="L201" s="337" t="s">
        <v>192</v>
      </c>
      <c r="M201" s="337" t="s">
        <v>193</v>
      </c>
      <c r="N201" s="337" t="s">
        <v>194</v>
      </c>
      <c r="O201" s="337" t="s">
        <v>308</v>
      </c>
      <c r="P201" s="337" t="s">
        <v>309</v>
      </c>
      <c r="Q201" s="337" t="s">
        <v>310</v>
      </c>
      <c r="R201" s="337" t="s">
        <v>311</v>
      </c>
      <c r="S201" s="337" t="s">
        <v>312</v>
      </c>
      <c r="T201" s="337" t="s">
        <v>313</v>
      </c>
      <c r="U201" s="337" t="s">
        <v>314</v>
      </c>
      <c r="V201" s="337" t="s">
        <v>315</v>
      </c>
      <c r="W201" s="337" t="s">
        <v>316</v>
      </c>
      <c r="X201" s="337" t="s">
        <v>317</v>
      </c>
      <c r="AR201"/>
    </row>
    <row r="202" spans="1:44" s="315" customFormat="1" ht="14.25" hidden="1">
      <c r="A202" s="628"/>
      <c r="B202" s="628"/>
      <c r="C202" s="628"/>
      <c r="D202" s="340" t="e">
        <f>SUM(D182:G182)/SUM(D179:G179)*100</f>
        <v>#DIV/0!</v>
      </c>
      <c r="E202" s="340" t="e">
        <f>(SUM(D182:G182)+SUM(B200:B200))/SUM(D179:G179)*100</f>
        <v>#DIV/0!</v>
      </c>
      <c r="F202" s="340" t="e">
        <f>(SUM(D182:G182)+SUM(B200:C200))/SUM(D179:G179)*100</f>
        <v>#DIV/0!</v>
      </c>
      <c r="G202" s="340" t="e">
        <f>(SUM(D182:G182)+SUM(B200:D200))/SUM(D179:G179)*100</f>
        <v>#DIV/0!</v>
      </c>
      <c r="H202" s="340" t="e">
        <f>(SUM(D182:G182)+SUM(B200:E200))/SUM(D179:G179)*100</f>
        <v>#DIV/0!</v>
      </c>
      <c r="I202" s="341" t="e">
        <f>(SUM(D182:G182)+SUM(B200:F200))/SUM(D179:G179)*100</f>
        <v>#DIV/0!</v>
      </c>
      <c r="J202" s="340" t="e">
        <f>(SUM(D182:G182)+SUM(B200:G200))/SUM(D179:G179)*100</f>
        <v>#DIV/0!</v>
      </c>
      <c r="K202" s="340" t="e">
        <f>(SUM(D182:G182)+SUM(B200:H200))/SUM(D179:G179)*100</f>
        <v>#DIV/0!</v>
      </c>
      <c r="L202" s="340" t="e">
        <f>(SUM(D182:G182)+SUM(B200:I200))/SUM(D179:G179)*100</f>
        <v>#DIV/0!</v>
      </c>
      <c r="M202" s="340" t="e">
        <f>(SUM(D182:G182)+SUM(B200:J200))/SUM(D179:G179)*100</f>
        <v>#DIV/0!</v>
      </c>
      <c r="N202" s="340" t="e">
        <f>(SUM(D182:G182)+SUM(B200:K200))/SUM(D179:G179)*100</f>
        <v>#DIV/0!</v>
      </c>
      <c r="O202" s="342" t="e">
        <f>(SUM(D182:G182)+SUM(B200:L200))/SUM(D179:G179)*100</f>
        <v>#DIV/0!</v>
      </c>
      <c r="P202" s="343" t="e">
        <f>(SUM(D182:G182)+SUM(B200:M200))/SUM(D179:G179)*100</f>
        <v>#DIV/0!</v>
      </c>
      <c r="Q202" s="343" t="e">
        <f>(SUM(D182:G182)+SUM(B200:N200))/SUM(D179:G179)*100</f>
        <v>#DIV/0!</v>
      </c>
      <c r="R202" s="343" t="e">
        <f>(SUM(D182:G182)+SUM(B200:O200))/SUM(D179:G179)*100</f>
        <v>#DIV/0!</v>
      </c>
      <c r="S202" s="343" t="e">
        <f>(SUM(D182:G182)+SUM(B200:P200))/SUM(D179:G179)*100</f>
        <v>#DIV/0!</v>
      </c>
      <c r="T202" s="343" t="e">
        <f>(SUM(D182:G182)+SUM(B200:Q200))/SUM(D179:G179)*100</f>
        <v>#DIV/0!</v>
      </c>
      <c r="U202" s="343" t="e">
        <f>(SUM(D182:G182)+SUM(B200:R200))/SUM(D179:G179)*100</f>
        <v>#DIV/0!</v>
      </c>
      <c r="V202" s="343" t="e">
        <f>(SUM(D182:G182)+SUM(B200:S200))/SUM(D179:G179)*100</f>
        <v>#DIV/0!</v>
      </c>
      <c r="W202" s="343" t="e">
        <f>(SUM(D182:G182)+SUM(B200:T200))/SUM(D179:G179)*100</f>
        <v>#DIV/0!</v>
      </c>
      <c r="X202" s="343" t="e">
        <f>(SUM(D182:G182)+SUM(B200:U200))/SUM(D179:G179)*100</f>
        <v>#DIV/0!</v>
      </c>
      <c r="AR202"/>
    </row>
    <row r="203" spans="1:44" s="315" customFormat="1" ht="14.25" hidden="1">
      <c r="AR203"/>
    </row>
    <row r="204" spans="1:44" s="315" customFormat="1" ht="14.25" hidden="1">
      <c r="A204" s="610" t="s">
        <v>126</v>
      </c>
      <c r="B204" s="611"/>
      <c r="C204" s="611"/>
      <c r="E204" s="344" t="e">
        <f t="shared" ref="E204:AQ204" si="88">IF(E186="",IF(E187="",NA(),E187/-10),E186)</f>
        <v>#N/A</v>
      </c>
      <c r="F204" s="344" t="e">
        <f t="shared" si="88"/>
        <v>#N/A</v>
      </c>
      <c r="G204" s="344" t="e">
        <f t="shared" si="88"/>
        <v>#N/A</v>
      </c>
      <c r="H204" s="344" t="e">
        <f t="shared" si="88"/>
        <v>#N/A</v>
      </c>
      <c r="I204" s="344" t="e">
        <f t="shared" si="88"/>
        <v>#N/A</v>
      </c>
      <c r="J204" s="344" t="e">
        <f t="shared" si="88"/>
        <v>#N/A</v>
      </c>
      <c r="K204" s="344" t="e">
        <f t="shared" si="88"/>
        <v>#N/A</v>
      </c>
      <c r="L204" s="344" t="e">
        <f t="shared" si="88"/>
        <v>#N/A</v>
      </c>
      <c r="M204" s="344" t="e">
        <f t="shared" si="88"/>
        <v>#N/A</v>
      </c>
      <c r="N204" s="344" t="e">
        <f t="shared" si="88"/>
        <v>#N/A</v>
      </c>
      <c r="O204" s="344" t="e">
        <f t="shared" si="88"/>
        <v>#N/A</v>
      </c>
      <c r="P204" s="344" t="e">
        <f t="shared" si="88"/>
        <v>#N/A</v>
      </c>
      <c r="Q204" s="344" t="e">
        <f t="shared" si="88"/>
        <v>#N/A</v>
      </c>
      <c r="R204" s="344" t="e">
        <f t="shared" si="88"/>
        <v>#N/A</v>
      </c>
      <c r="S204" s="344" t="e">
        <f t="shared" si="88"/>
        <v>#N/A</v>
      </c>
      <c r="T204" s="344" t="e">
        <f t="shared" si="88"/>
        <v>#N/A</v>
      </c>
      <c r="U204" s="344" t="e">
        <f t="shared" si="88"/>
        <v>#N/A</v>
      </c>
      <c r="V204" s="344" t="e">
        <f t="shared" si="88"/>
        <v>#N/A</v>
      </c>
      <c r="W204" s="344" t="e">
        <f t="shared" si="88"/>
        <v>#N/A</v>
      </c>
      <c r="X204" s="344" t="e">
        <f t="shared" si="88"/>
        <v>#N/A</v>
      </c>
      <c r="Y204" s="344" t="e">
        <f t="shared" si="88"/>
        <v>#N/A</v>
      </c>
      <c r="Z204" s="344" t="e">
        <f t="shared" si="88"/>
        <v>#N/A</v>
      </c>
      <c r="AA204" s="344" t="e">
        <f t="shared" si="88"/>
        <v>#N/A</v>
      </c>
      <c r="AB204" s="344" t="e">
        <f t="shared" si="88"/>
        <v>#N/A</v>
      </c>
      <c r="AC204" s="344" t="e">
        <f t="shared" si="88"/>
        <v>#N/A</v>
      </c>
      <c r="AD204" s="344" t="e">
        <f t="shared" si="88"/>
        <v>#N/A</v>
      </c>
      <c r="AE204" s="344" t="e">
        <f t="shared" si="88"/>
        <v>#N/A</v>
      </c>
      <c r="AF204" s="344" t="e">
        <f t="shared" si="88"/>
        <v>#N/A</v>
      </c>
      <c r="AG204" s="344" t="e">
        <f t="shared" si="88"/>
        <v>#N/A</v>
      </c>
      <c r="AH204" s="344" t="e">
        <f t="shared" si="88"/>
        <v>#N/A</v>
      </c>
      <c r="AI204" s="344" t="e">
        <f t="shared" si="88"/>
        <v>#N/A</v>
      </c>
      <c r="AJ204" s="344" t="e">
        <f t="shared" si="88"/>
        <v>#N/A</v>
      </c>
      <c r="AK204" s="344" t="e">
        <f t="shared" si="88"/>
        <v>#N/A</v>
      </c>
      <c r="AL204" s="344" t="e">
        <f t="shared" si="88"/>
        <v>#N/A</v>
      </c>
      <c r="AM204" s="344" t="e">
        <f t="shared" si="88"/>
        <v>#N/A</v>
      </c>
      <c r="AN204" s="344" t="e">
        <f t="shared" si="88"/>
        <v>#N/A</v>
      </c>
      <c r="AO204" s="344" t="e">
        <f t="shared" si="88"/>
        <v>#N/A</v>
      </c>
      <c r="AP204" s="344" t="e">
        <f t="shared" si="88"/>
        <v>#N/A</v>
      </c>
      <c r="AQ204" s="344" t="e">
        <f t="shared" si="88"/>
        <v>#N/A</v>
      </c>
      <c r="AR204"/>
    </row>
    <row r="205" spans="1:44" s="315" customFormat="1" ht="14.25" hidden="1">
      <c r="A205" s="629" t="s">
        <v>42</v>
      </c>
      <c r="B205" s="629"/>
      <c r="C205" s="612"/>
      <c r="E205" s="345" t="e">
        <f t="shared" ref="E205:AQ205" si="89">IF(E204="",NA(),E204*(-10))</f>
        <v>#N/A</v>
      </c>
      <c r="F205" s="345" t="e">
        <f t="shared" si="89"/>
        <v>#N/A</v>
      </c>
      <c r="G205" s="345" t="e">
        <f t="shared" si="89"/>
        <v>#N/A</v>
      </c>
      <c r="H205" s="345" t="e">
        <f t="shared" si="89"/>
        <v>#N/A</v>
      </c>
      <c r="I205" s="345" t="e">
        <f t="shared" si="89"/>
        <v>#N/A</v>
      </c>
      <c r="J205" s="345" t="e">
        <f t="shared" si="89"/>
        <v>#N/A</v>
      </c>
      <c r="K205" s="345" t="e">
        <f t="shared" si="89"/>
        <v>#N/A</v>
      </c>
      <c r="L205" s="345" t="e">
        <f t="shared" si="89"/>
        <v>#N/A</v>
      </c>
      <c r="M205" s="345" t="e">
        <f t="shared" si="89"/>
        <v>#N/A</v>
      </c>
      <c r="N205" s="345" t="e">
        <f t="shared" si="89"/>
        <v>#N/A</v>
      </c>
      <c r="O205" s="345" t="e">
        <f t="shared" si="89"/>
        <v>#N/A</v>
      </c>
      <c r="P205" s="345" t="e">
        <f t="shared" si="89"/>
        <v>#N/A</v>
      </c>
      <c r="Q205" s="345" t="e">
        <f t="shared" si="89"/>
        <v>#N/A</v>
      </c>
      <c r="R205" s="345" t="e">
        <f t="shared" si="89"/>
        <v>#N/A</v>
      </c>
      <c r="S205" s="345" t="e">
        <f t="shared" si="89"/>
        <v>#N/A</v>
      </c>
      <c r="T205" s="345" t="e">
        <f t="shared" si="89"/>
        <v>#N/A</v>
      </c>
      <c r="U205" s="345" t="e">
        <f t="shared" si="89"/>
        <v>#N/A</v>
      </c>
      <c r="V205" s="345" t="e">
        <f t="shared" si="89"/>
        <v>#N/A</v>
      </c>
      <c r="W205" s="345" t="e">
        <f t="shared" si="89"/>
        <v>#N/A</v>
      </c>
      <c r="X205" s="345" t="e">
        <f t="shared" si="89"/>
        <v>#N/A</v>
      </c>
      <c r="Y205" s="345" t="e">
        <f t="shared" si="89"/>
        <v>#N/A</v>
      </c>
      <c r="Z205" s="345" t="e">
        <f t="shared" si="89"/>
        <v>#N/A</v>
      </c>
      <c r="AA205" s="345" t="e">
        <f t="shared" si="89"/>
        <v>#N/A</v>
      </c>
      <c r="AB205" s="345" t="e">
        <f t="shared" si="89"/>
        <v>#N/A</v>
      </c>
      <c r="AC205" s="345" t="e">
        <f t="shared" si="89"/>
        <v>#N/A</v>
      </c>
      <c r="AD205" s="345" t="e">
        <f t="shared" si="89"/>
        <v>#N/A</v>
      </c>
      <c r="AE205" s="345" t="e">
        <f t="shared" si="89"/>
        <v>#N/A</v>
      </c>
      <c r="AF205" s="345" t="e">
        <f t="shared" si="89"/>
        <v>#N/A</v>
      </c>
      <c r="AG205" s="345" t="e">
        <f t="shared" si="89"/>
        <v>#N/A</v>
      </c>
      <c r="AH205" s="345" t="e">
        <f t="shared" si="89"/>
        <v>#N/A</v>
      </c>
      <c r="AI205" s="345" t="e">
        <f t="shared" si="89"/>
        <v>#N/A</v>
      </c>
      <c r="AJ205" s="345" t="e">
        <f t="shared" si="89"/>
        <v>#N/A</v>
      </c>
      <c r="AK205" s="345" t="e">
        <f t="shared" si="89"/>
        <v>#N/A</v>
      </c>
      <c r="AL205" s="345" t="e">
        <f t="shared" si="89"/>
        <v>#N/A</v>
      </c>
      <c r="AM205" s="345" t="e">
        <f t="shared" si="89"/>
        <v>#N/A</v>
      </c>
      <c r="AN205" s="345" t="e">
        <f t="shared" si="89"/>
        <v>#N/A</v>
      </c>
      <c r="AO205" s="345" t="e">
        <f t="shared" si="89"/>
        <v>#N/A</v>
      </c>
      <c r="AP205" s="345" t="e">
        <f t="shared" si="89"/>
        <v>#N/A</v>
      </c>
      <c r="AQ205" s="345" t="e">
        <f t="shared" si="89"/>
        <v>#N/A</v>
      </c>
      <c r="AR205"/>
    </row>
    <row r="206" spans="1:44" s="315" customFormat="1" ht="14.25" hidden="1">
      <c r="A206" s="346"/>
      <c r="B206" s="620" t="s">
        <v>34</v>
      </c>
      <c r="C206" s="603"/>
      <c r="E206" s="347" t="e">
        <f t="shared" ref="E206:AQ206" si="90">IF(E204="",NA(),ROUND(1443/(1443+E205),4))</f>
        <v>#N/A</v>
      </c>
      <c r="F206" s="347" t="e">
        <f t="shared" si="90"/>
        <v>#N/A</v>
      </c>
      <c r="G206" s="347" t="e">
        <f t="shared" si="90"/>
        <v>#N/A</v>
      </c>
      <c r="H206" s="347" t="e">
        <f t="shared" si="90"/>
        <v>#N/A</v>
      </c>
      <c r="I206" s="347" t="e">
        <f t="shared" si="90"/>
        <v>#N/A</v>
      </c>
      <c r="J206" s="347" t="e">
        <f t="shared" si="90"/>
        <v>#N/A</v>
      </c>
      <c r="K206" s="347" t="e">
        <f t="shared" si="90"/>
        <v>#N/A</v>
      </c>
      <c r="L206" s="347" t="e">
        <f t="shared" si="90"/>
        <v>#N/A</v>
      </c>
      <c r="M206" s="347" t="e">
        <f t="shared" si="90"/>
        <v>#N/A</v>
      </c>
      <c r="N206" s="347" t="e">
        <f t="shared" si="90"/>
        <v>#N/A</v>
      </c>
      <c r="O206" s="347" t="e">
        <f t="shared" si="90"/>
        <v>#N/A</v>
      </c>
      <c r="P206" s="347" t="e">
        <f t="shared" si="90"/>
        <v>#N/A</v>
      </c>
      <c r="Q206" s="347" t="e">
        <f t="shared" si="90"/>
        <v>#N/A</v>
      </c>
      <c r="R206" s="347" t="e">
        <f t="shared" si="90"/>
        <v>#N/A</v>
      </c>
      <c r="S206" s="347" t="e">
        <f t="shared" si="90"/>
        <v>#N/A</v>
      </c>
      <c r="T206" s="347" t="e">
        <f t="shared" si="90"/>
        <v>#N/A</v>
      </c>
      <c r="U206" s="347" t="e">
        <f t="shared" si="90"/>
        <v>#N/A</v>
      </c>
      <c r="V206" s="347" t="e">
        <f t="shared" si="90"/>
        <v>#N/A</v>
      </c>
      <c r="W206" s="347" t="e">
        <f t="shared" si="90"/>
        <v>#N/A</v>
      </c>
      <c r="X206" s="347" t="e">
        <f t="shared" si="90"/>
        <v>#N/A</v>
      </c>
      <c r="Y206" s="347" t="e">
        <f t="shared" si="90"/>
        <v>#N/A</v>
      </c>
      <c r="Z206" s="347" t="e">
        <f t="shared" si="90"/>
        <v>#N/A</v>
      </c>
      <c r="AA206" s="347" t="e">
        <f t="shared" si="90"/>
        <v>#N/A</v>
      </c>
      <c r="AB206" s="347" t="e">
        <f t="shared" si="90"/>
        <v>#N/A</v>
      </c>
      <c r="AC206" s="347" t="e">
        <f t="shared" si="90"/>
        <v>#N/A</v>
      </c>
      <c r="AD206" s="347" t="e">
        <f t="shared" si="90"/>
        <v>#N/A</v>
      </c>
      <c r="AE206" s="347" t="e">
        <f t="shared" si="90"/>
        <v>#N/A</v>
      </c>
      <c r="AF206" s="347" t="e">
        <f t="shared" si="90"/>
        <v>#N/A</v>
      </c>
      <c r="AG206" s="347" t="e">
        <f t="shared" si="90"/>
        <v>#N/A</v>
      </c>
      <c r="AH206" s="347" t="e">
        <f t="shared" si="90"/>
        <v>#N/A</v>
      </c>
      <c r="AI206" s="347" t="e">
        <f t="shared" si="90"/>
        <v>#N/A</v>
      </c>
      <c r="AJ206" s="347" t="e">
        <f t="shared" si="90"/>
        <v>#N/A</v>
      </c>
      <c r="AK206" s="347" t="e">
        <f t="shared" si="90"/>
        <v>#N/A</v>
      </c>
      <c r="AL206" s="347" t="e">
        <f t="shared" si="90"/>
        <v>#N/A</v>
      </c>
      <c r="AM206" s="347" t="e">
        <f t="shared" si="90"/>
        <v>#N/A</v>
      </c>
      <c r="AN206" s="347" t="e">
        <f t="shared" si="90"/>
        <v>#N/A</v>
      </c>
      <c r="AO206" s="347" t="e">
        <f t="shared" si="90"/>
        <v>#N/A</v>
      </c>
      <c r="AP206" s="347" t="e">
        <f t="shared" si="90"/>
        <v>#N/A</v>
      </c>
      <c r="AQ206" s="347" t="e">
        <f t="shared" si="90"/>
        <v>#N/A</v>
      </c>
      <c r="AR206"/>
    </row>
    <row r="207" spans="1:44" s="315" customFormat="1" ht="14.25" hidden="1">
      <c r="A207" s="346"/>
      <c r="B207" s="620" t="s">
        <v>35</v>
      </c>
      <c r="C207" s="603"/>
      <c r="E207" s="347" t="e">
        <f>IF(E188="",NA(),IFERROR(E188*VLOOKUP(E188,'各種計算式等（配付時非表示）'!$E$3:$H$1003,3,TRUE)+VLOOKUP(E188,'各種計算式等（配付時非表示）'!$E$3:$H$1003,4,TRUE)+0.0000000001,"-"))</f>
        <v>#N/A</v>
      </c>
      <c r="F207" s="347" t="e">
        <f>IF(F188="",NA(),IFERROR(F188*VLOOKUP(F188,'各種計算式等（配付時非表示）'!$E$3:$H$1003,3,TRUE)+VLOOKUP(F188,'各種計算式等（配付時非表示）'!$E$3:$H$1003,4,TRUE)+0.0000000001,"-"))</f>
        <v>#N/A</v>
      </c>
      <c r="G207" s="347" t="e">
        <f>IF(G188="",NA(),IFERROR(G188*VLOOKUP(G188,'各種計算式等（配付時非表示）'!$E$3:$H$1003,3,TRUE)+VLOOKUP(G188,'各種計算式等（配付時非表示）'!$E$3:$H$1003,4,TRUE)+0.0000000001,"-"))</f>
        <v>#N/A</v>
      </c>
      <c r="H207" s="347" t="e">
        <f>IF(H188="",NA(),IFERROR(H188*VLOOKUP(H188,'各種計算式等（配付時非表示）'!$E$3:$H$1003,3,TRUE)+VLOOKUP(H188,'各種計算式等（配付時非表示）'!$E$3:$H$1003,4,TRUE)+0.0000000001,"-"))</f>
        <v>#N/A</v>
      </c>
      <c r="I207" s="347" t="e">
        <f>IF(I188="",NA(),IFERROR(I188*VLOOKUP(I188,'各種計算式等（配付時非表示）'!$E$3:$H$1003,3,TRUE)+VLOOKUP(I188,'各種計算式等（配付時非表示）'!$E$3:$H$1003,4,TRUE)+0.0000000001,"-"))</f>
        <v>#N/A</v>
      </c>
      <c r="J207" s="347" t="e">
        <f>IF(J188="",NA(),IFERROR(J188*VLOOKUP(J188,'各種計算式等（配付時非表示）'!$E$3:$H$1003,3,TRUE)+VLOOKUP(J188,'各種計算式等（配付時非表示）'!$E$3:$H$1003,4,TRUE)+0.0000000001,"-"))</f>
        <v>#N/A</v>
      </c>
      <c r="K207" s="347" t="e">
        <f>IF(K188="",NA(),IFERROR(K188*VLOOKUP(K188,'各種計算式等（配付時非表示）'!$E$3:$H$1003,3,TRUE)+VLOOKUP(K188,'各種計算式等（配付時非表示）'!$E$3:$H$1003,4,TRUE)+0.0000000001,"-"))</f>
        <v>#N/A</v>
      </c>
      <c r="L207" s="347" t="e">
        <f>IF(L188="",NA(),IFERROR(L188*VLOOKUP(L188,'各種計算式等（配付時非表示）'!$E$3:$H$1003,3,TRUE)+VLOOKUP(L188,'各種計算式等（配付時非表示）'!$E$3:$H$1003,4,TRUE)+0.0000000001,"-"))</f>
        <v>#N/A</v>
      </c>
      <c r="M207" s="347" t="e">
        <f>IF(M188="",NA(),IFERROR(M188*VLOOKUP(M188,'各種計算式等（配付時非表示）'!$E$3:$H$1003,3,TRUE)+VLOOKUP(M188,'各種計算式等（配付時非表示）'!$E$3:$H$1003,4,TRUE)+0.0000000001,"-"))</f>
        <v>#N/A</v>
      </c>
      <c r="N207" s="347" t="e">
        <f>IF(N188="",NA(),IFERROR(N188*VLOOKUP(N188,'各種計算式等（配付時非表示）'!$E$3:$H$1003,3,TRUE)+VLOOKUP(N188,'各種計算式等（配付時非表示）'!$E$3:$H$1003,4,TRUE)+0.0000000001,"-"))</f>
        <v>#N/A</v>
      </c>
      <c r="O207" s="347" t="e">
        <f>IF(O188="",NA(),IFERROR(O188*VLOOKUP(O188,'各種計算式等（配付時非表示）'!$E$3:$H$1003,3,TRUE)+VLOOKUP(O188,'各種計算式等（配付時非表示）'!$E$3:$H$1003,4,TRUE)+0.0000000001,"-"))</f>
        <v>#N/A</v>
      </c>
      <c r="P207" s="347" t="e">
        <f>IF(P188="",NA(),IFERROR(P188*VLOOKUP(P188,'各種計算式等（配付時非表示）'!$E$3:$H$1003,3,TRUE)+VLOOKUP(P188,'各種計算式等（配付時非表示）'!$E$3:$H$1003,4,TRUE)+0.0000000001,"-"))</f>
        <v>#N/A</v>
      </c>
      <c r="Q207" s="347" t="e">
        <f>IF(Q188="",NA(),IFERROR(Q188*VLOOKUP(Q188,'各種計算式等（配付時非表示）'!$E$3:$H$1003,3,TRUE)+VLOOKUP(Q188,'各種計算式等（配付時非表示）'!$E$3:$H$1003,4,TRUE)+0.0000000001,"-"))</f>
        <v>#N/A</v>
      </c>
      <c r="R207" s="347" t="e">
        <f>IF(R188="",NA(),IFERROR(R188*VLOOKUP(R188,'各種計算式等（配付時非表示）'!$E$3:$H$1003,3,TRUE)+VLOOKUP(R188,'各種計算式等（配付時非表示）'!$E$3:$H$1003,4,TRUE)+0.0000000001,"-"))</f>
        <v>#N/A</v>
      </c>
      <c r="S207" s="347" t="e">
        <f>IF(S188="",NA(),IFERROR(S188*VLOOKUP(S188,'各種計算式等（配付時非表示）'!$E$3:$H$1003,3,TRUE)+VLOOKUP(S188,'各種計算式等（配付時非表示）'!$E$3:$H$1003,4,TRUE)+0.0000000001,"-"))</f>
        <v>#N/A</v>
      </c>
      <c r="T207" s="347" t="e">
        <f>IF(T188="",NA(),IFERROR(T188*VLOOKUP(T188,'各種計算式等（配付時非表示）'!$E$3:$H$1003,3,TRUE)+VLOOKUP(T188,'各種計算式等（配付時非表示）'!$E$3:$H$1003,4,TRUE)+0.0000000001,"-"))</f>
        <v>#N/A</v>
      </c>
      <c r="U207" s="347" t="e">
        <f>IF(U188="",NA(),IFERROR(U188*VLOOKUP(U188,'各種計算式等（配付時非表示）'!$E$3:$H$1003,3,TRUE)+VLOOKUP(U188,'各種計算式等（配付時非表示）'!$E$3:$H$1003,4,TRUE)+0.0000000001,"-"))</f>
        <v>#N/A</v>
      </c>
      <c r="V207" s="347" t="e">
        <f>IF(V188="",NA(),IFERROR(V188*VLOOKUP(V188,'各種計算式等（配付時非表示）'!$E$3:$H$1003,3,TRUE)+VLOOKUP(V188,'各種計算式等（配付時非表示）'!$E$3:$H$1003,4,TRUE)+0.0000000001,"-"))</f>
        <v>#N/A</v>
      </c>
      <c r="W207" s="347" t="e">
        <f>IF(W188="",NA(),IFERROR(W188*VLOOKUP(W188,'各種計算式等（配付時非表示）'!$E$3:$H$1003,3,TRUE)+VLOOKUP(W188,'各種計算式等（配付時非表示）'!$E$3:$H$1003,4,TRUE)+0.0000000001,"-"))</f>
        <v>#N/A</v>
      </c>
      <c r="X207" s="347" t="e">
        <f>IF(X188="",NA(),IFERROR(X188*VLOOKUP(X188,'各種計算式等（配付時非表示）'!$E$3:$H$1003,3,TRUE)+VLOOKUP(X188,'各種計算式等（配付時非表示）'!$E$3:$H$1003,4,TRUE)+0.0000000001,"-"))</f>
        <v>#N/A</v>
      </c>
      <c r="Y207" s="347" t="e">
        <f>IF(Y188="",NA(),IFERROR(Y188*VLOOKUP(Y188,'各種計算式等（配付時非表示）'!$E$3:$H$1003,3,TRUE)+VLOOKUP(Y188,'各種計算式等（配付時非表示）'!$E$3:$H$1003,4,TRUE)+0.0000000001,"-"))</f>
        <v>#N/A</v>
      </c>
      <c r="Z207" s="347" t="e">
        <f>IF(Z188="",NA(),IFERROR(Z188*VLOOKUP(Z188,'各種計算式等（配付時非表示）'!$E$3:$H$1003,3,TRUE)+VLOOKUP(Z188,'各種計算式等（配付時非表示）'!$E$3:$H$1003,4,TRUE)+0.0000000001,"-"))</f>
        <v>#N/A</v>
      </c>
      <c r="AA207" s="347" t="e">
        <f>IF(AA188="",NA(),IFERROR(AA188*VLOOKUP(AA188,'各種計算式等（配付時非表示）'!$E$3:$H$1003,3,TRUE)+VLOOKUP(AA188,'各種計算式等（配付時非表示）'!$E$3:$H$1003,4,TRUE)+0.0000000001,"-"))</f>
        <v>#N/A</v>
      </c>
      <c r="AB207" s="347" t="e">
        <f>IF(AB188="",NA(),IFERROR(AB188*VLOOKUP(AB188,'各種計算式等（配付時非表示）'!$E$3:$H$1003,3,TRUE)+VLOOKUP(AB188,'各種計算式等（配付時非表示）'!$E$3:$H$1003,4,TRUE)+0.0000000001,"-"))</f>
        <v>#N/A</v>
      </c>
      <c r="AC207" s="347" t="e">
        <f>IF(AC188="",NA(),IFERROR(AC188*VLOOKUP(AC188,'各種計算式等（配付時非表示）'!$E$3:$H$1003,3,TRUE)+VLOOKUP(AC188,'各種計算式等（配付時非表示）'!$E$3:$H$1003,4,TRUE)+0.0000000001,"-"))</f>
        <v>#N/A</v>
      </c>
      <c r="AD207" s="347" t="e">
        <f>IF(AD188="",NA(),IFERROR(AD188*VLOOKUP(AD188,'各種計算式等（配付時非表示）'!$E$3:$H$1003,3,TRUE)+VLOOKUP(AD188,'各種計算式等（配付時非表示）'!$E$3:$H$1003,4,TRUE)+0.0000000001,"-"))</f>
        <v>#N/A</v>
      </c>
      <c r="AE207" s="347" t="e">
        <f>IF(AE188="",NA(),IFERROR(AE188*VLOOKUP(AE188,'各種計算式等（配付時非表示）'!$E$3:$H$1003,3,TRUE)+VLOOKUP(AE188,'各種計算式等（配付時非表示）'!$E$3:$H$1003,4,TRUE)+0.0000000001,"-"))</f>
        <v>#N/A</v>
      </c>
      <c r="AF207" s="347" t="e">
        <f>IF(AF188="",NA(),IFERROR(AF188*VLOOKUP(AF188,'各種計算式等（配付時非表示）'!$E$3:$H$1003,3,TRUE)+VLOOKUP(AF188,'各種計算式等（配付時非表示）'!$E$3:$H$1003,4,TRUE)+0.0000000001,"-"))</f>
        <v>#N/A</v>
      </c>
      <c r="AG207" s="347" t="e">
        <f>IF(AG188="",NA(),IFERROR(AG188*VLOOKUP(AG188,'各種計算式等（配付時非表示）'!$E$3:$H$1003,3,TRUE)+VLOOKUP(AG188,'各種計算式等（配付時非表示）'!$E$3:$H$1003,4,TRUE)+0.0000000001,"-"))</f>
        <v>#N/A</v>
      </c>
      <c r="AH207" s="347" t="e">
        <f>IF(AH188="",NA(),IFERROR(AH188*VLOOKUP(AH188,'各種計算式等（配付時非表示）'!$E$3:$H$1003,3,TRUE)+VLOOKUP(AH188,'各種計算式等（配付時非表示）'!$E$3:$H$1003,4,TRUE)+0.0000000001,"-"))</f>
        <v>#N/A</v>
      </c>
      <c r="AI207" s="347" t="e">
        <f>IF(AI188="",NA(),IFERROR(AI188*VLOOKUP(AI188,'各種計算式等（配付時非表示）'!$E$3:$H$1003,3,TRUE)+VLOOKUP(AI188,'各種計算式等（配付時非表示）'!$E$3:$H$1003,4,TRUE)+0.0000000001,"-"))</f>
        <v>#N/A</v>
      </c>
      <c r="AJ207" s="347" t="e">
        <f>IF(AJ188="",NA(),IFERROR(AJ188*VLOOKUP(AJ188,'各種計算式等（配付時非表示）'!$E$3:$H$1003,3,TRUE)+VLOOKUP(AJ188,'各種計算式等（配付時非表示）'!$E$3:$H$1003,4,TRUE)+0.0000000001,"-"))</f>
        <v>#N/A</v>
      </c>
      <c r="AK207" s="347" t="e">
        <f>IF(AK188="",NA(),IFERROR(AK188*VLOOKUP(AK188,'各種計算式等（配付時非表示）'!$E$3:$H$1003,3,TRUE)+VLOOKUP(AK188,'各種計算式等（配付時非表示）'!$E$3:$H$1003,4,TRUE)+0.0000000001,"-"))</f>
        <v>#N/A</v>
      </c>
      <c r="AL207" s="347" t="e">
        <f>IF(AL188="",NA(),IFERROR(AL188*VLOOKUP(AL188,'各種計算式等（配付時非表示）'!$E$3:$H$1003,3,TRUE)+VLOOKUP(AL188,'各種計算式等（配付時非表示）'!$E$3:$H$1003,4,TRUE)+0.0000000001,"-"))</f>
        <v>#N/A</v>
      </c>
      <c r="AM207" s="347" t="e">
        <f>IF(AM188="",NA(),IFERROR(AM188*VLOOKUP(AM188,'各種計算式等（配付時非表示）'!$E$3:$H$1003,3,TRUE)+VLOOKUP(AM188,'各種計算式等（配付時非表示）'!$E$3:$H$1003,4,TRUE)+0.0000000001,"-"))</f>
        <v>#N/A</v>
      </c>
      <c r="AN207" s="347" t="e">
        <f>IF(AN188="",NA(),IFERROR(AN188*VLOOKUP(AN188,'各種計算式等（配付時非表示）'!$E$3:$H$1003,3,TRUE)+VLOOKUP(AN188,'各種計算式等（配付時非表示）'!$E$3:$H$1003,4,TRUE)+0.0000000001,"-"))</f>
        <v>#N/A</v>
      </c>
      <c r="AO207" s="347" t="e">
        <f>IF(AO188="",NA(),IFERROR(AO188*VLOOKUP(AO188,'各種計算式等（配付時非表示）'!$E$3:$H$1003,3,TRUE)+VLOOKUP(AO188,'各種計算式等（配付時非表示）'!$E$3:$H$1003,4,TRUE)+0.0000000001,"-"))</f>
        <v>#N/A</v>
      </c>
      <c r="AP207" s="347" t="e">
        <f>IF(AP188="",NA(),IFERROR(AP188*VLOOKUP(AP188,'各種計算式等（配付時非表示）'!$E$3:$H$1003,3,TRUE)+VLOOKUP(AP188,'各種計算式等（配付時非表示）'!$E$3:$H$1003,4,TRUE)+0.0000000001,"-"))</f>
        <v>#N/A</v>
      </c>
      <c r="AQ207" s="347" t="e">
        <f>IF(AQ188="",NA(),IFERROR(AQ188*VLOOKUP(AQ188,'各種計算式等（配付時非表示）'!$E$3:$H$1003,3,TRUE)+VLOOKUP(AQ188,'各種計算式等（配付時非表示）'!$E$3:$H$1003,4,TRUE)+0.0000000001,"-"))</f>
        <v>#N/A</v>
      </c>
      <c r="AR207"/>
    </row>
    <row r="208" spans="1:44" s="315" customFormat="1" ht="14.25" hidden="1">
      <c r="A208" s="620" t="s">
        <v>3</v>
      </c>
      <c r="B208" s="620"/>
      <c r="C208" s="620"/>
      <c r="D208" s="315" t="s">
        <v>487</v>
      </c>
      <c r="E208" s="348" t="e">
        <f>IFERROR((E206-E207)*260+0.21,NA())</f>
        <v>#N/A</v>
      </c>
      <c r="F208" s="348" t="e">
        <f t="shared" ref="F208:AQ208" si="91">IFERROR((F206-F207)*260+0.21,NA())</f>
        <v>#N/A</v>
      </c>
      <c r="G208" s="348" t="e">
        <f t="shared" si="91"/>
        <v>#N/A</v>
      </c>
      <c r="H208" s="348" t="e">
        <f t="shared" si="91"/>
        <v>#N/A</v>
      </c>
      <c r="I208" s="348" t="e">
        <f t="shared" si="91"/>
        <v>#N/A</v>
      </c>
      <c r="J208" s="348" t="e">
        <f t="shared" si="91"/>
        <v>#N/A</v>
      </c>
      <c r="K208" s="348" t="e">
        <f t="shared" si="91"/>
        <v>#N/A</v>
      </c>
      <c r="L208" s="348" t="e">
        <f t="shared" si="91"/>
        <v>#N/A</v>
      </c>
      <c r="M208" s="348" t="e">
        <f t="shared" si="91"/>
        <v>#N/A</v>
      </c>
      <c r="N208" s="348" t="e">
        <f t="shared" si="91"/>
        <v>#N/A</v>
      </c>
      <c r="O208" s="348" t="e">
        <f t="shared" si="91"/>
        <v>#N/A</v>
      </c>
      <c r="P208" s="348" t="e">
        <f t="shared" si="91"/>
        <v>#N/A</v>
      </c>
      <c r="Q208" s="348" t="e">
        <f t="shared" si="91"/>
        <v>#N/A</v>
      </c>
      <c r="R208" s="348" t="e">
        <f t="shared" si="91"/>
        <v>#N/A</v>
      </c>
      <c r="S208" s="348" t="e">
        <f t="shared" si="91"/>
        <v>#N/A</v>
      </c>
      <c r="T208" s="348" t="e">
        <f t="shared" si="91"/>
        <v>#N/A</v>
      </c>
      <c r="U208" s="348" t="e">
        <f t="shared" si="91"/>
        <v>#N/A</v>
      </c>
      <c r="V208" s="348" t="e">
        <f t="shared" si="91"/>
        <v>#N/A</v>
      </c>
      <c r="W208" s="348" t="e">
        <f t="shared" si="91"/>
        <v>#N/A</v>
      </c>
      <c r="X208" s="348" t="e">
        <f t="shared" si="91"/>
        <v>#N/A</v>
      </c>
      <c r="Y208" s="348" t="e">
        <f t="shared" si="91"/>
        <v>#N/A</v>
      </c>
      <c r="Z208" s="348" t="e">
        <f t="shared" si="91"/>
        <v>#N/A</v>
      </c>
      <c r="AA208" s="348" t="e">
        <f t="shared" si="91"/>
        <v>#N/A</v>
      </c>
      <c r="AB208" s="348" t="e">
        <f t="shared" si="91"/>
        <v>#N/A</v>
      </c>
      <c r="AC208" s="348" t="e">
        <f t="shared" si="91"/>
        <v>#N/A</v>
      </c>
      <c r="AD208" s="348" t="e">
        <f t="shared" si="91"/>
        <v>#N/A</v>
      </c>
      <c r="AE208" s="348" t="e">
        <f t="shared" si="91"/>
        <v>#N/A</v>
      </c>
      <c r="AF208" s="348" t="e">
        <f t="shared" si="91"/>
        <v>#N/A</v>
      </c>
      <c r="AG208" s="348" t="e">
        <f t="shared" si="91"/>
        <v>#N/A</v>
      </c>
      <c r="AH208" s="348" t="e">
        <f t="shared" si="91"/>
        <v>#N/A</v>
      </c>
      <c r="AI208" s="348" t="e">
        <f t="shared" si="91"/>
        <v>#N/A</v>
      </c>
      <c r="AJ208" s="348" t="e">
        <f t="shared" si="91"/>
        <v>#N/A</v>
      </c>
      <c r="AK208" s="348" t="e">
        <f t="shared" si="91"/>
        <v>#N/A</v>
      </c>
      <c r="AL208" s="348" t="e">
        <f t="shared" si="91"/>
        <v>#N/A</v>
      </c>
      <c r="AM208" s="348" t="e">
        <f t="shared" si="91"/>
        <v>#N/A</v>
      </c>
      <c r="AN208" s="348" t="e">
        <f t="shared" si="91"/>
        <v>#N/A</v>
      </c>
      <c r="AO208" s="348" t="e">
        <f t="shared" si="91"/>
        <v>#N/A</v>
      </c>
      <c r="AP208" s="348" t="e">
        <f t="shared" si="91"/>
        <v>#N/A</v>
      </c>
      <c r="AQ208" s="348" t="e">
        <f t="shared" si="91"/>
        <v>#N/A</v>
      </c>
      <c r="AR208"/>
    </row>
    <row r="209" spans="1:44" s="315" customFormat="1" ht="14.25" hidden="1">
      <c r="A209" s="620" t="s">
        <v>318</v>
      </c>
      <c r="B209" s="620"/>
      <c r="C209" s="620"/>
      <c r="D209" s="315" t="s">
        <v>487</v>
      </c>
      <c r="E209" s="349" t="e">
        <f>IF(E188="",NA(),E188*1.5848)</f>
        <v>#N/A</v>
      </c>
      <c r="F209" s="349" t="e">
        <f t="shared" ref="F209:AQ209" si="92">IF(F188="",NA(),F188*1.5848)</f>
        <v>#N/A</v>
      </c>
      <c r="G209" s="349" t="e">
        <f t="shared" si="92"/>
        <v>#N/A</v>
      </c>
      <c r="H209" s="349" t="e">
        <f t="shared" si="92"/>
        <v>#N/A</v>
      </c>
      <c r="I209" s="349" t="e">
        <f t="shared" si="92"/>
        <v>#N/A</v>
      </c>
      <c r="J209" s="349" t="e">
        <f t="shared" si="92"/>
        <v>#N/A</v>
      </c>
      <c r="K209" s="349" t="e">
        <f t="shared" si="92"/>
        <v>#N/A</v>
      </c>
      <c r="L209" s="349" t="e">
        <f t="shared" si="92"/>
        <v>#N/A</v>
      </c>
      <c r="M209" s="349" t="e">
        <f t="shared" si="92"/>
        <v>#N/A</v>
      </c>
      <c r="N209" s="349" t="e">
        <f t="shared" si="92"/>
        <v>#N/A</v>
      </c>
      <c r="O209" s="349" t="e">
        <f t="shared" si="92"/>
        <v>#N/A</v>
      </c>
      <c r="P209" s="349" t="e">
        <f t="shared" si="92"/>
        <v>#N/A</v>
      </c>
      <c r="Q209" s="349" t="e">
        <f t="shared" si="92"/>
        <v>#N/A</v>
      </c>
      <c r="R209" s="349" t="e">
        <f t="shared" si="92"/>
        <v>#N/A</v>
      </c>
      <c r="S209" s="349" t="e">
        <f t="shared" si="92"/>
        <v>#N/A</v>
      </c>
      <c r="T209" s="349" t="e">
        <f t="shared" si="92"/>
        <v>#N/A</v>
      </c>
      <c r="U209" s="349" t="e">
        <f t="shared" si="92"/>
        <v>#N/A</v>
      </c>
      <c r="V209" s="349" t="e">
        <f t="shared" si="92"/>
        <v>#N/A</v>
      </c>
      <c r="W209" s="349" t="e">
        <f t="shared" si="92"/>
        <v>#N/A</v>
      </c>
      <c r="X209" s="349" t="e">
        <f t="shared" si="92"/>
        <v>#N/A</v>
      </c>
      <c r="Y209" s="349" t="e">
        <f t="shared" si="92"/>
        <v>#N/A</v>
      </c>
      <c r="Z209" s="349" t="e">
        <f t="shared" si="92"/>
        <v>#N/A</v>
      </c>
      <c r="AA209" s="349" t="e">
        <f t="shared" si="92"/>
        <v>#N/A</v>
      </c>
      <c r="AB209" s="349" t="e">
        <f t="shared" si="92"/>
        <v>#N/A</v>
      </c>
      <c r="AC209" s="349" t="e">
        <f t="shared" si="92"/>
        <v>#N/A</v>
      </c>
      <c r="AD209" s="349" t="e">
        <f t="shared" si="92"/>
        <v>#N/A</v>
      </c>
      <c r="AE209" s="349" t="e">
        <f t="shared" si="92"/>
        <v>#N/A</v>
      </c>
      <c r="AF209" s="349" t="e">
        <f t="shared" si="92"/>
        <v>#N/A</v>
      </c>
      <c r="AG209" s="349" t="e">
        <f t="shared" si="92"/>
        <v>#N/A</v>
      </c>
      <c r="AH209" s="349" t="e">
        <f t="shared" si="92"/>
        <v>#N/A</v>
      </c>
      <c r="AI209" s="349" t="e">
        <f t="shared" si="92"/>
        <v>#N/A</v>
      </c>
      <c r="AJ209" s="349" t="e">
        <f t="shared" si="92"/>
        <v>#N/A</v>
      </c>
      <c r="AK209" s="349" t="e">
        <f t="shared" si="92"/>
        <v>#N/A</v>
      </c>
      <c r="AL209" s="349" t="e">
        <f t="shared" si="92"/>
        <v>#N/A</v>
      </c>
      <c r="AM209" s="349" t="e">
        <f t="shared" si="92"/>
        <v>#N/A</v>
      </c>
      <c r="AN209" s="349" t="e">
        <f t="shared" si="92"/>
        <v>#N/A</v>
      </c>
      <c r="AO209" s="349" t="e">
        <f t="shared" si="92"/>
        <v>#N/A</v>
      </c>
      <c r="AP209" s="349" t="e">
        <f t="shared" si="92"/>
        <v>#N/A</v>
      </c>
      <c r="AQ209" s="349" t="e">
        <f t="shared" si="92"/>
        <v>#N/A</v>
      </c>
      <c r="AR209"/>
    </row>
    <row r="210" spans="1:44" s="315" customFormat="1" ht="14.25" hidden="1">
      <c r="A210" s="620" t="s">
        <v>159</v>
      </c>
      <c r="B210" s="620"/>
      <c r="C210" s="620"/>
      <c r="D210" s="315" t="s">
        <v>487</v>
      </c>
      <c r="E210" s="349" t="e">
        <f>IF(E208="",NA(),E208+E209)</f>
        <v>#N/A</v>
      </c>
      <c r="F210" s="349" t="e">
        <f t="shared" ref="F210:AQ210" si="93">IF(F208="",NA(),F208+F209)</f>
        <v>#N/A</v>
      </c>
      <c r="G210" s="349" t="e">
        <f t="shared" si="93"/>
        <v>#N/A</v>
      </c>
      <c r="H210" s="349" t="e">
        <f t="shared" si="93"/>
        <v>#N/A</v>
      </c>
      <c r="I210" s="349" t="e">
        <f t="shared" si="93"/>
        <v>#N/A</v>
      </c>
      <c r="J210" s="349" t="e">
        <f t="shared" si="93"/>
        <v>#N/A</v>
      </c>
      <c r="K210" s="349" t="e">
        <f t="shared" si="93"/>
        <v>#N/A</v>
      </c>
      <c r="L210" s="349" t="e">
        <f t="shared" si="93"/>
        <v>#N/A</v>
      </c>
      <c r="M210" s="349" t="e">
        <f t="shared" si="93"/>
        <v>#N/A</v>
      </c>
      <c r="N210" s="349" t="e">
        <f t="shared" si="93"/>
        <v>#N/A</v>
      </c>
      <c r="O210" s="349" t="e">
        <f t="shared" si="93"/>
        <v>#N/A</v>
      </c>
      <c r="P210" s="349" t="e">
        <f t="shared" si="93"/>
        <v>#N/A</v>
      </c>
      <c r="Q210" s="349" t="e">
        <f t="shared" si="93"/>
        <v>#N/A</v>
      </c>
      <c r="R210" s="349" t="e">
        <f t="shared" si="93"/>
        <v>#N/A</v>
      </c>
      <c r="S210" s="349" t="e">
        <f t="shared" si="93"/>
        <v>#N/A</v>
      </c>
      <c r="T210" s="349" t="e">
        <f t="shared" si="93"/>
        <v>#N/A</v>
      </c>
      <c r="U210" s="349" t="e">
        <f t="shared" si="93"/>
        <v>#N/A</v>
      </c>
      <c r="V210" s="349" t="e">
        <f t="shared" si="93"/>
        <v>#N/A</v>
      </c>
      <c r="W210" s="349" t="e">
        <f t="shared" si="93"/>
        <v>#N/A</v>
      </c>
      <c r="X210" s="349" t="e">
        <f t="shared" si="93"/>
        <v>#N/A</v>
      </c>
      <c r="Y210" s="349" t="e">
        <f t="shared" si="93"/>
        <v>#N/A</v>
      </c>
      <c r="Z210" s="349" t="e">
        <f t="shared" si="93"/>
        <v>#N/A</v>
      </c>
      <c r="AA210" s="349" t="e">
        <f t="shared" si="93"/>
        <v>#N/A</v>
      </c>
      <c r="AB210" s="349" t="e">
        <f t="shared" si="93"/>
        <v>#N/A</v>
      </c>
      <c r="AC210" s="349" t="e">
        <f t="shared" si="93"/>
        <v>#N/A</v>
      </c>
      <c r="AD210" s="349" t="e">
        <f t="shared" si="93"/>
        <v>#N/A</v>
      </c>
      <c r="AE210" s="349" t="e">
        <f t="shared" si="93"/>
        <v>#N/A</v>
      </c>
      <c r="AF210" s="349" t="e">
        <f t="shared" si="93"/>
        <v>#N/A</v>
      </c>
      <c r="AG210" s="349" t="e">
        <f t="shared" si="93"/>
        <v>#N/A</v>
      </c>
      <c r="AH210" s="349" t="e">
        <f t="shared" si="93"/>
        <v>#N/A</v>
      </c>
      <c r="AI210" s="349" t="e">
        <f t="shared" si="93"/>
        <v>#N/A</v>
      </c>
      <c r="AJ210" s="349" t="e">
        <f t="shared" si="93"/>
        <v>#N/A</v>
      </c>
      <c r="AK210" s="349" t="e">
        <f t="shared" si="93"/>
        <v>#N/A</v>
      </c>
      <c r="AL210" s="349" t="e">
        <f t="shared" si="93"/>
        <v>#N/A</v>
      </c>
      <c r="AM210" s="349" t="e">
        <f t="shared" si="93"/>
        <v>#N/A</v>
      </c>
      <c r="AN210" s="349" t="e">
        <f t="shared" si="93"/>
        <v>#N/A</v>
      </c>
      <c r="AO210" s="349" t="e">
        <f t="shared" si="93"/>
        <v>#N/A</v>
      </c>
      <c r="AP210" s="349" t="e">
        <f t="shared" si="93"/>
        <v>#N/A</v>
      </c>
      <c r="AQ210" s="349" t="e">
        <f t="shared" si="93"/>
        <v>#N/A</v>
      </c>
      <c r="AR210"/>
    </row>
    <row r="211" spans="1:44" s="315" customFormat="1" ht="14.25" hidden="1">
      <c r="A211" s="620" t="s">
        <v>195</v>
      </c>
      <c r="B211" s="620"/>
      <c r="C211" s="620"/>
      <c r="E211" s="350" t="e">
        <f t="shared" ref="E211:AQ211" si="94">IF(E188="",NA(),IF(E184&lt;=$B199,E188*$D202/100,IF(E184&lt;=$C199,E188*$E202/100,IF(E184&lt;=$D199,E188*$F202/100,IF(E184&lt;=$E199,E188*$G202/100,IF(E184&lt;=$F199,E188*$H202/100,IF(E184&lt;=$G199,E188*$I202/100,IF(E184&lt;=$H199,E188*$J202/100,IF(E184&lt;=$I199,E188*$K202/100,IF(E184&lt;=$J199,E188*$L202/100,IF(E184&lt;=$K199,E188*$M202/100,IF(E184&lt;=$L199,E188*$N202/100,IF(E184&lt;=$M199,E188*$O202/100,IF(E184&lt;=$N199,E188*$P202/100,IF(E184&lt;=$O199,E188*$Q202/100,IF(E184&lt;=$P199,E188*$R202/100,IF(E184&lt;=$Q199,E188*$S202/100,IF(E184&lt;=$R199,E188*$T202/100,IF(E184&lt;=$S199,E188*$U202/100,IF(E184&lt;=$T199,E188*$V202/100,IF(E184&lt;=$U199,E188*$W202/100,E188*$X202/100)))))))))))))))))))))</f>
        <v>#N/A</v>
      </c>
      <c r="F211" s="350" t="e">
        <f t="shared" si="94"/>
        <v>#N/A</v>
      </c>
      <c r="G211" s="350" t="e">
        <f t="shared" si="94"/>
        <v>#N/A</v>
      </c>
      <c r="H211" s="350" t="e">
        <f t="shared" si="94"/>
        <v>#N/A</v>
      </c>
      <c r="I211" s="350" t="e">
        <f t="shared" si="94"/>
        <v>#N/A</v>
      </c>
      <c r="J211" s="350" t="e">
        <f t="shared" si="94"/>
        <v>#N/A</v>
      </c>
      <c r="K211" s="350" t="e">
        <f t="shared" si="94"/>
        <v>#N/A</v>
      </c>
      <c r="L211" s="350" t="e">
        <f t="shared" si="94"/>
        <v>#N/A</v>
      </c>
      <c r="M211" s="350" t="e">
        <f t="shared" si="94"/>
        <v>#N/A</v>
      </c>
      <c r="N211" s="350" t="e">
        <f t="shared" si="94"/>
        <v>#N/A</v>
      </c>
      <c r="O211" s="350" t="e">
        <f t="shared" si="94"/>
        <v>#N/A</v>
      </c>
      <c r="P211" s="350" t="e">
        <f t="shared" si="94"/>
        <v>#N/A</v>
      </c>
      <c r="Q211" s="350" t="e">
        <f t="shared" si="94"/>
        <v>#N/A</v>
      </c>
      <c r="R211" s="350" t="e">
        <f t="shared" si="94"/>
        <v>#N/A</v>
      </c>
      <c r="S211" s="350" t="e">
        <f t="shared" si="94"/>
        <v>#N/A</v>
      </c>
      <c r="T211" s="350" t="e">
        <f t="shared" si="94"/>
        <v>#N/A</v>
      </c>
      <c r="U211" s="350" t="e">
        <f t="shared" si="94"/>
        <v>#N/A</v>
      </c>
      <c r="V211" s="350" t="e">
        <f t="shared" si="94"/>
        <v>#N/A</v>
      </c>
      <c r="W211" s="350" t="e">
        <f t="shared" si="94"/>
        <v>#N/A</v>
      </c>
      <c r="X211" s="350" t="e">
        <f t="shared" si="94"/>
        <v>#N/A</v>
      </c>
      <c r="Y211" s="350" t="e">
        <f t="shared" si="94"/>
        <v>#N/A</v>
      </c>
      <c r="Z211" s="350" t="e">
        <f t="shared" si="94"/>
        <v>#N/A</v>
      </c>
      <c r="AA211" s="350" t="e">
        <f t="shared" si="94"/>
        <v>#N/A</v>
      </c>
      <c r="AB211" s="350" t="e">
        <f t="shared" si="94"/>
        <v>#N/A</v>
      </c>
      <c r="AC211" s="350" t="e">
        <f t="shared" si="94"/>
        <v>#N/A</v>
      </c>
      <c r="AD211" s="350" t="e">
        <f t="shared" si="94"/>
        <v>#N/A</v>
      </c>
      <c r="AE211" s="350" t="e">
        <f t="shared" si="94"/>
        <v>#N/A</v>
      </c>
      <c r="AF211" s="350" t="e">
        <f t="shared" si="94"/>
        <v>#N/A</v>
      </c>
      <c r="AG211" s="350" t="e">
        <f t="shared" si="94"/>
        <v>#N/A</v>
      </c>
      <c r="AH211" s="350" t="e">
        <f t="shared" si="94"/>
        <v>#N/A</v>
      </c>
      <c r="AI211" s="350" t="e">
        <f t="shared" si="94"/>
        <v>#N/A</v>
      </c>
      <c r="AJ211" s="350" t="e">
        <f t="shared" si="94"/>
        <v>#N/A</v>
      </c>
      <c r="AK211" s="350" t="e">
        <f t="shared" si="94"/>
        <v>#N/A</v>
      </c>
      <c r="AL211" s="350" t="e">
        <f t="shared" si="94"/>
        <v>#N/A</v>
      </c>
      <c r="AM211" s="350" t="e">
        <f t="shared" si="94"/>
        <v>#N/A</v>
      </c>
      <c r="AN211" s="350" t="e">
        <f t="shared" si="94"/>
        <v>#N/A</v>
      </c>
      <c r="AO211" s="350" t="e">
        <f t="shared" si="94"/>
        <v>#N/A</v>
      </c>
      <c r="AP211" s="350" t="e">
        <f t="shared" si="94"/>
        <v>#N/A</v>
      </c>
      <c r="AQ211" s="350" t="e">
        <f t="shared" si="94"/>
        <v>#N/A</v>
      </c>
      <c r="AR211"/>
    </row>
    <row r="212" spans="1:44" s="315" customFormat="1" ht="14.25" hidden="1">
      <c r="A212" s="547" t="s">
        <v>319</v>
      </c>
      <c r="B212" s="620"/>
      <c r="C212" s="603"/>
      <c r="E212" s="351" t="e">
        <f t="shared" ref="E212:AQ212" si="95">IF(E211="",NA(),ROUND(E211*1.5848,1))</f>
        <v>#N/A</v>
      </c>
      <c r="F212" s="351" t="e">
        <f t="shared" si="95"/>
        <v>#N/A</v>
      </c>
      <c r="G212" s="351" t="e">
        <f t="shared" si="95"/>
        <v>#N/A</v>
      </c>
      <c r="H212" s="351" t="e">
        <f t="shared" si="95"/>
        <v>#N/A</v>
      </c>
      <c r="I212" s="351" t="e">
        <f t="shared" si="95"/>
        <v>#N/A</v>
      </c>
      <c r="J212" s="351" t="e">
        <f t="shared" si="95"/>
        <v>#N/A</v>
      </c>
      <c r="K212" s="351" t="e">
        <f t="shared" si="95"/>
        <v>#N/A</v>
      </c>
      <c r="L212" s="351" t="e">
        <f t="shared" si="95"/>
        <v>#N/A</v>
      </c>
      <c r="M212" s="351" t="e">
        <f t="shared" si="95"/>
        <v>#N/A</v>
      </c>
      <c r="N212" s="351" t="e">
        <f t="shared" si="95"/>
        <v>#N/A</v>
      </c>
      <c r="O212" s="351" t="e">
        <f t="shared" si="95"/>
        <v>#N/A</v>
      </c>
      <c r="P212" s="351" t="e">
        <f t="shared" si="95"/>
        <v>#N/A</v>
      </c>
      <c r="Q212" s="351" t="e">
        <f t="shared" si="95"/>
        <v>#N/A</v>
      </c>
      <c r="R212" s="351" t="e">
        <f t="shared" si="95"/>
        <v>#N/A</v>
      </c>
      <c r="S212" s="351" t="e">
        <f t="shared" si="95"/>
        <v>#N/A</v>
      </c>
      <c r="T212" s="351" t="e">
        <f t="shared" si="95"/>
        <v>#N/A</v>
      </c>
      <c r="U212" s="351" t="e">
        <f t="shared" si="95"/>
        <v>#N/A</v>
      </c>
      <c r="V212" s="351" t="e">
        <f t="shared" si="95"/>
        <v>#N/A</v>
      </c>
      <c r="W212" s="351" t="e">
        <f t="shared" si="95"/>
        <v>#N/A</v>
      </c>
      <c r="X212" s="351" t="e">
        <f t="shared" si="95"/>
        <v>#N/A</v>
      </c>
      <c r="Y212" s="351" t="e">
        <f t="shared" si="95"/>
        <v>#N/A</v>
      </c>
      <c r="Z212" s="351" t="e">
        <f t="shared" si="95"/>
        <v>#N/A</v>
      </c>
      <c r="AA212" s="351" t="e">
        <f t="shared" si="95"/>
        <v>#N/A</v>
      </c>
      <c r="AB212" s="351" t="e">
        <f t="shared" si="95"/>
        <v>#N/A</v>
      </c>
      <c r="AC212" s="351" t="e">
        <f t="shared" si="95"/>
        <v>#N/A</v>
      </c>
      <c r="AD212" s="351" t="e">
        <f t="shared" si="95"/>
        <v>#N/A</v>
      </c>
      <c r="AE212" s="351" t="e">
        <f t="shared" si="95"/>
        <v>#N/A</v>
      </c>
      <c r="AF212" s="351" t="e">
        <f t="shared" si="95"/>
        <v>#N/A</v>
      </c>
      <c r="AG212" s="351" t="e">
        <f t="shared" si="95"/>
        <v>#N/A</v>
      </c>
      <c r="AH212" s="351" t="e">
        <f t="shared" si="95"/>
        <v>#N/A</v>
      </c>
      <c r="AI212" s="351" t="e">
        <f t="shared" si="95"/>
        <v>#N/A</v>
      </c>
      <c r="AJ212" s="351" t="e">
        <f t="shared" si="95"/>
        <v>#N/A</v>
      </c>
      <c r="AK212" s="351" t="e">
        <f t="shared" si="95"/>
        <v>#N/A</v>
      </c>
      <c r="AL212" s="351" t="e">
        <f t="shared" si="95"/>
        <v>#N/A</v>
      </c>
      <c r="AM212" s="351" t="e">
        <f t="shared" si="95"/>
        <v>#N/A</v>
      </c>
      <c r="AN212" s="351" t="e">
        <f t="shared" si="95"/>
        <v>#N/A</v>
      </c>
      <c r="AO212" s="351" t="e">
        <f t="shared" si="95"/>
        <v>#N/A</v>
      </c>
      <c r="AP212" s="351" t="e">
        <f t="shared" si="95"/>
        <v>#N/A</v>
      </c>
      <c r="AQ212" s="351" t="e">
        <f t="shared" si="95"/>
        <v>#N/A</v>
      </c>
      <c r="AR212"/>
    </row>
    <row r="213" spans="1:44" s="315" customFormat="1" ht="14.25" hidden="1">
      <c r="A213" s="547" t="s">
        <v>320</v>
      </c>
      <c r="B213" s="620"/>
      <c r="C213" s="603"/>
      <c r="E213" s="351" t="e">
        <f t="shared" ref="E213:AQ213" si="96">IF(E214="",NA(),ROUND(E214-E212,1))</f>
        <v>#N/A</v>
      </c>
      <c r="F213" s="351" t="e">
        <f t="shared" si="96"/>
        <v>#N/A</v>
      </c>
      <c r="G213" s="351" t="e">
        <f t="shared" si="96"/>
        <v>#N/A</v>
      </c>
      <c r="H213" s="351" t="e">
        <f t="shared" si="96"/>
        <v>#N/A</v>
      </c>
      <c r="I213" s="351" t="e">
        <f t="shared" si="96"/>
        <v>#N/A</v>
      </c>
      <c r="J213" s="351" t="e">
        <f t="shared" si="96"/>
        <v>#N/A</v>
      </c>
      <c r="K213" s="351" t="e">
        <f t="shared" si="96"/>
        <v>#N/A</v>
      </c>
      <c r="L213" s="351" t="e">
        <f t="shared" si="96"/>
        <v>#N/A</v>
      </c>
      <c r="M213" s="351" t="e">
        <f t="shared" si="96"/>
        <v>#N/A</v>
      </c>
      <c r="N213" s="351" t="e">
        <f t="shared" si="96"/>
        <v>#N/A</v>
      </c>
      <c r="O213" s="351" t="e">
        <f t="shared" si="96"/>
        <v>#N/A</v>
      </c>
      <c r="P213" s="351" t="e">
        <f t="shared" si="96"/>
        <v>#N/A</v>
      </c>
      <c r="Q213" s="351" t="e">
        <f t="shared" si="96"/>
        <v>#N/A</v>
      </c>
      <c r="R213" s="351" t="e">
        <f t="shared" si="96"/>
        <v>#N/A</v>
      </c>
      <c r="S213" s="351" t="e">
        <f t="shared" si="96"/>
        <v>#N/A</v>
      </c>
      <c r="T213" s="351" t="e">
        <f t="shared" si="96"/>
        <v>#N/A</v>
      </c>
      <c r="U213" s="351" t="e">
        <f t="shared" si="96"/>
        <v>#N/A</v>
      </c>
      <c r="V213" s="351" t="e">
        <f t="shared" si="96"/>
        <v>#N/A</v>
      </c>
      <c r="W213" s="351" t="e">
        <f t="shared" si="96"/>
        <v>#N/A</v>
      </c>
      <c r="X213" s="351" t="e">
        <f t="shared" si="96"/>
        <v>#N/A</v>
      </c>
      <c r="Y213" s="351" t="e">
        <f t="shared" si="96"/>
        <v>#N/A</v>
      </c>
      <c r="Z213" s="351" t="e">
        <f t="shared" si="96"/>
        <v>#N/A</v>
      </c>
      <c r="AA213" s="351" t="e">
        <f t="shared" si="96"/>
        <v>#N/A</v>
      </c>
      <c r="AB213" s="351" t="e">
        <f t="shared" si="96"/>
        <v>#N/A</v>
      </c>
      <c r="AC213" s="351" t="e">
        <f t="shared" si="96"/>
        <v>#N/A</v>
      </c>
      <c r="AD213" s="351" t="e">
        <f t="shared" si="96"/>
        <v>#N/A</v>
      </c>
      <c r="AE213" s="351" t="e">
        <f t="shared" si="96"/>
        <v>#N/A</v>
      </c>
      <c r="AF213" s="351" t="e">
        <f t="shared" si="96"/>
        <v>#N/A</v>
      </c>
      <c r="AG213" s="351" t="e">
        <f t="shared" si="96"/>
        <v>#N/A</v>
      </c>
      <c r="AH213" s="351" t="e">
        <f t="shared" si="96"/>
        <v>#N/A</v>
      </c>
      <c r="AI213" s="351" t="e">
        <f t="shared" si="96"/>
        <v>#N/A</v>
      </c>
      <c r="AJ213" s="351" t="e">
        <f t="shared" si="96"/>
        <v>#N/A</v>
      </c>
      <c r="AK213" s="351" t="e">
        <f t="shared" si="96"/>
        <v>#N/A</v>
      </c>
      <c r="AL213" s="351" t="e">
        <f t="shared" si="96"/>
        <v>#N/A</v>
      </c>
      <c r="AM213" s="351" t="e">
        <f t="shared" si="96"/>
        <v>#N/A</v>
      </c>
      <c r="AN213" s="351" t="e">
        <f t="shared" si="96"/>
        <v>#N/A</v>
      </c>
      <c r="AO213" s="351" t="e">
        <f t="shared" si="96"/>
        <v>#N/A</v>
      </c>
      <c r="AP213" s="351" t="e">
        <f t="shared" si="96"/>
        <v>#N/A</v>
      </c>
      <c r="AQ213" s="351" t="e">
        <f t="shared" si="96"/>
        <v>#N/A</v>
      </c>
    </row>
    <row r="214" spans="1:44" s="315" customFormat="1" ht="14.25" hidden="1">
      <c r="A214" s="547" t="s">
        <v>321</v>
      </c>
      <c r="B214" s="620"/>
      <c r="C214" s="603"/>
      <c r="E214" s="350" t="e">
        <f t="shared" ref="E214:AQ214" si="97">IF(E210="",NA(),IF(E184&lt;=$B199,E210*$D202/100,IF(E184&lt;=$C199,E210*$E202/100,IF(E184&lt;=$D199,E210*$F202/100,IF(E184&lt;=$E199,E210*$G202/100,IF(E184&lt;=$F199,E210*$H202/100,IF(E184&lt;=$G199,E210*$I202/100,IF(E184&lt;=$H199,E210*$J202/100,IF(E184&lt;=$I199,E210*$K202/100,IF(E184&lt;=$J199,E210*$L202/100,IF(E184&lt;=$K199,E210*$M202/100,IF(E184&lt;=$L199,E210*$N202/100,IF(E184&lt;=$M199,E210*$O202/100,IF(E184&lt;=$N199,E210*$P202/100,IF(E184&lt;=$O199,E210*$Q202/100,IF(E184&lt;=$P199,E210*$R202/100,IF(E184&lt;=$Q199,E210*$S202/100,IF(E184&lt;=$R199,E210*$T202/100,IF(E184&lt;=$S199,E210*$U202/100,IF(E184&lt;=$T199,E210*$V202/100,IF(E184&lt;=$U199,E210*$W202/100,E210*$X202/100)))))))))))))))))))))</f>
        <v>#N/A</v>
      </c>
      <c r="F214" s="350" t="e">
        <f t="shared" si="97"/>
        <v>#N/A</v>
      </c>
      <c r="G214" s="350" t="e">
        <f t="shared" si="97"/>
        <v>#N/A</v>
      </c>
      <c r="H214" s="350" t="e">
        <f t="shared" si="97"/>
        <v>#N/A</v>
      </c>
      <c r="I214" s="350" t="e">
        <f t="shared" si="97"/>
        <v>#N/A</v>
      </c>
      <c r="J214" s="350" t="e">
        <f t="shared" si="97"/>
        <v>#N/A</v>
      </c>
      <c r="K214" s="350" t="e">
        <f t="shared" si="97"/>
        <v>#N/A</v>
      </c>
      <c r="L214" s="350" t="e">
        <f t="shared" si="97"/>
        <v>#N/A</v>
      </c>
      <c r="M214" s="350" t="e">
        <f t="shared" si="97"/>
        <v>#N/A</v>
      </c>
      <c r="N214" s="350" t="e">
        <f t="shared" si="97"/>
        <v>#N/A</v>
      </c>
      <c r="O214" s="350" t="e">
        <f t="shared" si="97"/>
        <v>#N/A</v>
      </c>
      <c r="P214" s="350" t="e">
        <f t="shared" si="97"/>
        <v>#N/A</v>
      </c>
      <c r="Q214" s="350" t="e">
        <f t="shared" si="97"/>
        <v>#N/A</v>
      </c>
      <c r="R214" s="350" t="e">
        <f t="shared" si="97"/>
        <v>#N/A</v>
      </c>
      <c r="S214" s="350" t="e">
        <f t="shared" si="97"/>
        <v>#N/A</v>
      </c>
      <c r="T214" s="350" t="e">
        <f t="shared" si="97"/>
        <v>#N/A</v>
      </c>
      <c r="U214" s="350" t="e">
        <f t="shared" si="97"/>
        <v>#N/A</v>
      </c>
      <c r="V214" s="350" t="e">
        <f t="shared" si="97"/>
        <v>#N/A</v>
      </c>
      <c r="W214" s="350" t="e">
        <f t="shared" si="97"/>
        <v>#N/A</v>
      </c>
      <c r="X214" s="350" t="e">
        <f t="shared" si="97"/>
        <v>#N/A</v>
      </c>
      <c r="Y214" s="350" t="e">
        <f t="shared" si="97"/>
        <v>#N/A</v>
      </c>
      <c r="Z214" s="350" t="e">
        <f t="shared" si="97"/>
        <v>#N/A</v>
      </c>
      <c r="AA214" s="350" t="e">
        <f t="shared" si="97"/>
        <v>#N/A</v>
      </c>
      <c r="AB214" s="350" t="e">
        <f t="shared" si="97"/>
        <v>#N/A</v>
      </c>
      <c r="AC214" s="350" t="e">
        <f t="shared" si="97"/>
        <v>#N/A</v>
      </c>
      <c r="AD214" s="350" t="e">
        <f t="shared" si="97"/>
        <v>#N/A</v>
      </c>
      <c r="AE214" s="350" t="e">
        <f t="shared" si="97"/>
        <v>#N/A</v>
      </c>
      <c r="AF214" s="350" t="e">
        <f t="shared" si="97"/>
        <v>#N/A</v>
      </c>
      <c r="AG214" s="350" t="e">
        <f t="shared" si="97"/>
        <v>#N/A</v>
      </c>
      <c r="AH214" s="350" t="e">
        <f t="shared" si="97"/>
        <v>#N/A</v>
      </c>
      <c r="AI214" s="350" t="e">
        <f t="shared" si="97"/>
        <v>#N/A</v>
      </c>
      <c r="AJ214" s="350" t="e">
        <f t="shared" si="97"/>
        <v>#N/A</v>
      </c>
      <c r="AK214" s="350" t="e">
        <f t="shared" si="97"/>
        <v>#N/A</v>
      </c>
      <c r="AL214" s="350" t="e">
        <f t="shared" si="97"/>
        <v>#N/A</v>
      </c>
      <c r="AM214" s="350" t="e">
        <f t="shared" si="97"/>
        <v>#N/A</v>
      </c>
      <c r="AN214" s="350" t="e">
        <f t="shared" si="97"/>
        <v>#N/A</v>
      </c>
      <c r="AO214" s="350" t="e">
        <f t="shared" si="97"/>
        <v>#N/A</v>
      </c>
      <c r="AP214" s="350" t="e">
        <f t="shared" si="97"/>
        <v>#N/A</v>
      </c>
      <c r="AQ214" s="350" t="e">
        <f t="shared" si="97"/>
        <v>#N/A</v>
      </c>
    </row>
    <row r="215" spans="1:44" s="315" customFormat="1" ht="15" hidden="1" thickBot="1">
      <c r="A215" s="557" t="s">
        <v>322</v>
      </c>
      <c r="B215" s="621"/>
      <c r="C215" s="621"/>
      <c r="E215" s="352" t="e">
        <f t="shared" ref="E215:AQ215" si="98">IF(E214="",NA(),ROUND(E212/E214*100,1))</f>
        <v>#N/A</v>
      </c>
      <c r="F215" s="352" t="e">
        <f t="shared" si="98"/>
        <v>#N/A</v>
      </c>
      <c r="G215" s="352" t="e">
        <f t="shared" si="98"/>
        <v>#N/A</v>
      </c>
      <c r="H215" s="352" t="e">
        <f t="shared" si="98"/>
        <v>#N/A</v>
      </c>
      <c r="I215" s="352" t="e">
        <f t="shared" si="98"/>
        <v>#N/A</v>
      </c>
      <c r="J215" s="352" t="e">
        <f t="shared" si="98"/>
        <v>#N/A</v>
      </c>
      <c r="K215" s="352" t="e">
        <f t="shared" si="98"/>
        <v>#N/A</v>
      </c>
      <c r="L215" s="352" t="e">
        <f t="shared" si="98"/>
        <v>#N/A</v>
      </c>
      <c r="M215" s="352" t="e">
        <f t="shared" si="98"/>
        <v>#N/A</v>
      </c>
      <c r="N215" s="352" t="e">
        <f t="shared" si="98"/>
        <v>#N/A</v>
      </c>
      <c r="O215" s="352" t="e">
        <f t="shared" si="98"/>
        <v>#N/A</v>
      </c>
      <c r="P215" s="352" t="e">
        <f t="shared" si="98"/>
        <v>#N/A</v>
      </c>
      <c r="Q215" s="352" t="e">
        <f t="shared" si="98"/>
        <v>#N/A</v>
      </c>
      <c r="R215" s="352" t="e">
        <f t="shared" si="98"/>
        <v>#N/A</v>
      </c>
      <c r="S215" s="352" t="e">
        <f t="shared" si="98"/>
        <v>#N/A</v>
      </c>
      <c r="T215" s="352" t="e">
        <f t="shared" si="98"/>
        <v>#N/A</v>
      </c>
      <c r="U215" s="352" t="e">
        <f t="shared" si="98"/>
        <v>#N/A</v>
      </c>
      <c r="V215" s="352" t="e">
        <f t="shared" si="98"/>
        <v>#N/A</v>
      </c>
      <c r="W215" s="352" t="e">
        <f t="shared" si="98"/>
        <v>#N/A</v>
      </c>
      <c r="X215" s="352" t="e">
        <f t="shared" si="98"/>
        <v>#N/A</v>
      </c>
      <c r="Y215" s="352" t="e">
        <f t="shared" si="98"/>
        <v>#N/A</v>
      </c>
      <c r="Z215" s="352" t="e">
        <f t="shared" si="98"/>
        <v>#N/A</v>
      </c>
      <c r="AA215" s="352" t="e">
        <f t="shared" si="98"/>
        <v>#N/A</v>
      </c>
      <c r="AB215" s="352" t="e">
        <f t="shared" si="98"/>
        <v>#N/A</v>
      </c>
      <c r="AC215" s="352" t="e">
        <f t="shared" si="98"/>
        <v>#N/A</v>
      </c>
      <c r="AD215" s="352" t="e">
        <f t="shared" si="98"/>
        <v>#N/A</v>
      </c>
      <c r="AE215" s="352" t="e">
        <f t="shared" si="98"/>
        <v>#N/A</v>
      </c>
      <c r="AF215" s="352" t="e">
        <f t="shared" si="98"/>
        <v>#N/A</v>
      </c>
      <c r="AG215" s="352" t="e">
        <f t="shared" si="98"/>
        <v>#N/A</v>
      </c>
      <c r="AH215" s="352" t="e">
        <f t="shared" si="98"/>
        <v>#N/A</v>
      </c>
      <c r="AI215" s="352" t="e">
        <f t="shared" si="98"/>
        <v>#N/A</v>
      </c>
      <c r="AJ215" s="352" t="e">
        <f t="shared" si="98"/>
        <v>#N/A</v>
      </c>
      <c r="AK215" s="352" t="e">
        <f t="shared" si="98"/>
        <v>#N/A</v>
      </c>
      <c r="AL215" s="352" t="e">
        <f t="shared" si="98"/>
        <v>#N/A</v>
      </c>
      <c r="AM215" s="352" t="e">
        <f t="shared" si="98"/>
        <v>#N/A</v>
      </c>
      <c r="AN215" s="352" t="e">
        <f t="shared" si="98"/>
        <v>#N/A</v>
      </c>
      <c r="AO215" s="352" t="e">
        <f t="shared" si="98"/>
        <v>#N/A</v>
      </c>
      <c r="AP215" s="352" t="e">
        <f t="shared" si="98"/>
        <v>#N/A</v>
      </c>
      <c r="AQ215" s="352" t="e">
        <f t="shared" si="98"/>
        <v>#N/A</v>
      </c>
      <c r="AR215" s="352"/>
    </row>
    <row r="216" spans="1:44" s="315" customFormat="1" ht="14.25"/>
    <row r="217" spans="1:44" s="315" customFormat="1" ht="21" customHeight="1" thickBot="1">
      <c r="A217" s="314" t="s">
        <v>327</v>
      </c>
    </row>
    <row r="218" spans="1:44" s="315" customFormat="1" ht="12.95" customHeight="1" thickBot="1">
      <c r="A218" s="614" t="s">
        <v>282</v>
      </c>
      <c r="B218" s="615"/>
      <c r="C218" s="615"/>
      <c r="D218" s="618"/>
      <c r="E218" s="618"/>
      <c r="F218" s="619"/>
      <c r="H218" s="316" t="s">
        <v>290</v>
      </c>
      <c r="I218" s="618"/>
      <c r="J218" s="619"/>
      <c r="L218" s="353" t="s">
        <v>291</v>
      </c>
      <c r="M218" s="1212"/>
      <c r="N218" s="1213"/>
      <c r="O218" s="354"/>
      <c r="P218" s="1214" t="s">
        <v>293</v>
      </c>
      <c r="Q218" s="1215"/>
      <c r="R218" s="355"/>
      <c r="S218" s="355"/>
      <c r="T218" s="355"/>
    </row>
    <row r="219" spans="1:44" s="315" customFormat="1" ht="12.95" customHeight="1" thickBot="1">
      <c r="L219" s="356" t="s">
        <v>292</v>
      </c>
      <c r="M219" s="1216"/>
      <c r="N219" s="1217"/>
      <c r="P219" s="594"/>
      <c r="Q219" s="1218"/>
      <c r="R219" s="1218"/>
      <c r="S219" s="1218"/>
      <c r="T219" s="1218"/>
      <c r="U219" s="1218"/>
      <c r="V219" s="1218"/>
      <c r="W219" s="1218"/>
      <c r="X219" s="1219"/>
    </row>
    <row r="220" spans="1:44" s="315" customFormat="1" ht="14.25">
      <c r="A220" s="545" t="s">
        <v>61</v>
      </c>
      <c r="B220" s="617"/>
      <c r="C220" s="617"/>
      <c r="D220" s="366" t="s">
        <v>47</v>
      </c>
      <c r="E220" s="366" t="s">
        <v>13</v>
      </c>
      <c r="F220" s="366" t="s">
        <v>15</v>
      </c>
      <c r="G220" s="366" t="s">
        <v>48</v>
      </c>
      <c r="H220" s="366" t="s">
        <v>49</v>
      </c>
      <c r="I220" s="319" t="s">
        <v>52</v>
      </c>
      <c r="J220" s="320" t="s">
        <v>51</v>
      </c>
      <c r="K220" s="321"/>
      <c r="P220" s="1220"/>
      <c r="Q220" s="1221"/>
      <c r="R220" s="1221"/>
      <c r="S220" s="1221"/>
      <c r="T220" s="1221"/>
      <c r="U220" s="1221"/>
      <c r="V220" s="1221"/>
      <c r="W220" s="1221"/>
      <c r="X220" s="1222"/>
      <c r="Z220" s="322"/>
      <c r="AA220" s="322"/>
    </row>
    <row r="221" spans="1:44" s="315" customFormat="1" ht="14.25">
      <c r="A221" s="547" t="s">
        <v>163</v>
      </c>
      <c r="B221" s="620"/>
      <c r="C221" s="620"/>
      <c r="D221" s="363" t="str">
        <f>IF(D222+D223=0,"",D222+D223)</f>
        <v/>
      </c>
      <c r="E221" s="363" t="str">
        <f>IF(E222+E223=0,"",E222+E223)</f>
        <v/>
      </c>
      <c r="F221" s="363" t="str">
        <f>IF(F222+F223=0,"",F222+F223)</f>
        <v/>
      </c>
      <c r="G221" s="363" t="str">
        <f>IF(G222+G223=0,"",G222+G223)</f>
        <v/>
      </c>
      <c r="H221" s="363" t="str">
        <f>IF(H222+H223=0,"",H222+H223)</f>
        <v/>
      </c>
      <c r="I221" s="323"/>
      <c r="J221" s="368" t="str">
        <f>IF(SUM(D221:I221)=0,"",SUM(D221:I221))</f>
        <v/>
      </c>
      <c r="K221" s="321"/>
      <c r="P221" s="1220"/>
      <c r="Q221" s="1221"/>
      <c r="R221" s="1221"/>
      <c r="S221" s="1221"/>
      <c r="T221" s="1221"/>
      <c r="U221" s="1221"/>
      <c r="V221" s="1221"/>
      <c r="W221" s="1221"/>
      <c r="X221" s="1222"/>
      <c r="Z221" s="322"/>
      <c r="AA221" s="322"/>
    </row>
    <row r="222" spans="1:44" s="315" customFormat="1" ht="14.25">
      <c r="A222" s="547" t="s">
        <v>93</v>
      </c>
      <c r="B222" s="620"/>
      <c r="C222" s="620"/>
      <c r="D222" s="371"/>
      <c r="E222" s="371"/>
      <c r="F222" s="371"/>
      <c r="G222" s="371"/>
      <c r="H222" s="371"/>
      <c r="I222" s="323"/>
      <c r="J222" s="368" t="str">
        <f>IF(SUM(D222:I222)=0,"",SUM(D222:I222))</f>
        <v/>
      </c>
      <c r="K222" s="325"/>
      <c r="P222" s="1220"/>
      <c r="Q222" s="1221"/>
      <c r="R222" s="1221"/>
      <c r="S222" s="1221"/>
      <c r="T222" s="1221"/>
      <c r="U222" s="1221"/>
      <c r="V222" s="1221"/>
      <c r="W222" s="1221"/>
      <c r="X222" s="1222"/>
      <c r="Y222" s="589"/>
      <c r="Z222" s="589"/>
      <c r="AA222" s="589"/>
    </row>
    <row r="223" spans="1:44" s="315" customFormat="1" ht="14.25">
      <c r="A223" s="547" t="s">
        <v>50</v>
      </c>
      <c r="B223" s="620"/>
      <c r="C223" s="620"/>
      <c r="D223" s="371"/>
      <c r="E223" s="371"/>
      <c r="F223" s="371"/>
      <c r="G223" s="371"/>
      <c r="H223" s="371"/>
      <c r="I223" s="323"/>
      <c r="J223" s="368" t="str">
        <f>IF(SUM(D223:I223)=0,"",SUM(D223:I223))</f>
        <v/>
      </c>
      <c r="K223" s="325"/>
      <c r="P223" s="1220"/>
      <c r="Q223" s="1221"/>
      <c r="R223" s="1221"/>
      <c r="S223" s="1221"/>
      <c r="T223" s="1221"/>
      <c r="U223" s="1221"/>
      <c r="V223" s="1221"/>
      <c r="W223" s="1221"/>
      <c r="X223" s="1222"/>
      <c r="Y223" s="589"/>
      <c r="Z223" s="589"/>
      <c r="AA223" s="589"/>
    </row>
    <row r="224" spans="1:44" s="315" customFormat="1" ht="15" thickBot="1">
      <c r="A224" s="557" t="s">
        <v>162</v>
      </c>
      <c r="B224" s="621"/>
      <c r="C224" s="621"/>
      <c r="D224" s="372"/>
      <c r="E224" s="372"/>
      <c r="F224" s="372"/>
      <c r="G224" s="372"/>
      <c r="H224" s="372"/>
      <c r="I224" s="369" t="str">
        <f>IF(SUM(E227:AQ227)=0,"",SUM(E227:AQ227))</f>
        <v/>
      </c>
      <c r="J224" s="370" t="str">
        <f>IF(SUM(D224:I224)=0,"",SUM(D224:I224))</f>
        <v/>
      </c>
      <c r="K224" s="325"/>
      <c r="O224" s="354"/>
      <c r="P224" s="1223"/>
      <c r="Q224" s="1224"/>
      <c r="R224" s="1224"/>
      <c r="S224" s="1224"/>
      <c r="T224" s="1224"/>
      <c r="U224" s="1224"/>
      <c r="V224" s="1224"/>
      <c r="W224" s="1224"/>
      <c r="X224" s="1225"/>
      <c r="Y224" s="589"/>
      <c r="Z224" s="589"/>
      <c r="AA224" s="589"/>
    </row>
    <row r="225" spans="1:44" s="315" customFormat="1" ht="10.5" customHeight="1" thickBot="1"/>
    <row r="226" spans="1:44" s="315" customFormat="1" ht="14.25">
      <c r="A226" s="616" t="s">
        <v>16</v>
      </c>
      <c r="B226" s="617"/>
      <c r="C226" s="617"/>
      <c r="D226" s="366">
        <v>1</v>
      </c>
      <c r="E226" s="366">
        <v>2</v>
      </c>
      <c r="F226" s="366">
        <v>3</v>
      </c>
      <c r="G226" s="366">
        <v>4</v>
      </c>
      <c r="H226" s="366">
        <v>5</v>
      </c>
      <c r="I226" s="366">
        <v>6</v>
      </c>
      <c r="J226" s="366">
        <v>7</v>
      </c>
      <c r="K226" s="366">
        <v>8</v>
      </c>
      <c r="L226" s="366">
        <v>9</v>
      </c>
      <c r="M226" s="366">
        <v>10</v>
      </c>
      <c r="N226" s="366">
        <v>11</v>
      </c>
      <c r="O226" s="366">
        <v>12</v>
      </c>
      <c r="P226" s="366">
        <v>13</v>
      </c>
      <c r="Q226" s="366">
        <v>14</v>
      </c>
      <c r="R226" s="366">
        <v>15</v>
      </c>
      <c r="S226" s="366">
        <v>16</v>
      </c>
      <c r="T226" s="366">
        <v>17</v>
      </c>
      <c r="U226" s="366">
        <v>18</v>
      </c>
      <c r="V226" s="366">
        <v>19</v>
      </c>
      <c r="W226" s="366">
        <v>20</v>
      </c>
      <c r="X226" s="366">
        <v>21</v>
      </c>
      <c r="Y226" s="366">
        <v>22</v>
      </c>
      <c r="Z226" s="366">
        <v>23</v>
      </c>
      <c r="AA226" s="366">
        <v>24</v>
      </c>
      <c r="AB226" s="366">
        <v>25</v>
      </c>
      <c r="AC226" s="366">
        <v>26</v>
      </c>
      <c r="AD226" s="366">
        <v>27</v>
      </c>
      <c r="AE226" s="366">
        <v>28</v>
      </c>
      <c r="AF226" s="366">
        <v>29</v>
      </c>
      <c r="AG226" s="366">
        <v>30</v>
      </c>
      <c r="AH226" s="366">
        <v>31</v>
      </c>
      <c r="AI226" s="366">
        <v>32</v>
      </c>
      <c r="AJ226" s="366">
        <v>33</v>
      </c>
      <c r="AK226" s="366">
        <v>34</v>
      </c>
      <c r="AL226" s="366">
        <v>35</v>
      </c>
      <c r="AM226" s="366">
        <v>36</v>
      </c>
      <c r="AN226" s="366">
        <v>37</v>
      </c>
      <c r="AO226" s="366">
        <v>38</v>
      </c>
      <c r="AP226" s="366">
        <v>39</v>
      </c>
      <c r="AQ226" s="320">
        <v>40</v>
      </c>
    </row>
    <row r="227" spans="1:44" s="315" customFormat="1" ht="14.25">
      <c r="A227" s="547" t="s">
        <v>206</v>
      </c>
      <c r="B227" s="620"/>
      <c r="C227" s="620"/>
      <c r="D227" s="365"/>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4"/>
      <c r="AL227" s="324"/>
      <c r="AM227" s="324"/>
      <c r="AN227" s="324"/>
      <c r="AO227" s="324"/>
      <c r="AP227" s="324"/>
      <c r="AQ227" s="326"/>
    </row>
    <row r="228" spans="1:44" s="315" customFormat="1" ht="14.25">
      <c r="A228" s="622" t="s">
        <v>1</v>
      </c>
      <c r="B228" s="623"/>
      <c r="C228" s="624" t="s">
        <v>63</v>
      </c>
      <c r="D228" s="327"/>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c r="AE228" s="328"/>
      <c r="AF228" s="328"/>
      <c r="AG228" s="328"/>
      <c r="AH228" s="328"/>
      <c r="AI228" s="328"/>
      <c r="AJ228" s="328"/>
      <c r="AK228" s="328"/>
      <c r="AL228" s="329"/>
      <c r="AM228" s="329"/>
      <c r="AN228" s="329"/>
      <c r="AO228" s="328"/>
      <c r="AP228" s="328"/>
      <c r="AQ228" s="330"/>
      <c r="AR228" s="362"/>
    </row>
    <row r="229" spans="1:44" s="315" customFormat="1" ht="14.25">
      <c r="A229" s="622" t="s">
        <v>2</v>
      </c>
      <c r="B229" s="623"/>
      <c r="C229" s="624"/>
      <c r="D229" s="327"/>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c r="AF229" s="328"/>
      <c r="AG229" s="328"/>
      <c r="AH229" s="328"/>
      <c r="AI229" s="328"/>
      <c r="AJ229" s="328"/>
      <c r="AK229" s="328"/>
      <c r="AL229" s="328"/>
      <c r="AM229" s="328"/>
      <c r="AN229" s="328"/>
      <c r="AO229" s="328"/>
      <c r="AP229" s="331"/>
      <c r="AQ229" s="332"/>
      <c r="AR229" s="362"/>
    </row>
    <row r="230" spans="1:44" s="315" customFormat="1" ht="14.25">
      <c r="A230" s="547" t="s">
        <v>261</v>
      </c>
      <c r="B230" s="620"/>
      <c r="C230" s="620"/>
      <c r="D230" s="333"/>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29"/>
      <c r="AM230" s="329"/>
      <c r="AN230" s="329"/>
      <c r="AO230" s="334"/>
      <c r="AP230" s="334"/>
      <c r="AQ230" s="335"/>
    </row>
    <row r="231" spans="1:44" s="315" customFormat="1" ht="14.25">
      <c r="A231" s="1206" t="s">
        <v>297</v>
      </c>
      <c r="B231" s="1207"/>
      <c r="C231" s="1207"/>
      <c r="D231" s="373"/>
      <c r="E231" s="374" t="str">
        <f t="shared" ref="E231:AQ231" si="99">IFERROR(E254,"")</f>
        <v/>
      </c>
      <c r="F231" s="374" t="str">
        <f t="shared" si="99"/>
        <v/>
      </c>
      <c r="G231" s="374" t="str">
        <f t="shared" si="99"/>
        <v/>
      </c>
      <c r="H231" s="374" t="str">
        <f t="shared" si="99"/>
        <v/>
      </c>
      <c r="I231" s="374" t="str">
        <f t="shared" si="99"/>
        <v/>
      </c>
      <c r="J231" s="374" t="str">
        <f t="shared" si="99"/>
        <v/>
      </c>
      <c r="K231" s="374" t="str">
        <f t="shared" si="99"/>
        <v/>
      </c>
      <c r="L231" s="374" t="str">
        <f t="shared" si="99"/>
        <v/>
      </c>
      <c r="M231" s="374" t="str">
        <f t="shared" si="99"/>
        <v/>
      </c>
      <c r="N231" s="374" t="str">
        <f t="shared" si="99"/>
        <v/>
      </c>
      <c r="O231" s="374" t="str">
        <f t="shared" si="99"/>
        <v/>
      </c>
      <c r="P231" s="374" t="str">
        <f t="shared" si="99"/>
        <v/>
      </c>
      <c r="Q231" s="374" t="str">
        <f t="shared" si="99"/>
        <v/>
      </c>
      <c r="R231" s="374" t="str">
        <f t="shared" si="99"/>
        <v/>
      </c>
      <c r="S231" s="374" t="str">
        <f t="shared" si="99"/>
        <v/>
      </c>
      <c r="T231" s="374" t="str">
        <f t="shared" si="99"/>
        <v/>
      </c>
      <c r="U231" s="374" t="str">
        <f t="shared" si="99"/>
        <v/>
      </c>
      <c r="V231" s="374" t="str">
        <f t="shared" si="99"/>
        <v/>
      </c>
      <c r="W231" s="374" t="str">
        <f t="shared" si="99"/>
        <v/>
      </c>
      <c r="X231" s="374" t="str">
        <f t="shared" si="99"/>
        <v/>
      </c>
      <c r="Y231" s="374" t="str">
        <f t="shared" si="99"/>
        <v/>
      </c>
      <c r="Z231" s="374" t="str">
        <f t="shared" si="99"/>
        <v/>
      </c>
      <c r="AA231" s="374" t="str">
        <f t="shared" si="99"/>
        <v/>
      </c>
      <c r="AB231" s="374" t="str">
        <f t="shared" si="99"/>
        <v/>
      </c>
      <c r="AC231" s="374" t="str">
        <f t="shared" si="99"/>
        <v/>
      </c>
      <c r="AD231" s="374" t="str">
        <f t="shared" si="99"/>
        <v/>
      </c>
      <c r="AE231" s="374" t="str">
        <f t="shared" si="99"/>
        <v/>
      </c>
      <c r="AF231" s="374" t="str">
        <f t="shared" si="99"/>
        <v/>
      </c>
      <c r="AG231" s="374" t="str">
        <f t="shared" si="99"/>
        <v/>
      </c>
      <c r="AH231" s="374" t="str">
        <f t="shared" si="99"/>
        <v/>
      </c>
      <c r="AI231" s="374" t="str">
        <f t="shared" si="99"/>
        <v/>
      </c>
      <c r="AJ231" s="374" t="str">
        <f t="shared" si="99"/>
        <v/>
      </c>
      <c r="AK231" s="374" t="str">
        <f t="shared" si="99"/>
        <v/>
      </c>
      <c r="AL231" s="374" t="str">
        <f t="shared" si="99"/>
        <v/>
      </c>
      <c r="AM231" s="374" t="str">
        <f t="shared" si="99"/>
        <v/>
      </c>
      <c r="AN231" s="374" t="str">
        <f t="shared" si="99"/>
        <v/>
      </c>
      <c r="AO231" s="374" t="str">
        <f t="shared" si="99"/>
        <v/>
      </c>
      <c r="AP231" s="374" t="str">
        <f t="shared" si="99"/>
        <v/>
      </c>
      <c r="AQ231" s="376" t="str">
        <f t="shared" si="99"/>
        <v/>
      </c>
    </row>
    <row r="232" spans="1:44" s="315" customFormat="1" ht="14.25" customHeight="1">
      <c r="A232" s="1206" t="s">
        <v>296</v>
      </c>
      <c r="B232" s="1207"/>
      <c r="C232" s="1207"/>
      <c r="D232" s="373"/>
      <c r="E232" s="374" t="str">
        <f t="shared" ref="E232:AQ232" si="100">IFERROR(E255,"")</f>
        <v/>
      </c>
      <c r="F232" s="374" t="str">
        <f t="shared" si="100"/>
        <v/>
      </c>
      <c r="G232" s="374" t="str">
        <f t="shared" si="100"/>
        <v/>
      </c>
      <c r="H232" s="374" t="str">
        <f t="shared" si="100"/>
        <v/>
      </c>
      <c r="I232" s="374" t="str">
        <f t="shared" si="100"/>
        <v/>
      </c>
      <c r="J232" s="374" t="str">
        <f t="shared" si="100"/>
        <v/>
      </c>
      <c r="K232" s="374" t="str">
        <f t="shared" si="100"/>
        <v/>
      </c>
      <c r="L232" s="374" t="str">
        <f t="shared" si="100"/>
        <v/>
      </c>
      <c r="M232" s="374" t="str">
        <f t="shared" si="100"/>
        <v/>
      </c>
      <c r="N232" s="374" t="str">
        <f t="shared" si="100"/>
        <v/>
      </c>
      <c r="O232" s="374" t="str">
        <f t="shared" si="100"/>
        <v/>
      </c>
      <c r="P232" s="374" t="str">
        <f t="shared" si="100"/>
        <v/>
      </c>
      <c r="Q232" s="374" t="str">
        <f t="shared" si="100"/>
        <v/>
      </c>
      <c r="R232" s="374" t="str">
        <f t="shared" si="100"/>
        <v/>
      </c>
      <c r="S232" s="374" t="str">
        <f t="shared" si="100"/>
        <v/>
      </c>
      <c r="T232" s="374" t="str">
        <f t="shared" si="100"/>
        <v/>
      </c>
      <c r="U232" s="374" t="str">
        <f t="shared" si="100"/>
        <v/>
      </c>
      <c r="V232" s="374" t="str">
        <f t="shared" si="100"/>
        <v/>
      </c>
      <c r="W232" s="374" t="str">
        <f t="shared" si="100"/>
        <v/>
      </c>
      <c r="X232" s="374" t="str">
        <f t="shared" si="100"/>
        <v/>
      </c>
      <c r="Y232" s="374" t="str">
        <f t="shared" si="100"/>
        <v/>
      </c>
      <c r="Z232" s="374" t="str">
        <f t="shared" si="100"/>
        <v/>
      </c>
      <c r="AA232" s="374" t="str">
        <f t="shared" si="100"/>
        <v/>
      </c>
      <c r="AB232" s="374" t="str">
        <f t="shared" si="100"/>
        <v/>
      </c>
      <c r="AC232" s="374" t="str">
        <f t="shared" si="100"/>
        <v/>
      </c>
      <c r="AD232" s="374" t="str">
        <f t="shared" si="100"/>
        <v/>
      </c>
      <c r="AE232" s="374" t="str">
        <f t="shared" si="100"/>
        <v/>
      </c>
      <c r="AF232" s="374" t="str">
        <f t="shared" si="100"/>
        <v/>
      </c>
      <c r="AG232" s="374" t="str">
        <f t="shared" si="100"/>
        <v/>
      </c>
      <c r="AH232" s="374" t="str">
        <f t="shared" si="100"/>
        <v/>
      </c>
      <c r="AI232" s="374" t="str">
        <f t="shared" si="100"/>
        <v/>
      </c>
      <c r="AJ232" s="374" t="str">
        <f t="shared" si="100"/>
        <v/>
      </c>
      <c r="AK232" s="374" t="str">
        <f t="shared" si="100"/>
        <v/>
      </c>
      <c r="AL232" s="374" t="str">
        <f t="shared" si="100"/>
        <v/>
      </c>
      <c r="AM232" s="374" t="str">
        <f t="shared" si="100"/>
        <v/>
      </c>
      <c r="AN232" s="374" t="str">
        <f t="shared" si="100"/>
        <v/>
      </c>
      <c r="AO232" s="374" t="str">
        <f t="shared" si="100"/>
        <v/>
      </c>
      <c r="AP232" s="374" t="str">
        <f t="shared" si="100"/>
        <v/>
      </c>
      <c r="AQ232" s="376" t="str">
        <f t="shared" si="100"/>
        <v/>
      </c>
    </row>
    <row r="233" spans="1:44" s="315" customFormat="1" ht="14.25">
      <c r="A233" s="1206" t="s">
        <v>406</v>
      </c>
      <c r="B233" s="1207"/>
      <c r="C233" s="1207"/>
      <c r="D233" s="373"/>
      <c r="E233" s="374" t="str">
        <f t="shared" ref="E233:AQ233" si="101">IFERROR(E256,"")</f>
        <v/>
      </c>
      <c r="F233" s="374" t="str">
        <f t="shared" si="101"/>
        <v/>
      </c>
      <c r="G233" s="374" t="str">
        <f t="shared" si="101"/>
        <v/>
      </c>
      <c r="H233" s="374" t="str">
        <f t="shared" si="101"/>
        <v/>
      </c>
      <c r="I233" s="374" t="str">
        <f t="shared" si="101"/>
        <v/>
      </c>
      <c r="J233" s="374" t="str">
        <f t="shared" si="101"/>
        <v/>
      </c>
      <c r="K233" s="374" t="str">
        <f t="shared" si="101"/>
        <v/>
      </c>
      <c r="L233" s="374" t="str">
        <f t="shared" si="101"/>
        <v/>
      </c>
      <c r="M233" s="374" t="str">
        <f t="shared" si="101"/>
        <v/>
      </c>
      <c r="N233" s="374" t="str">
        <f t="shared" si="101"/>
        <v/>
      </c>
      <c r="O233" s="374" t="str">
        <f t="shared" si="101"/>
        <v/>
      </c>
      <c r="P233" s="374" t="str">
        <f t="shared" si="101"/>
        <v/>
      </c>
      <c r="Q233" s="374" t="str">
        <f t="shared" si="101"/>
        <v/>
      </c>
      <c r="R233" s="374" t="str">
        <f t="shared" si="101"/>
        <v/>
      </c>
      <c r="S233" s="374" t="str">
        <f t="shared" si="101"/>
        <v/>
      </c>
      <c r="T233" s="374" t="str">
        <f t="shared" si="101"/>
        <v/>
      </c>
      <c r="U233" s="374" t="str">
        <f t="shared" si="101"/>
        <v/>
      </c>
      <c r="V233" s="374" t="str">
        <f t="shared" si="101"/>
        <v/>
      </c>
      <c r="W233" s="374" t="str">
        <f t="shared" si="101"/>
        <v/>
      </c>
      <c r="X233" s="374" t="str">
        <f t="shared" si="101"/>
        <v/>
      </c>
      <c r="Y233" s="374" t="str">
        <f t="shared" si="101"/>
        <v/>
      </c>
      <c r="Z233" s="374" t="str">
        <f t="shared" si="101"/>
        <v/>
      </c>
      <c r="AA233" s="374" t="str">
        <f t="shared" si="101"/>
        <v/>
      </c>
      <c r="AB233" s="374" t="str">
        <f t="shared" si="101"/>
        <v/>
      </c>
      <c r="AC233" s="374" t="str">
        <f t="shared" si="101"/>
        <v/>
      </c>
      <c r="AD233" s="374" t="str">
        <f t="shared" si="101"/>
        <v/>
      </c>
      <c r="AE233" s="374" t="str">
        <f t="shared" si="101"/>
        <v/>
      </c>
      <c r="AF233" s="374" t="str">
        <f t="shared" si="101"/>
        <v/>
      </c>
      <c r="AG233" s="374" t="str">
        <f t="shared" si="101"/>
        <v/>
      </c>
      <c r="AH233" s="374" t="str">
        <f t="shared" si="101"/>
        <v/>
      </c>
      <c r="AI233" s="374" t="str">
        <f t="shared" si="101"/>
        <v/>
      </c>
      <c r="AJ233" s="374" t="str">
        <f t="shared" si="101"/>
        <v/>
      </c>
      <c r="AK233" s="374" t="str">
        <f t="shared" si="101"/>
        <v/>
      </c>
      <c r="AL233" s="374" t="str">
        <f t="shared" si="101"/>
        <v/>
      </c>
      <c r="AM233" s="374" t="str">
        <f t="shared" si="101"/>
        <v/>
      </c>
      <c r="AN233" s="374" t="str">
        <f t="shared" si="101"/>
        <v/>
      </c>
      <c r="AO233" s="374" t="str">
        <f t="shared" si="101"/>
        <v/>
      </c>
      <c r="AP233" s="374" t="str">
        <f t="shared" si="101"/>
        <v/>
      </c>
      <c r="AQ233" s="376" t="str">
        <f t="shared" si="101"/>
        <v/>
      </c>
    </row>
    <row r="234" spans="1:44" s="315" customFormat="1" ht="14.25">
      <c r="A234" s="1208" t="s">
        <v>446</v>
      </c>
      <c r="B234" s="1209"/>
      <c r="C234" s="1209"/>
      <c r="D234" s="377"/>
      <c r="E234" s="374" t="str">
        <f t="shared" ref="E234:AQ234" si="102">IFERROR(E257,"")</f>
        <v/>
      </c>
      <c r="F234" s="374" t="str">
        <f t="shared" si="102"/>
        <v/>
      </c>
      <c r="G234" s="374" t="str">
        <f t="shared" si="102"/>
        <v/>
      </c>
      <c r="H234" s="374" t="str">
        <f t="shared" si="102"/>
        <v/>
      </c>
      <c r="I234" s="374" t="str">
        <f t="shared" si="102"/>
        <v/>
      </c>
      <c r="J234" s="374" t="str">
        <f t="shared" si="102"/>
        <v/>
      </c>
      <c r="K234" s="374" t="str">
        <f t="shared" si="102"/>
        <v/>
      </c>
      <c r="L234" s="374" t="str">
        <f t="shared" si="102"/>
        <v/>
      </c>
      <c r="M234" s="374" t="str">
        <f t="shared" si="102"/>
        <v/>
      </c>
      <c r="N234" s="374" t="str">
        <f t="shared" si="102"/>
        <v/>
      </c>
      <c r="O234" s="374" t="str">
        <f t="shared" si="102"/>
        <v/>
      </c>
      <c r="P234" s="374" t="str">
        <f t="shared" si="102"/>
        <v/>
      </c>
      <c r="Q234" s="374" t="str">
        <f t="shared" si="102"/>
        <v/>
      </c>
      <c r="R234" s="374" t="str">
        <f t="shared" si="102"/>
        <v/>
      </c>
      <c r="S234" s="374" t="str">
        <f t="shared" si="102"/>
        <v/>
      </c>
      <c r="T234" s="374" t="str">
        <f t="shared" si="102"/>
        <v/>
      </c>
      <c r="U234" s="374" t="str">
        <f t="shared" si="102"/>
        <v/>
      </c>
      <c r="V234" s="374" t="str">
        <f t="shared" si="102"/>
        <v/>
      </c>
      <c r="W234" s="374" t="str">
        <f t="shared" si="102"/>
        <v/>
      </c>
      <c r="X234" s="374" t="str">
        <f t="shared" si="102"/>
        <v/>
      </c>
      <c r="Y234" s="374" t="str">
        <f t="shared" si="102"/>
        <v/>
      </c>
      <c r="Z234" s="374" t="str">
        <f t="shared" si="102"/>
        <v/>
      </c>
      <c r="AA234" s="374" t="str">
        <f t="shared" si="102"/>
        <v/>
      </c>
      <c r="AB234" s="374" t="str">
        <f t="shared" si="102"/>
        <v/>
      </c>
      <c r="AC234" s="374" t="str">
        <f t="shared" si="102"/>
        <v/>
      </c>
      <c r="AD234" s="374" t="str">
        <f t="shared" si="102"/>
        <v/>
      </c>
      <c r="AE234" s="374" t="str">
        <f t="shared" si="102"/>
        <v/>
      </c>
      <c r="AF234" s="374" t="str">
        <f t="shared" si="102"/>
        <v/>
      </c>
      <c r="AG234" s="374" t="str">
        <f t="shared" si="102"/>
        <v/>
      </c>
      <c r="AH234" s="374" t="str">
        <f t="shared" si="102"/>
        <v/>
      </c>
      <c r="AI234" s="374" t="str">
        <f t="shared" si="102"/>
        <v/>
      </c>
      <c r="AJ234" s="374" t="str">
        <f t="shared" si="102"/>
        <v/>
      </c>
      <c r="AK234" s="374" t="str">
        <f t="shared" si="102"/>
        <v/>
      </c>
      <c r="AL234" s="374" t="str">
        <f t="shared" si="102"/>
        <v/>
      </c>
      <c r="AM234" s="374" t="str">
        <f t="shared" si="102"/>
        <v/>
      </c>
      <c r="AN234" s="374" t="str">
        <f t="shared" si="102"/>
        <v/>
      </c>
      <c r="AO234" s="374" t="str">
        <f t="shared" si="102"/>
        <v/>
      </c>
      <c r="AP234" s="374" t="str">
        <f t="shared" si="102"/>
        <v/>
      </c>
      <c r="AQ234" s="376" t="str">
        <f t="shared" si="102"/>
        <v/>
      </c>
      <c r="AR234" s="362"/>
    </row>
    <row r="235" spans="1:44" s="315" customFormat="1" ht="14.25" hidden="1">
      <c r="A235" s="1206" t="s">
        <v>336</v>
      </c>
      <c r="B235" s="1207"/>
      <c r="C235" s="1207"/>
      <c r="D235" s="378"/>
      <c r="E235" s="379">
        <f t="shared" ref="E235:AQ235" si="103">IF(E227="",0,E227)</f>
        <v>0</v>
      </c>
      <c r="F235" s="379">
        <f t="shared" si="103"/>
        <v>0</v>
      </c>
      <c r="G235" s="379">
        <f t="shared" si="103"/>
        <v>0</v>
      </c>
      <c r="H235" s="379">
        <f t="shared" si="103"/>
        <v>0</v>
      </c>
      <c r="I235" s="379">
        <f t="shared" si="103"/>
        <v>0</v>
      </c>
      <c r="J235" s="379">
        <f t="shared" si="103"/>
        <v>0</v>
      </c>
      <c r="K235" s="379">
        <f t="shared" si="103"/>
        <v>0</v>
      </c>
      <c r="L235" s="379">
        <f t="shared" si="103"/>
        <v>0</v>
      </c>
      <c r="M235" s="379">
        <f t="shared" si="103"/>
        <v>0</v>
      </c>
      <c r="N235" s="379">
        <f t="shared" si="103"/>
        <v>0</v>
      </c>
      <c r="O235" s="379">
        <f t="shared" si="103"/>
        <v>0</v>
      </c>
      <c r="P235" s="379">
        <f t="shared" si="103"/>
        <v>0</v>
      </c>
      <c r="Q235" s="379">
        <f t="shared" si="103"/>
        <v>0</v>
      </c>
      <c r="R235" s="379">
        <f t="shared" si="103"/>
        <v>0</v>
      </c>
      <c r="S235" s="379">
        <f t="shared" si="103"/>
        <v>0</v>
      </c>
      <c r="T235" s="379">
        <f t="shared" si="103"/>
        <v>0</v>
      </c>
      <c r="U235" s="379">
        <f t="shared" si="103"/>
        <v>0</v>
      </c>
      <c r="V235" s="379">
        <f t="shared" si="103"/>
        <v>0</v>
      </c>
      <c r="W235" s="379">
        <f t="shared" si="103"/>
        <v>0</v>
      </c>
      <c r="X235" s="379">
        <f t="shared" si="103"/>
        <v>0</v>
      </c>
      <c r="Y235" s="379">
        <f t="shared" si="103"/>
        <v>0</v>
      </c>
      <c r="Z235" s="379">
        <f t="shared" si="103"/>
        <v>0</v>
      </c>
      <c r="AA235" s="379">
        <f t="shared" si="103"/>
        <v>0</v>
      </c>
      <c r="AB235" s="379">
        <f t="shared" si="103"/>
        <v>0</v>
      </c>
      <c r="AC235" s="379">
        <f t="shared" si="103"/>
        <v>0</v>
      </c>
      <c r="AD235" s="379">
        <f t="shared" si="103"/>
        <v>0</v>
      </c>
      <c r="AE235" s="379">
        <f t="shared" si="103"/>
        <v>0</v>
      </c>
      <c r="AF235" s="379">
        <f t="shared" si="103"/>
        <v>0</v>
      </c>
      <c r="AG235" s="379">
        <f t="shared" si="103"/>
        <v>0</v>
      </c>
      <c r="AH235" s="379">
        <f t="shared" si="103"/>
        <v>0</v>
      </c>
      <c r="AI235" s="379">
        <f t="shared" si="103"/>
        <v>0</v>
      </c>
      <c r="AJ235" s="379">
        <f t="shared" si="103"/>
        <v>0</v>
      </c>
      <c r="AK235" s="379">
        <f t="shared" si="103"/>
        <v>0</v>
      </c>
      <c r="AL235" s="379">
        <f t="shared" si="103"/>
        <v>0</v>
      </c>
      <c r="AM235" s="379">
        <f t="shared" si="103"/>
        <v>0</v>
      </c>
      <c r="AN235" s="379">
        <f t="shared" si="103"/>
        <v>0</v>
      </c>
      <c r="AO235" s="379">
        <f t="shared" si="103"/>
        <v>0</v>
      </c>
      <c r="AP235" s="379">
        <f t="shared" si="103"/>
        <v>0</v>
      </c>
      <c r="AQ235" s="380">
        <f t="shared" si="103"/>
        <v>0</v>
      </c>
      <c r="AR235" s="86"/>
    </row>
    <row r="236" spans="1:44" s="315" customFormat="1" ht="14.25" hidden="1">
      <c r="A236" s="1210" t="s">
        <v>328</v>
      </c>
      <c r="B236" s="927"/>
      <c r="C236" s="928"/>
      <c r="D236" s="381">
        <f>SUM(D224:G224)</f>
        <v>0</v>
      </c>
      <c r="E236" s="382">
        <f t="shared" ref="E236:AQ236" si="104">D236+D235</f>
        <v>0</v>
      </c>
      <c r="F236" s="382">
        <f t="shared" si="104"/>
        <v>0</v>
      </c>
      <c r="G236" s="382">
        <f t="shared" si="104"/>
        <v>0</v>
      </c>
      <c r="H236" s="382">
        <f t="shared" si="104"/>
        <v>0</v>
      </c>
      <c r="I236" s="382">
        <f t="shared" si="104"/>
        <v>0</v>
      </c>
      <c r="J236" s="382">
        <f t="shared" si="104"/>
        <v>0</v>
      </c>
      <c r="K236" s="382">
        <f t="shared" si="104"/>
        <v>0</v>
      </c>
      <c r="L236" s="382">
        <f t="shared" si="104"/>
        <v>0</v>
      </c>
      <c r="M236" s="382">
        <f t="shared" si="104"/>
        <v>0</v>
      </c>
      <c r="N236" s="382">
        <f t="shared" si="104"/>
        <v>0</v>
      </c>
      <c r="O236" s="382">
        <f t="shared" si="104"/>
        <v>0</v>
      </c>
      <c r="P236" s="382">
        <f t="shared" si="104"/>
        <v>0</v>
      </c>
      <c r="Q236" s="382">
        <f t="shared" si="104"/>
        <v>0</v>
      </c>
      <c r="R236" s="382">
        <f t="shared" si="104"/>
        <v>0</v>
      </c>
      <c r="S236" s="382">
        <f t="shared" si="104"/>
        <v>0</v>
      </c>
      <c r="T236" s="382">
        <f t="shared" si="104"/>
        <v>0</v>
      </c>
      <c r="U236" s="382">
        <f t="shared" si="104"/>
        <v>0</v>
      </c>
      <c r="V236" s="382">
        <f t="shared" si="104"/>
        <v>0</v>
      </c>
      <c r="W236" s="382">
        <f t="shared" si="104"/>
        <v>0</v>
      </c>
      <c r="X236" s="382">
        <f t="shared" si="104"/>
        <v>0</v>
      </c>
      <c r="Y236" s="382">
        <f t="shared" si="104"/>
        <v>0</v>
      </c>
      <c r="Z236" s="382">
        <f t="shared" si="104"/>
        <v>0</v>
      </c>
      <c r="AA236" s="382">
        <f t="shared" si="104"/>
        <v>0</v>
      </c>
      <c r="AB236" s="382">
        <f t="shared" si="104"/>
        <v>0</v>
      </c>
      <c r="AC236" s="382">
        <f t="shared" si="104"/>
        <v>0</v>
      </c>
      <c r="AD236" s="382">
        <f t="shared" si="104"/>
        <v>0</v>
      </c>
      <c r="AE236" s="382">
        <f t="shared" si="104"/>
        <v>0</v>
      </c>
      <c r="AF236" s="382">
        <f t="shared" si="104"/>
        <v>0</v>
      </c>
      <c r="AG236" s="382">
        <f t="shared" si="104"/>
        <v>0</v>
      </c>
      <c r="AH236" s="382">
        <f t="shared" si="104"/>
        <v>0</v>
      </c>
      <c r="AI236" s="382">
        <f t="shared" si="104"/>
        <v>0</v>
      </c>
      <c r="AJ236" s="382">
        <f t="shared" si="104"/>
        <v>0</v>
      </c>
      <c r="AK236" s="382">
        <f t="shared" si="104"/>
        <v>0</v>
      </c>
      <c r="AL236" s="382">
        <f t="shared" si="104"/>
        <v>0</v>
      </c>
      <c r="AM236" s="382">
        <f t="shared" si="104"/>
        <v>0</v>
      </c>
      <c r="AN236" s="382">
        <f t="shared" si="104"/>
        <v>0</v>
      </c>
      <c r="AO236" s="382">
        <f t="shared" si="104"/>
        <v>0</v>
      </c>
      <c r="AP236" s="382">
        <f t="shared" si="104"/>
        <v>0</v>
      </c>
      <c r="AQ236" s="383">
        <f t="shared" si="104"/>
        <v>0</v>
      </c>
      <c r="AR236"/>
    </row>
    <row r="237" spans="1:44" s="315" customFormat="1" ht="14.25" hidden="1">
      <c r="A237" s="1210" t="s">
        <v>329</v>
      </c>
      <c r="B237" s="927"/>
      <c r="C237" s="928"/>
      <c r="D237" s="384" t="e">
        <f t="shared" ref="D237:AQ237" si="105">(D236)/SUM($D221:$G221)*100</f>
        <v>#DIV/0!</v>
      </c>
      <c r="E237" s="384" t="e">
        <f t="shared" si="105"/>
        <v>#DIV/0!</v>
      </c>
      <c r="F237" s="384" t="e">
        <f t="shared" si="105"/>
        <v>#DIV/0!</v>
      </c>
      <c r="G237" s="384" t="e">
        <f t="shared" si="105"/>
        <v>#DIV/0!</v>
      </c>
      <c r="H237" s="384" t="e">
        <f t="shared" si="105"/>
        <v>#DIV/0!</v>
      </c>
      <c r="I237" s="384" t="e">
        <f t="shared" si="105"/>
        <v>#DIV/0!</v>
      </c>
      <c r="J237" s="384" t="e">
        <f t="shared" si="105"/>
        <v>#DIV/0!</v>
      </c>
      <c r="K237" s="384" t="e">
        <f t="shared" si="105"/>
        <v>#DIV/0!</v>
      </c>
      <c r="L237" s="384" t="e">
        <f t="shared" si="105"/>
        <v>#DIV/0!</v>
      </c>
      <c r="M237" s="384" t="e">
        <f t="shared" si="105"/>
        <v>#DIV/0!</v>
      </c>
      <c r="N237" s="384" t="e">
        <f t="shared" si="105"/>
        <v>#DIV/0!</v>
      </c>
      <c r="O237" s="384" t="e">
        <f t="shared" si="105"/>
        <v>#DIV/0!</v>
      </c>
      <c r="P237" s="384" t="e">
        <f t="shared" si="105"/>
        <v>#DIV/0!</v>
      </c>
      <c r="Q237" s="384" t="e">
        <f t="shared" si="105"/>
        <v>#DIV/0!</v>
      </c>
      <c r="R237" s="384" t="e">
        <f t="shared" si="105"/>
        <v>#DIV/0!</v>
      </c>
      <c r="S237" s="384" t="e">
        <f t="shared" si="105"/>
        <v>#DIV/0!</v>
      </c>
      <c r="T237" s="384" t="e">
        <f t="shared" si="105"/>
        <v>#DIV/0!</v>
      </c>
      <c r="U237" s="384" t="e">
        <f t="shared" si="105"/>
        <v>#DIV/0!</v>
      </c>
      <c r="V237" s="384" t="e">
        <f t="shared" si="105"/>
        <v>#DIV/0!</v>
      </c>
      <c r="W237" s="384" t="e">
        <f t="shared" si="105"/>
        <v>#DIV/0!</v>
      </c>
      <c r="X237" s="384" t="e">
        <f t="shared" si="105"/>
        <v>#DIV/0!</v>
      </c>
      <c r="Y237" s="384" t="e">
        <f t="shared" si="105"/>
        <v>#DIV/0!</v>
      </c>
      <c r="Z237" s="384" t="e">
        <f t="shared" si="105"/>
        <v>#DIV/0!</v>
      </c>
      <c r="AA237" s="384" t="e">
        <f t="shared" si="105"/>
        <v>#DIV/0!</v>
      </c>
      <c r="AB237" s="384" t="e">
        <f t="shared" si="105"/>
        <v>#DIV/0!</v>
      </c>
      <c r="AC237" s="384" t="e">
        <f t="shared" si="105"/>
        <v>#DIV/0!</v>
      </c>
      <c r="AD237" s="384" t="e">
        <f t="shared" si="105"/>
        <v>#DIV/0!</v>
      </c>
      <c r="AE237" s="384" t="e">
        <f t="shared" si="105"/>
        <v>#DIV/0!</v>
      </c>
      <c r="AF237" s="384" t="e">
        <f t="shared" si="105"/>
        <v>#DIV/0!</v>
      </c>
      <c r="AG237" s="384" t="e">
        <f t="shared" si="105"/>
        <v>#DIV/0!</v>
      </c>
      <c r="AH237" s="384" t="e">
        <f t="shared" si="105"/>
        <v>#DIV/0!</v>
      </c>
      <c r="AI237" s="384" t="e">
        <f t="shared" si="105"/>
        <v>#DIV/0!</v>
      </c>
      <c r="AJ237" s="384" t="e">
        <f t="shared" si="105"/>
        <v>#DIV/0!</v>
      </c>
      <c r="AK237" s="384" t="e">
        <f t="shared" si="105"/>
        <v>#DIV/0!</v>
      </c>
      <c r="AL237" s="384" t="e">
        <f t="shared" si="105"/>
        <v>#DIV/0!</v>
      </c>
      <c r="AM237" s="384" t="e">
        <f t="shared" si="105"/>
        <v>#DIV/0!</v>
      </c>
      <c r="AN237" s="384" t="e">
        <f t="shared" si="105"/>
        <v>#DIV/0!</v>
      </c>
      <c r="AO237" s="384" t="e">
        <f t="shared" si="105"/>
        <v>#DIV/0!</v>
      </c>
      <c r="AP237" s="384" t="e">
        <f t="shared" si="105"/>
        <v>#DIV/0!</v>
      </c>
      <c r="AQ237" s="385" t="e">
        <f t="shared" si="105"/>
        <v>#DIV/0!</v>
      </c>
      <c r="AR237"/>
    </row>
    <row r="238" spans="1:44" s="315" customFormat="1" ht="15" thickBot="1">
      <c r="A238" s="1211" t="s">
        <v>329</v>
      </c>
      <c r="B238" s="899"/>
      <c r="C238" s="900"/>
      <c r="D238" s="386" t="str">
        <f t="shared" ref="D238:AQ238" si="106">IFERROR(D237,"")</f>
        <v/>
      </c>
      <c r="E238" s="387" t="str">
        <f t="shared" si="106"/>
        <v/>
      </c>
      <c r="F238" s="387" t="str">
        <f t="shared" si="106"/>
        <v/>
      </c>
      <c r="G238" s="387" t="str">
        <f t="shared" si="106"/>
        <v/>
      </c>
      <c r="H238" s="387" t="str">
        <f t="shared" si="106"/>
        <v/>
      </c>
      <c r="I238" s="387" t="str">
        <f t="shared" si="106"/>
        <v/>
      </c>
      <c r="J238" s="387" t="str">
        <f t="shared" si="106"/>
        <v/>
      </c>
      <c r="K238" s="387" t="str">
        <f t="shared" si="106"/>
        <v/>
      </c>
      <c r="L238" s="387" t="str">
        <f t="shared" si="106"/>
        <v/>
      </c>
      <c r="M238" s="387" t="str">
        <f t="shared" si="106"/>
        <v/>
      </c>
      <c r="N238" s="387" t="str">
        <f t="shared" si="106"/>
        <v/>
      </c>
      <c r="O238" s="387" t="str">
        <f t="shared" si="106"/>
        <v/>
      </c>
      <c r="P238" s="387" t="str">
        <f t="shared" si="106"/>
        <v/>
      </c>
      <c r="Q238" s="387" t="str">
        <f t="shared" si="106"/>
        <v/>
      </c>
      <c r="R238" s="387" t="str">
        <f t="shared" si="106"/>
        <v/>
      </c>
      <c r="S238" s="387" t="str">
        <f t="shared" si="106"/>
        <v/>
      </c>
      <c r="T238" s="387" t="str">
        <f t="shared" si="106"/>
        <v/>
      </c>
      <c r="U238" s="387" t="str">
        <f t="shared" si="106"/>
        <v/>
      </c>
      <c r="V238" s="387" t="str">
        <f t="shared" si="106"/>
        <v/>
      </c>
      <c r="W238" s="387" t="str">
        <f t="shared" si="106"/>
        <v/>
      </c>
      <c r="X238" s="387" t="str">
        <f t="shared" si="106"/>
        <v/>
      </c>
      <c r="Y238" s="387" t="str">
        <f t="shared" si="106"/>
        <v/>
      </c>
      <c r="Z238" s="387" t="str">
        <f t="shared" si="106"/>
        <v/>
      </c>
      <c r="AA238" s="387" t="str">
        <f t="shared" si="106"/>
        <v/>
      </c>
      <c r="AB238" s="387" t="str">
        <f t="shared" si="106"/>
        <v/>
      </c>
      <c r="AC238" s="387" t="str">
        <f t="shared" si="106"/>
        <v/>
      </c>
      <c r="AD238" s="387" t="str">
        <f t="shared" si="106"/>
        <v/>
      </c>
      <c r="AE238" s="387" t="str">
        <f t="shared" si="106"/>
        <v/>
      </c>
      <c r="AF238" s="387" t="str">
        <f t="shared" si="106"/>
        <v/>
      </c>
      <c r="AG238" s="387" t="str">
        <f t="shared" si="106"/>
        <v/>
      </c>
      <c r="AH238" s="387" t="str">
        <f t="shared" si="106"/>
        <v/>
      </c>
      <c r="AI238" s="387" t="str">
        <f t="shared" si="106"/>
        <v/>
      </c>
      <c r="AJ238" s="387" t="str">
        <f t="shared" si="106"/>
        <v/>
      </c>
      <c r="AK238" s="387" t="str">
        <f t="shared" si="106"/>
        <v/>
      </c>
      <c r="AL238" s="387" t="str">
        <f t="shared" si="106"/>
        <v/>
      </c>
      <c r="AM238" s="387" t="str">
        <f t="shared" si="106"/>
        <v/>
      </c>
      <c r="AN238" s="387" t="str">
        <f t="shared" si="106"/>
        <v/>
      </c>
      <c r="AO238" s="387" t="str">
        <f t="shared" si="106"/>
        <v/>
      </c>
      <c r="AP238" s="387" t="str">
        <f t="shared" si="106"/>
        <v/>
      </c>
      <c r="AQ238" s="388" t="str">
        <f t="shared" si="106"/>
        <v/>
      </c>
      <c r="AR238" s="86"/>
    </row>
    <row r="240" spans="1:44" s="315" customFormat="1" ht="14.25" hidden="1">
      <c r="A240" s="336"/>
      <c r="B240" s="336" t="s">
        <v>172</v>
      </c>
      <c r="C240" s="336" t="s">
        <v>173</v>
      </c>
      <c r="D240" s="337" t="s">
        <v>174</v>
      </c>
      <c r="E240" s="336" t="s">
        <v>175</v>
      </c>
      <c r="F240" s="336" t="s">
        <v>176</v>
      </c>
      <c r="G240" s="336" t="s">
        <v>177</v>
      </c>
      <c r="H240" s="336" t="s">
        <v>178</v>
      </c>
      <c r="I240" s="336" t="s">
        <v>179</v>
      </c>
      <c r="J240" s="336" t="s">
        <v>180</v>
      </c>
      <c r="K240" s="336" t="s">
        <v>181</v>
      </c>
      <c r="L240" s="336" t="s">
        <v>298</v>
      </c>
      <c r="M240" s="336" t="s">
        <v>299</v>
      </c>
      <c r="N240" s="336" t="s">
        <v>300</v>
      </c>
      <c r="O240" s="336" t="s">
        <v>301</v>
      </c>
      <c r="P240" s="336" t="s">
        <v>302</v>
      </c>
      <c r="Q240" s="336" t="s">
        <v>303</v>
      </c>
      <c r="R240" s="336" t="s">
        <v>304</v>
      </c>
      <c r="S240" s="336" t="s">
        <v>305</v>
      </c>
      <c r="T240" s="336" t="s">
        <v>306</v>
      </c>
      <c r="U240" s="336" t="s">
        <v>307</v>
      </c>
    </row>
    <row r="241" spans="1:43" s="315" customFormat="1" ht="14.25" hidden="1">
      <c r="A241" s="338" t="s">
        <v>182</v>
      </c>
      <c r="B241" s="338" t="str">
        <f t="array" aca="1" ref="B241" ca="1">IFERROR(OFFSET(INDEX(227:227,SMALL(IF(227:227&lt;&gt;"",COLUMN(227:227)),COLUMN())),-1,0),"")</f>
        <v/>
      </c>
      <c r="C241" s="338" t="str">
        <f t="array" aca="1" ref="C241" ca="1">IFERROR(OFFSET(INDEX(227:227,SMALL(IF(227:227&lt;&gt;"",COLUMN(227:227)),COLUMN())),-1,0),"")</f>
        <v/>
      </c>
      <c r="D241" s="338" t="str">
        <f t="array" aca="1" ref="D241" ca="1">IFERROR(OFFSET(INDEX(227:227,SMALL(IF(227:227&lt;&gt;"",COLUMN(227:227)),COLUMN())),-1,0),"")</f>
        <v/>
      </c>
      <c r="E241" s="338" t="str">
        <f t="array" aca="1" ref="E241" ca="1">IFERROR(OFFSET(INDEX(227:227,SMALL(IF(227:227&lt;&gt;"",COLUMN(227:227)),COLUMN())),-1,0),"")</f>
        <v/>
      </c>
      <c r="F241" s="338" t="str">
        <f t="array" aca="1" ref="F241" ca="1">IFERROR(OFFSET(INDEX(227:227,SMALL(IF(227:227&lt;&gt;"",COLUMN(227:227)),COLUMN())),-1,0),"")</f>
        <v/>
      </c>
      <c r="G241" s="338" t="str">
        <f t="array" aca="1" ref="G241" ca="1">IFERROR(OFFSET(INDEX(227:227,SMALL(IF(227:227&lt;&gt;"",COLUMN(227:227)),COLUMN())),-1,0),"")</f>
        <v/>
      </c>
      <c r="H241" s="338" t="str">
        <f t="array" aca="1" ref="H241" ca="1">IFERROR(OFFSET(INDEX(227:227,SMALL(IF(227:227&lt;&gt;"",COLUMN(227:227)),COLUMN())),-1,0),"")</f>
        <v/>
      </c>
      <c r="I241" s="338" t="str">
        <f t="array" aca="1" ref="I241" ca="1">IFERROR(OFFSET(INDEX(227:227,SMALL(IF(227:227&lt;&gt;"",COLUMN(227:227)),COLUMN())),-1,0),"")</f>
        <v/>
      </c>
      <c r="J241" s="338" t="str">
        <f t="array" aca="1" ref="J241" ca="1">IFERROR(OFFSET(INDEX(227:227,SMALL(IF(227:227&lt;&gt;"",COLUMN(227:227)),COLUMN())),-1,0),"")</f>
        <v/>
      </c>
      <c r="K241" s="338" t="str">
        <f t="array" aca="1" ref="K241" ca="1">IFERROR(OFFSET(INDEX(227:227,SMALL(IF(227:227&lt;&gt;"",COLUMN(227:227)),COLUMN())),-1,0),"")</f>
        <v/>
      </c>
      <c r="L241" s="338" t="str">
        <f t="array" aca="1" ref="L241" ca="1">IFERROR(OFFSET(INDEX(227:227,SMALL(IF(227:227&lt;&gt;"",COLUMN(227:227)),COLUMN())),-1,0),"")</f>
        <v/>
      </c>
      <c r="M241" s="338" t="str">
        <f t="array" aca="1" ref="M241" ca="1">IFERROR(OFFSET(INDEX(227:227,SMALL(IF(227:227&lt;&gt;"",COLUMN(227:227)),COLUMN())),-1,0),"")</f>
        <v/>
      </c>
      <c r="N241" s="338" t="str">
        <f t="array" aca="1" ref="N241" ca="1">IFERROR(OFFSET(INDEX(227:227,SMALL(IF(227:227&lt;&gt;"",COLUMN(227:227)),COLUMN())),-1,0),"")</f>
        <v/>
      </c>
      <c r="O241" s="338" t="str">
        <f t="array" aca="1" ref="O241" ca="1">IFERROR(OFFSET(INDEX(227:227,SMALL(IF(227:227&lt;&gt;"",COLUMN(227:227)),COLUMN())),-1,0),"")</f>
        <v/>
      </c>
      <c r="P241" s="338" t="str">
        <f t="array" aca="1" ref="P241" ca="1">IFERROR(OFFSET(INDEX(227:227,SMALL(IF(227:227&lt;&gt;"",COLUMN(227:227)),COLUMN())),-1,0),"")</f>
        <v/>
      </c>
      <c r="Q241" s="338" t="str">
        <f t="array" aca="1" ref="Q241" ca="1">IFERROR(OFFSET(INDEX(227:227,SMALL(IF(227:227&lt;&gt;"",COLUMN(227:227)),COLUMN())),-1,0),"")</f>
        <v/>
      </c>
      <c r="R241" s="338" t="str">
        <f t="array" aca="1" ref="R241" ca="1">IFERROR(OFFSET(INDEX(227:227,SMALL(IF(227:227&lt;&gt;"",COLUMN(227:227)),COLUMN())),-1,0),"")</f>
        <v/>
      </c>
      <c r="S241" s="338" t="str">
        <f t="array" aca="1" ref="S241" ca="1">IFERROR(OFFSET(INDEX(227:227,SMALL(IF(227:227&lt;&gt;"",COLUMN(227:227)),COLUMN())),-1,0),"")</f>
        <v/>
      </c>
      <c r="T241" s="338" t="str">
        <f t="array" aca="1" ref="T241" ca="1">IFERROR(OFFSET(INDEX(227:227,SMALL(IF(227:227&lt;&gt;"",COLUMN(227:227)),COLUMN())),-1,0),"")</f>
        <v/>
      </c>
      <c r="U241" s="338" t="str">
        <f t="array" aca="1" ref="U241" ca="1">IFERROR(OFFSET(INDEX(227:227,SMALL(IF(227:227&lt;&gt;"",COLUMN(227:227)),COLUMN())),-1,0),"")</f>
        <v/>
      </c>
    </row>
    <row r="242" spans="1:43" s="315" customFormat="1" ht="14.25" hidden="1">
      <c r="A242" s="338" t="str">
        <f t="array" ref="A242">IFERROR(INDEX(227:227,SMALL(IF(227:227&lt;&gt;"",COLUMN(227:227)),COLUMN())),"")</f>
        <v>追水量（L)</v>
      </c>
      <c r="B242" s="338" t="str">
        <f t="array" ref="B242">IFERROR(INDEX(227:227,SMALL(IF(227:227&lt;&gt;"",COLUMN(227:227)),COLUMN())),"")</f>
        <v/>
      </c>
      <c r="C242" s="338" t="str">
        <f t="array" ref="C242">IFERROR(INDEX(227:227,SMALL(IF(227:227&lt;&gt;"",COLUMN(227:227)),COLUMN())),"")</f>
        <v/>
      </c>
      <c r="D242" s="338" t="str">
        <f t="array" ref="D242">IFERROR(INDEX(227:227,SMALL(IF(227:227&lt;&gt;"",COLUMN(227:227)),COLUMN())),"")</f>
        <v/>
      </c>
      <c r="E242" s="338" t="str">
        <f t="array" ref="E242">IFERROR(INDEX(227:227,SMALL(IF(227:227&lt;&gt;"",COLUMN(227:227)),COLUMN())),"")</f>
        <v/>
      </c>
      <c r="F242" s="338" t="str">
        <f t="array" ref="F242">IFERROR(INDEX(227:227,SMALL(IF(227:227&lt;&gt;"",COLUMN(227:227)),COLUMN())),"")</f>
        <v/>
      </c>
      <c r="G242" s="338" t="str">
        <f t="array" ref="G242">IFERROR(INDEX(227:227,SMALL(IF(227:227&lt;&gt;"",COLUMN(227:227)),COLUMN())),"")</f>
        <v/>
      </c>
      <c r="H242" s="338" t="str">
        <f t="array" ref="H242">IFERROR(INDEX(227:227,SMALL(IF(227:227&lt;&gt;"",COLUMN(227:227)),COLUMN())),"")</f>
        <v/>
      </c>
      <c r="I242" s="338" t="str">
        <f t="array" ref="I242">IFERROR(INDEX(227:227,SMALL(IF(227:227&lt;&gt;"",COLUMN(227:227)),COLUMN())),"")</f>
        <v/>
      </c>
      <c r="J242" s="338" t="str">
        <f t="array" ref="J242">IFERROR(INDEX(227:227,SMALL(IF(227:227&lt;&gt;"",COLUMN(227:227)),COLUMN())),"")</f>
        <v/>
      </c>
      <c r="K242" s="338" t="str">
        <f t="array" ref="K242">IFERROR(INDEX(227:227,SMALL(IF(227:227&lt;&gt;"",COLUMN(227:227)),COLUMN())),"")</f>
        <v/>
      </c>
      <c r="L242" s="338" t="str">
        <f t="array" ref="L242">IFERROR(INDEX(227:227,SMALL(IF(227:227&lt;&gt;"",COLUMN(227:227)),COLUMN())),"")</f>
        <v/>
      </c>
      <c r="M242" s="338" t="str">
        <f t="array" ref="M242">IFERROR(INDEX(227:227,SMALL(IF(227:227&lt;&gt;"",COLUMN(227:227)),COLUMN())),"")</f>
        <v/>
      </c>
      <c r="N242" s="338" t="str">
        <f t="array" ref="N242">IFERROR(INDEX(227:227,SMALL(IF(227:227&lt;&gt;"",COLUMN(227:227)),COLUMN())),"")</f>
        <v/>
      </c>
      <c r="O242" s="338" t="str">
        <f t="array" ref="O242">IFERROR(INDEX(227:227,SMALL(IF(227:227&lt;&gt;"",COLUMN(227:227)),COLUMN())),"")</f>
        <v/>
      </c>
      <c r="P242" s="338" t="str">
        <f t="array" ref="P242">IFERROR(INDEX(227:227,SMALL(IF(227:227&lt;&gt;"",COLUMN(227:227)),COLUMN())),"")</f>
        <v/>
      </c>
      <c r="Q242" s="338" t="str">
        <f t="array" ref="Q242">IFERROR(INDEX(227:227,SMALL(IF(227:227&lt;&gt;"",COLUMN(227:227)),COLUMN())),"")</f>
        <v/>
      </c>
      <c r="R242" s="338" t="str">
        <f t="array" ref="R242">IFERROR(INDEX(227:227,SMALL(IF(227:227&lt;&gt;"",COLUMN(227:227)),COLUMN())),"")</f>
        <v/>
      </c>
      <c r="S242" s="338" t="str">
        <f t="array" ref="S242">IFERROR(INDEX(227:227,SMALL(IF(227:227&lt;&gt;"",COLUMN(227:227)),COLUMN())),"")</f>
        <v/>
      </c>
      <c r="T242" s="338" t="str">
        <f t="array" ref="T242">IFERROR(INDEX(227:227,SMALL(IF(227:227&lt;&gt;"",COLUMN(227:227)),COLUMN())),"")</f>
        <v/>
      </c>
      <c r="U242" s="338" t="str">
        <f t="array" ref="U242">IFERROR(INDEX(227:227,SMALL(IF(227:227&lt;&gt;"",COLUMN(227:227)),COLUMN())),"")</f>
        <v/>
      </c>
    </row>
    <row r="243" spans="1:43" s="315" customFormat="1" ht="14.25" hidden="1">
      <c r="A243" s="627" t="s">
        <v>183</v>
      </c>
      <c r="B243" s="627"/>
      <c r="C243" s="627"/>
      <c r="D243" s="339" t="s">
        <v>184</v>
      </c>
      <c r="E243" s="339" t="s">
        <v>185</v>
      </c>
      <c r="F243" s="339" t="s">
        <v>186</v>
      </c>
      <c r="G243" s="339" t="s">
        <v>187</v>
      </c>
      <c r="H243" s="339" t="s">
        <v>188</v>
      </c>
      <c r="I243" s="339" t="s">
        <v>189</v>
      </c>
      <c r="J243" s="339" t="s">
        <v>190</v>
      </c>
      <c r="K243" s="339" t="s">
        <v>191</v>
      </c>
      <c r="L243" s="337" t="s">
        <v>192</v>
      </c>
      <c r="M243" s="337" t="s">
        <v>193</v>
      </c>
      <c r="N243" s="337" t="s">
        <v>194</v>
      </c>
      <c r="O243" s="337" t="s">
        <v>308</v>
      </c>
      <c r="P243" s="337" t="s">
        <v>309</v>
      </c>
      <c r="Q243" s="337" t="s">
        <v>310</v>
      </c>
      <c r="R243" s="337" t="s">
        <v>311</v>
      </c>
      <c r="S243" s="337" t="s">
        <v>312</v>
      </c>
      <c r="T243" s="337" t="s">
        <v>313</v>
      </c>
      <c r="U243" s="337" t="s">
        <v>314</v>
      </c>
      <c r="V243" s="337" t="s">
        <v>315</v>
      </c>
      <c r="W243" s="337" t="s">
        <v>316</v>
      </c>
      <c r="X243" s="337" t="s">
        <v>317</v>
      </c>
    </row>
    <row r="244" spans="1:43" s="315" customFormat="1" ht="14.25" hidden="1">
      <c r="A244" s="628"/>
      <c r="B244" s="628"/>
      <c r="C244" s="628"/>
      <c r="D244" s="340" t="e">
        <f>SUM(D224:G224)/SUM(D221:G221)*100</f>
        <v>#DIV/0!</v>
      </c>
      <c r="E244" s="340" t="e">
        <f>(SUM(D224:G224)+SUM(B242:B242))/SUM(D221:G221)*100</f>
        <v>#DIV/0!</v>
      </c>
      <c r="F244" s="340" t="e">
        <f>(SUM(D224:G224)+SUM(B242:C242))/SUM(D221:G221)*100</f>
        <v>#DIV/0!</v>
      </c>
      <c r="G244" s="340" t="e">
        <f>(SUM(D224:G224)+SUM(B242:D242))/SUM(D221:G221)*100</f>
        <v>#DIV/0!</v>
      </c>
      <c r="H244" s="340" t="e">
        <f>(SUM(D224:G224)+SUM(B242:E242))/SUM(D221:G221)*100</f>
        <v>#DIV/0!</v>
      </c>
      <c r="I244" s="341" t="e">
        <f>(SUM(D224:G224)+SUM(B242:F242))/SUM(D221:G221)*100</f>
        <v>#DIV/0!</v>
      </c>
      <c r="J244" s="340" t="e">
        <f>(SUM(D224:G224)+SUM(B242:G242))/SUM(D221:G221)*100</f>
        <v>#DIV/0!</v>
      </c>
      <c r="K244" s="340" t="e">
        <f>(SUM(D224:G224)+SUM(B242:H242))/SUM(D221:G221)*100</f>
        <v>#DIV/0!</v>
      </c>
      <c r="L244" s="340" t="e">
        <f>(SUM(D224:G224)+SUM(B242:I242))/SUM(D221:G221)*100</f>
        <v>#DIV/0!</v>
      </c>
      <c r="M244" s="340" t="e">
        <f>(SUM(D224:G224)+SUM(B242:J242))/SUM(D221:G221)*100</f>
        <v>#DIV/0!</v>
      </c>
      <c r="N244" s="340" t="e">
        <f>(SUM(D224:G224)+SUM(B242:K242))/SUM(D221:G221)*100</f>
        <v>#DIV/0!</v>
      </c>
      <c r="O244" s="342" t="e">
        <f>(SUM(D224:G224)+SUM(B242:L242))/SUM(D221:G221)*100</f>
        <v>#DIV/0!</v>
      </c>
      <c r="P244" s="343" t="e">
        <f>(SUM(D224:G224)+SUM(B242:M242))/SUM(D221:G221)*100</f>
        <v>#DIV/0!</v>
      </c>
      <c r="Q244" s="343" t="e">
        <f>(SUM(D224:G224)+SUM(B242:N242))/SUM(D221:G221)*100</f>
        <v>#DIV/0!</v>
      </c>
      <c r="R244" s="343" t="e">
        <f>(SUM(D224:G224)+SUM(B242:O242))/SUM(D221:G221)*100</f>
        <v>#DIV/0!</v>
      </c>
      <c r="S244" s="343" t="e">
        <f>(SUM(D224:G224)+SUM(B242:P242))/SUM(D221:G221)*100</f>
        <v>#DIV/0!</v>
      </c>
      <c r="T244" s="343" t="e">
        <f>(SUM(D224:G224)+SUM(B242:Q242))/SUM(D221:G221)*100</f>
        <v>#DIV/0!</v>
      </c>
      <c r="U244" s="343" t="e">
        <f>(SUM(D224:G224)+SUM(B242:R242))/SUM(D221:G221)*100</f>
        <v>#DIV/0!</v>
      </c>
      <c r="V244" s="343" t="e">
        <f>(SUM(D224:G224)+SUM(B242:S242))/SUM(D221:G221)*100</f>
        <v>#DIV/0!</v>
      </c>
      <c r="W244" s="343" t="e">
        <f>(SUM(D224:G224)+SUM(B242:T242))/SUM(D221:G221)*100</f>
        <v>#DIV/0!</v>
      </c>
      <c r="X244" s="343" t="e">
        <f>(SUM(D224:G224)+SUM(B242:U242))/SUM(D221:G221)*100</f>
        <v>#DIV/0!</v>
      </c>
    </row>
    <row r="245" spans="1:43" s="315" customFormat="1" ht="14.25" hidden="1"/>
    <row r="246" spans="1:43" s="315" customFormat="1" ht="14.25" hidden="1">
      <c r="A246" s="610" t="s">
        <v>126</v>
      </c>
      <c r="B246" s="611"/>
      <c r="C246" s="611"/>
      <c r="E246" s="344" t="e">
        <f t="shared" ref="E246:AQ246" si="107">IF(E228="",IF(E229="",NA(),E229/-10),E228)</f>
        <v>#N/A</v>
      </c>
      <c r="F246" s="344" t="e">
        <f t="shared" si="107"/>
        <v>#N/A</v>
      </c>
      <c r="G246" s="344" t="e">
        <f t="shared" si="107"/>
        <v>#N/A</v>
      </c>
      <c r="H246" s="344" t="e">
        <f t="shared" si="107"/>
        <v>#N/A</v>
      </c>
      <c r="I246" s="344" t="e">
        <f t="shared" si="107"/>
        <v>#N/A</v>
      </c>
      <c r="J246" s="344" t="e">
        <f t="shared" si="107"/>
        <v>#N/A</v>
      </c>
      <c r="K246" s="344" t="e">
        <f t="shared" si="107"/>
        <v>#N/A</v>
      </c>
      <c r="L246" s="344" t="e">
        <f t="shared" si="107"/>
        <v>#N/A</v>
      </c>
      <c r="M246" s="344" t="e">
        <f t="shared" si="107"/>
        <v>#N/A</v>
      </c>
      <c r="N246" s="344" t="e">
        <f t="shared" si="107"/>
        <v>#N/A</v>
      </c>
      <c r="O246" s="344" t="e">
        <f t="shared" si="107"/>
        <v>#N/A</v>
      </c>
      <c r="P246" s="344" t="e">
        <f t="shared" si="107"/>
        <v>#N/A</v>
      </c>
      <c r="Q246" s="344" t="e">
        <f t="shared" si="107"/>
        <v>#N/A</v>
      </c>
      <c r="R246" s="344" t="e">
        <f t="shared" si="107"/>
        <v>#N/A</v>
      </c>
      <c r="S246" s="344" t="e">
        <f t="shared" si="107"/>
        <v>#N/A</v>
      </c>
      <c r="T246" s="344" t="e">
        <f t="shared" si="107"/>
        <v>#N/A</v>
      </c>
      <c r="U246" s="344" t="e">
        <f t="shared" si="107"/>
        <v>#N/A</v>
      </c>
      <c r="V246" s="344" t="e">
        <f t="shared" si="107"/>
        <v>#N/A</v>
      </c>
      <c r="W246" s="344" t="e">
        <f t="shared" si="107"/>
        <v>#N/A</v>
      </c>
      <c r="X246" s="344" t="e">
        <f t="shared" si="107"/>
        <v>#N/A</v>
      </c>
      <c r="Y246" s="344" t="e">
        <f t="shared" si="107"/>
        <v>#N/A</v>
      </c>
      <c r="Z246" s="344" t="e">
        <f t="shared" si="107"/>
        <v>#N/A</v>
      </c>
      <c r="AA246" s="344" t="e">
        <f t="shared" si="107"/>
        <v>#N/A</v>
      </c>
      <c r="AB246" s="344" t="e">
        <f t="shared" si="107"/>
        <v>#N/A</v>
      </c>
      <c r="AC246" s="344" t="e">
        <f t="shared" si="107"/>
        <v>#N/A</v>
      </c>
      <c r="AD246" s="344" t="e">
        <f t="shared" si="107"/>
        <v>#N/A</v>
      </c>
      <c r="AE246" s="344" t="e">
        <f t="shared" si="107"/>
        <v>#N/A</v>
      </c>
      <c r="AF246" s="344" t="e">
        <f t="shared" si="107"/>
        <v>#N/A</v>
      </c>
      <c r="AG246" s="344" t="e">
        <f t="shared" si="107"/>
        <v>#N/A</v>
      </c>
      <c r="AH246" s="344" t="e">
        <f t="shared" si="107"/>
        <v>#N/A</v>
      </c>
      <c r="AI246" s="344" t="e">
        <f t="shared" si="107"/>
        <v>#N/A</v>
      </c>
      <c r="AJ246" s="344" t="e">
        <f t="shared" si="107"/>
        <v>#N/A</v>
      </c>
      <c r="AK246" s="344" t="e">
        <f t="shared" si="107"/>
        <v>#N/A</v>
      </c>
      <c r="AL246" s="344" t="e">
        <f t="shared" si="107"/>
        <v>#N/A</v>
      </c>
      <c r="AM246" s="344" t="e">
        <f t="shared" si="107"/>
        <v>#N/A</v>
      </c>
      <c r="AN246" s="344" t="e">
        <f t="shared" si="107"/>
        <v>#N/A</v>
      </c>
      <c r="AO246" s="344" t="e">
        <f t="shared" si="107"/>
        <v>#N/A</v>
      </c>
      <c r="AP246" s="344" t="e">
        <f t="shared" si="107"/>
        <v>#N/A</v>
      </c>
      <c r="AQ246" s="344" t="e">
        <f t="shared" si="107"/>
        <v>#N/A</v>
      </c>
    </row>
    <row r="247" spans="1:43" s="315" customFormat="1" ht="14.25" hidden="1">
      <c r="A247" s="629" t="s">
        <v>42</v>
      </c>
      <c r="B247" s="629"/>
      <c r="C247" s="612"/>
      <c r="E247" s="345" t="e">
        <f t="shared" ref="E247:AQ247" si="108">IF(E246="",NA(),E246*(-10))</f>
        <v>#N/A</v>
      </c>
      <c r="F247" s="345" t="e">
        <f t="shared" si="108"/>
        <v>#N/A</v>
      </c>
      <c r="G247" s="345" t="e">
        <f t="shared" si="108"/>
        <v>#N/A</v>
      </c>
      <c r="H247" s="345" t="e">
        <f t="shared" si="108"/>
        <v>#N/A</v>
      </c>
      <c r="I247" s="345" t="e">
        <f t="shared" si="108"/>
        <v>#N/A</v>
      </c>
      <c r="J247" s="345" t="e">
        <f t="shared" si="108"/>
        <v>#N/A</v>
      </c>
      <c r="K247" s="345" t="e">
        <f t="shared" si="108"/>
        <v>#N/A</v>
      </c>
      <c r="L247" s="345" t="e">
        <f t="shared" si="108"/>
        <v>#N/A</v>
      </c>
      <c r="M247" s="345" t="e">
        <f t="shared" si="108"/>
        <v>#N/A</v>
      </c>
      <c r="N247" s="345" t="e">
        <f t="shared" si="108"/>
        <v>#N/A</v>
      </c>
      <c r="O247" s="345" t="e">
        <f t="shared" si="108"/>
        <v>#N/A</v>
      </c>
      <c r="P247" s="345" t="e">
        <f t="shared" si="108"/>
        <v>#N/A</v>
      </c>
      <c r="Q247" s="345" t="e">
        <f t="shared" si="108"/>
        <v>#N/A</v>
      </c>
      <c r="R247" s="345" t="e">
        <f t="shared" si="108"/>
        <v>#N/A</v>
      </c>
      <c r="S247" s="345" t="e">
        <f t="shared" si="108"/>
        <v>#N/A</v>
      </c>
      <c r="T247" s="345" t="e">
        <f t="shared" si="108"/>
        <v>#N/A</v>
      </c>
      <c r="U247" s="345" t="e">
        <f t="shared" si="108"/>
        <v>#N/A</v>
      </c>
      <c r="V247" s="345" t="e">
        <f t="shared" si="108"/>
        <v>#N/A</v>
      </c>
      <c r="W247" s="345" t="e">
        <f t="shared" si="108"/>
        <v>#N/A</v>
      </c>
      <c r="X247" s="345" t="e">
        <f t="shared" si="108"/>
        <v>#N/A</v>
      </c>
      <c r="Y247" s="345" t="e">
        <f t="shared" si="108"/>
        <v>#N/A</v>
      </c>
      <c r="Z247" s="345" t="e">
        <f t="shared" si="108"/>
        <v>#N/A</v>
      </c>
      <c r="AA247" s="345" t="e">
        <f t="shared" si="108"/>
        <v>#N/A</v>
      </c>
      <c r="AB247" s="345" t="e">
        <f t="shared" si="108"/>
        <v>#N/A</v>
      </c>
      <c r="AC247" s="345" t="e">
        <f t="shared" si="108"/>
        <v>#N/A</v>
      </c>
      <c r="AD247" s="345" t="e">
        <f t="shared" si="108"/>
        <v>#N/A</v>
      </c>
      <c r="AE247" s="345" t="e">
        <f t="shared" si="108"/>
        <v>#N/A</v>
      </c>
      <c r="AF247" s="345" t="e">
        <f t="shared" si="108"/>
        <v>#N/A</v>
      </c>
      <c r="AG247" s="345" t="e">
        <f t="shared" si="108"/>
        <v>#N/A</v>
      </c>
      <c r="AH247" s="345" t="e">
        <f t="shared" si="108"/>
        <v>#N/A</v>
      </c>
      <c r="AI247" s="345" t="e">
        <f t="shared" si="108"/>
        <v>#N/A</v>
      </c>
      <c r="AJ247" s="345" t="e">
        <f t="shared" si="108"/>
        <v>#N/A</v>
      </c>
      <c r="AK247" s="345" t="e">
        <f t="shared" si="108"/>
        <v>#N/A</v>
      </c>
      <c r="AL247" s="345" t="e">
        <f t="shared" si="108"/>
        <v>#N/A</v>
      </c>
      <c r="AM247" s="345" t="e">
        <f t="shared" si="108"/>
        <v>#N/A</v>
      </c>
      <c r="AN247" s="345" t="e">
        <f t="shared" si="108"/>
        <v>#N/A</v>
      </c>
      <c r="AO247" s="345" t="e">
        <f t="shared" si="108"/>
        <v>#N/A</v>
      </c>
      <c r="AP247" s="345" t="e">
        <f t="shared" si="108"/>
        <v>#N/A</v>
      </c>
      <c r="AQ247" s="345" t="e">
        <f t="shared" si="108"/>
        <v>#N/A</v>
      </c>
    </row>
    <row r="248" spans="1:43" s="315" customFormat="1" ht="14.25" hidden="1">
      <c r="A248" s="346"/>
      <c r="B248" s="620" t="s">
        <v>34</v>
      </c>
      <c r="C248" s="603"/>
      <c r="E248" s="347" t="e">
        <f t="shared" ref="E248:AQ248" si="109">IF(E246="",NA(),ROUND(1443/(1443+E247),4))</f>
        <v>#N/A</v>
      </c>
      <c r="F248" s="347" t="e">
        <f t="shared" si="109"/>
        <v>#N/A</v>
      </c>
      <c r="G248" s="347" t="e">
        <f t="shared" si="109"/>
        <v>#N/A</v>
      </c>
      <c r="H248" s="347" t="e">
        <f t="shared" si="109"/>
        <v>#N/A</v>
      </c>
      <c r="I248" s="347" t="e">
        <f t="shared" si="109"/>
        <v>#N/A</v>
      </c>
      <c r="J248" s="347" t="e">
        <f t="shared" si="109"/>
        <v>#N/A</v>
      </c>
      <c r="K248" s="347" t="e">
        <f t="shared" si="109"/>
        <v>#N/A</v>
      </c>
      <c r="L248" s="347" t="e">
        <f t="shared" si="109"/>
        <v>#N/A</v>
      </c>
      <c r="M248" s="347" t="e">
        <f t="shared" si="109"/>
        <v>#N/A</v>
      </c>
      <c r="N248" s="347" t="e">
        <f t="shared" si="109"/>
        <v>#N/A</v>
      </c>
      <c r="O248" s="347" t="e">
        <f t="shared" si="109"/>
        <v>#N/A</v>
      </c>
      <c r="P248" s="347" t="e">
        <f t="shared" si="109"/>
        <v>#N/A</v>
      </c>
      <c r="Q248" s="347" t="e">
        <f t="shared" si="109"/>
        <v>#N/A</v>
      </c>
      <c r="R248" s="347" t="e">
        <f t="shared" si="109"/>
        <v>#N/A</v>
      </c>
      <c r="S248" s="347" t="e">
        <f t="shared" si="109"/>
        <v>#N/A</v>
      </c>
      <c r="T248" s="347" t="e">
        <f t="shared" si="109"/>
        <v>#N/A</v>
      </c>
      <c r="U248" s="347" t="e">
        <f t="shared" si="109"/>
        <v>#N/A</v>
      </c>
      <c r="V248" s="347" t="e">
        <f t="shared" si="109"/>
        <v>#N/A</v>
      </c>
      <c r="W248" s="347" t="e">
        <f t="shared" si="109"/>
        <v>#N/A</v>
      </c>
      <c r="X248" s="347" t="e">
        <f t="shared" si="109"/>
        <v>#N/A</v>
      </c>
      <c r="Y248" s="347" t="e">
        <f t="shared" si="109"/>
        <v>#N/A</v>
      </c>
      <c r="Z248" s="347" t="e">
        <f t="shared" si="109"/>
        <v>#N/A</v>
      </c>
      <c r="AA248" s="347" t="e">
        <f t="shared" si="109"/>
        <v>#N/A</v>
      </c>
      <c r="AB248" s="347" t="e">
        <f t="shared" si="109"/>
        <v>#N/A</v>
      </c>
      <c r="AC248" s="347" t="e">
        <f t="shared" si="109"/>
        <v>#N/A</v>
      </c>
      <c r="AD248" s="347" t="e">
        <f t="shared" si="109"/>
        <v>#N/A</v>
      </c>
      <c r="AE248" s="347" t="e">
        <f t="shared" si="109"/>
        <v>#N/A</v>
      </c>
      <c r="AF248" s="347" t="e">
        <f t="shared" si="109"/>
        <v>#N/A</v>
      </c>
      <c r="AG248" s="347" t="e">
        <f t="shared" si="109"/>
        <v>#N/A</v>
      </c>
      <c r="AH248" s="347" t="e">
        <f t="shared" si="109"/>
        <v>#N/A</v>
      </c>
      <c r="AI248" s="347" t="e">
        <f t="shared" si="109"/>
        <v>#N/A</v>
      </c>
      <c r="AJ248" s="347" t="e">
        <f t="shared" si="109"/>
        <v>#N/A</v>
      </c>
      <c r="AK248" s="347" t="e">
        <f t="shared" si="109"/>
        <v>#N/A</v>
      </c>
      <c r="AL248" s="347" t="e">
        <f t="shared" si="109"/>
        <v>#N/A</v>
      </c>
      <c r="AM248" s="347" t="e">
        <f t="shared" si="109"/>
        <v>#N/A</v>
      </c>
      <c r="AN248" s="347" t="e">
        <f t="shared" si="109"/>
        <v>#N/A</v>
      </c>
      <c r="AO248" s="347" t="e">
        <f t="shared" si="109"/>
        <v>#N/A</v>
      </c>
      <c r="AP248" s="347" t="e">
        <f t="shared" si="109"/>
        <v>#N/A</v>
      </c>
      <c r="AQ248" s="347" t="e">
        <f t="shared" si="109"/>
        <v>#N/A</v>
      </c>
    </row>
    <row r="249" spans="1:43" s="315" customFormat="1" ht="14.25" hidden="1">
      <c r="A249" s="346"/>
      <c r="B249" s="620" t="s">
        <v>35</v>
      </c>
      <c r="C249" s="603"/>
      <c r="E249" s="347" t="e">
        <f>IF(E230="",NA(),IFERROR(E230*VLOOKUP(E230,'各種計算式等（配付時非表示）'!$E$3:$H$1003,3,TRUE)+VLOOKUP(E230,'各種計算式等（配付時非表示）'!$E$3:$H$1003,4,TRUE)+0.0000000001,"-"))</f>
        <v>#N/A</v>
      </c>
      <c r="F249" s="347" t="e">
        <f>IF(F230="",NA(),IFERROR(F230*VLOOKUP(F230,'各種計算式等（配付時非表示）'!$E$3:$H$1003,3,TRUE)+VLOOKUP(F230,'各種計算式等（配付時非表示）'!$E$3:$H$1003,4,TRUE)+0.0000000001,"-"))</f>
        <v>#N/A</v>
      </c>
      <c r="G249" s="347" t="e">
        <f>IF(G230="",NA(),IFERROR(G230*VLOOKUP(G230,'各種計算式等（配付時非表示）'!$E$3:$H$1003,3,TRUE)+VLOOKUP(G230,'各種計算式等（配付時非表示）'!$E$3:$H$1003,4,TRUE)+0.0000000001,"-"))</f>
        <v>#N/A</v>
      </c>
      <c r="H249" s="347" t="e">
        <f>IF(H230="",NA(),IFERROR(H230*VLOOKUP(H230,'各種計算式等（配付時非表示）'!$E$3:$H$1003,3,TRUE)+VLOOKUP(H230,'各種計算式等（配付時非表示）'!$E$3:$H$1003,4,TRUE)+0.0000000001,"-"))</f>
        <v>#N/A</v>
      </c>
      <c r="I249" s="347" t="e">
        <f>IF(I230="",NA(),IFERROR(I230*VLOOKUP(I230,'各種計算式等（配付時非表示）'!$E$3:$H$1003,3,TRUE)+VLOOKUP(I230,'各種計算式等（配付時非表示）'!$E$3:$H$1003,4,TRUE)+0.0000000001,"-"))</f>
        <v>#N/A</v>
      </c>
      <c r="J249" s="347" t="e">
        <f>IF(J230="",NA(),IFERROR(J230*VLOOKUP(J230,'各種計算式等（配付時非表示）'!$E$3:$H$1003,3,TRUE)+VLOOKUP(J230,'各種計算式等（配付時非表示）'!$E$3:$H$1003,4,TRUE)+0.0000000001,"-"))</f>
        <v>#N/A</v>
      </c>
      <c r="K249" s="347" t="e">
        <f>IF(K230="",NA(),IFERROR(K230*VLOOKUP(K230,'各種計算式等（配付時非表示）'!$E$3:$H$1003,3,TRUE)+VLOOKUP(K230,'各種計算式等（配付時非表示）'!$E$3:$H$1003,4,TRUE)+0.0000000001,"-"))</f>
        <v>#N/A</v>
      </c>
      <c r="L249" s="347" t="e">
        <f>IF(L230="",NA(),IFERROR(L230*VLOOKUP(L230,'各種計算式等（配付時非表示）'!$E$3:$H$1003,3,TRUE)+VLOOKUP(L230,'各種計算式等（配付時非表示）'!$E$3:$H$1003,4,TRUE)+0.0000000001,"-"))</f>
        <v>#N/A</v>
      </c>
      <c r="M249" s="347" t="e">
        <f>IF(M230="",NA(),IFERROR(M230*VLOOKUP(M230,'各種計算式等（配付時非表示）'!$E$3:$H$1003,3,TRUE)+VLOOKUP(M230,'各種計算式等（配付時非表示）'!$E$3:$H$1003,4,TRUE)+0.0000000001,"-"))</f>
        <v>#N/A</v>
      </c>
      <c r="N249" s="347" t="e">
        <f>IF(N230="",NA(),IFERROR(N230*VLOOKUP(N230,'各種計算式等（配付時非表示）'!$E$3:$H$1003,3,TRUE)+VLOOKUP(N230,'各種計算式等（配付時非表示）'!$E$3:$H$1003,4,TRUE)+0.0000000001,"-"))</f>
        <v>#N/A</v>
      </c>
      <c r="O249" s="347" t="e">
        <f>IF(O230="",NA(),IFERROR(O230*VLOOKUP(O230,'各種計算式等（配付時非表示）'!$E$3:$H$1003,3,TRUE)+VLOOKUP(O230,'各種計算式等（配付時非表示）'!$E$3:$H$1003,4,TRUE)+0.0000000001,"-"))</f>
        <v>#N/A</v>
      </c>
      <c r="P249" s="347" t="e">
        <f>IF(P230="",NA(),IFERROR(P230*VLOOKUP(P230,'各種計算式等（配付時非表示）'!$E$3:$H$1003,3,TRUE)+VLOOKUP(P230,'各種計算式等（配付時非表示）'!$E$3:$H$1003,4,TRUE)+0.0000000001,"-"))</f>
        <v>#N/A</v>
      </c>
      <c r="Q249" s="347" t="e">
        <f>IF(Q230="",NA(),IFERROR(Q230*VLOOKUP(Q230,'各種計算式等（配付時非表示）'!$E$3:$H$1003,3,TRUE)+VLOOKUP(Q230,'各種計算式等（配付時非表示）'!$E$3:$H$1003,4,TRUE)+0.0000000001,"-"))</f>
        <v>#N/A</v>
      </c>
      <c r="R249" s="347" t="e">
        <f>IF(R230="",NA(),IFERROR(R230*VLOOKUP(R230,'各種計算式等（配付時非表示）'!$E$3:$H$1003,3,TRUE)+VLOOKUP(R230,'各種計算式等（配付時非表示）'!$E$3:$H$1003,4,TRUE)+0.0000000001,"-"))</f>
        <v>#N/A</v>
      </c>
      <c r="S249" s="347" t="e">
        <f>IF(S230="",NA(),IFERROR(S230*VLOOKUP(S230,'各種計算式等（配付時非表示）'!$E$3:$H$1003,3,TRUE)+VLOOKUP(S230,'各種計算式等（配付時非表示）'!$E$3:$H$1003,4,TRUE)+0.0000000001,"-"))</f>
        <v>#N/A</v>
      </c>
      <c r="T249" s="347" t="e">
        <f>IF(T230="",NA(),IFERROR(T230*VLOOKUP(T230,'各種計算式等（配付時非表示）'!$E$3:$H$1003,3,TRUE)+VLOOKUP(T230,'各種計算式等（配付時非表示）'!$E$3:$H$1003,4,TRUE)+0.0000000001,"-"))</f>
        <v>#N/A</v>
      </c>
      <c r="U249" s="347" t="e">
        <f>IF(U230="",NA(),IFERROR(U230*VLOOKUP(U230,'各種計算式等（配付時非表示）'!$E$3:$H$1003,3,TRUE)+VLOOKUP(U230,'各種計算式等（配付時非表示）'!$E$3:$H$1003,4,TRUE)+0.0000000001,"-"))</f>
        <v>#N/A</v>
      </c>
      <c r="V249" s="347" t="e">
        <f>IF(V230="",NA(),IFERROR(V230*VLOOKUP(V230,'各種計算式等（配付時非表示）'!$E$3:$H$1003,3,TRUE)+VLOOKUP(V230,'各種計算式等（配付時非表示）'!$E$3:$H$1003,4,TRUE)+0.0000000001,"-"))</f>
        <v>#N/A</v>
      </c>
      <c r="W249" s="347" t="e">
        <f>IF(W230="",NA(),IFERROR(W230*VLOOKUP(W230,'各種計算式等（配付時非表示）'!$E$3:$H$1003,3,TRUE)+VLOOKUP(W230,'各種計算式等（配付時非表示）'!$E$3:$H$1003,4,TRUE)+0.0000000001,"-"))</f>
        <v>#N/A</v>
      </c>
      <c r="X249" s="347" t="e">
        <f>IF(X230="",NA(),IFERROR(X230*VLOOKUP(X230,'各種計算式等（配付時非表示）'!$E$3:$H$1003,3,TRUE)+VLOOKUP(X230,'各種計算式等（配付時非表示）'!$E$3:$H$1003,4,TRUE)+0.0000000001,"-"))</f>
        <v>#N/A</v>
      </c>
      <c r="Y249" s="347" t="e">
        <f>IF(Y230="",NA(),IFERROR(Y230*VLOOKUP(Y230,'各種計算式等（配付時非表示）'!$E$3:$H$1003,3,TRUE)+VLOOKUP(Y230,'各種計算式等（配付時非表示）'!$E$3:$H$1003,4,TRUE)+0.0000000001,"-"))</f>
        <v>#N/A</v>
      </c>
      <c r="Z249" s="347" t="e">
        <f>IF(Z230="",NA(),IFERROR(Z230*VLOOKUP(Z230,'各種計算式等（配付時非表示）'!$E$3:$H$1003,3,TRUE)+VLOOKUP(Z230,'各種計算式等（配付時非表示）'!$E$3:$H$1003,4,TRUE)+0.0000000001,"-"))</f>
        <v>#N/A</v>
      </c>
      <c r="AA249" s="347" t="e">
        <f>IF(AA230="",NA(),IFERROR(AA230*VLOOKUP(AA230,'各種計算式等（配付時非表示）'!$E$3:$H$1003,3,TRUE)+VLOOKUP(AA230,'各種計算式等（配付時非表示）'!$E$3:$H$1003,4,TRUE)+0.0000000001,"-"))</f>
        <v>#N/A</v>
      </c>
      <c r="AB249" s="347" t="e">
        <f>IF(AB230="",NA(),IFERROR(AB230*VLOOKUP(AB230,'各種計算式等（配付時非表示）'!$E$3:$H$1003,3,TRUE)+VLOOKUP(AB230,'各種計算式等（配付時非表示）'!$E$3:$H$1003,4,TRUE)+0.0000000001,"-"))</f>
        <v>#N/A</v>
      </c>
      <c r="AC249" s="347" t="e">
        <f>IF(AC230="",NA(),IFERROR(AC230*VLOOKUP(AC230,'各種計算式等（配付時非表示）'!$E$3:$H$1003,3,TRUE)+VLOOKUP(AC230,'各種計算式等（配付時非表示）'!$E$3:$H$1003,4,TRUE)+0.0000000001,"-"))</f>
        <v>#N/A</v>
      </c>
      <c r="AD249" s="347" t="e">
        <f>IF(AD230="",NA(),IFERROR(AD230*VLOOKUP(AD230,'各種計算式等（配付時非表示）'!$E$3:$H$1003,3,TRUE)+VLOOKUP(AD230,'各種計算式等（配付時非表示）'!$E$3:$H$1003,4,TRUE)+0.0000000001,"-"))</f>
        <v>#N/A</v>
      </c>
      <c r="AE249" s="347" t="e">
        <f>IF(AE230="",NA(),IFERROR(AE230*VLOOKUP(AE230,'各種計算式等（配付時非表示）'!$E$3:$H$1003,3,TRUE)+VLOOKUP(AE230,'各種計算式等（配付時非表示）'!$E$3:$H$1003,4,TRUE)+0.0000000001,"-"))</f>
        <v>#N/A</v>
      </c>
      <c r="AF249" s="347" t="e">
        <f>IF(AF230="",NA(),IFERROR(AF230*VLOOKUP(AF230,'各種計算式等（配付時非表示）'!$E$3:$H$1003,3,TRUE)+VLOOKUP(AF230,'各種計算式等（配付時非表示）'!$E$3:$H$1003,4,TRUE)+0.0000000001,"-"))</f>
        <v>#N/A</v>
      </c>
      <c r="AG249" s="347" t="e">
        <f>IF(AG230="",NA(),IFERROR(AG230*VLOOKUP(AG230,'各種計算式等（配付時非表示）'!$E$3:$H$1003,3,TRUE)+VLOOKUP(AG230,'各種計算式等（配付時非表示）'!$E$3:$H$1003,4,TRUE)+0.0000000001,"-"))</f>
        <v>#N/A</v>
      </c>
      <c r="AH249" s="347" t="e">
        <f>IF(AH230="",NA(),IFERROR(AH230*VLOOKUP(AH230,'各種計算式等（配付時非表示）'!$E$3:$H$1003,3,TRUE)+VLOOKUP(AH230,'各種計算式等（配付時非表示）'!$E$3:$H$1003,4,TRUE)+0.0000000001,"-"))</f>
        <v>#N/A</v>
      </c>
      <c r="AI249" s="347" t="e">
        <f>IF(AI230="",NA(),IFERROR(AI230*VLOOKUP(AI230,'各種計算式等（配付時非表示）'!$E$3:$H$1003,3,TRUE)+VLOOKUP(AI230,'各種計算式等（配付時非表示）'!$E$3:$H$1003,4,TRUE)+0.0000000001,"-"))</f>
        <v>#N/A</v>
      </c>
      <c r="AJ249" s="347" t="e">
        <f>IF(AJ230="",NA(),IFERROR(AJ230*VLOOKUP(AJ230,'各種計算式等（配付時非表示）'!$E$3:$H$1003,3,TRUE)+VLOOKUP(AJ230,'各種計算式等（配付時非表示）'!$E$3:$H$1003,4,TRUE)+0.0000000001,"-"))</f>
        <v>#N/A</v>
      </c>
      <c r="AK249" s="347" t="e">
        <f>IF(AK230="",NA(),IFERROR(AK230*VLOOKUP(AK230,'各種計算式等（配付時非表示）'!$E$3:$H$1003,3,TRUE)+VLOOKUP(AK230,'各種計算式等（配付時非表示）'!$E$3:$H$1003,4,TRUE)+0.0000000001,"-"))</f>
        <v>#N/A</v>
      </c>
      <c r="AL249" s="347" t="e">
        <f>IF(AL230="",NA(),IFERROR(AL230*VLOOKUP(AL230,'各種計算式等（配付時非表示）'!$E$3:$H$1003,3,TRUE)+VLOOKUP(AL230,'各種計算式等（配付時非表示）'!$E$3:$H$1003,4,TRUE)+0.0000000001,"-"))</f>
        <v>#N/A</v>
      </c>
      <c r="AM249" s="347" t="e">
        <f>IF(AM230="",NA(),IFERROR(AM230*VLOOKUP(AM230,'各種計算式等（配付時非表示）'!$E$3:$H$1003,3,TRUE)+VLOOKUP(AM230,'各種計算式等（配付時非表示）'!$E$3:$H$1003,4,TRUE)+0.0000000001,"-"))</f>
        <v>#N/A</v>
      </c>
      <c r="AN249" s="347" t="e">
        <f>IF(AN230="",NA(),IFERROR(AN230*VLOOKUP(AN230,'各種計算式等（配付時非表示）'!$E$3:$H$1003,3,TRUE)+VLOOKUP(AN230,'各種計算式等（配付時非表示）'!$E$3:$H$1003,4,TRUE)+0.0000000001,"-"))</f>
        <v>#N/A</v>
      </c>
      <c r="AO249" s="347" t="e">
        <f>IF(AO230="",NA(),IFERROR(AO230*VLOOKUP(AO230,'各種計算式等（配付時非表示）'!$E$3:$H$1003,3,TRUE)+VLOOKUP(AO230,'各種計算式等（配付時非表示）'!$E$3:$H$1003,4,TRUE)+0.0000000001,"-"))</f>
        <v>#N/A</v>
      </c>
      <c r="AP249" s="347" t="e">
        <f>IF(AP230="",NA(),IFERROR(AP230*VLOOKUP(AP230,'各種計算式等（配付時非表示）'!$E$3:$H$1003,3,TRUE)+VLOOKUP(AP230,'各種計算式等（配付時非表示）'!$E$3:$H$1003,4,TRUE)+0.0000000001,"-"))</f>
        <v>#N/A</v>
      </c>
      <c r="AQ249" s="347" t="e">
        <f>IF(AQ230="",NA(),IFERROR(AQ230*VLOOKUP(AQ230,'各種計算式等（配付時非表示）'!$E$3:$H$1003,3,TRUE)+VLOOKUP(AQ230,'各種計算式等（配付時非表示）'!$E$3:$H$1003,4,TRUE)+0.0000000001,"-"))</f>
        <v>#N/A</v>
      </c>
    </row>
    <row r="250" spans="1:43" s="315" customFormat="1" ht="14.25" hidden="1">
      <c r="A250" s="620" t="s">
        <v>3</v>
      </c>
      <c r="B250" s="620"/>
      <c r="C250" s="620"/>
      <c r="D250" s="315" t="s">
        <v>487</v>
      </c>
      <c r="E250" s="348" t="e">
        <f>IFERROR((E248-E249)*260+0.21,NA())</f>
        <v>#N/A</v>
      </c>
      <c r="F250" s="348" t="e">
        <f t="shared" ref="F250:AQ250" si="110">IFERROR((F248-F249)*260+0.21,NA())</f>
        <v>#N/A</v>
      </c>
      <c r="G250" s="348" t="e">
        <f t="shared" si="110"/>
        <v>#N/A</v>
      </c>
      <c r="H250" s="348" t="e">
        <f t="shared" si="110"/>
        <v>#N/A</v>
      </c>
      <c r="I250" s="348" t="e">
        <f t="shared" si="110"/>
        <v>#N/A</v>
      </c>
      <c r="J250" s="348" t="e">
        <f t="shared" si="110"/>
        <v>#N/A</v>
      </c>
      <c r="K250" s="348" t="e">
        <f t="shared" si="110"/>
        <v>#N/A</v>
      </c>
      <c r="L250" s="348" t="e">
        <f t="shared" si="110"/>
        <v>#N/A</v>
      </c>
      <c r="M250" s="348" t="e">
        <f t="shared" si="110"/>
        <v>#N/A</v>
      </c>
      <c r="N250" s="348" t="e">
        <f t="shared" si="110"/>
        <v>#N/A</v>
      </c>
      <c r="O250" s="348" t="e">
        <f t="shared" si="110"/>
        <v>#N/A</v>
      </c>
      <c r="P250" s="348" t="e">
        <f t="shared" si="110"/>
        <v>#N/A</v>
      </c>
      <c r="Q250" s="348" t="e">
        <f t="shared" si="110"/>
        <v>#N/A</v>
      </c>
      <c r="R250" s="348" t="e">
        <f t="shared" si="110"/>
        <v>#N/A</v>
      </c>
      <c r="S250" s="348" t="e">
        <f t="shared" si="110"/>
        <v>#N/A</v>
      </c>
      <c r="T250" s="348" t="e">
        <f t="shared" si="110"/>
        <v>#N/A</v>
      </c>
      <c r="U250" s="348" t="e">
        <f t="shared" si="110"/>
        <v>#N/A</v>
      </c>
      <c r="V250" s="348" t="e">
        <f t="shared" si="110"/>
        <v>#N/A</v>
      </c>
      <c r="W250" s="348" t="e">
        <f t="shared" si="110"/>
        <v>#N/A</v>
      </c>
      <c r="X250" s="348" t="e">
        <f t="shared" si="110"/>
        <v>#N/A</v>
      </c>
      <c r="Y250" s="348" t="e">
        <f t="shared" si="110"/>
        <v>#N/A</v>
      </c>
      <c r="Z250" s="348" t="e">
        <f t="shared" si="110"/>
        <v>#N/A</v>
      </c>
      <c r="AA250" s="348" t="e">
        <f t="shared" si="110"/>
        <v>#N/A</v>
      </c>
      <c r="AB250" s="348" t="e">
        <f t="shared" si="110"/>
        <v>#N/A</v>
      </c>
      <c r="AC250" s="348" t="e">
        <f t="shared" si="110"/>
        <v>#N/A</v>
      </c>
      <c r="AD250" s="348" t="e">
        <f t="shared" si="110"/>
        <v>#N/A</v>
      </c>
      <c r="AE250" s="348" t="e">
        <f t="shared" si="110"/>
        <v>#N/A</v>
      </c>
      <c r="AF250" s="348" t="e">
        <f t="shared" si="110"/>
        <v>#N/A</v>
      </c>
      <c r="AG250" s="348" t="e">
        <f t="shared" si="110"/>
        <v>#N/A</v>
      </c>
      <c r="AH250" s="348" t="e">
        <f t="shared" si="110"/>
        <v>#N/A</v>
      </c>
      <c r="AI250" s="348" t="e">
        <f t="shared" si="110"/>
        <v>#N/A</v>
      </c>
      <c r="AJ250" s="348" t="e">
        <f t="shared" si="110"/>
        <v>#N/A</v>
      </c>
      <c r="AK250" s="348" t="e">
        <f t="shared" si="110"/>
        <v>#N/A</v>
      </c>
      <c r="AL250" s="348" t="e">
        <f t="shared" si="110"/>
        <v>#N/A</v>
      </c>
      <c r="AM250" s="348" t="e">
        <f t="shared" si="110"/>
        <v>#N/A</v>
      </c>
      <c r="AN250" s="348" t="e">
        <f t="shared" si="110"/>
        <v>#N/A</v>
      </c>
      <c r="AO250" s="348" t="e">
        <f t="shared" si="110"/>
        <v>#N/A</v>
      </c>
      <c r="AP250" s="348" t="e">
        <f t="shared" si="110"/>
        <v>#N/A</v>
      </c>
      <c r="AQ250" s="348" t="e">
        <f t="shared" si="110"/>
        <v>#N/A</v>
      </c>
    </row>
    <row r="251" spans="1:43" s="315" customFormat="1" ht="14.25" hidden="1">
      <c r="A251" s="620" t="s">
        <v>318</v>
      </c>
      <c r="B251" s="620"/>
      <c r="C251" s="620"/>
      <c r="D251" s="315" t="s">
        <v>487</v>
      </c>
      <c r="E251" s="349" t="e">
        <f>IF(E230="",NA(),E230*1.5848)</f>
        <v>#N/A</v>
      </c>
      <c r="F251" s="349" t="e">
        <f t="shared" ref="F251:AQ251" si="111">IF(F230="",NA(),F230*1.5848)</f>
        <v>#N/A</v>
      </c>
      <c r="G251" s="349" t="e">
        <f t="shared" si="111"/>
        <v>#N/A</v>
      </c>
      <c r="H251" s="349" t="e">
        <f t="shared" si="111"/>
        <v>#N/A</v>
      </c>
      <c r="I251" s="349" t="e">
        <f t="shared" si="111"/>
        <v>#N/A</v>
      </c>
      <c r="J251" s="349" t="e">
        <f t="shared" si="111"/>
        <v>#N/A</v>
      </c>
      <c r="K251" s="349" t="e">
        <f t="shared" si="111"/>
        <v>#N/A</v>
      </c>
      <c r="L251" s="349" t="e">
        <f t="shared" si="111"/>
        <v>#N/A</v>
      </c>
      <c r="M251" s="349" t="e">
        <f t="shared" si="111"/>
        <v>#N/A</v>
      </c>
      <c r="N251" s="349" t="e">
        <f t="shared" si="111"/>
        <v>#N/A</v>
      </c>
      <c r="O251" s="349" t="e">
        <f t="shared" si="111"/>
        <v>#N/A</v>
      </c>
      <c r="P251" s="349" t="e">
        <f t="shared" si="111"/>
        <v>#N/A</v>
      </c>
      <c r="Q251" s="349" t="e">
        <f t="shared" si="111"/>
        <v>#N/A</v>
      </c>
      <c r="R251" s="349" t="e">
        <f t="shared" si="111"/>
        <v>#N/A</v>
      </c>
      <c r="S251" s="349" t="e">
        <f t="shared" si="111"/>
        <v>#N/A</v>
      </c>
      <c r="T251" s="349" t="e">
        <f t="shared" si="111"/>
        <v>#N/A</v>
      </c>
      <c r="U251" s="349" t="e">
        <f t="shared" si="111"/>
        <v>#N/A</v>
      </c>
      <c r="V251" s="349" t="e">
        <f t="shared" si="111"/>
        <v>#N/A</v>
      </c>
      <c r="W251" s="349" t="e">
        <f t="shared" si="111"/>
        <v>#N/A</v>
      </c>
      <c r="X251" s="349" t="e">
        <f t="shared" si="111"/>
        <v>#N/A</v>
      </c>
      <c r="Y251" s="349" t="e">
        <f t="shared" si="111"/>
        <v>#N/A</v>
      </c>
      <c r="Z251" s="349" t="e">
        <f t="shared" si="111"/>
        <v>#N/A</v>
      </c>
      <c r="AA251" s="349" t="e">
        <f t="shared" si="111"/>
        <v>#N/A</v>
      </c>
      <c r="AB251" s="349" t="e">
        <f t="shared" si="111"/>
        <v>#N/A</v>
      </c>
      <c r="AC251" s="349" t="e">
        <f t="shared" si="111"/>
        <v>#N/A</v>
      </c>
      <c r="AD251" s="349" t="e">
        <f t="shared" si="111"/>
        <v>#N/A</v>
      </c>
      <c r="AE251" s="349" t="e">
        <f t="shared" si="111"/>
        <v>#N/A</v>
      </c>
      <c r="AF251" s="349" t="e">
        <f t="shared" si="111"/>
        <v>#N/A</v>
      </c>
      <c r="AG251" s="349" t="e">
        <f t="shared" si="111"/>
        <v>#N/A</v>
      </c>
      <c r="AH251" s="349" t="e">
        <f t="shared" si="111"/>
        <v>#N/A</v>
      </c>
      <c r="AI251" s="349" t="e">
        <f t="shared" si="111"/>
        <v>#N/A</v>
      </c>
      <c r="AJ251" s="349" t="e">
        <f t="shared" si="111"/>
        <v>#N/A</v>
      </c>
      <c r="AK251" s="349" t="e">
        <f t="shared" si="111"/>
        <v>#N/A</v>
      </c>
      <c r="AL251" s="349" t="e">
        <f t="shared" si="111"/>
        <v>#N/A</v>
      </c>
      <c r="AM251" s="349" t="e">
        <f t="shared" si="111"/>
        <v>#N/A</v>
      </c>
      <c r="AN251" s="349" t="e">
        <f t="shared" si="111"/>
        <v>#N/A</v>
      </c>
      <c r="AO251" s="349" t="e">
        <f t="shared" si="111"/>
        <v>#N/A</v>
      </c>
      <c r="AP251" s="349" t="e">
        <f t="shared" si="111"/>
        <v>#N/A</v>
      </c>
      <c r="AQ251" s="349" t="e">
        <f t="shared" si="111"/>
        <v>#N/A</v>
      </c>
    </row>
    <row r="252" spans="1:43" s="315" customFormat="1" ht="14.25" hidden="1">
      <c r="A252" s="620" t="s">
        <v>159</v>
      </c>
      <c r="B252" s="620"/>
      <c r="C252" s="620"/>
      <c r="D252" s="315" t="s">
        <v>487</v>
      </c>
      <c r="E252" s="349" t="e">
        <f>IF(E250="",NA(),E250+E251)</f>
        <v>#N/A</v>
      </c>
      <c r="F252" s="349" t="e">
        <f t="shared" ref="F252:AQ252" si="112">IF(F250="",NA(),F250+F251)</f>
        <v>#N/A</v>
      </c>
      <c r="G252" s="349" t="e">
        <f t="shared" si="112"/>
        <v>#N/A</v>
      </c>
      <c r="H252" s="349" t="e">
        <f t="shared" si="112"/>
        <v>#N/A</v>
      </c>
      <c r="I252" s="349" t="e">
        <f t="shared" si="112"/>
        <v>#N/A</v>
      </c>
      <c r="J252" s="349" t="e">
        <f t="shared" si="112"/>
        <v>#N/A</v>
      </c>
      <c r="K252" s="349" t="e">
        <f t="shared" si="112"/>
        <v>#N/A</v>
      </c>
      <c r="L252" s="349" t="e">
        <f t="shared" si="112"/>
        <v>#N/A</v>
      </c>
      <c r="M252" s="349" t="e">
        <f t="shared" si="112"/>
        <v>#N/A</v>
      </c>
      <c r="N252" s="349" t="e">
        <f t="shared" si="112"/>
        <v>#N/A</v>
      </c>
      <c r="O252" s="349" t="e">
        <f t="shared" si="112"/>
        <v>#N/A</v>
      </c>
      <c r="P252" s="349" t="e">
        <f t="shared" si="112"/>
        <v>#N/A</v>
      </c>
      <c r="Q252" s="349" t="e">
        <f t="shared" si="112"/>
        <v>#N/A</v>
      </c>
      <c r="R252" s="349" t="e">
        <f t="shared" si="112"/>
        <v>#N/A</v>
      </c>
      <c r="S252" s="349" t="e">
        <f t="shared" si="112"/>
        <v>#N/A</v>
      </c>
      <c r="T252" s="349" t="e">
        <f t="shared" si="112"/>
        <v>#N/A</v>
      </c>
      <c r="U252" s="349" t="e">
        <f t="shared" si="112"/>
        <v>#N/A</v>
      </c>
      <c r="V252" s="349" t="e">
        <f t="shared" si="112"/>
        <v>#N/A</v>
      </c>
      <c r="W252" s="349" t="e">
        <f t="shared" si="112"/>
        <v>#N/A</v>
      </c>
      <c r="X252" s="349" t="e">
        <f t="shared" si="112"/>
        <v>#N/A</v>
      </c>
      <c r="Y252" s="349" t="e">
        <f t="shared" si="112"/>
        <v>#N/A</v>
      </c>
      <c r="Z252" s="349" t="e">
        <f t="shared" si="112"/>
        <v>#N/A</v>
      </c>
      <c r="AA252" s="349" t="e">
        <f t="shared" si="112"/>
        <v>#N/A</v>
      </c>
      <c r="AB252" s="349" t="e">
        <f t="shared" si="112"/>
        <v>#N/A</v>
      </c>
      <c r="AC252" s="349" t="e">
        <f t="shared" si="112"/>
        <v>#N/A</v>
      </c>
      <c r="AD252" s="349" t="e">
        <f t="shared" si="112"/>
        <v>#N/A</v>
      </c>
      <c r="AE252" s="349" t="e">
        <f t="shared" si="112"/>
        <v>#N/A</v>
      </c>
      <c r="AF252" s="349" t="e">
        <f t="shared" si="112"/>
        <v>#N/A</v>
      </c>
      <c r="AG252" s="349" t="e">
        <f t="shared" si="112"/>
        <v>#N/A</v>
      </c>
      <c r="AH252" s="349" t="e">
        <f t="shared" si="112"/>
        <v>#N/A</v>
      </c>
      <c r="AI252" s="349" t="e">
        <f t="shared" si="112"/>
        <v>#N/A</v>
      </c>
      <c r="AJ252" s="349" t="e">
        <f t="shared" si="112"/>
        <v>#N/A</v>
      </c>
      <c r="AK252" s="349" t="e">
        <f t="shared" si="112"/>
        <v>#N/A</v>
      </c>
      <c r="AL252" s="349" t="e">
        <f t="shared" si="112"/>
        <v>#N/A</v>
      </c>
      <c r="AM252" s="349" t="e">
        <f t="shared" si="112"/>
        <v>#N/A</v>
      </c>
      <c r="AN252" s="349" t="e">
        <f t="shared" si="112"/>
        <v>#N/A</v>
      </c>
      <c r="AO252" s="349" t="e">
        <f t="shared" si="112"/>
        <v>#N/A</v>
      </c>
      <c r="AP252" s="349" t="e">
        <f t="shared" si="112"/>
        <v>#N/A</v>
      </c>
      <c r="AQ252" s="349" t="e">
        <f t="shared" si="112"/>
        <v>#N/A</v>
      </c>
    </row>
    <row r="253" spans="1:43" s="315" customFormat="1" ht="14.25" hidden="1">
      <c r="A253" s="620" t="s">
        <v>195</v>
      </c>
      <c r="B253" s="620"/>
      <c r="C253" s="620"/>
      <c r="E253" s="350" t="e">
        <f t="shared" ref="E253:AQ253" si="113">IF(E230="",NA(),IF(E226&lt;=$B241,E230*$D244/100,IF(E226&lt;=$C241,E230*$E244/100,IF(E226&lt;=$D241,E230*$F244/100,IF(E226&lt;=$E241,E230*$G244/100,IF(E226&lt;=$F241,E230*$H244/100,IF(E226&lt;=$G241,E230*$I244/100,IF(E226&lt;=$H241,E230*$J244/100,IF(E226&lt;=$I241,E230*$K244/100,IF(E226&lt;=$J241,E230*$L244/100,IF(E226&lt;=$K241,E230*$M244/100,IF(E226&lt;=$L241,E230*$N244/100,IF(E226&lt;=$M241,E230*$O244/100,IF(E226&lt;=$N241,E230*$P244/100,IF(E226&lt;=$O241,E230*$Q244/100,IF(E226&lt;=$P241,E230*$R244/100,IF(E226&lt;=$Q241,E230*$S244/100,IF(E226&lt;=$R241,E230*$T244/100,IF(E226&lt;=$S241,E230*$U244/100,IF(E226&lt;=$T241,E230*$V244/100,IF(E226&lt;=$U241,E230*$W244/100,E230*$X244/100)))))))))))))))))))))</f>
        <v>#N/A</v>
      </c>
      <c r="F253" s="350" t="e">
        <f t="shared" si="113"/>
        <v>#N/A</v>
      </c>
      <c r="G253" s="350" t="e">
        <f t="shared" si="113"/>
        <v>#N/A</v>
      </c>
      <c r="H253" s="350" t="e">
        <f t="shared" si="113"/>
        <v>#N/A</v>
      </c>
      <c r="I253" s="350" t="e">
        <f t="shared" si="113"/>
        <v>#N/A</v>
      </c>
      <c r="J253" s="350" t="e">
        <f t="shared" si="113"/>
        <v>#N/A</v>
      </c>
      <c r="K253" s="350" t="e">
        <f t="shared" si="113"/>
        <v>#N/A</v>
      </c>
      <c r="L253" s="350" t="e">
        <f t="shared" si="113"/>
        <v>#N/A</v>
      </c>
      <c r="M253" s="350" t="e">
        <f t="shared" si="113"/>
        <v>#N/A</v>
      </c>
      <c r="N253" s="350" t="e">
        <f t="shared" si="113"/>
        <v>#N/A</v>
      </c>
      <c r="O253" s="350" t="e">
        <f t="shared" si="113"/>
        <v>#N/A</v>
      </c>
      <c r="P253" s="350" t="e">
        <f t="shared" si="113"/>
        <v>#N/A</v>
      </c>
      <c r="Q253" s="350" t="e">
        <f t="shared" si="113"/>
        <v>#N/A</v>
      </c>
      <c r="R253" s="350" t="e">
        <f t="shared" si="113"/>
        <v>#N/A</v>
      </c>
      <c r="S253" s="350" t="e">
        <f t="shared" si="113"/>
        <v>#N/A</v>
      </c>
      <c r="T253" s="350" t="e">
        <f t="shared" si="113"/>
        <v>#N/A</v>
      </c>
      <c r="U253" s="350" t="e">
        <f t="shared" si="113"/>
        <v>#N/A</v>
      </c>
      <c r="V253" s="350" t="e">
        <f t="shared" si="113"/>
        <v>#N/A</v>
      </c>
      <c r="W253" s="350" t="e">
        <f t="shared" si="113"/>
        <v>#N/A</v>
      </c>
      <c r="X253" s="350" t="e">
        <f t="shared" si="113"/>
        <v>#N/A</v>
      </c>
      <c r="Y253" s="350" t="e">
        <f t="shared" si="113"/>
        <v>#N/A</v>
      </c>
      <c r="Z253" s="350" t="e">
        <f t="shared" si="113"/>
        <v>#N/A</v>
      </c>
      <c r="AA253" s="350" t="e">
        <f t="shared" si="113"/>
        <v>#N/A</v>
      </c>
      <c r="AB253" s="350" t="e">
        <f t="shared" si="113"/>
        <v>#N/A</v>
      </c>
      <c r="AC253" s="350" t="e">
        <f t="shared" si="113"/>
        <v>#N/A</v>
      </c>
      <c r="AD253" s="350" t="e">
        <f t="shared" si="113"/>
        <v>#N/A</v>
      </c>
      <c r="AE253" s="350" t="e">
        <f t="shared" si="113"/>
        <v>#N/A</v>
      </c>
      <c r="AF253" s="350" t="e">
        <f t="shared" si="113"/>
        <v>#N/A</v>
      </c>
      <c r="AG253" s="350" t="e">
        <f t="shared" si="113"/>
        <v>#N/A</v>
      </c>
      <c r="AH253" s="350" t="e">
        <f t="shared" si="113"/>
        <v>#N/A</v>
      </c>
      <c r="AI253" s="350" t="e">
        <f t="shared" si="113"/>
        <v>#N/A</v>
      </c>
      <c r="AJ253" s="350" t="e">
        <f t="shared" si="113"/>
        <v>#N/A</v>
      </c>
      <c r="AK253" s="350" t="e">
        <f t="shared" si="113"/>
        <v>#N/A</v>
      </c>
      <c r="AL253" s="350" t="e">
        <f t="shared" si="113"/>
        <v>#N/A</v>
      </c>
      <c r="AM253" s="350" t="e">
        <f t="shared" si="113"/>
        <v>#N/A</v>
      </c>
      <c r="AN253" s="350" t="e">
        <f t="shared" si="113"/>
        <v>#N/A</v>
      </c>
      <c r="AO253" s="350" t="e">
        <f t="shared" si="113"/>
        <v>#N/A</v>
      </c>
      <c r="AP253" s="350" t="e">
        <f t="shared" si="113"/>
        <v>#N/A</v>
      </c>
      <c r="AQ253" s="350" t="e">
        <f t="shared" si="113"/>
        <v>#N/A</v>
      </c>
    </row>
    <row r="254" spans="1:43" s="315" customFormat="1" ht="14.25" hidden="1">
      <c r="A254" s="547" t="s">
        <v>319</v>
      </c>
      <c r="B254" s="620"/>
      <c r="C254" s="603"/>
      <c r="E254" s="351" t="e">
        <f t="shared" ref="E254:AQ254" si="114">IF(E253="",NA(),ROUND(E253*1.5848,1))</f>
        <v>#N/A</v>
      </c>
      <c r="F254" s="351" t="e">
        <f t="shared" si="114"/>
        <v>#N/A</v>
      </c>
      <c r="G254" s="351" t="e">
        <f t="shared" si="114"/>
        <v>#N/A</v>
      </c>
      <c r="H254" s="351" t="e">
        <f t="shared" si="114"/>
        <v>#N/A</v>
      </c>
      <c r="I254" s="351" t="e">
        <f t="shared" si="114"/>
        <v>#N/A</v>
      </c>
      <c r="J254" s="351" t="e">
        <f t="shared" si="114"/>
        <v>#N/A</v>
      </c>
      <c r="K254" s="351" t="e">
        <f t="shared" si="114"/>
        <v>#N/A</v>
      </c>
      <c r="L254" s="351" t="e">
        <f t="shared" si="114"/>
        <v>#N/A</v>
      </c>
      <c r="M254" s="351" t="e">
        <f t="shared" si="114"/>
        <v>#N/A</v>
      </c>
      <c r="N254" s="351" t="e">
        <f t="shared" si="114"/>
        <v>#N/A</v>
      </c>
      <c r="O254" s="351" t="e">
        <f t="shared" si="114"/>
        <v>#N/A</v>
      </c>
      <c r="P254" s="351" t="e">
        <f t="shared" si="114"/>
        <v>#N/A</v>
      </c>
      <c r="Q254" s="351" t="e">
        <f t="shared" si="114"/>
        <v>#N/A</v>
      </c>
      <c r="R254" s="351" t="e">
        <f t="shared" si="114"/>
        <v>#N/A</v>
      </c>
      <c r="S254" s="351" t="e">
        <f t="shared" si="114"/>
        <v>#N/A</v>
      </c>
      <c r="T254" s="351" t="e">
        <f t="shared" si="114"/>
        <v>#N/A</v>
      </c>
      <c r="U254" s="351" t="e">
        <f t="shared" si="114"/>
        <v>#N/A</v>
      </c>
      <c r="V254" s="351" t="e">
        <f t="shared" si="114"/>
        <v>#N/A</v>
      </c>
      <c r="W254" s="351" t="e">
        <f t="shared" si="114"/>
        <v>#N/A</v>
      </c>
      <c r="X254" s="351" t="e">
        <f t="shared" si="114"/>
        <v>#N/A</v>
      </c>
      <c r="Y254" s="351" t="e">
        <f t="shared" si="114"/>
        <v>#N/A</v>
      </c>
      <c r="Z254" s="351" t="e">
        <f t="shared" si="114"/>
        <v>#N/A</v>
      </c>
      <c r="AA254" s="351" t="e">
        <f t="shared" si="114"/>
        <v>#N/A</v>
      </c>
      <c r="AB254" s="351" t="e">
        <f t="shared" si="114"/>
        <v>#N/A</v>
      </c>
      <c r="AC254" s="351" t="e">
        <f t="shared" si="114"/>
        <v>#N/A</v>
      </c>
      <c r="AD254" s="351" t="e">
        <f t="shared" si="114"/>
        <v>#N/A</v>
      </c>
      <c r="AE254" s="351" t="e">
        <f t="shared" si="114"/>
        <v>#N/A</v>
      </c>
      <c r="AF254" s="351" t="e">
        <f t="shared" si="114"/>
        <v>#N/A</v>
      </c>
      <c r="AG254" s="351" t="e">
        <f t="shared" si="114"/>
        <v>#N/A</v>
      </c>
      <c r="AH254" s="351" t="e">
        <f t="shared" si="114"/>
        <v>#N/A</v>
      </c>
      <c r="AI254" s="351" t="e">
        <f t="shared" si="114"/>
        <v>#N/A</v>
      </c>
      <c r="AJ254" s="351" t="e">
        <f t="shared" si="114"/>
        <v>#N/A</v>
      </c>
      <c r="AK254" s="351" t="e">
        <f t="shared" si="114"/>
        <v>#N/A</v>
      </c>
      <c r="AL254" s="351" t="e">
        <f t="shared" si="114"/>
        <v>#N/A</v>
      </c>
      <c r="AM254" s="351" t="e">
        <f t="shared" si="114"/>
        <v>#N/A</v>
      </c>
      <c r="AN254" s="351" t="e">
        <f t="shared" si="114"/>
        <v>#N/A</v>
      </c>
      <c r="AO254" s="351" t="e">
        <f t="shared" si="114"/>
        <v>#N/A</v>
      </c>
      <c r="AP254" s="351" t="e">
        <f t="shared" si="114"/>
        <v>#N/A</v>
      </c>
      <c r="AQ254" s="351" t="e">
        <f t="shared" si="114"/>
        <v>#N/A</v>
      </c>
    </row>
    <row r="255" spans="1:43" s="315" customFormat="1" ht="14.25" hidden="1">
      <c r="A255" s="547" t="s">
        <v>320</v>
      </c>
      <c r="B255" s="620"/>
      <c r="C255" s="603"/>
      <c r="E255" s="351" t="e">
        <f t="shared" ref="E255:AQ255" si="115">IF(E256="",NA(),ROUND(E256-E254,1))</f>
        <v>#N/A</v>
      </c>
      <c r="F255" s="351" t="e">
        <f t="shared" si="115"/>
        <v>#N/A</v>
      </c>
      <c r="G255" s="351" t="e">
        <f t="shared" si="115"/>
        <v>#N/A</v>
      </c>
      <c r="H255" s="351" t="e">
        <f t="shared" si="115"/>
        <v>#N/A</v>
      </c>
      <c r="I255" s="351" t="e">
        <f t="shared" si="115"/>
        <v>#N/A</v>
      </c>
      <c r="J255" s="351" t="e">
        <f t="shared" si="115"/>
        <v>#N/A</v>
      </c>
      <c r="K255" s="351" t="e">
        <f t="shared" si="115"/>
        <v>#N/A</v>
      </c>
      <c r="L255" s="351" t="e">
        <f t="shared" si="115"/>
        <v>#N/A</v>
      </c>
      <c r="M255" s="351" t="e">
        <f t="shared" si="115"/>
        <v>#N/A</v>
      </c>
      <c r="N255" s="351" t="e">
        <f t="shared" si="115"/>
        <v>#N/A</v>
      </c>
      <c r="O255" s="351" t="e">
        <f t="shared" si="115"/>
        <v>#N/A</v>
      </c>
      <c r="P255" s="351" t="e">
        <f t="shared" si="115"/>
        <v>#N/A</v>
      </c>
      <c r="Q255" s="351" t="e">
        <f t="shared" si="115"/>
        <v>#N/A</v>
      </c>
      <c r="R255" s="351" t="e">
        <f t="shared" si="115"/>
        <v>#N/A</v>
      </c>
      <c r="S255" s="351" t="e">
        <f t="shared" si="115"/>
        <v>#N/A</v>
      </c>
      <c r="T255" s="351" t="e">
        <f t="shared" si="115"/>
        <v>#N/A</v>
      </c>
      <c r="U255" s="351" t="e">
        <f t="shared" si="115"/>
        <v>#N/A</v>
      </c>
      <c r="V255" s="351" t="e">
        <f t="shared" si="115"/>
        <v>#N/A</v>
      </c>
      <c r="W255" s="351" t="e">
        <f t="shared" si="115"/>
        <v>#N/A</v>
      </c>
      <c r="X255" s="351" t="e">
        <f t="shared" si="115"/>
        <v>#N/A</v>
      </c>
      <c r="Y255" s="351" t="e">
        <f t="shared" si="115"/>
        <v>#N/A</v>
      </c>
      <c r="Z255" s="351" t="e">
        <f t="shared" si="115"/>
        <v>#N/A</v>
      </c>
      <c r="AA255" s="351" t="e">
        <f t="shared" si="115"/>
        <v>#N/A</v>
      </c>
      <c r="AB255" s="351" t="e">
        <f t="shared" si="115"/>
        <v>#N/A</v>
      </c>
      <c r="AC255" s="351" t="e">
        <f t="shared" si="115"/>
        <v>#N/A</v>
      </c>
      <c r="AD255" s="351" t="e">
        <f t="shared" si="115"/>
        <v>#N/A</v>
      </c>
      <c r="AE255" s="351" t="e">
        <f t="shared" si="115"/>
        <v>#N/A</v>
      </c>
      <c r="AF255" s="351" t="e">
        <f t="shared" si="115"/>
        <v>#N/A</v>
      </c>
      <c r="AG255" s="351" t="e">
        <f t="shared" si="115"/>
        <v>#N/A</v>
      </c>
      <c r="AH255" s="351" t="e">
        <f t="shared" si="115"/>
        <v>#N/A</v>
      </c>
      <c r="AI255" s="351" t="e">
        <f t="shared" si="115"/>
        <v>#N/A</v>
      </c>
      <c r="AJ255" s="351" t="e">
        <f t="shared" si="115"/>
        <v>#N/A</v>
      </c>
      <c r="AK255" s="351" t="e">
        <f t="shared" si="115"/>
        <v>#N/A</v>
      </c>
      <c r="AL255" s="351" t="e">
        <f t="shared" si="115"/>
        <v>#N/A</v>
      </c>
      <c r="AM255" s="351" t="e">
        <f t="shared" si="115"/>
        <v>#N/A</v>
      </c>
      <c r="AN255" s="351" t="e">
        <f t="shared" si="115"/>
        <v>#N/A</v>
      </c>
      <c r="AO255" s="351" t="e">
        <f t="shared" si="115"/>
        <v>#N/A</v>
      </c>
      <c r="AP255" s="351" t="e">
        <f t="shared" si="115"/>
        <v>#N/A</v>
      </c>
      <c r="AQ255" s="351" t="e">
        <f t="shared" si="115"/>
        <v>#N/A</v>
      </c>
    </row>
    <row r="256" spans="1:43" s="315" customFormat="1" ht="14.25" hidden="1">
      <c r="A256" s="547" t="s">
        <v>321</v>
      </c>
      <c r="B256" s="620"/>
      <c r="C256" s="603"/>
      <c r="E256" s="350" t="e">
        <f t="shared" ref="E256:AQ256" si="116">IF(E252="",NA(),IF(E226&lt;=$B241,E252*$D244/100,IF(E226&lt;=$C241,E252*$E244/100,IF(E226&lt;=$D241,E252*$F244/100,IF(E226&lt;=$E241,E252*$G244/100,IF(E226&lt;=$F241,E252*$H244/100,IF(E226&lt;=$G241,E252*$I244/100,IF(E226&lt;=$H241,E252*$J244/100,IF(E226&lt;=$I241,E252*$K244/100,IF(E226&lt;=$J241,E252*$L244/100,IF(E226&lt;=$K241,E252*$M244/100,IF(E226&lt;=$L241,E252*$N244/100,IF(E226&lt;=$M241,E252*$O244/100,IF(E226&lt;=$N241,E252*$P244/100,IF(E226&lt;=$O241,E252*$Q244/100,IF(E226&lt;=$P241,E252*$R244/100,IF(E226&lt;=$Q241,E252*$S244/100,IF(E226&lt;=$R241,E252*$T244/100,IF(E226&lt;=$S241,E252*$U244/100,IF(E226&lt;=$T241,E252*$V244/100,IF(E226&lt;=$U241,E252*$W244/100,E252*$X244/100)))))))))))))))))))))</f>
        <v>#N/A</v>
      </c>
      <c r="F256" s="350" t="e">
        <f t="shared" si="116"/>
        <v>#N/A</v>
      </c>
      <c r="G256" s="350" t="e">
        <f t="shared" si="116"/>
        <v>#N/A</v>
      </c>
      <c r="H256" s="350" t="e">
        <f t="shared" si="116"/>
        <v>#N/A</v>
      </c>
      <c r="I256" s="350" t="e">
        <f t="shared" si="116"/>
        <v>#N/A</v>
      </c>
      <c r="J256" s="350" t="e">
        <f t="shared" si="116"/>
        <v>#N/A</v>
      </c>
      <c r="K256" s="350" t="e">
        <f t="shared" si="116"/>
        <v>#N/A</v>
      </c>
      <c r="L256" s="350" t="e">
        <f t="shared" si="116"/>
        <v>#N/A</v>
      </c>
      <c r="M256" s="350" t="e">
        <f t="shared" si="116"/>
        <v>#N/A</v>
      </c>
      <c r="N256" s="350" t="e">
        <f t="shared" si="116"/>
        <v>#N/A</v>
      </c>
      <c r="O256" s="350" t="e">
        <f t="shared" si="116"/>
        <v>#N/A</v>
      </c>
      <c r="P256" s="350" t="e">
        <f t="shared" si="116"/>
        <v>#N/A</v>
      </c>
      <c r="Q256" s="350" t="e">
        <f t="shared" si="116"/>
        <v>#N/A</v>
      </c>
      <c r="R256" s="350" t="e">
        <f t="shared" si="116"/>
        <v>#N/A</v>
      </c>
      <c r="S256" s="350" t="e">
        <f t="shared" si="116"/>
        <v>#N/A</v>
      </c>
      <c r="T256" s="350" t="e">
        <f t="shared" si="116"/>
        <v>#N/A</v>
      </c>
      <c r="U256" s="350" t="e">
        <f t="shared" si="116"/>
        <v>#N/A</v>
      </c>
      <c r="V256" s="350" t="e">
        <f t="shared" si="116"/>
        <v>#N/A</v>
      </c>
      <c r="W256" s="350" t="e">
        <f t="shared" si="116"/>
        <v>#N/A</v>
      </c>
      <c r="X256" s="350" t="e">
        <f t="shared" si="116"/>
        <v>#N/A</v>
      </c>
      <c r="Y256" s="350" t="e">
        <f t="shared" si="116"/>
        <v>#N/A</v>
      </c>
      <c r="Z256" s="350" t="e">
        <f t="shared" si="116"/>
        <v>#N/A</v>
      </c>
      <c r="AA256" s="350" t="e">
        <f t="shared" si="116"/>
        <v>#N/A</v>
      </c>
      <c r="AB256" s="350" t="e">
        <f t="shared" si="116"/>
        <v>#N/A</v>
      </c>
      <c r="AC256" s="350" t="e">
        <f t="shared" si="116"/>
        <v>#N/A</v>
      </c>
      <c r="AD256" s="350" t="e">
        <f t="shared" si="116"/>
        <v>#N/A</v>
      </c>
      <c r="AE256" s="350" t="e">
        <f t="shared" si="116"/>
        <v>#N/A</v>
      </c>
      <c r="AF256" s="350" t="e">
        <f t="shared" si="116"/>
        <v>#N/A</v>
      </c>
      <c r="AG256" s="350" t="e">
        <f t="shared" si="116"/>
        <v>#N/A</v>
      </c>
      <c r="AH256" s="350" t="e">
        <f t="shared" si="116"/>
        <v>#N/A</v>
      </c>
      <c r="AI256" s="350" t="e">
        <f t="shared" si="116"/>
        <v>#N/A</v>
      </c>
      <c r="AJ256" s="350" t="e">
        <f t="shared" si="116"/>
        <v>#N/A</v>
      </c>
      <c r="AK256" s="350" t="e">
        <f t="shared" si="116"/>
        <v>#N/A</v>
      </c>
      <c r="AL256" s="350" t="e">
        <f t="shared" si="116"/>
        <v>#N/A</v>
      </c>
      <c r="AM256" s="350" t="e">
        <f t="shared" si="116"/>
        <v>#N/A</v>
      </c>
      <c r="AN256" s="350" t="e">
        <f t="shared" si="116"/>
        <v>#N/A</v>
      </c>
      <c r="AO256" s="350" t="e">
        <f t="shared" si="116"/>
        <v>#N/A</v>
      </c>
      <c r="AP256" s="350" t="e">
        <f t="shared" si="116"/>
        <v>#N/A</v>
      </c>
      <c r="AQ256" s="350" t="e">
        <f t="shared" si="116"/>
        <v>#N/A</v>
      </c>
    </row>
    <row r="257" spans="1:44" s="315" customFormat="1" ht="15" hidden="1" thickBot="1">
      <c r="A257" s="557" t="s">
        <v>322</v>
      </c>
      <c r="B257" s="621"/>
      <c r="C257" s="621"/>
      <c r="E257" s="352" t="e">
        <f t="shared" ref="E257:AQ257" si="117">IF(E256="",NA(),ROUND(E254/E256*100,1))</f>
        <v>#N/A</v>
      </c>
      <c r="F257" s="352" t="e">
        <f t="shared" si="117"/>
        <v>#N/A</v>
      </c>
      <c r="G257" s="352" t="e">
        <f t="shared" si="117"/>
        <v>#N/A</v>
      </c>
      <c r="H257" s="352" t="e">
        <f t="shared" si="117"/>
        <v>#N/A</v>
      </c>
      <c r="I257" s="352" t="e">
        <f t="shared" si="117"/>
        <v>#N/A</v>
      </c>
      <c r="J257" s="352" t="e">
        <f t="shared" si="117"/>
        <v>#N/A</v>
      </c>
      <c r="K257" s="352" t="e">
        <f t="shared" si="117"/>
        <v>#N/A</v>
      </c>
      <c r="L257" s="352" t="e">
        <f t="shared" si="117"/>
        <v>#N/A</v>
      </c>
      <c r="M257" s="352" t="e">
        <f t="shared" si="117"/>
        <v>#N/A</v>
      </c>
      <c r="N257" s="352" t="e">
        <f t="shared" si="117"/>
        <v>#N/A</v>
      </c>
      <c r="O257" s="352" t="e">
        <f t="shared" si="117"/>
        <v>#N/A</v>
      </c>
      <c r="P257" s="352" t="e">
        <f t="shared" si="117"/>
        <v>#N/A</v>
      </c>
      <c r="Q257" s="352" t="e">
        <f t="shared" si="117"/>
        <v>#N/A</v>
      </c>
      <c r="R257" s="352" t="e">
        <f t="shared" si="117"/>
        <v>#N/A</v>
      </c>
      <c r="S257" s="352" t="e">
        <f t="shared" si="117"/>
        <v>#N/A</v>
      </c>
      <c r="T257" s="352" t="e">
        <f t="shared" si="117"/>
        <v>#N/A</v>
      </c>
      <c r="U257" s="352" t="e">
        <f t="shared" si="117"/>
        <v>#N/A</v>
      </c>
      <c r="V257" s="352" t="e">
        <f t="shared" si="117"/>
        <v>#N/A</v>
      </c>
      <c r="W257" s="352" t="e">
        <f t="shared" si="117"/>
        <v>#N/A</v>
      </c>
      <c r="X257" s="352" t="e">
        <f t="shared" si="117"/>
        <v>#N/A</v>
      </c>
      <c r="Y257" s="352" t="e">
        <f t="shared" si="117"/>
        <v>#N/A</v>
      </c>
      <c r="Z257" s="352" t="e">
        <f t="shared" si="117"/>
        <v>#N/A</v>
      </c>
      <c r="AA257" s="352" t="e">
        <f t="shared" si="117"/>
        <v>#N/A</v>
      </c>
      <c r="AB257" s="352" t="e">
        <f t="shared" si="117"/>
        <v>#N/A</v>
      </c>
      <c r="AC257" s="352" t="e">
        <f t="shared" si="117"/>
        <v>#N/A</v>
      </c>
      <c r="AD257" s="352" t="e">
        <f t="shared" si="117"/>
        <v>#N/A</v>
      </c>
      <c r="AE257" s="352" t="e">
        <f t="shared" si="117"/>
        <v>#N/A</v>
      </c>
      <c r="AF257" s="352" t="e">
        <f t="shared" si="117"/>
        <v>#N/A</v>
      </c>
      <c r="AG257" s="352" t="e">
        <f t="shared" si="117"/>
        <v>#N/A</v>
      </c>
      <c r="AH257" s="352" t="e">
        <f t="shared" si="117"/>
        <v>#N/A</v>
      </c>
      <c r="AI257" s="352" t="e">
        <f t="shared" si="117"/>
        <v>#N/A</v>
      </c>
      <c r="AJ257" s="352" t="e">
        <f t="shared" si="117"/>
        <v>#N/A</v>
      </c>
      <c r="AK257" s="352" t="e">
        <f t="shared" si="117"/>
        <v>#N/A</v>
      </c>
      <c r="AL257" s="352" t="e">
        <f t="shared" si="117"/>
        <v>#N/A</v>
      </c>
      <c r="AM257" s="352" t="e">
        <f t="shared" si="117"/>
        <v>#N/A</v>
      </c>
      <c r="AN257" s="352" t="e">
        <f t="shared" si="117"/>
        <v>#N/A</v>
      </c>
      <c r="AO257" s="352" t="e">
        <f t="shared" si="117"/>
        <v>#N/A</v>
      </c>
      <c r="AP257" s="352" t="e">
        <f t="shared" si="117"/>
        <v>#N/A</v>
      </c>
      <c r="AQ257" s="352" t="e">
        <f t="shared" si="117"/>
        <v>#N/A</v>
      </c>
      <c r="AR257" s="352"/>
    </row>
    <row r="258" spans="1:44" s="315" customFormat="1" ht="14.25"/>
  </sheetData>
  <sheetProtection algorithmName="SHA-512" hashValue="Br8s5pCZNHwfVC4eWgVbOKPGcu5YdtH66duavXGHcQcBU3mW2R2CK5Mdv2MTiYuIJI3nT0cPD83Zbg/sOUs0Fg==" saltValue="X613QJ+v4c2uHKGdhH6zVg==" spinCount="100000" sheet="1" formatCells="0"/>
  <protectedRanges>
    <protectedRange sqref="B73:U73 A74:U74 B241:U241 A242:U242 B157:U157 A158:U158 B199:U199 A200:U200 B25:U25 A26:U26 B115:U115 A116:U116" name="範囲1_21_21_22_22_21_21_21_21"/>
    <protectedRange sqref="A25 D243:X243 D76:E76 H76 D118:E118 H118 A73 A115 A157 A199 A241 D28:E28 H28 D27:X27 D75:X75 D72:U72 D160:E160 H160 D202:E202 H202 D244:E244 H244 D24:U24 D114:U114 D117:X117 D156:U156 D159:X159 D198:U198 D201:X201 D240:U240" name="範囲1_21_21_22_22_87"/>
    <protectedRange sqref="F244:G244 F160:G160 F28:G28 F202:G202 F76:G76 F118:G118" name="範囲1_21_21_22_22_1_1_3"/>
  </protectedRanges>
  <mergeCells count="261">
    <mergeCell ref="U1:W1"/>
    <mergeCell ref="R1:T1"/>
    <mergeCell ref="A19:C19"/>
    <mergeCell ref="A6:C6"/>
    <mergeCell ref="L6:O6"/>
    <mergeCell ref="Y6:AA6"/>
    <mergeCell ref="A7:C7"/>
    <mergeCell ref="L7:O7"/>
    <mergeCell ref="Y7:AA7"/>
    <mergeCell ref="A2:C2"/>
    <mergeCell ref="D2:F2"/>
    <mergeCell ref="I2:J2"/>
    <mergeCell ref="M2:N2"/>
    <mergeCell ref="R2:S2"/>
    <mergeCell ref="R3:X8"/>
    <mergeCell ref="A4:C4"/>
    <mergeCell ref="L4:O4"/>
    <mergeCell ref="A5:C5"/>
    <mergeCell ref="L5:O5"/>
    <mergeCell ref="A8:C8"/>
    <mergeCell ref="Y8:AA8"/>
    <mergeCell ref="A10:C10"/>
    <mergeCell ref="A11:C11"/>
    <mergeCell ref="A12:B12"/>
    <mergeCell ref="C12:C13"/>
    <mergeCell ref="A13:B13"/>
    <mergeCell ref="A20:C20"/>
    <mergeCell ref="A21:C21"/>
    <mergeCell ref="A30:C30"/>
    <mergeCell ref="A31:C31"/>
    <mergeCell ref="B32:C32"/>
    <mergeCell ref="B33:C33"/>
    <mergeCell ref="A34:C34"/>
    <mergeCell ref="A35:C35"/>
    <mergeCell ref="A14:C14"/>
    <mergeCell ref="A15:C15"/>
    <mergeCell ref="A16:C16"/>
    <mergeCell ref="A17:C17"/>
    <mergeCell ref="A18:C18"/>
    <mergeCell ref="A27:C28"/>
    <mergeCell ref="A22:C22"/>
    <mergeCell ref="A42:C42"/>
    <mergeCell ref="A43:C43"/>
    <mergeCell ref="A44:C44"/>
    <mergeCell ref="A45:C45"/>
    <mergeCell ref="A36:C36"/>
    <mergeCell ref="A37:C37"/>
    <mergeCell ref="A38:C38"/>
    <mergeCell ref="A39:C39"/>
    <mergeCell ref="A40:C40"/>
    <mergeCell ref="A41:C41"/>
    <mergeCell ref="Y54:AA54"/>
    <mergeCell ref="A55:C55"/>
    <mergeCell ref="Y55:AA55"/>
    <mergeCell ref="A56:C56"/>
    <mergeCell ref="Y56:AA56"/>
    <mergeCell ref="A58:C58"/>
    <mergeCell ref="I50:J50"/>
    <mergeCell ref="M50:N50"/>
    <mergeCell ref="P50:Q50"/>
    <mergeCell ref="M51:N51"/>
    <mergeCell ref="P51:X56"/>
    <mergeCell ref="A52:C52"/>
    <mergeCell ref="A53:C53"/>
    <mergeCell ref="A54:C54"/>
    <mergeCell ref="A50:C50"/>
    <mergeCell ref="D50:F50"/>
    <mergeCell ref="A64:C64"/>
    <mergeCell ref="A65:C65"/>
    <mergeCell ref="A66:C66"/>
    <mergeCell ref="A75:C76"/>
    <mergeCell ref="A78:C78"/>
    <mergeCell ref="A79:C79"/>
    <mergeCell ref="A59:C59"/>
    <mergeCell ref="A60:B60"/>
    <mergeCell ref="C60:C61"/>
    <mergeCell ref="A61:B61"/>
    <mergeCell ref="A62:C62"/>
    <mergeCell ref="A63:C63"/>
    <mergeCell ref="A67:C67"/>
    <mergeCell ref="A68:C68"/>
    <mergeCell ref="A69:C69"/>
    <mergeCell ref="A70:C70"/>
    <mergeCell ref="A86:C86"/>
    <mergeCell ref="A87:C87"/>
    <mergeCell ref="A88:C88"/>
    <mergeCell ref="A89:C89"/>
    <mergeCell ref="A92:C92"/>
    <mergeCell ref="D92:F92"/>
    <mergeCell ref="B80:C80"/>
    <mergeCell ref="B81:C81"/>
    <mergeCell ref="A82:C82"/>
    <mergeCell ref="A83:C83"/>
    <mergeCell ref="A84:C84"/>
    <mergeCell ref="A85:C85"/>
    <mergeCell ref="Y96:AA96"/>
    <mergeCell ref="A97:C97"/>
    <mergeCell ref="Y97:AA97"/>
    <mergeCell ref="A98:C98"/>
    <mergeCell ref="Y98:AA98"/>
    <mergeCell ref="A100:C100"/>
    <mergeCell ref="I92:J92"/>
    <mergeCell ref="M92:N92"/>
    <mergeCell ref="P92:Q92"/>
    <mergeCell ref="M93:N93"/>
    <mergeCell ref="P93:X98"/>
    <mergeCell ref="A94:C94"/>
    <mergeCell ref="A95:C95"/>
    <mergeCell ref="A96:C96"/>
    <mergeCell ref="A106:C106"/>
    <mergeCell ref="A107:C107"/>
    <mergeCell ref="A108:C108"/>
    <mergeCell ref="A117:C118"/>
    <mergeCell ref="A120:C120"/>
    <mergeCell ref="A121:C121"/>
    <mergeCell ref="A101:C101"/>
    <mergeCell ref="A102:B102"/>
    <mergeCell ref="C102:C103"/>
    <mergeCell ref="A103:B103"/>
    <mergeCell ref="A104:C104"/>
    <mergeCell ref="A105:C105"/>
    <mergeCell ref="A109:C109"/>
    <mergeCell ref="A110:C110"/>
    <mergeCell ref="A111:C111"/>
    <mergeCell ref="A112:C112"/>
    <mergeCell ref="A128:C128"/>
    <mergeCell ref="A129:C129"/>
    <mergeCell ref="A130:C130"/>
    <mergeCell ref="A131:C131"/>
    <mergeCell ref="A134:C134"/>
    <mergeCell ref="D134:F134"/>
    <mergeCell ref="B122:C122"/>
    <mergeCell ref="B123:C123"/>
    <mergeCell ref="A124:C124"/>
    <mergeCell ref="A125:C125"/>
    <mergeCell ref="A126:C126"/>
    <mergeCell ref="A127:C127"/>
    <mergeCell ref="Y138:AA138"/>
    <mergeCell ref="A139:C139"/>
    <mergeCell ref="Y139:AA139"/>
    <mergeCell ref="A140:C140"/>
    <mergeCell ref="Y140:AA140"/>
    <mergeCell ref="A142:C142"/>
    <mergeCell ref="I134:J134"/>
    <mergeCell ref="M134:N134"/>
    <mergeCell ref="P134:Q134"/>
    <mergeCell ref="M135:N135"/>
    <mergeCell ref="P135:X140"/>
    <mergeCell ref="A136:C136"/>
    <mergeCell ref="A137:C137"/>
    <mergeCell ref="A138:C138"/>
    <mergeCell ref="A148:C148"/>
    <mergeCell ref="A149:C149"/>
    <mergeCell ref="A150:C150"/>
    <mergeCell ref="A159:C160"/>
    <mergeCell ref="A162:C162"/>
    <mergeCell ref="A163:C163"/>
    <mergeCell ref="A143:C143"/>
    <mergeCell ref="A144:B144"/>
    <mergeCell ref="C144:C145"/>
    <mergeCell ref="A145:B145"/>
    <mergeCell ref="A146:C146"/>
    <mergeCell ref="A147:C147"/>
    <mergeCell ref="A151:C151"/>
    <mergeCell ref="A152:C152"/>
    <mergeCell ref="A153:C153"/>
    <mergeCell ref="A154:C154"/>
    <mergeCell ref="A170:C170"/>
    <mergeCell ref="A171:C171"/>
    <mergeCell ref="A172:C172"/>
    <mergeCell ref="A173:C173"/>
    <mergeCell ref="A176:C176"/>
    <mergeCell ref="D176:F176"/>
    <mergeCell ref="B164:C164"/>
    <mergeCell ref="B165:C165"/>
    <mergeCell ref="A166:C166"/>
    <mergeCell ref="A167:C167"/>
    <mergeCell ref="A168:C168"/>
    <mergeCell ref="A169:C169"/>
    <mergeCell ref="Y180:AA180"/>
    <mergeCell ref="A181:C181"/>
    <mergeCell ref="Y181:AA181"/>
    <mergeCell ref="A182:C182"/>
    <mergeCell ref="Y182:AA182"/>
    <mergeCell ref="A184:C184"/>
    <mergeCell ref="I176:J176"/>
    <mergeCell ref="M176:N176"/>
    <mergeCell ref="P176:Q176"/>
    <mergeCell ref="M177:N177"/>
    <mergeCell ref="P177:X182"/>
    <mergeCell ref="A178:C178"/>
    <mergeCell ref="A179:C179"/>
    <mergeCell ref="A180:C180"/>
    <mergeCell ref="A190:C190"/>
    <mergeCell ref="A191:C191"/>
    <mergeCell ref="A192:C192"/>
    <mergeCell ref="A201:C202"/>
    <mergeCell ref="A204:C204"/>
    <mergeCell ref="A205:C205"/>
    <mergeCell ref="A185:C185"/>
    <mergeCell ref="A186:B186"/>
    <mergeCell ref="C186:C187"/>
    <mergeCell ref="A187:B187"/>
    <mergeCell ref="A188:C188"/>
    <mergeCell ref="A189:C189"/>
    <mergeCell ref="A193:C193"/>
    <mergeCell ref="A194:C194"/>
    <mergeCell ref="A195:C195"/>
    <mergeCell ref="A196:C196"/>
    <mergeCell ref="A212:C212"/>
    <mergeCell ref="A213:C213"/>
    <mergeCell ref="A214:C214"/>
    <mergeCell ref="A215:C215"/>
    <mergeCell ref="A218:C218"/>
    <mergeCell ref="D218:F218"/>
    <mergeCell ref="B206:C206"/>
    <mergeCell ref="B207:C207"/>
    <mergeCell ref="A208:C208"/>
    <mergeCell ref="A209:C209"/>
    <mergeCell ref="A210:C210"/>
    <mergeCell ref="A211:C211"/>
    <mergeCell ref="Y222:AA222"/>
    <mergeCell ref="A223:C223"/>
    <mergeCell ref="Y223:AA223"/>
    <mergeCell ref="A224:C224"/>
    <mergeCell ref="Y224:AA224"/>
    <mergeCell ref="A226:C226"/>
    <mergeCell ref="I218:J218"/>
    <mergeCell ref="M218:N218"/>
    <mergeCell ref="P218:Q218"/>
    <mergeCell ref="M219:N219"/>
    <mergeCell ref="P219:X224"/>
    <mergeCell ref="A220:C220"/>
    <mergeCell ref="A221:C221"/>
    <mergeCell ref="A222:C222"/>
    <mergeCell ref="A232:C232"/>
    <mergeCell ref="A233:C233"/>
    <mergeCell ref="A234:C234"/>
    <mergeCell ref="A243:C244"/>
    <mergeCell ref="A246:C246"/>
    <mergeCell ref="A247:C247"/>
    <mergeCell ref="A227:C227"/>
    <mergeCell ref="A228:B228"/>
    <mergeCell ref="C228:C229"/>
    <mergeCell ref="A229:B229"/>
    <mergeCell ref="A230:C230"/>
    <mergeCell ref="A231:C231"/>
    <mergeCell ref="A235:C235"/>
    <mergeCell ref="A236:C236"/>
    <mergeCell ref="A237:C237"/>
    <mergeCell ref="A238:C238"/>
    <mergeCell ref="A254:C254"/>
    <mergeCell ref="A255:C255"/>
    <mergeCell ref="A256:C256"/>
    <mergeCell ref="A257:C257"/>
    <mergeCell ref="B248:C248"/>
    <mergeCell ref="B249:C249"/>
    <mergeCell ref="A250:C250"/>
    <mergeCell ref="A251:C251"/>
    <mergeCell ref="A252:C252"/>
    <mergeCell ref="A253:C253"/>
  </mergeCells>
  <phoneticPr fontId="1"/>
  <conditionalFormatting sqref="D61 D103 D145 D187 D229">
    <cfRule type="expression" dxfId="74" priority="267" stopIfTrue="1">
      <formula>IF(NOT(D$12=""),TRUE,FALSE)</formula>
    </cfRule>
    <cfRule type="expression" priority="268" stopIfTrue="1">
      <formula>D$13=""</formula>
    </cfRule>
  </conditionalFormatting>
  <conditionalFormatting sqref="D13">
    <cfRule type="expression" dxfId="73" priority="277" stopIfTrue="1">
      <formula>IF(NOT(D$12=""),TRUE,FALSE)</formula>
    </cfRule>
  </conditionalFormatting>
  <conditionalFormatting sqref="D62:AQ62">
    <cfRule type="expression" priority="197" stopIfTrue="1">
      <formula>D62=""</formula>
    </cfRule>
  </conditionalFormatting>
  <conditionalFormatting sqref="D104:AQ104">
    <cfRule type="expression" priority="196" stopIfTrue="1">
      <formula>D104=""</formula>
    </cfRule>
  </conditionalFormatting>
  <conditionalFormatting sqref="D146:AQ146">
    <cfRule type="expression" priority="195" stopIfTrue="1">
      <formula>D146=""</formula>
    </cfRule>
  </conditionalFormatting>
  <conditionalFormatting sqref="D188:AQ188">
    <cfRule type="expression" priority="194" stopIfTrue="1">
      <formula>D188=""</formula>
    </cfRule>
  </conditionalFormatting>
  <conditionalFormatting sqref="D230:AQ230">
    <cfRule type="expression" priority="193" stopIfTrue="1">
      <formula>D230=""</formula>
    </cfRule>
  </conditionalFormatting>
  <conditionalFormatting sqref="E60:AQ60">
    <cfRule type="expression" dxfId="72" priority="198" stopIfTrue="1">
      <formula>IF(NOT(E$61=""),TRUE,FALSE)</formula>
    </cfRule>
  </conditionalFormatting>
  <conditionalFormatting sqref="E61:AQ61">
    <cfRule type="expression" dxfId="71" priority="199" stopIfTrue="1">
      <formula>IF(NOT(E$60=""),TRUE,FALSE)</formula>
    </cfRule>
  </conditionalFormatting>
  <conditionalFormatting sqref="E102:AQ102">
    <cfRule type="expression" dxfId="70" priority="186" stopIfTrue="1">
      <formula>IF(NOT(E$103=""),TRUE,FALSE)</formula>
    </cfRule>
  </conditionalFormatting>
  <conditionalFormatting sqref="E103:AQ103">
    <cfRule type="expression" dxfId="69" priority="187" stopIfTrue="1">
      <formula>IF(NOT(E$102=""),TRUE,FALSE)</formula>
    </cfRule>
  </conditionalFormatting>
  <conditionalFormatting sqref="E144:AQ144">
    <cfRule type="expression" dxfId="68" priority="184" stopIfTrue="1">
      <formula>IF(NOT(E$145=""),TRUE,FALSE)</formula>
    </cfRule>
  </conditionalFormatting>
  <conditionalFormatting sqref="E145:AQ145">
    <cfRule type="expression" dxfId="67" priority="185" stopIfTrue="1">
      <formula>IF(NOT(E$144=""),TRUE,FALSE)</formula>
    </cfRule>
  </conditionalFormatting>
  <conditionalFormatting sqref="E186:AQ186">
    <cfRule type="expression" dxfId="66" priority="182" stopIfTrue="1">
      <formula>IF(NOT(E$187=""),TRUE,FALSE)</formula>
    </cfRule>
  </conditionalFormatting>
  <conditionalFormatting sqref="E187:AQ187">
    <cfRule type="expression" dxfId="65" priority="183" stopIfTrue="1">
      <formula>IF(NOT(E$186=""),TRUE,FALSE)</formula>
    </cfRule>
  </conditionalFormatting>
  <conditionalFormatting sqref="E228:AQ228">
    <cfRule type="expression" dxfId="64" priority="180" stopIfTrue="1">
      <formula>IF(NOT(E$229=""),TRUE,FALSE)</formula>
    </cfRule>
  </conditionalFormatting>
  <conditionalFormatting sqref="E229:AQ229">
    <cfRule type="expression" dxfId="63" priority="181" stopIfTrue="1">
      <formula>IF(NOT(E$228=""),TRUE,FALSE)</formula>
    </cfRule>
  </conditionalFormatting>
  <conditionalFormatting sqref="D13">
    <cfRule type="expression" priority="355" stopIfTrue="1">
      <formula>D$13=""</formula>
    </cfRule>
  </conditionalFormatting>
  <conditionalFormatting sqref="E11:AQ11 E19:AQ21">
    <cfRule type="cellIs" dxfId="62" priority="173" operator="equal">
      <formula>0</formula>
    </cfRule>
  </conditionalFormatting>
  <conditionalFormatting sqref="E11:AQ11 E19:AQ19 D5:H8">
    <cfRule type="expression" dxfId="61" priority="169">
      <formula>IF($U$1="カラー","TRUE","FALSE")</formula>
    </cfRule>
  </conditionalFormatting>
  <conditionalFormatting sqref="J5:J8">
    <cfRule type="expression" dxfId="60" priority="167">
      <formula>IF($U$1="カラー","TRUE","FALSE")</formula>
    </cfRule>
  </conditionalFormatting>
  <conditionalFormatting sqref="I8">
    <cfRule type="expression" dxfId="59" priority="165">
      <formula>IF($U$1="カラー","TRUE","FALSE")</formula>
    </cfRule>
  </conditionalFormatting>
  <conditionalFormatting sqref="D2">
    <cfRule type="expression" dxfId="58" priority="163">
      <formula>IF($U$1="カラー","TRUE","FALSE")</formula>
    </cfRule>
  </conditionalFormatting>
  <conditionalFormatting sqref="D22:AQ22">
    <cfRule type="expression" dxfId="57" priority="154">
      <formula>IF($U$1="カラー","TRUE","FALSE")</formula>
    </cfRule>
  </conditionalFormatting>
  <conditionalFormatting sqref="E12:AQ14">
    <cfRule type="expression" dxfId="56" priority="157">
      <formula>IF($U$1="カラー","TRUE","FALSE")</formula>
    </cfRule>
  </conditionalFormatting>
  <conditionalFormatting sqref="D22:AQ22">
    <cfRule type="cellIs" dxfId="55" priority="156" operator="equal">
      <formula>0</formula>
    </cfRule>
  </conditionalFormatting>
  <conditionalFormatting sqref="E15:AQ15">
    <cfRule type="cellIs" dxfId="54" priority="153" operator="equal">
      <formula>0</formula>
    </cfRule>
  </conditionalFormatting>
  <conditionalFormatting sqref="E15:AQ15">
    <cfRule type="expression" dxfId="53" priority="151">
      <formula>IF($U$1="カラー","TRUE","FALSE")</formula>
    </cfRule>
  </conditionalFormatting>
  <conditionalFormatting sqref="E16:AQ22">
    <cfRule type="expression" dxfId="52" priority="148">
      <formula>IF($U$1="カラー","TRUE","FALSE")</formula>
    </cfRule>
  </conditionalFormatting>
  <conditionalFormatting sqref="E16:AQ22">
    <cfRule type="cellIs" dxfId="51" priority="150" operator="equal">
      <formula>0</formula>
    </cfRule>
  </conditionalFormatting>
  <conditionalFormatting sqref="D53:H53">
    <cfRule type="expression" dxfId="50" priority="124">
      <formula>IF($U$1="カラー","TRUE","FALSE")</formula>
    </cfRule>
  </conditionalFormatting>
  <conditionalFormatting sqref="J53:J56">
    <cfRule type="expression" dxfId="49" priority="122">
      <formula>IF($U$1="カラー","TRUE","FALSE")</formula>
    </cfRule>
  </conditionalFormatting>
  <conditionalFormatting sqref="I56">
    <cfRule type="expression" dxfId="48" priority="120">
      <formula>IF($U$1="カラー","TRUE","FALSE")</formula>
    </cfRule>
  </conditionalFormatting>
  <conditionalFormatting sqref="D95:H95">
    <cfRule type="expression" dxfId="47" priority="117">
      <formula>IF($U$1="カラー","TRUE","FALSE")</formula>
    </cfRule>
  </conditionalFormatting>
  <conditionalFormatting sqref="J95:J98">
    <cfRule type="expression" dxfId="46" priority="115">
      <formula>IF($U$1="カラー","TRUE","FALSE")</formula>
    </cfRule>
  </conditionalFormatting>
  <conditionalFormatting sqref="I98">
    <cfRule type="expression" dxfId="45" priority="113">
      <formula>IF($U$1="カラー","TRUE","FALSE")</formula>
    </cfRule>
  </conditionalFormatting>
  <conditionalFormatting sqref="D137:H137">
    <cfRule type="expression" dxfId="44" priority="110">
      <formula>IF($U$1="カラー","TRUE","FALSE")</formula>
    </cfRule>
  </conditionalFormatting>
  <conditionalFormatting sqref="J137:J140">
    <cfRule type="expression" dxfId="43" priority="108">
      <formula>IF($U$1="カラー","TRUE","FALSE")</formula>
    </cfRule>
  </conditionalFormatting>
  <conditionalFormatting sqref="I140">
    <cfRule type="expression" dxfId="42" priority="106">
      <formula>IF($U$1="カラー","TRUE","FALSE")</formula>
    </cfRule>
  </conditionalFormatting>
  <conditionalFormatting sqref="D179:H179">
    <cfRule type="expression" dxfId="41" priority="103">
      <formula>IF($U$1="カラー","TRUE","FALSE")</formula>
    </cfRule>
  </conditionalFormatting>
  <conditionalFormatting sqref="J179:J182">
    <cfRule type="expression" dxfId="40" priority="101">
      <formula>IF($U$1="カラー","TRUE","FALSE")</formula>
    </cfRule>
  </conditionalFormatting>
  <conditionalFormatting sqref="I182">
    <cfRule type="expression" dxfId="39" priority="99">
      <formula>IF($U$1="カラー","TRUE","FALSE")</formula>
    </cfRule>
  </conditionalFormatting>
  <conditionalFormatting sqref="D221:H221">
    <cfRule type="expression" dxfId="38" priority="96">
      <formula>IF($U$1="カラー","TRUE","FALSE")</formula>
    </cfRule>
  </conditionalFormatting>
  <conditionalFormatting sqref="J221:J224">
    <cfRule type="expression" dxfId="37" priority="94">
      <formula>IF($U$1="カラー","TRUE","FALSE")</formula>
    </cfRule>
  </conditionalFormatting>
  <conditionalFormatting sqref="I224">
    <cfRule type="expression" dxfId="36" priority="92">
      <formula>IF($U$1="カラー","TRUE","FALSE")</formula>
    </cfRule>
  </conditionalFormatting>
  <conditionalFormatting sqref="E63:AQ69">
    <cfRule type="cellIs" dxfId="35" priority="65" operator="equal">
      <formula>0</formula>
    </cfRule>
  </conditionalFormatting>
  <conditionalFormatting sqref="E63:AQ69">
    <cfRule type="expression" dxfId="34" priority="63">
      <formula>IF($U$1="カラー","TRUE","FALSE")</formula>
    </cfRule>
  </conditionalFormatting>
  <conditionalFormatting sqref="E105:AQ111">
    <cfRule type="cellIs" dxfId="33" priority="62" operator="equal">
      <formula>0</formula>
    </cfRule>
  </conditionalFormatting>
  <conditionalFormatting sqref="E105:AQ111">
    <cfRule type="expression" dxfId="32" priority="60">
      <formula>IF($U$1="カラー","TRUE","FALSE")</formula>
    </cfRule>
  </conditionalFormatting>
  <conditionalFormatting sqref="E147:AQ153">
    <cfRule type="cellIs" dxfId="31" priority="59" operator="equal">
      <formula>0</formula>
    </cfRule>
  </conditionalFormatting>
  <conditionalFormatting sqref="E147:AQ153">
    <cfRule type="expression" dxfId="30" priority="57">
      <formula>IF($U$1="カラー","TRUE","FALSE")</formula>
    </cfRule>
  </conditionalFormatting>
  <conditionalFormatting sqref="E231:AQ237">
    <cfRule type="cellIs" dxfId="29" priority="53" operator="equal">
      <formula>0</formula>
    </cfRule>
  </conditionalFormatting>
  <conditionalFormatting sqref="E231:AQ237">
    <cfRule type="expression" dxfId="28" priority="51">
      <formula>IF($U$1="カラー","TRUE","FALSE")</formula>
    </cfRule>
  </conditionalFormatting>
  <conditionalFormatting sqref="E68:AQ68">
    <cfRule type="cellIs" dxfId="27" priority="31" operator="equal">
      <formula>0</formula>
    </cfRule>
  </conditionalFormatting>
  <conditionalFormatting sqref="E67:AQ67">
    <cfRule type="cellIs" dxfId="26" priority="30" operator="equal">
      <formula>0</formula>
    </cfRule>
  </conditionalFormatting>
  <conditionalFormatting sqref="E67:AQ67">
    <cfRule type="expression" dxfId="25" priority="29">
      <formula>IF($U$1="カラー","TRUE","FALSE")</formula>
    </cfRule>
  </conditionalFormatting>
  <conditionalFormatting sqref="E110:AQ110">
    <cfRule type="cellIs" dxfId="24" priority="28" operator="equal">
      <formula>0</formula>
    </cfRule>
  </conditionalFormatting>
  <conditionalFormatting sqref="E109:AQ109">
    <cfRule type="cellIs" dxfId="23" priority="27" operator="equal">
      <formula>0</formula>
    </cfRule>
  </conditionalFormatting>
  <conditionalFormatting sqref="E109:AQ109">
    <cfRule type="expression" dxfId="22" priority="26">
      <formula>IF($U$1="カラー","TRUE","FALSE")</formula>
    </cfRule>
  </conditionalFormatting>
  <conditionalFormatting sqref="E152:AQ152">
    <cfRule type="cellIs" dxfId="21" priority="25" operator="equal">
      <formula>0</formula>
    </cfRule>
  </conditionalFormatting>
  <conditionalFormatting sqref="E151:AQ151">
    <cfRule type="cellIs" dxfId="20" priority="24" operator="equal">
      <formula>0</formula>
    </cfRule>
  </conditionalFormatting>
  <conditionalFormatting sqref="E151:AQ151">
    <cfRule type="expression" dxfId="19" priority="23">
      <formula>IF($U$1="カラー","TRUE","FALSE")</formula>
    </cfRule>
  </conditionalFormatting>
  <conditionalFormatting sqref="E194:AQ194">
    <cfRule type="cellIs" dxfId="18" priority="22" operator="equal">
      <formula>0</formula>
    </cfRule>
  </conditionalFormatting>
  <conditionalFormatting sqref="E193:AQ193">
    <cfRule type="cellIs" dxfId="17" priority="21" operator="equal">
      <formula>0</formula>
    </cfRule>
  </conditionalFormatting>
  <conditionalFormatting sqref="E193:AQ193">
    <cfRule type="expression" dxfId="16" priority="20">
      <formula>IF($U$1="カラー","TRUE","FALSE")</formula>
    </cfRule>
  </conditionalFormatting>
  <conditionalFormatting sqref="E236:AQ236">
    <cfRule type="cellIs" dxfId="15" priority="19" operator="equal">
      <formula>0</formula>
    </cfRule>
  </conditionalFormatting>
  <conditionalFormatting sqref="E235:AQ235">
    <cfRule type="cellIs" dxfId="14" priority="18" operator="equal">
      <formula>0</formula>
    </cfRule>
  </conditionalFormatting>
  <conditionalFormatting sqref="E235:AQ235">
    <cfRule type="expression" dxfId="13" priority="17">
      <formula>IF($U$1="カラー","TRUE","FALSE")</formula>
    </cfRule>
  </conditionalFormatting>
  <conditionalFormatting sqref="D70:AQ70">
    <cfRule type="expression" dxfId="12" priority="11">
      <formula>IF($U$1="カラー","TRUE","FALSE")</formula>
    </cfRule>
  </conditionalFormatting>
  <conditionalFormatting sqref="D70:AQ70">
    <cfRule type="cellIs" dxfId="11" priority="12" operator="equal">
      <formula>0</formula>
    </cfRule>
  </conditionalFormatting>
  <conditionalFormatting sqref="D112:AQ112">
    <cfRule type="expression" dxfId="10" priority="9">
      <formula>IF($U$1="カラー","TRUE","FALSE")</formula>
    </cfRule>
  </conditionalFormatting>
  <conditionalFormatting sqref="D112:AQ112">
    <cfRule type="cellIs" dxfId="9" priority="10" operator="equal">
      <formula>0</formula>
    </cfRule>
  </conditionalFormatting>
  <conditionalFormatting sqref="D154:AQ154">
    <cfRule type="expression" dxfId="8" priority="7">
      <formula>IF($U$1="カラー","TRUE","FALSE")</formula>
    </cfRule>
  </conditionalFormatting>
  <conditionalFormatting sqref="D154:AQ154">
    <cfRule type="cellIs" dxfId="7" priority="8" operator="equal">
      <formula>0</formula>
    </cfRule>
  </conditionalFormatting>
  <conditionalFormatting sqref="D196:AQ196">
    <cfRule type="expression" dxfId="6" priority="5">
      <formula>IF($U$1="カラー","TRUE","FALSE")</formula>
    </cfRule>
  </conditionalFormatting>
  <conditionalFormatting sqref="D196:AQ196">
    <cfRule type="cellIs" dxfId="5" priority="6" operator="equal">
      <formula>0</formula>
    </cfRule>
  </conditionalFormatting>
  <conditionalFormatting sqref="D238:AQ238">
    <cfRule type="expression" dxfId="4" priority="3">
      <formula>IF($U$1="カラー","TRUE","FALSE")</formula>
    </cfRule>
  </conditionalFormatting>
  <conditionalFormatting sqref="D238:AQ238">
    <cfRule type="cellIs" dxfId="3" priority="4" operator="equal">
      <formula>0</formula>
    </cfRule>
  </conditionalFormatting>
  <conditionalFormatting sqref="E189:AQ195">
    <cfRule type="cellIs" dxfId="2" priority="2" operator="equal">
      <formula>0</formula>
    </cfRule>
  </conditionalFormatting>
  <conditionalFormatting sqref="E189:AQ195">
    <cfRule type="expression" dxfId="1" priority="1">
      <formula>IF($U$1="カラー","TRUE","FALSE")</formula>
    </cfRule>
  </conditionalFormatting>
  <conditionalFormatting sqref="D60 D102 D144 D186 D228">
    <cfRule type="expression" priority="739" stopIfTrue="1">
      <formula>D$12=""</formula>
    </cfRule>
  </conditionalFormatting>
  <dataValidations count="7">
    <dataValidation type="decimal" allowBlank="1" showInputMessage="1" showErrorMessage="1" sqref="F20:AQ20 E68:AQ68 D111:AQ111 E152:AQ152 D195:AQ195 D21 E20:E21 E59:AQ59 D69:AQ69 E101:AQ101 E110:AQ110 E143:AQ143 D153:AQ153 E185:AQ185 E194:AQ194 E227:AQ227 D237:AQ237 E236:AQ236" xr:uid="{6DB16167-E4BB-4008-8022-04AB70771FFA}">
      <formula1>0</formula1>
      <formula2>10000000000</formula2>
    </dataValidation>
    <dataValidation type="decimal" allowBlank="1" showInputMessage="1" showErrorMessage="1" error="入力できる数字は3～20までです（３以下の場合は日本酒度のほうに記入してください）。" sqref="D228:AQ228 D60:AQ60 D102:AQ102 D144:AQ144 D186:AQ186 D12" xr:uid="{9A60C32E-C1D1-4111-8275-A35AC1991677}">
      <formula1>3</formula1>
      <formula2>20</formula2>
    </dataValidation>
    <dataValidation type="decimal" allowBlank="1" showInputMessage="1" showErrorMessage="1" error="入力できる数字は0～22までです。" sqref="D14 D62:AQ62 D104:AQ104 D146:AQ146 D188:AQ188 D230:AQ230" xr:uid="{790B249B-737C-4402-B5B1-574F95A591BF}">
      <formula1>0</formula1>
      <formula2>22</formula2>
    </dataValidation>
    <dataValidation type="decimal" allowBlank="1" showInputMessage="1" showErrorMessage="1" error="入力できる数字は-30～30までです（-30以下の場合は、ボーメのほうに記入してください）。" sqref="D13 D61:AO61 D229:AO229 AP60:AQ60 D103:AO103 D145:AO145 AP102:AQ102 D187:AO187 AP144:AQ144 AP228:AQ228 AP186:AQ186" xr:uid="{1D6DBD05-2B7B-4412-B130-96919EDD568B}">
      <formula1>-30</formula1>
      <formula2>30</formula2>
    </dataValidation>
    <dataValidation type="decimal" allowBlank="1" showInputMessage="1" showErrorMessage="1" error="入力できる数字は0～10000までです。" sqref="M8 P8 D54:H56 D96:H98 D138:H140 D180:H182 D222:H224" xr:uid="{AB6F023F-CFEE-43AD-9EAB-614A6B13AA11}">
      <formula1>0</formula1>
      <formula2>10000</formula2>
    </dataValidation>
    <dataValidation allowBlank="1" showInputMessage="1" showErrorMessage="1" error="入力できる数字は0～10000までです。" sqref="I56 I98 I140 I182 I224 H8:I8 D6:G8 H6:H7" xr:uid="{C0ACD682-6EF1-436C-B0D7-BE27D0B3789C}"/>
    <dataValidation type="list" allowBlank="1" showInputMessage="1" showErrorMessage="1" sqref="U1" xr:uid="{D0E715F3-CEAE-4484-942F-CD078938B71B}">
      <formula1>"カラー,グレースケール"</formula1>
    </dataValidation>
  </dataValidations>
  <pageMargins left="0.7" right="0.7" top="0.75" bottom="0.75" header="0.3" footer="0.3"/>
  <pageSetup paperSize="9" scale="28"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738" stopIfTrue="1" id="{00000000-000E-0000-0400-0000B8010000}">
            <xm:f>IF(NOT(目標値!D$81=""),TRUE,FALSE)</xm:f>
            <x14:dxf>
              <fill>
                <patternFill>
                  <bgColor theme="0" tint="-0.14996795556505021"/>
                </patternFill>
              </fill>
            </x14:dxf>
          </x14:cfRule>
          <xm:sqref>D60 D102 D144 D186 D228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1003"/>
  <sheetViews>
    <sheetView workbookViewId="0">
      <selection activeCell="K3" sqref="K3:L5"/>
    </sheetView>
  </sheetViews>
  <sheetFormatPr defaultColWidth="10" defaultRowHeight="13.5"/>
  <cols>
    <col min="1" max="1" width="19" style="31" customWidth="1"/>
    <col min="2" max="2" width="10" style="13"/>
    <col min="3" max="3" width="10" style="32" customWidth="1"/>
    <col min="4" max="4" width="11.625" style="32" bestFit="1" customWidth="1"/>
    <col min="5" max="256" width="10" style="13"/>
    <col min="257" max="257" width="10" style="13" customWidth="1"/>
    <col min="258" max="258" width="10" style="13"/>
    <col min="259" max="259" width="10" style="13" customWidth="1"/>
    <col min="260" max="260" width="11.625" style="13" bestFit="1" customWidth="1"/>
    <col min="261" max="512" width="10" style="13"/>
    <col min="513" max="513" width="10" style="13" customWidth="1"/>
    <col min="514" max="514" width="10" style="13"/>
    <col min="515" max="515" width="10" style="13" customWidth="1"/>
    <col min="516" max="516" width="11.625" style="13" bestFit="1" customWidth="1"/>
    <col min="517" max="768" width="10" style="13"/>
    <col min="769" max="769" width="10" style="13" customWidth="1"/>
    <col min="770" max="770" width="10" style="13"/>
    <col min="771" max="771" width="10" style="13" customWidth="1"/>
    <col min="772" max="772" width="11.625" style="13" bestFit="1" customWidth="1"/>
    <col min="773" max="1024" width="10" style="13"/>
    <col min="1025" max="1025" width="10" style="13" customWidth="1"/>
    <col min="1026" max="1026" width="10" style="13"/>
    <col min="1027" max="1027" width="10" style="13" customWidth="1"/>
    <col min="1028" max="1028" width="11.625" style="13" bestFit="1" customWidth="1"/>
    <col min="1029" max="1280" width="10" style="13"/>
    <col min="1281" max="1281" width="10" style="13" customWidth="1"/>
    <col min="1282" max="1282" width="10" style="13"/>
    <col min="1283" max="1283" width="10" style="13" customWidth="1"/>
    <col min="1284" max="1284" width="11.625" style="13" bestFit="1" customWidth="1"/>
    <col min="1285" max="1536" width="10" style="13"/>
    <col min="1537" max="1537" width="10" style="13" customWidth="1"/>
    <col min="1538" max="1538" width="10" style="13"/>
    <col min="1539" max="1539" width="10" style="13" customWidth="1"/>
    <col min="1540" max="1540" width="11.625" style="13" bestFit="1" customWidth="1"/>
    <col min="1541" max="1792" width="10" style="13"/>
    <col min="1793" max="1793" width="10" style="13" customWidth="1"/>
    <col min="1794" max="1794" width="10" style="13"/>
    <col min="1795" max="1795" width="10" style="13" customWidth="1"/>
    <col min="1796" max="1796" width="11.625" style="13" bestFit="1" customWidth="1"/>
    <col min="1797" max="2048" width="10" style="13"/>
    <col min="2049" max="2049" width="10" style="13" customWidth="1"/>
    <col min="2050" max="2050" width="10" style="13"/>
    <col min="2051" max="2051" width="10" style="13" customWidth="1"/>
    <col min="2052" max="2052" width="11.625" style="13" bestFit="1" customWidth="1"/>
    <col min="2053" max="2304" width="10" style="13"/>
    <col min="2305" max="2305" width="10" style="13" customWidth="1"/>
    <col min="2306" max="2306" width="10" style="13"/>
    <col min="2307" max="2307" width="10" style="13" customWidth="1"/>
    <col min="2308" max="2308" width="11.625" style="13" bestFit="1" customWidth="1"/>
    <col min="2309" max="2560" width="10" style="13"/>
    <col min="2561" max="2561" width="10" style="13" customWidth="1"/>
    <col min="2562" max="2562" width="10" style="13"/>
    <col min="2563" max="2563" width="10" style="13" customWidth="1"/>
    <col min="2564" max="2564" width="11.625" style="13" bestFit="1" customWidth="1"/>
    <col min="2565" max="2816" width="10" style="13"/>
    <col min="2817" max="2817" width="10" style="13" customWidth="1"/>
    <col min="2818" max="2818" width="10" style="13"/>
    <col min="2819" max="2819" width="10" style="13" customWidth="1"/>
    <col min="2820" max="2820" width="11.625" style="13" bestFit="1" customWidth="1"/>
    <col min="2821" max="3072" width="10" style="13"/>
    <col min="3073" max="3073" width="10" style="13" customWidth="1"/>
    <col min="3074" max="3074" width="10" style="13"/>
    <col min="3075" max="3075" width="10" style="13" customWidth="1"/>
    <col min="3076" max="3076" width="11.625" style="13" bestFit="1" customWidth="1"/>
    <col min="3077" max="3328" width="10" style="13"/>
    <col min="3329" max="3329" width="10" style="13" customWidth="1"/>
    <col min="3330" max="3330" width="10" style="13"/>
    <col min="3331" max="3331" width="10" style="13" customWidth="1"/>
    <col min="3332" max="3332" width="11.625" style="13" bestFit="1" customWidth="1"/>
    <col min="3333" max="3584" width="10" style="13"/>
    <col min="3585" max="3585" width="10" style="13" customWidth="1"/>
    <col min="3586" max="3586" width="10" style="13"/>
    <col min="3587" max="3587" width="10" style="13" customWidth="1"/>
    <col min="3588" max="3588" width="11.625" style="13" bestFit="1" customWidth="1"/>
    <col min="3589" max="3840" width="10" style="13"/>
    <col min="3841" max="3841" width="10" style="13" customWidth="1"/>
    <col min="3842" max="3842" width="10" style="13"/>
    <col min="3843" max="3843" width="10" style="13" customWidth="1"/>
    <col min="3844" max="3844" width="11.625" style="13" bestFit="1" customWidth="1"/>
    <col min="3845" max="4096" width="10" style="13"/>
    <col min="4097" max="4097" width="10" style="13" customWidth="1"/>
    <col min="4098" max="4098" width="10" style="13"/>
    <col min="4099" max="4099" width="10" style="13" customWidth="1"/>
    <col min="4100" max="4100" width="11.625" style="13" bestFit="1" customWidth="1"/>
    <col min="4101" max="4352" width="10" style="13"/>
    <col min="4353" max="4353" width="10" style="13" customWidth="1"/>
    <col min="4354" max="4354" width="10" style="13"/>
    <col min="4355" max="4355" width="10" style="13" customWidth="1"/>
    <col min="4356" max="4356" width="11.625" style="13" bestFit="1" customWidth="1"/>
    <col min="4357" max="4608" width="10" style="13"/>
    <col min="4609" max="4609" width="10" style="13" customWidth="1"/>
    <col min="4610" max="4610" width="10" style="13"/>
    <col min="4611" max="4611" width="10" style="13" customWidth="1"/>
    <col min="4612" max="4612" width="11.625" style="13" bestFit="1" customWidth="1"/>
    <col min="4613" max="4864" width="10" style="13"/>
    <col min="4865" max="4865" width="10" style="13" customWidth="1"/>
    <col min="4866" max="4866" width="10" style="13"/>
    <col min="4867" max="4867" width="10" style="13" customWidth="1"/>
    <col min="4868" max="4868" width="11.625" style="13" bestFit="1" customWidth="1"/>
    <col min="4869" max="5120" width="10" style="13"/>
    <col min="5121" max="5121" width="10" style="13" customWidth="1"/>
    <col min="5122" max="5122" width="10" style="13"/>
    <col min="5123" max="5123" width="10" style="13" customWidth="1"/>
    <col min="5124" max="5124" width="11.625" style="13" bestFit="1" customWidth="1"/>
    <col min="5125" max="5376" width="10" style="13"/>
    <col min="5377" max="5377" width="10" style="13" customWidth="1"/>
    <col min="5378" max="5378" width="10" style="13"/>
    <col min="5379" max="5379" width="10" style="13" customWidth="1"/>
    <col min="5380" max="5380" width="11.625" style="13" bestFit="1" customWidth="1"/>
    <col min="5381" max="5632" width="10" style="13"/>
    <col min="5633" max="5633" width="10" style="13" customWidth="1"/>
    <col min="5634" max="5634" width="10" style="13"/>
    <col min="5635" max="5635" width="10" style="13" customWidth="1"/>
    <col min="5636" max="5636" width="11.625" style="13" bestFit="1" customWidth="1"/>
    <col min="5637" max="5888" width="10" style="13"/>
    <col min="5889" max="5889" width="10" style="13" customWidth="1"/>
    <col min="5890" max="5890" width="10" style="13"/>
    <col min="5891" max="5891" width="10" style="13" customWidth="1"/>
    <col min="5892" max="5892" width="11.625" style="13" bestFit="1" customWidth="1"/>
    <col min="5893" max="6144" width="10" style="13"/>
    <col min="6145" max="6145" width="10" style="13" customWidth="1"/>
    <col min="6146" max="6146" width="10" style="13"/>
    <col min="6147" max="6147" width="10" style="13" customWidth="1"/>
    <col min="6148" max="6148" width="11.625" style="13" bestFit="1" customWidth="1"/>
    <col min="6149" max="6400" width="10" style="13"/>
    <col min="6401" max="6401" width="10" style="13" customWidth="1"/>
    <col min="6402" max="6402" width="10" style="13"/>
    <col min="6403" max="6403" width="10" style="13" customWidth="1"/>
    <col min="6404" max="6404" width="11.625" style="13" bestFit="1" customWidth="1"/>
    <col min="6405" max="6656" width="10" style="13"/>
    <col min="6657" max="6657" width="10" style="13" customWidth="1"/>
    <col min="6658" max="6658" width="10" style="13"/>
    <col min="6659" max="6659" width="10" style="13" customWidth="1"/>
    <col min="6660" max="6660" width="11.625" style="13" bestFit="1" customWidth="1"/>
    <col min="6661" max="6912" width="10" style="13"/>
    <col min="6913" max="6913" width="10" style="13" customWidth="1"/>
    <col min="6914" max="6914" width="10" style="13"/>
    <col min="6915" max="6915" width="10" style="13" customWidth="1"/>
    <col min="6916" max="6916" width="11.625" style="13" bestFit="1" customWidth="1"/>
    <col min="6917" max="7168" width="10" style="13"/>
    <col min="7169" max="7169" width="10" style="13" customWidth="1"/>
    <col min="7170" max="7170" width="10" style="13"/>
    <col min="7171" max="7171" width="10" style="13" customWidth="1"/>
    <col min="7172" max="7172" width="11.625" style="13" bestFit="1" customWidth="1"/>
    <col min="7173" max="7424" width="10" style="13"/>
    <col min="7425" max="7425" width="10" style="13" customWidth="1"/>
    <col min="7426" max="7426" width="10" style="13"/>
    <col min="7427" max="7427" width="10" style="13" customWidth="1"/>
    <col min="7428" max="7428" width="11.625" style="13" bestFit="1" customWidth="1"/>
    <col min="7429" max="7680" width="10" style="13"/>
    <col min="7681" max="7681" width="10" style="13" customWidth="1"/>
    <col min="7682" max="7682" width="10" style="13"/>
    <col min="7683" max="7683" width="10" style="13" customWidth="1"/>
    <col min="7684" max="7684" width="11.625" style="13" bestFit="1" customWidth="1"/>
    <col min="7685" max="7936" width="10" style="13"/>
    <col min="7937" max="7937" width="10" style="13" customWidth="1"/>
    <col min="7938" max="7938" width="10" style="13"/>
    <col min="7939" max="7939" width="10" style="13" customWidth="1"/>
    <col min="7940" max="7940" width="11.625" style="13" bestFit="1" customWidth="1"/>
    <col min="7941" max="8192" width="10" style="13"/>
    <col min="8193" max="8193" width="10" style="13" customWidth="1"/>
    <col min="8194" max="8194" width="10" style="13"/>
    <col min="8195" max="8195" width="10" style="13" customWidth="1"/>
    <col min="8196" max="8196" width="11.625" style="13" bestFit="1" customWidth="1"/>
    <col min="8197" max="8448" width="10" style="13"/>
    <col min="8449" max="8449" width="10" style="13" customWidth="1"/>
    <col min="8450" max="8450" width="10" style="13"/>
    <col min="8451" max="8451" width="10" style="13" customWidth="1"/>
    <col min="8452" max="8452" width="11.625" style="13" bestFit="1" customWidth="1"/>
    <col min="8453" max="8704" width="10" style="13"/>
    <col min="8705" max="8705" width="10" style="13" customWidth="1"/>
    <col min="8706" max="8706" width="10" style="13"/>
    <col min="8707" max="8707" width="10" style="13" customWidth="1"/>
    <col min="8708" max="8708" width="11.625" style="13" bestFit="1" customWidth="1"/>
    <col min="8709" max="8960" width="10" style="13"/>
    <col min="8961" max="8961" width="10" style="13" customWidth="1"/>
    <col min="8962" max="8962" width="10" style="13"/>
    <col min="8963" max="8963" width="10" style="13" customWidth="1"/>
    <col min="8964" max="8964" width="11.625" style="13" bestFit="1" customWidth="1"/>
    <col min="8965" max="9216" width="10" style="13"/>
    <col min="9217" max="9217" width="10" style="13" customWidth="1"/>
    <col min="9218" max="9218" width="10" style="13"/>
    <col min="9219" max="9219" width="10" style="13" customWidth="1"/>
    <col min="9220" max="9220" width="11.625" style="13" bestFit="1" customWidth="1"/>
    <col min="9221" max="9472" width="10" style="13"/>
    <col min="9473" max="9473" width="10" style="13" customWidth="1"/>
    <col min="9474" max="9474" width="10" style="13"/>
    <col min="9475" max="9475" width="10" style="13" customWidth="1"/>
    <col min="9476" max="9476" width="11.625" style="13" bestFit="1" customWidth="1"/>
    <col min="9477" max="9728" width="10" style="13"/>
    <col min="9729" max="9729" width="10" style="13" customWidth="1"/>
    <col min="9730" max="9730" width="10" style="13"/>
    <col min="9731" max="9731" width="10" style="13" customWidth="1"/>
    <col min="9732" max="9732" width="11.625" style="13" bestFit="1" customWidth="1"/>
    <col min="9733" max="9984" width="10" style="13"/>
    <col min="9985" max="9985" width="10" style="13" customWidth="1"/>
    <col min="9986" max="9986" width="10" style="13"/>
    <col min="9987" max="9987" width="10" style="13" customWidth="1"/>
    <col min="9988" max="9988" width="11.625" style="13" bestFit="1" customWidth="1"/>
    <col min="9989" max="10240" width="10" style="13"/>
    <col min="10241" max="10241" width="10" style="13" customWidth="1"/>
    <col min="10242" max="10242" width="10" style="13"/>
    <col min="10243" max="10243" width="10" style="13" customWidth="1"/>
    <col min="10244" max="10244" width="11.625" style="13" bestFit="1" customWidth="1"/>
    <col min="10245" max="10496" width="10" style="13"/>
    <col min="10497" max="10497" width="10" style="13" customWidth="1"/>
    <col min="10498" max="10498" width="10" style="13"/>
    <col min="10499" max="10499" width="10" style="13" customWidth="1"/>
    <col min="10500" max="10500" width="11.625" style="13" bestFit="1" customWidth="1"/>
    <col min="10501" max="10752" width="10" style="13"/>
    <col min="10753" max="10753" width="10" style="13" customWidth="1"/>
    <col min="10754" max="10754" width="10" style="13"/>
    <col min="10755" max="10755" width="10" style="13" customWidth="1"/>
    <col min="10756" max="10756" width="11.625" style="13" bestFit="1" customWidth="1"/>
    <col min="10757" max="11008" width="10" style="13"/>
    <col min="11009" max="11009" width="10" style="13" customWidth="1"/>
    <col min="11010" max="11010" width="10" style="13"/>
    <col min="11011" max="11011" width="10" style="13" customWidth="1"/>
    <col min="11012" max="11012" width="11.625" style="13" bestFit="1" customWidth="1"/>
    <col min="11013" max="11264" width="10" style="13"/>
    <col min="11265" max="11265" width="10" style="13" customWidth="1"/>
    <col min="11266" max="11266" width="10" style="13"/>
    <col min="11267" max="11267" width="10" style="13" customWidth="1"/>
    <col min="11268" max="11268" width="11.625" style="13" bestFit="1" customWidth="1"/>
    <col min="11269" max="11520" width="10" style="13"/>
    <col min="11521" max="11521" width="10" style="13" customWidth="1"/>
    <col min="11522" max="11522" width="10" style="13"/>
    <col min="11523" max="11523" width="10" style="13" customWidth="1"/>
    <col min="11524" max="11524" width="11.625" style="13" bestFit="1" customWidth="1"/>
    <col min="11525" max="11776" width="10" style="13"/>
    <col min="11777" max="11777" width="10" style="13" customWidth="1"/>
    <col min="11778" max="11778" width="10" style="13"/>
    <col min="11779" max="11779" width="10" style="13" customWidth="1"/>
    <col min="11780" max="11780" width="11.625" style="13" bestFit="1" customWidth="1"/>
    <col min="11781" max="12032" width="10" style="13"/>
    <col min="12033" max="12033" width="10" style="13" customWidth="1"/>
    <col min="12034" max="12034" width="10" style="13"/>
    <col min="12035" max="12035" width="10" style="13" customWidth="1"/>
    <col min="12036" max="12036" width="11.625" style="13" bestFit="1" customWidth="1"/>
    <col min="12037" max="12288" width="10" style="13"/>
    <col min="12289" max="12289" width="10" style="13" customWidth="1"/>
    <col min="12290" max="12290" width="10" style="13"/>
    <col min="12291" max="12291" width="10" style="13" customWidth="1"/>
    <col min="12292" max="12292" width="11.625" style="13" bestFit="1" customWidth="1"/>
    <col min="12293" max="12544" width="10" style="13"/>
    <col min="12545" max="12545" width="10" style="13" customWidth="1"/>
    <col min="12546" max="12546" width="10" style="13"/>
    <col min="12547" max="12547" width="10" style="13" customWidth="1"/>
    <col min="12548" max="12548" width="11.625" style="13" bestFit="1" customWidth="1"/>
    <col min="12549" max="12800" width="10" style="13"/>
    <col min="12801" max="12801" width="10" style="13" customWidth="1"/>
    <col min="12802" max="12802" width="10" style="13"/>
    <col min="12803" max="12803" width="10" style="13" customWidth="1"/>
    <col min="12804" max="12804" width="11.625" style="13" bestFit="1" customWidth="1"/>
    <col min="12805" max="13056" width="10" style="13"/>
    <col min="13057" max="13057" width="10" style="13" customWidth="1"/>
    <col min="13058" max="13058" width="10" style="13"/>
    <col min="13059" max="13059" width="10" style="13" customWidth="1"/>
    <col min="13060" max="13060" width="11.625" style="13" bestFit="1" customWidth="1"/>
    <col min="13061" max="13312" width="10" style="13"/>
    <col min="13313" max="13313" width="10" style="13" customWidth="1"/>
    <col min="13314" max="13314" width="10" style="13"/>
    <col min="13315" max="13315" width="10" style="13" customWidth="1"/>
    <col min="13316" max="13316" width="11.625" style="13" bestFit="1" customWidth="1"/>
    <col min="13317" max="13568" width="10" style="13"/>
    <col min="13569" max="13569" width="10" style="13" customWidth="1"/>
    <col min="13570" max="13570" width="10" style="13"/>
    <col min="13571" max="13571" width="10" style="13" customWidth="1"/>
    <col min="13572" max="13572" width="11.625" style="13" bestFit="1" customWidth="1"/>
    <col min="13573" max="13824" width="10" style="13"/>
    <col min="13825" max="13825" width="10" style="13" customWidth="1"/>
    <col min="13826" max="13826" width="10" style="13"/>
    <col min="13827" max="13827" width="10" style="13" customWidth="1"/>
    <col min="13828" max="13828" width="11.625" style="13" bestFit="1" customWidth="1"/>
    <col min="13829" max="14080" width="10" style="13"/>
    <col min="14081" max="14081" width="10" style="13" customWidth="1"/>
    <col min="14082" max="14082" width="10" style="13"/>
    <col min="14083" max="14083" width="10" style="13" customWidth="1"/>
    <col min="14084" max="14084" width="11.625" style="13" bestFit="1" customWidth="1"/>
    <col min="14085" max="14336" width="10" style="13"/>
    <col min="14337" max="14337" width="10" style="13" customWidth="1"/>
    <col min="14338" max="14338" width="10" style="13"/>
    <col min="14339" max="14339" width="10" style="13" customWidth="1"/>
    <col min="14340" max="14340" width="11.625" style="13" bestFit="1" customWidth="1"/>
    <col min="14341" max="14592" width="10" style="13"/>
    <col min="14593" max="14593" width="10" style="13" customWidth="1"/>
    <col min="14594" max="14594" width="10" style="13"/>
    <col min="14595" max="14595" width="10" style="13" customWidth="1"/>
    <col min="14596" max="14596" width="11.625" style="13" bestFit="1" customWidth="1"/>
    <col min="14597" max="14848" width="10" style="13"/>
    <col min="14849" max="14849" width="10" style="13" customWidth="1"/>
    <col min="14850" max="14850" width="10" style="13"/>
    <col min="14851" max="14851" width="10" style="13" customWidth="1"/>
    <col min="14852" max="14852" width="11.625" style="13" bestFit="1" customWidth="1"/>
    <col min="14853" max="15104" width="10" style="13"/>
    <col min="15105" max="15105" width="10" style="13" customWidth="1"/>
    <col min="15106" max="15106" width="10" style="13"/>
    <col min="15107" max="15107" width="10" style="13" customWidth="1"/>
    <col min="15108" max="15108" width="11.625" style="13" bestFit="1" customWidth="1"/>
    <col min="15109" max="15360" width="10" style="13"/>
    <col min="15361" max="15361" width="10" style="13" customWidth="1"/>
    <col min="15362" max="15362" width="10" style="13"/>
    <col min="15363" max="15363" width="10" style="13" customWidth="1"/>
    <col min="15364" max="15364" width="11.625" style="13" bestFit="1" customWidth="1"/>
    <col min="15365" max="15616" width="10" style="13"/>
    <col min="15617" max="15617" width="10" style="13" customWidth="1"/>
    <col min="15618" max="15618" width="10" style="13"/>
    <col min="15619" max="15619" width="10" style="13" customWidth="1"/>
    <col min="15620" max="15620" width="11.625" style="13" bestFit="1" customWidth="1"/>
    <col min="15621" max="15872" width="10" style="13"/>
    <col min="15873" max="15873" width="10" style="13" customWidth="1"/>
    <col min="15874" max="15874" width="10" style="13"/>
    <col min="15875" max="15875" width="10" style="13" customWidth="1"/>
    <col min="15876" max="15876" width="11.625" style="13" bestFit="1" customWidth="1"/>
    <col min="15877" max="16128" width="10" style="13"/>
    <col min="16129" max="16129" width="10" style="13" customWidth="1"/>
    <col min="16130" max="16130" width="10" style="13"/>
    <col min="16131" max="16131" width="10" style="13" customWidth="1"/>
    <col min="16132" max="16132" width="11.625" style="13" bestFit="1" customWidth="1"/>
    <col min="16133" max="16384" width="10" style="13"/>
  </cols>
  <sheetData>
    <row r="1" spans="1:9">
      <c r="A1" s="31" t="s">
        <v>125</v>
      </c>
    </row>
    <row r="2" spans="1:9" s="7" customFormat="1" ht="12" thickBot="1">
      <c r="A2" s="7" t="s">
        <v>28</v>
      </c>
      <c r="B2" s="7" t="s">
        <v>29</v>
      </c>
      <c r="C2" s="8" t="s">
        <v>30</v>
      </c>
      <c r="D2" s="8" t="s">
        <v>31</v>
      </c>
      <c r="E2" s="33" t="s">
        <v>28</v>
      </c>
      <c r="F2" s="33" t="s">
        <v>32</v>
      </c>
      <c r="G2" s="34" t="s">
        <v>30</v>
      </c>
      <c r="H2" s="34" t="s">
        <v>31</v>
      </c>
      <c r="I2" s="35" t="s">
        <v>33</v>
      </c>
    </row>
    <row r="3" spans="1:9" ht="14.25" thickBot="1">
      <c r="A3" s="9">
        <v>0</v>
      </c>
      <c r="B3" s="10">
        <v>0.99909999999999999</v>
      </c>
      <c r="C3" s="11">
        <f>SLOPE(B3:B4,A3:A4)</f>
        <v>-1.5999999999993797E-3</v>
      </c>
      <c r="D3" s="12">
        <f>INTERCEPT(B3:B4,A3:A4)</f>
        <v>0.99909999999999999</v>
      </c>
      <c r="E3" s="9">
        <v>0</v>
      </c>
      <c r="F3" s="10">
        <v>1</v>
      </c>
      <c r="G3" s="11">
        <f>SLOPE(F3:F4,E3:E4)</f>
        <v>-1.6000000000004899E-3</v>
      </c>
      <c r="H3" s="12">
        <f>INTERCEPT(F3:F4,E3:E4)</f>
        <v>1</v>
      </c>
    </row>
    <row r="4" spans="1:9" ht="14.25" thickBot="1">
      <c r="A4" s="14">
        <v>0.1</v>
      </c>
      <c r="B4" s="15">
        <v>0.99894000000000005</v>
      </c>
      <c r="C4" s="11">
        <f t="shared" ref="C4:C67" si="0">SLOPE(B4:B5,A4:A5)</f>
        <v>-1.5000000000009448E-3</v>
      </c>
      <c r="D4" s="12">
        <f t="shared" ref="D4:D67" si="1">INTERCEPT(B4:B5,A4:A5)</f>
        <v>0.99909000000000014</v>
      </c>
      <c r="E4" s="14">
        <v>0.1</v>
      </c>
      <c r="F4" s="15">
        <v>0.99983999999999995</v>
      </c>
      <c r="G4" s="11">
        <f t="shared" ref="G4:G67" si="2">SLOPE(F4:F5,E4:E5)</f>
        <v>-1.4999999999998346E-3</v>
      </c>
      <c r="H4" s="12">
        <f t="shared" ref="H4:H67" si="3">INTERCEPT(F4:F5,E4:E5)</f>
        <v>0.99998999999999993</v>
      </c>
    </row>
    <row r="5" spans="1:9" ht="14.25" thickBot="1">
      <c r="A5" s="14">
        <v>0.2</v>
      </c>
      <c r="B5" s="15">
        <v>0.99878999999999996</v>
      </c>
      <c r="C5" s="11">
        <f t="shared" si="0"/>
        <v>-1.4999999999998352E-3</v>
      </c>
      <c r="D5" s="12">
        <f t="shared" si="1"/>
        <v>0.99909000000000003</v>
      </c>
      <c r="E5" s="14">
        <v>0.2</v>
      </c>
      <c r="F5" s="15">
        <v>0.99968999999999997</v>
      </c>
      <c r="G5" s="11">
        <f t="shared" si="2"/>
        <v>-1.4999999999998352E-3</v>
      </c>
      <c r="H5" s="12">
        <f t="shared" si="3"/>
        <v>0.99998999999999993</v>
      </c>
    </row>
    <row r="6" spans="1:9" ht="14.25" thickBot="1">
      <c r="A6" s="14">
        <v>0.3</v>
      </c>
      <c r="B6" s="15">
        <v>0.99863999999999997</v>
      </c>
      <c r="C6" s="11">
        <f t="shared" si="0"/>
        <v>-1.5999999999993795E-3</v>
      </c>
      <c r="D6" s="12">
        <f t="shared" si="1"/>
        <v>0.99911999999999979</v>
      </c>
      <c r="E6" s="14">
        <v>0.3</v>
      </c>
      <c r="F6" s="15">
        <v>0.99953999999999998</v>
      </c>
      <c r="G6" s="11">
        <f t="shared" si="2"/>
        <v>-1.5999999999993795E-3</v>
      </c>
      <c r="H6" s="12">
        <f t="shared" si="3"/>
        <v>1.0000199999999997</v>
      </c>
    </row>
    <row r="7" spans="1:9" ht="14.25" thickBot="1">
      <c r="A7" s="14">
        <v>0.4</v>
      </c>
      <c r="B7" s="15">
        <v>0.99848000000000003</v>
      </c>
      <c r="C7" s="11">
        <f t="shared" si="0"/>
        <v>-1.4999999999998352E-3</v>
      </c>
      <c r="D7" s="12">
        <f t="shared" si="1"/>
        <v>0.99907999999999997</v>
      </c>
      <c r="E7" s="14">
        <v>0.4</v>
      </c>
      <c r="F7" s="15">
        <v>0.99938000000000005</v>
      </c>
      <c r="G7" s="11">
        <f t="shared" si="2"/>
        <v>-1.5000000000009455E-3</v>
      </c>
      <c r="H7" s="12">
        <f t="shared" si="3"/>
        <v>0.99998000000000042</v>
      </c>
    </row>
    <row r="8" spans="1:9" ht="14.25" thickBot="1">
      <c r="A8" s="14">
        <v>0.5</v>
      </c>
      <c r="B8" s="15">
        <v>0.99833000000000005</v>
      </c>
      <c r="C8" s="11">
        <f t="shared" si="0"/>
        <v>-1.5000000000009455E-3</v>
      </c>
      <c r="D8" s="12">
        <f t="shared" si="1"/>
        <v>0.99908000000000052</v>
      </c>
      <c r="E8" s="14">
        <v>0.5</v>
      </c>
      <c r="F8" s="15">
        <v>0.99922999999999995</v>
      </c>
      <c r="G8" s="11">
        <f t="shared" si="2"/>
        <v>-1.4999999999998352E-3</v>
      </c>
      <c r="H8" s="12">
        <f t="shared" si="3"/>
        <v>0.99997999999999998</v>
      </c>
    </row>
    <row r="9" spans="1:9" ht="14.25" thickBot="1">
      <c r="A9" s="14">
        <v>0.6</v>
      </c>
      <c r="B9" s="15">
        <v>0.99817999999999996</v>
      </c>
      <c r="C9" s="11">
        <f t="shared" si="0"/>
        <v>-1.4999999999998352E-3</v>
      </c>
      <c r="D9" s="12">
        <f t="shared" si="1"/>
        <v>0.99907999999999997</v>
      </c>
      <c r="E9" s="14">
        <v>0.6</v>
      </c>
      <c r="F9" s="15">
        <v>0.99907999999999997</v>
      </c>
      <c r="G9" s="11">
        <f t="shared" si="2"/>
        <v>-1.4999999999998352E-3</v>
      </c>
      <c r="H9" s="12">
        <f t="shared" si="3"/>
        <v>0.99997999999999987</v>
      </c>
    </row>
    <row r="10" spans="1:9" ht="14.25" thickBot="1">
      <c r="A10" s="14">
        <v>0.7</v>
      </c>
      <c r="B10" s="15">
        <v>0.99802999999999997</v>
      </c>
      <c r="C10" s="11">
        <f t="shared" si="0"/>
        <v>-1.4999999999998335E-3</v>
      </c>
      <c r="D10" s="12">
        <f t="shared" si="1"/>
        <v>0.99907999999999975</v>
      </c>
      <c r="E10" s="14">
        <v>0.7</v>
      </c>
      <c r="F10" s="15">
        <v>0.99892999999999998</v>
      </c>
      <c r="G10" s="11">
        <f t="shared" si="2"/>
        <v>-1.4999999999998335E-3</v>
      </c>
      <c r="H10" s="12">
        <f t="shared" si="3"/>
        <v>0.99997999999999987</v>
      </c>
    </row>
    <row r="11" spans="1:9" ht="14.25" thickBot="1">
      <c r="A11" s="14">
        <v>0.8</v>
      </c>
      <c r="B11" s="15">
        <v>0.99787999999999999</v>
      </c>
      <c r="C11" s="11">
        <f t="shared" si="0"/>
        <v>-1.4999999999998352E-3</v>
      </c>
      <c r="D11" s="12">
        <f t="shared" si="1"/>
        <v>0.99907999999999997</v>
      </c>
      <c r="E11" s="14">
        <v>0.8</v>
      </c>
      <c r="F11" s="15">
        <v>0.99878</v>
      </c>
      <c r="G11" s="11">
        <f t="shared" si="2"/>
        <v>-1.4999999999998352E-3</v>
      </c>
      <c r="H11" s="12">
        <f t="shared" si="3"/>
        <v>0.99997999999999987</v>
      </c>
    </row>
    <row r="12" spans="1:9" ht="14.25" thickBot="1">
      <c r="A12" s="16">
        <v>0.9</v>
      </c>
      <c r="B12" s="17">
        <v>0.99773000000000001</v>
      </c>
      <c r="C12" s="11">
        <f t="shared" si="0"/>
        <v>-1.4999999999998352E-3</v>
      </c>
      <c r="D12" s="12">
        <f t="shared" si="1"/>
        <v>0.99907999999999986</v>
      </c>
      <c r="E12" s="16">
        <v>0.9</v>
      </c>
      <c r="F12" s="17">
        <v>0.99863000000000002</v>
      </c>
      <c r="G12" s="11">
        <f t="shared" si="2"/>
        <v>-1.4999999999998352E-3</v>
      </c>
      <c r="H12" s="12">
        <f t="shared" si="3"/>
        <v>0.99997999999999998</v>
      </c>
    </row>
    <row r="13" spans="1:9" ht="14.25" thickBot="1">
      <c r="A13" s="16">
        <v>1</v>
      </c>
      <c r="B13" s="17">
        <v>0.99758000000000002</v>
      </c>
      <c r="C13" s="11">
        <f t="shared" si="0"/>
        <v>-1.4999999999998335E-3</v>
      </c>
      <c r="D13" s="12">
        <f t="shared" si="1"/>
        <v>0.99907999999999986</v>
      </c>
      <c r="E13" s="16">
        <v>1</v>
      </c>
      <c r="F13" s="17">
        <v>0.99848000000000003</v>
      </c>
      <c r="G13" s="11">
        <f t="shared" si="2"/>
        <v>-1.4999999999998335E-3</v>
      </c>
      <c r="H13" s="12">
        <f t="shared" si="3"/>
        <v>0.99997999999999976</v>
      </c>
    </row>
    <row r="14" spans="1:9" ht="14.25" thickBot="1">
      <c r="A14" s="18">
        <v>1.1000000000000001</v>
      </c>
      <c r="B14" s="15">
        <v>0.99743000000000004</v>
      </c>
      <c r="C14" s="11">
        <f t="shared" si="0"/>
        <v>-1.4999999999998368E-3</v>
      </c>
      <c r="D14" s="12">
        <f t="shared" si="1"/>
        <v>0.99907999999999986</v>
      </c>
      <c r="E14" s="18">
        <v>1.1000000000000001</v>
      </c>
      <c r="F14" s="15">
        <v>0.99833000000000005</v>
      </c>
      <c r="G14" s="11">
        <f t="shared" si="2"/>
        <v>-1.500000000000947E-3</v>
      </c>
      <c r="H14" s="12">
        <f t="shared" si="3"/>
        <v>0.99998000000000109</v>
      </c>
    </row>
    <row r="15" spans="1:9" ht="14.25" thickBot="1">
      <c r="A15" s="18">
        <v>1.2</v>
      </c>
      <c r="B15" s="15">
        <v>0.99728000000000006</v>
      </c>
      <c r="C15" s="11">
        <f t="shared" si="0"/>
        <v>-1.5000000000009437E-3</v>
      </c>
      <c r="D15" s="12">
        <f t="shared" si="1"/>
        <v>0.99908000000000119</v>
      </c>
      <c r="E15" s="18">
        <v>1.2</v>
      </c>
      <c r="F15" s="15">
        <v>0.99817999999999996</v>
      </c>
      <c r="G15" s="11">
        <f t="shared" si="2"/>
        <v>-1.4999999999998335E-3</v>
      </c>
      <c r="H15" s="12">
        <f t="shared" si="3"/>
        <v>0.99997999999999976</v>
      </c>
    </row>
    <row r="16" spans="1:9" ht="14.25" thickBot="1">
      <c r="A16" s="18">
        <v>1.3</v>
      </c>
      <c r="B16" s="15">
        <v>0.99712999999999996</v>
      </c>
      <c r="C16" s="11">
        <f t="shared" si="0"/>
        <v>-1.3999999999991814E-3</v>
      </c>
      <c r="D16" s="12">
        <f t="shared" si="1"/>
        <v>0.99894999999999901</v>
      </c>
      <c r="E16" s="18">
        <v>1.3</v>
      </c>
      <c r="F16" s="15">
        <v>0.99802999999999997</v>
      </c>
      <c r="G16" s="11">
        <f t="shared" si="2"/>
        <v>-1.3999999999991814E-3</v>
      </c>
      <c r="H16" s="12">
        <f t="shared" si="3"/>
        <v>0.99984999999999891</v>
      </c>
    </row>
    <row r="17" spans="1:8" ht="14.25" thickBot="1">
      <c r="A17" s="18">
        <v>1.4</v>
      </c>
      <c r="B17" s="15">
        <v>0.99699000000000004</v>
      </c>
      <c r="C17" s="11">
        <f t="shared" si="0"/>
        <v>-1.5000000000009437E-3</v>
      </c>
      <c r="D17" s="12">
        <f t="shared" si="1"/>
        <v>0.99909000000000137</v>
      </c>
      <c r="E17" s="18">
        <v>1.4</v>
      </c>
      <c r="F17" s="15">
        <v>0.99789000000000005</v>
      </c>
      <c r="G17" s="11">
        <f t="shared" si="2"/>
        <v>-1.5000000000009437E-3</v>
      </c>
      <c r="H17" s="12">
        <f t="shared" si="3"/>
        <v>0.99999000000000138</v>
      </c>
    </row>
    <row r="18" spans="1:8" ht="14.25" thickBot="1">
      <c r="A18" s="18">
        <v>1.5</v>
      </c>
      <c r="B18" s="15">
        <v>0.99683999999999995</v>
      </c>
      <c r="C18" s="11">
        <f t="shared" si="0"/>
        <v>-1.4999999999998335E-3</v>
      </c>
      <c r="D18" s="12">
        <f t="shared" si="1"/>
        <v>0.99908999999999959</v>
      </c>
      <c r="E18" s="18">
        <v>1.5</v>
      </c>
      <c r="F18" s="15">
        <v>0.99773999999999996</v>
      </c>
      <c r="G18" s="11">
        <f t="shared" si="2"/>
        <v>-1.4999999999998335E-3</v>
      </c>
      <c r="H18" s="12">
        <f t="shared" si="3"/>
        <v>0.99998999999999971</v>
      </c>
    </row>
    <row r="19" spans="1:8" ht="14.25" thickBot="1">
      <c r="A19" s="18">
        <v>1.6</v>
      </c>
      <c r="B19" s="15">
        <v>0.99668999999999996</v>
      </c>
      <c r="C19" s="11">
        <f t="shared" si="0"/>
        <v>-1.3999999999991814E-3</v>
      </c>
      <c r="D19" s="12">
        <f t="shared" si="1"/>
        <v>0.99892999999999876</v>
      </c>
      <c r="E19" s="18">
        <v>1.6</v>
      </c>
      <c r="F19" s="15">
        <v>0.99758999999999998</v>
      </c>
      <c r="G19" s="11">
        <f t="shared" si="2"/>
        <v>-1.4000000000002919E-3</v>
      </c>
      <c r="H19" s="12">
        <f t="shared" si="3"/>
        <v>0.99983000000000044</v>
      </c>
    </row>
    <row r="20" spans="1:8" ht="14.25" thickBot="1">
      <c r="A20" s="18">
        <v>1.7</v>
      </c>
      <c r="B20" s="15">
        <v>0.99655000000000005</v>
      </c>
      <c r="C20" s="11">
        <f t="shared" si="0"/>
        <v>-1.5000000000009437E-3</v>
      </c>
      <c r="D20" s="12">
        <f t="shared" si="1"/>
        <v>0.99910000000000165</v>
      </c>
      <c r="E20" s="18">
        <v>1.7</v>
      </c>
      <c r="F20" s="15">
        <v>0.99744999999999995</v>
      </c>
      <c r="G20" s="11">
        <f t="shared" si="2"/>
        <v>-1.4999999999998335E-3</v>
      </c>
      <c r="H20" s="12">
        <f t="shared" si="3"/>
        <v>0.99999999999999956</v>
      </c>
    </row>
    <row r="21" spans="1:8" ht="14.25" thickBot="1">
      <c r="A21" s="18">
        <v>1.8</v>
      </c>
      <c r="B21" s="15">
        <v>0.99639999999999995</v>
      </c>
      <c r="C21" s="11">
        <f t="shared" si="0"/>
        <v>-1.4999999999998368E-3</v>
      </c>
      <c r="D21" s="12">
        <f t="shared" si="1"/>
        <v>0.99909999999999966</v>
      </c>
      <c r="E21" s="18">
        <v>1.8</v>
      </c>
      <c r="F21" s="15">
        <v>0.99729999999999996</v>
      </c>
      <c r="G21" s="11">
        <f t="shared" si="2"/>
        <v>-1.4999999999998368E-3</v>
      </c>
      <c r="H21" s="12">
        <f t="shared" si="3"/>
        <v>0.99999999999999978</v>
      </c>
    </row>
    <row r="22" spans="1:8" ht="14.25" thickBot="1">
      <c r="A22" s="18">
        <v>1.9</v>
      </c>
      <c r="B22" s="15">
        <v>0.99624999999999997</v>
      </c>
      <c r="C22" s="11">
        <f t="shared" si="0"/>
        <v>-1.3999999999991784E-3</v>
      </c>
      <c r="D22" s="12">
        <f t="shared" si="1"/>
        <v>0.99890999999999841</v>
      </c>
      <c r="E22" s="18">
        <v>1.9</v>
      </c>
      <c r="F22" s="15">
        <v>0.99714999999999998</v>
      </c>
      <c r="G22" s="11">
        <f t="shared" si="2"/>
        <v>-1.4000000000002888E-3</v>
      </c>
      <c r="H22" s="12">
        <f t="shared" si="3"/>
        <v>0.99981000000000053</v>
      </c>
    </row>
    <row r="23" spans="1:8" ht="14.25" thickBot="1">
      <c r="A23" s="9">
        <v>2</v>
      </c>
      <c r="B23" s="19">
        <v>0.99611000000000005</v>
      </c>
      <c r="C23" s="11">
        <f t="shared" si="0"/>
        <v>-1.4000000000002888E-3</v>
      </c>
      <c r="D23" s="12">
        <f t="shared" si="1"/>
        <v>0.99891000000000063</v>
      </c>
      <c r="E23" s="9">
        <v>2</v>
      </c>
      <c r="F23" s="19">
        <v>0.99700999999999995</v>
      </c>
      <c r="G23" s="11">
        <f t="shared" si="2"/>
        <v>-1.3999999999991784E-3</v>
      </c>
      <c r="H23" s="12">
        <f t="shared" si="3"/>
        <v>0.9998099999999982</v>
      </c>
    </row>
    <row r="24" spans="1:8" ht="14.25" thickBot="1">
      <c r="A24" s="18">
        <v>2.1</v>
      </c>
      <c r="B24" s="15">
        <v>0.99597000000000002</v>
      </c>
      <c r="C24" s="11">
        <f t="shared" si="0"/>
        <v>-1.4999999999998335E-3</v>
      </c>
      <c r="D24" s="12">
        <f t="shared" si="1"/>
        <v>0.99911999999999956</v>
      </c>
      <c r="E24" s="18">
        <v>2.1</v>
      </c>
      <c r="F24" s="15">
        <v>0.99687000000000003</v>
      </c>
      <c r="G24" s="11">
        <f t="shared" si="2"/>
        <v>-1.4999999999998335E-3</v>
      </c>
      <c r="H24" s="12">
        <f t="shared" si="3"/>
        <v>1.0000199999999997</v>
      </c>
    </row>
    <row r="25" spans="1:8" ht="14.25" thickBot="1">
      <c r="A25" s="18">
        <v>2.2000000000000002</v>
      </c>
      <c r="B25" s="15">
        <v>0.99582000000000004</v>
      </c>
      <c r="C25" s="11">
        <f t="shared" si="0"/>
        <v>-1.4000000000002949E-3</v>
      </c>
      <c r="D25" s="12">
        <f t="shared" si="1"/>
        <v>0.99890000000000068</v>
      </c>
      <c r="E25" s="18">
        <v>2.2000000000000002</v>
      </c>
      <c r="F25" s="15">
        <v>0.99672000000000005</v>
      </c>
      <c r="G25" s="11">
        <f t="shared" si="2"/>
        <v>-1.4000000000002949E-3</v>
      </c>
      <c r="H25" s="12">
        <f t="shared" si="3"/>
        <v>0.99980000000000069</v>
      </c>
    </row>
    <row r="26" spans="1:8" ht="14.25" thickBot="1">
      <c r="A26" s="18">
        <v>2.2999999999999998</v>
      </c>
      <c r="B26" s="15">
        <v>0.99568000000000001</v>
      </c>
      <c r="C26" s="11">
        <f t="shared" si="0"/>
        <v>-1.4999999999998335E-3</v>
      </c>
      <c r="D26" s="12">
        <f t="shared" si="1"/>
        <v>0.99912999999999963</v>
      </c>
      <c r="E26" s="18">
        <v>2.2999999999999998</v>
      </c>
      <c r="F26" s="15">
        <v>0.99658000000000002</v>
      </c>
      <c r="G26" s="11">
        <f t="shared" si="2"/>
        <v>-1.4999999999998335E-3</v>
      </c>
      <c r="H26" s="12">
        <f t="shared" si="3"/>
        <v>1.0000299999999995</v>
      </c>
    </row>
    <row r="27" spans="1:8" ht="14.25" thickBot="1">
      <c r="A27" s="18">
        <v>2.4</v>
      </c>
      <c r="B27" s="15">
        <v>0.99553000000000003</v>
      </c>
      <c r="C27" s="11">
        <f t="shared" si="0"/>
        <v>-1.4000000000002888E-3</v>
      </c>
      <c r="D27" s="12">
        <f t="shared" si="1"/>
        <v>0.99889000000000072</v>
      </c>
      <c r="E27" s="18">
        <v>2.4</v>
      </c>
      <c r="F27" s="15">
        <v>0.99643000000000004</v>
      </c>
      <c r="G27" s="11">
        <f t="shared" si="2"/>
        <v>-1.4000000000002888E-3</v>
      </c>
      <c r="H27" s="12">
        <f t="shared" si="3"/>
        <v>0.99979000000000073</v>
      </c>
    </row>
    <row r="28" spans="1:8" ht="14.25" thickBot="1">
      <c r="A28" s="18">
        <v>2.5</v>
      </c>
      <c r="B28" s="15">
        <v>0.99539</v>
      </c>
      <c r="C28" s="11">
        <f t="shared" si="0"/>
        <v>-1.4000000000002888E-3</v>
      </c>
      <c r="D28" s="12">
        <f t="shared" si="1"/>
        <v>0.99889000000000072</v>
      </c>
      <c r="E28" s="18">
        <v>2.5</v>
      </c>
      <c r="F28" s="15">
        <v>0.99629000000000001</v>
      </c>
      <c r="G28" s="11">
        <f t="shared" si="2"/>
        <v>-1.4000000000002888E-3</v>
      </c>
      <c r="H28" s="12">
        <f t="shared" si="3"/>
        <v>0.99979000000000073</v>
      </c>
    </row>
    <row r="29" spans="1:8" ht="14.25" thickBot="1">
      <c r="A29" s="18">
        <v>2.6</v>
      </c>
      <c r="B29" s="15">
        <v>0.99524999999999997</v>
      </c>
      <c r="C29" s="11">
        <f t="shared" si="0"/>
        <v>-1.3999999999991784E-3</v>
      </c>
      <c r="D29" s="12">
        <f t="shared" si="1"/>
        <v>0.99888999999999772</v>
      </c>
      <c r="E29" s="18">
        <v>2.6</v>
      </c>
      <c r="F29" s="15">
        <v>0.99614999999999998</v>
      </c>
      <c r="G29" s="11">
        <f t="shared" si="2"/>
        <v>-1.4000000000002888E-3</v>
      </c>
      <c r="H29" s="12">
        <f t="shared" si="3"/>
        <v>0.99979000000000073</v>
      </c>
    </row>
    <row r="30" spans="1:8" ht="14.25" thickBot="1">
      <c r="A30" s="18">
        <v>2.7</v>
      </c>
      <c r="B30" s="15">
        <v>0.99511000000000005</v>
      </c>
      <c r="C30" s="11">
        <f t="shared" si="0"/>
        <v>-1.4000000000002949E-3</v>
      </c>
      <c r="D30" s="12">
        <f t="shared" si="1"/>
        <v>0.99889000000000083</v>
      </c>
      <c r="E30" s="18">
        <v>2.7</v>
      </c>
      <c r="F30" s="15">
        <v>0.99600999999999995</v>
      </c>
      <c r="G30" s="11">
        <f t="shared" si="2"/>
        <v>-1.3999999999991847E-3</v>
      </c>
      <c r="H30" s="12">
        <f t="shared" si="3"/>
        <v>0.99978999999999785</v>
      </c>
    </row>
    <row r="31" spans="1:8" ht="14.25" thickBot="1">
      <c r="A31" s="18">
        <v>2.8</v>
      </c>
      <c r="B31" s="15">
        <v>0.99497000000000002</v>
      </c>
      <c r="C31" s="11">
        <f t="shared" si="0"/>
        <v>-1.4999999999998335E-3</v>
      </c>
      <c r="D31" s="12">
        <f t="shared" si="1"/>
        <v>0.99916999999999956</v>
      </c>
      <c r="E31" s="18">
        <v>2.8</v>
      </c>
      <c r="F31" s="15">
        <v>0.99587000000000003</v>
      </c>
      <c r="G31" s="11">
        <f t="shared" si="2"/>
        <v>-1.4999999999998335E-3</v>
      </c>
      <c r="H31" s="12">
        <f t="shared" si="3"/>
        <v>1.0000699999999996</v>
      </c>
    </row>
    <row r="32" spans="1:8" ht="14.25" thickBot="1">
      <c r="A32" s="18">
        <v>2.9</v>
      </c>
      <c r="B32" s="15">
        <v>0.99482000000000004</v>
      </c>
      <c r="C32" s="11">
        <f t="shared" si="0"/>
        <v>-1.4000000000002888E-3</v>
      </c>
      <c r="D32" s="12">
        <f t="shared" si="1"/>
        <v>0.99888000000000088</v>
      </c>
      <c r="E32" s="18">
        <v>2.9</v>
      </c>
      <c r="F32" s="15">
        <v>0.99572000000000005</v>
      </c>
      <c r="G32" s="11">
        <f t="shared" si="2"/>
        <v>-1.4000000000002888E-3</v>
      </c>
      <c r="H32" s="12">
        <f t="shared" si="3"/>
        <v>0.99978000000000089</v>
      </c>
    </row>
    <row r="33" spans="1:8" ht="14.25" thickBot="1">
      <c r="A33" s="9">
        <v>3</v>
      </c>
      <c r="B33" s="19">
        <v>0.99468000000000001</v>
      </c>
      <c r="C33" s="11">
        <f t="shared" si="0"/>
        <v>-1.4000000000002888E-3</v>
      </c>
      <c r="D33" s="12">
        <f t="shared" si="1"/>
        <v>0.99888000000000088</v>
      </c>
      <c r="E33" s="9">
        <v>3</v>
      </c>
      <c r="F33" s="19">
        <v>0.99558000000000002</v>
      </c>
      <c r="G33" s="11">
        <f t="shared" si="2"/>
        <v>-1.4000000000002888E-3</v>
      </c>
      <c r="H33" s="12">
        <f t="shared" si="3"/>
        <v>0.99978000000000089</v>
      </c>
    </row>
    <row r="34" spans="1:8" ht="14.25" thickBot="1">
      <c r="A34" s="18">
        <v>3.1</v>
      </c>
      <c r="B34" s="15">
        <v>0.99453999999999998</v>
      </c>
      <c r="C34" s="11">
        <f t="shared" si="0"/>
        <v>-1.4000000000002888E-3</v>
      </c>
      <c r="D34" s="12">
        <f t="shared" si="1"/>
        <v>0.99888000000000088</v>
      </c>
      <c r="E34" s="18">
        <v>3.1</v>
      </c>
      <c r="F34" s="15">
        <v>0.99543999999999999</v>
      </c>
      <c r="G34" s="11">
        <f t="shared" si="2"/>
        <v>-1.4000000000002888E-3</v>
      </c>
      <c r="H34" s="12">
        <f t="shared" si="3"/>
        <v>0.99978000000000089</v>
      </c>
    </row>
    <row r="35" spans="1:8" ht="14.25" thickBot="1">
      <c r="A35" s="18">
        <v>3.2</v>
      </c>
      <c r="B35" s="15">
        <v>0.99439999999999995</v>
      </c>
      <c r="C35" s="11">
        <f t="shared" si="0"/>
        <v>-1.3999999999991847E-3</v>
      </c>
      <c r="D35" s="12">
        <f t="shared" si="1"/>
        <v>0.99887999999999733</v>
      </c>
      <c r="E35" s="18">
        <v>3.2</v>
      </c>
      <c r="F35" s="15">
        <v>0.99529999999999996</v>
      </c>
      <c r="G35" s="11">
        <f t="shared" si="2"/>
        <v>-1.3999999999991847E-3</v>
      </c>
      <c r="H35" s="12">
        <f t="shared" si="3"/>
        <v>0.99977999999999745</v>
      </c>
    </row>
    <row r="36" spans="1:8" ht="14.25" thickBot="1">
      <c r="A36" s="18">
        <v>3.3</v>
      </c>
      <c r="B36" s="15">
        <v>0.99426000000000003</v>
      </c>
      <c r="C36" s="11">
        <f t="shared" si="0"/>
        <v>-1.4000000000002888E-3</v>
      </c>
      <c r="D36" s="12">
        <f t="shared" si="1"/>
        <v>0.99888000000000099</v>
      </c>
      <c r="E36" s="18">
        <v>3.3</v>
      </c>
      <c r="F36" s="15">
        <v>0.99516000000000004</v>
      </c>
      <c r="G36" s="11">
        <f t="shared" si="2"/>
        <v>-1.4000000000002888E-3</v>
      </c>
      <c r="H36" s="12">
        <f t="shared" si="3"/>
        <v>0.999780000000001</v>
      </c>
    </row>
    <row r="37" spans="1:8" ht="14.25" thickBot="1">
      <c r="A37" s="18">
        <v>3.4</v>
      </c>
      <c r="B37" s="15">
        <v>0.99412</v>
      </c>
      <c r="C37" s="11">
        <f t="shared" si="0"/>
        <v>-1.2999999999996335E-3</v>
      </c>
      <c r="D37" s="12">
        <f t="shared" si="1"/>
        <v>0.99853999999999876</v>
      </c>
      <c r="E37" s="18">
        <v>3.4</v>
      </c>
      <c r="F37" s="15">
        <v>0.99502000000000002</v>
      </c>
      <c r="G37" s="11">
        <f t="shared" si="2"/>
        <v>-1.2999999999996335E-3</v>
      </c>
      <c r="H37" s="12">
        <f t="shared" si="3"/>
        <v>0.99943999999999877</v>
      </c>
    </row>
    <row r="38" spans="1:8" ht="14.25" thickBot="1">
      <c r="A38" s="18">
        <v>3.5</v>
      </c>
      <c r="B38" s="15">
        <v>0.99399000000000004</v>
      </c>
      <c r="C38" s="11">
        <f t="shared" si="0"/>
        <v>-1.4000000000002888E-3</v>
      </c>
      <c r="D38" s="12">
        <f t="shared" si="1"/>
        <v>0.99889000000000105</v>
      </c>
      <c r="E38" s="18">
        <v>3.5</v>
      </c>
      <c r="F38" s="15">
        <v>0.99489000000000005</v>
      </c>
      <c r="G38" s="11">
        <f t="shared" si="2"/>
        <v>-1.4000000000002888E-3</v>
      </c>
      <c r="H38" s="12">
        <f t="shared" si="3"/>
        <v>0.99979000000000107</v>
      </c>
    </row>
    <row r="39" spans="1:8" ht="14.25" thickBot="1">
      <c r="A39" s="18">
        <v>3.6</v>
      </c>
      <c r="B39" s="15">
        <v>0.99385000000000001</v>
      </c>
      <c r="C39" s="11">
        <f t="shared" si="0"/>
        <v>-1.4000000000002888E-3</v>
      </c>
      <c r="D39" s="12">
        <f t="shared" si="1"/>
        <v>0.99889000000000105</v>
      </c>
      <c r="E39" s="18">
        <v>3.6</v>
      </c>
      <c r="F39" s="15">
        <v>0.99475000000000002</v>
      </c>
      <c r="G39" s="11">
        <f t="shared" si="2"/>
        <v>-1.4000000000002888E-3</v>
      </c>
      <c r="H39" s="12">
        <f t="shared" si="3"/>
        <v>0.99979000000000107</v>
      </c>
    </row>
    <row r="40" spans="1:8" ht="14.25" thickBot="1">
      <c r="A40" s="18">
        <v>3.7</v>
      </c>
      <c r="B40" s="15">
        <v>0.99370999999999998</v>
      </c>
      <c r="C40" s="11">
        <f t="shared" si="0"/>
        <v>-1.4000000000002949E-3</v>
      </c>
      <c r="D40" s="12">
        <f t="shared" si="1"/>
        <v>0.99889000000000105</v>
      </c>
      <c r="E40" s="18">
        <v>3.7</v>
      </c>
      <c r="F40" s="15">
        <v>0.99460999999999999</v>
      </c>
      <c r="G40" s="11">
        <f t="shared" si="2"/>
        <v>-1.4000000000002949E-3</v>
      </c>
      <c r="H40" s="12">
        <f t="shared" si="3"/>
        <v>0.99979000000000107</v>
      </c>
    </row>
    <row r="41" spans="1:8" ht="14.25" thickBot="1">
      <c r="A41" s="18">
        <v>3.8</v>
      </c>
      <c r="B41" s="15">
        <v>0.99356999999999995</v>
      </c>
      <c r="C41" s="11">
        <f t="shared" si="0"/>
        <v>-1.3999999999991784E-3</v>
      </c>
      <c r="D41" s="12">
        <f t="shared" si="1"/>
        <v>0.99888999999999684</v>
      </c>
      <c r="E41" s="18">
        <v>3.8</v>
      </c>
      <c r="F41" s="15">
        <v>0.99446999999999997</v>
      </c>
      <c r="G41" s="11">
        <f t="shared" si="2"/>
        <v>-1.4999999999998335E-3</v>
      </c>
      <c r="H41" s="12">
        <f t="shared" si="3"/>
        <v>1.0001699999999993</v>
      </c>
    </row>
    <row r="42" spans="1:8" ht="14.25" thickBot="1">
      <c r="A42" s="18">
        <v>3.9</v>
      </c>
      <c r="B42" s="15">
        <v>0.99343000000000004</v>
      </c>
      <c r="C42" s="11">
        <f t="shared" si="0"/>
        <v>-1.3000000000007439E-3</v>
      </c>
      <c r="D42" s="12">
        <f t="shared" si="1"/>
        <v>0.99850000000000294</v>
      </c>
      <c r="E42" s="18">
        <v>3.9</v>
      </c>
      <c r="F42" s="15">
        <v>0.99431999999999998</v>
      </c>
      <c r="G42" s="11">
        <f t="shared" si="2"/>
        <v>-1.2999999999996335E-3</v>
      </c>
      <c r="H42" s="12">
        <f t="shared" si="3"/>
        <v>0.99938999999999856</v>
      </c>
    </row>
    <row r="43" spans="1:8" ht="14.25" thickBot="1">
      <c r="A43" s="9">
        <v>4</v>
      </c>
      <c r="B43" s="19">
        <v>0.99329999999999996</v>
      </c>
      <c r="C43" s="11">
        <f t="shared" si="0"/>
        <v>-1.3999999999991847E-3</v>
      </c>
      <c r="D43" s="12">
        <f t="shared" si="1"/>
        <v>0.99889999999999679</v>
      </c>
      <c r="E43" s="9">
        <v>4</v>
      </c>
      <c r="F43" s="19">
        <v>0.99419000000000002</v>
      </c>
      <c r="G43" s="11">
        <f t="shared" si="2"/>
        <v>-1.4000000000002949E-3</v>
      </c>
      <c r="H43" s="12">
        <f t="shared" si="3"/>
        <v>0.99979000000000118</v>
      </c>
    </row>
    <row r="44" spans="1:8" ht="14.25" thickBot="1">
      <c r="A44" s="18">
        <v>4.0999999999999996</v>
      </c>
      <c r="B44" s="15">
        <v>0.99316000000000004</v>
      </c>
      <c r="C44" s="11">
        <f t="shared" si="0"/>
        <v>-1.3000000000007381E-3</v>
      </c>
      <c r="D44" s="12">
        <f t="shared" si="1"/>
        <v>0.9984900000000031</v>
      </c>
      <c r="E44" s="18">
        <v>4.0999999999999996</v>
      </c>
      <c r="F44" s="15">
        <v>0.99404999999999999</v>
      </c>
      <c r="G44" s="11">
        <f t="shared" si="2"/>
        <v>-1.2999999999996278E-3</v>
      </c>
      <c r="H44" s="12">
        <f t="shared" si="3"/>
        <v>0.99937999999999849</v>
      </c>
    </row>
    <row r="45" spans="1:8" ht="14.25" thickBot="1">
      <c r="A45" s="18">
        <v>4.2</v>
      </c>
      <c r="B45" s="15">
        <v>0.99302999999999997</v>
      </c>
      <c r="C45" s="11">
        <f t="shared" si="0"/>
        <v>-1.3999999999991847E-3</v>
      </c>
      <c r="D45" s="12">
        <f t="shared" si="1"/>
        <v>0.99890999999999663</v>
      </c>
      <c r="E45" s="18">
        <v>4.2</v>
      </c>
      <c r="F45" s="15">
        <v>0.99392000000000003</v>
      </c>
      <c r="G45" s="11">
        <f t="shared" si="2"/>
        <v>-1.4000000000002949E-3</v>
      </c>
      <c r="H45" s="12">
        <f t="shared" si="3"/>
        <v>0.99980000000000124</v>
      </c>
    </row>
    <row r="46" spans="1:8" ht="14.25" thickBot="1">
      <c r="A46" s="18">
        <v>4.3</v>
      </c>
      <c r="B46" s="15">
        <v>0.99289000000000005</v>
      </c>
      <c r="C46" s="11">
        <f t="shared" si="0"/>
        <v>-1.4000000000002825E-3</v>
      </c>
      <c r="D46" s="12">
        <f t="shared" si="1"/>
        <v>0.9989100000000013</v>
      </c>
      <c r="E46" s="18">
        <v>4.3</v>
      </c>
      <c r="F46" s="15">
        <v>0.99378</v>
      </c>
      <c r="G46" s="11">
        <f t="shared" si="2"/>
        <v>-1.4000000000002825E-3</v>
      </c>
      <c r="H46" s="12">
        <f t="shared" si="3"/>
        <v>0.99980000000000124</v>
      </c>
    </row>
    <row r="47" spans="1:8" ht="14.25" thickBot="1">
      <c r="A47" s="18">
        <v>4.4000000000000004</v>
      </c>
      <c r="B47" s="15">
        <v>0.99275000000000002</v>
      </c>
      <c r="C47" s="11">
        <f t="shared" si="0"/>
        <v>-1.3000000000007496E-3</v>
      </c>
      <c r="D47" s="12">
        <f t="shared" si="1"/>
        <v>0.99847000000000341</v>
      </c>
      <c r="E47" s="18">
        <v>4.4000000000000004</v>
      </c>
      <c r="F47" s="15">
        <v>0.99363999999999997</v>
      </c>
      <c r="G47" s="11">
        <f t="shared" si="2"/>
        <v>-1.2999999999996393E-3</v>
      </c>
      <c r="H47" s="12">
        <f t="shared" si="3"/>
        <v>0.99935999999999836</v>
      </c>
    </row>
    <row r="48" spans="1:8" ht="14.25" thickBot="1">
      <c r="A48" s="18">
        <v>4.5</v>
      </c>
      <c r="B48" s="15">
        <v>0.99261999999999995</v>
      </c>
      <c r="C48" s="11">
        <f t="shared" si="0"/>
        <v>-1.3999999999991847E-3</v>
      </c>
      <c r="D48" s="12">
        <f t="shared" si="1"/>
        <v>0.99891999999999637</v>
      </c>
      <c r="E48" s="18">
        <v>4.5</v>
      </c>
      <c r="F48" s="15">
        <v>0.99351</v>
      </c>
      <c r="G48" s="11">
        <f t="shared" si="2"/>
        <v>-1.4000000000002949E-3</v>
      </c>
      <c r="H48" s="12">
        <f t="shared" si="3"/>
        <v>0.99981000000000131</v>
      </c>
    </row>
    <row r="49" spans="1:8" ht="14.25" thickBot="1">
      <c r="A49" s="18">
        <v>4.5999999999999996</v>
      </c>
      <c r="B49" s="15">
        <v>0.99248000000000003</v>
      </c>
      <c r="C49" s="11">
        <f t="shared" si="0"/>
        <v>-1.3000000000007381E-3</v>
      </c>
      <c r="D49" s="12">
        <f t="shared" si="1"/>
        <v>0.99846000000000346</v>
      </c>
      <c r="E49" s="18">
        <v>4.5999999999999996</v>
      </c>
      <c r="F49" s="15">
        <v>0.99336999999999998</v>
      </c>
      <c r="G49" s="11">
        <f t="shared" si="2"/>
        <v>-1.2999999999996278E-3</v>
      </c>
      <c r="H49" s="12">
        <f t="shared" si="3"/>
        <v>0.9993499999999983</v>
      </c>
    </row>
    <row r="50" spans="1:8" ht="14.25" thickBot="1">
      <c r="A50" s="18">
        <v>4.7</v>
      </c>
      <c r="B50" s="15">
        <v>0.99234999999999995</v>
      </c>
      <c r="C50" s="11">
        <f t="shared" si="0"/>
        <v>-1.2999999999996393E-3</v>
      </c>
      <c r="D50" s="12">
        <f t="shared" si="1"/>
        <v>0.99845999999999824</v>
      </c>
      <c r="E50" s="18">
        <v>4.7</v>
      </c>
      <c r="F50" s="15">
        <v>0.99324000000000001</v>
      </c>
      <c r="G50" s="11">
        <f t="shared" si="2"/>
        <v>-1.2999999999996393E-3</v>
      </c>
      <c r="H50" s="12">
        <f t="shared" si="3"/>
        <v>0.9993499999999983</v>
      </c>
    </row>
    <row r="51" spans="1:8" ht="14.25" thickBot="1">
      <c r="A51" s="18">
        <v>4.8</v>
      </c>
      <c r="B51" s="15">
        <v>0.99221999999999999</v>
      </c>
      <c r="C51" s="11">
        <f t="shared" si="0"/>
        <v>-1.4000000000002825E-3</v>
      </c>
      <c r="D51" s="12">
        <f t="shared" si="1"/>
        <v>0.99894000000000138</v>
      </c>
      <c r="E51" s="18">
        <v>4.8</v>
      </c>
      <c r="F51" s="15">
        <v>0.99311000000000005</v>
      </c>
      <c r="G51" s="11">
        <f t="shared" si="2"/>
        <v>-1.4000000000002825E-3</v>
      </c>
      <c r="H51" s="12">
        <f t="shared" si="3"/>
        <v>0.99983000000000144</v>
      </c>
    </row>
    <row r="52" spans="1:8" ht="14.25" thickBot="1">
      <c r="A52" s="18">
        <v>4.9000000000000004</v>
      </c>
      <c r="B52" s="15">
        <v>0.99207999999999996</v>
      </c>
      <c r="C52" s="11">
        <f t="shared" si="0"/>
        <v>-1.2999999999996393E-3</v>
      </c>
      <c r="D52" s="12">
        <f t="shared" si="1"/>
        <v>0.99844999999999817</v>
      </c>
      <c r="E52" s="18">
        <v>4.9000000000000004</v>
      </c>
      <c r="F52" s="15">
        <v>0.99297000000000002</v>
      </c>
      <c r="G52" s="11">
        <f t="shared" si="2"/>
        <v>-1.3000000000007496E-3</v>
      </c>
      <c r="H52" s="12">
        <f t="shared" si="3"/>
        <v>0.99934000000000367</v>
      </c>
    </row>
    <row r="53" spans="1:8" ht="14.25" thickBot="1">
      <c r="A53" s="9">
        <v>5</v>
      </c>
      <c r="B53" s="19">
        <v>0.99195</v>
      </c>
      <c r="C53" s="11">
        <f t="shared" si="0"/>
        <v>-1.2999999999996393E-3</v>
      </c>
      <c r="D53" s="12">
        <f t="shared" si="1"/>
        <v>0.99844999999999817</v>
      </c>
      <c r="E53" s="9">
        <v>5</v>
      </c>
      <c r="F53" s="19">
        <v>0.99283999999999994</v>
      </c>
      <c r="G53" s="11">
        <f t="shared" si="2"/>
        <v>-1.2999999999996393E-3</v>
      </c>
      <c r="H53" s="12">
        <f t="shared" si="3"/>
        <v>0.99933999999999812</v>
      </c>
    </row>
    <row r="54" spans="1:8" ht="14.25" thickBot="1">
      <c r="A54" s="18">
        <v>5.0999999999999996</v>
      </c>
      <c r="B54" s="15">
        <v>0.99182000000000003</v>
      </c>
      <c r="C54" s="11">
        <f t="shared" si="0"/>
        <v>-1.3000000000007381E-3</v>
      </c>
      <c r="D54" s="12">
        <f t="shared" si="1"/>
        <v>0.99845000000000372</v>
      </c>
      <c r="E54" s="18">
        <v>5.0999999999999996</v>
      </c>
      <c r="F54" s="15">
        <v>0.99270999999999998</v>
      </c>
      <c r="G54" s="11">
        <f t="shared" si="2"/>
        <v>-1.2999999999996278E-3</v>
      </c>
      <c r="H54" s="12">
        <f t="shared" si="3"/>
        <v>0.99933999999999812</v>
      </c>
    </row>
    <row r="55" spans="1:8" ht="14.25" thickBot="1">
      <c r="A55" s="18">
        <v>5.2</v>
      </c>
      <c r="B55" s="15">
        <v>0.99168999999999996</v>
      </c>
      <c r="C55" s="11">
        <f t="shared" si="0"/>
        <v>-1.3999999999991847E-3</v>
      </c>
      <c r="D55" s="12">
        <f t="shared" si="1"/>
        <v>0.99896999999999569</v>
      </c>
      <c r="E55" s="18">
        <v>5.2</v>
      </c>
      <c r="F55" s="15">
        <v>0.99258000000000002</v>
      </c>
      <c r="G55" s="11">
        <f t="shared" si="2"/>
        <v>-1.4000000000002949E-3</v>
      </c>
      <c r="H55" s="12">
        <f t="shared" si="3"/>
        <v>0.99986000000000153</v>
      </c>
    </row>
    <row r="56" spans="1:8" ht="14.25" thickBot="1">
      <c r="A56" s="18">
        <v>5.3</v>
      </c>
      <c r="B56" s="15">
        <v>0.99155000000000004</v>
      </c>
      <c r="C56" s="11">
        <f t="shared" si="0"/>
        <v>-1.3000000000007381E-3</v>
      </c>
      <c r="D56" s="12">
        <f t="shared" si="1"/>
        <v>0.99844000000000388</v>
      </c>
      <c r="E56" s="18">
        <v>5.3</v>
      </c>
      <c r="F56" s="15">
        <v>0.99243999999999999</v>
      </c>
      <c r="G56" s="11">
        <f t="shared" si="2"/>
        <v>-1.2999999999996278E-3</v>
      </c>
      <c r="H56" s="12">
        <f t="shared" si="3"/>
        <v>0.99932999999999805</v>
      </c>
    </row>
    <row r="57" spans="1:8" ht="14.25" thickBot="1">
      <c r="A57" s="18">
        <v>5.4</v>
      </c>
      <c r="B57" s="15">
        <v>0.99141999999999997</v>
      </c>
      <c r="C57" s="11">
        <f t="shared" si="0"/>
        <v>-1.2999999999996393E-3</v>
      </c>
      <c r="D57" s="12">
        <f t="shared" si="1"/>
        <v>0.998439999999998</v>
      </c>
      <c r="E57" s="18">
        <v>5.4</v>
      </c>
      <c r="F57" s="15">
        <v>0.99231000000000003</v>
      </c>
      <c r="G57" s="11">
        <f t="shared" si="2"/>
        <v>-1.3000000000007496E-3</v>
      </c>
      <c r="H57" s="12">
        <f t="shared" si="3"/>
        <v>0.99933000000000416</v>
      </c>
    </row>
    <row r="58" spans="1:8" ht="14.25" thickBot="1">
      <c r="A58" s="18">
        <v>5.5</v>
      </c>
      <c r="B58" s="15">
        <v>0.99129</v>
      </c>
      <c r="C58" s="11">
        <f t="shared" si="0"/>
        <v>-1.2999999999996393E-3</v>
      </c>
      <c r="D58" s="12">
        <f t="shared" si="1"/>
        <v>0.998439999999998</v>
      </c>
      <c r="E58" s="18">
        <v>5.5</v>
      </c>
      <c r="F58" s="15">
        <v>0.99217999999999995</v>
      </c>
      <c r="G58" s="11">
        <f t="shared" si="2"/>
        <v>-1.2999999999996393E-3</v>
      </c>
      <c r="H58" s="12">
        <f t="shared" si="3"/>
        <v>0.99932999999999794</v>
      </c>
    </row>
    <row r="59" spans="1:8" ht="14.25" thickBot="1">
      <c r="A59" s="18">
        <v>5.6</v>
      </c>
      <c r="B59" s="15">
        <v>0.99116000000000004</v>
      </c>
      <c r="C59" s="11">
        <f t="shared" si="0"/>
        <v>-1.3000000000007381E-3</v>
      </c>
      <c r="D59" s="12">
        <f t="shared" si="1"/>
        <v>0.99844000000000421</v>
      </c>
      <c r="E59" s="18">
        <v>5.6</v>
      </c>
      <c r="F59" s="15">
        <v>0.99204999999999999</v>
      </c>
      <c r="G59" s="11">
        <f t="shared" si="2"/>
        <v>-1.2999999999996278E-3</v>
      </c>
      <c r="H59" s="12">
        <f t="shared" si="3"/>
        <v>0.99932999999999794</v>
      </c>
    </row>
    <row r="60" spans="1:8" ht="14.25" thickBot="1">
      <c r="A60" s="18">
        <v>5.7</v>
      </c>
      <c r="B60" s="15">
        <v>0.99102999999999997</v>
      </c>
      <c r="C60" s="11">
        <f t="shared" si="0"/>
        <v>-1.2999999999996393E-3</v>
      </c>
      <c r="D60" s="12">
        <f t="shared" si="1"/>
        <v>0.99843999999999788</v>
      </c>
      <c r="E60" s="18">
        <v>5.7</v>
      </c>
      <c r="F60" s="15">
        <v>0.99192000000000002</v>
      </c>
      <c r="G60" s="11">
        <f t="shared" si="2"/>
        <v>-1.3000000000007496E-3</v>
      </c>
      <c r="H60" s="12">
        <f t="shared" si="3"/>
        <v>0.99933000000000427</v>
      </c>
    </row>
    <row r="61" spans="1:8" ht="14.25" thickBot="1">
      <c r="A61" s="18">
        <v>5.8</v>
      </c>
      <c r="B61" s="15">
        <v>0.9909</v>
      </c>
      <c r="C61" s="11">
        <f t="shared" si="0"/>
        <v>-1.2999999999996278E-3</v>
      </c>
      <c r="D61" s="12">
        <f t="shared" si="1"/>
        <v>0.99843999999999788</v>
      </c>
      <c r="E61" s="18">
        <v>5.8</v>
      </c>
      <c r="F61" s="15">
        <v>0.99178999999999995</v>
      </c>
      <c r="G61" s="11">
        <f t="shared" si="2"/>
        <v>-1.2999999999996278E-3</v>
      </c>
      <c r="H61" s="12">
        <f t="shared" si="3"/>
        <v>0.99932999999999783</v>
      </c>
    </row>
    <row r="62" spans="1:8" ht="14.25" thickBot="1">
      <c r="A62" s="18">
        <v>5.9</v>
      </c>
      <c r="B62" s="15">
        <v>0.99077000000000004</v>
      </c>
      <c r="C62" s="11">
        <f t="shared" si="0"/>
        <v>-1.3000000000007496E-3</v>
      </c>
      <c r="D62" s="12">
        <f t="shared" si="1"/>
        <v>0.99844000000000444</v>
      </c>
      <c r="E62" s="18">
        <v>5.9</v>
      </c>
      <c r="F62" s="15">
        <v>0.99165999999999999</v>
      </c>
      <c r="G62" s="11">
        <f t="shared" si="2"/>
        <v>-1.2999999999996393E-3</v>
      </c>
      <c r="H62" s="12">
        <f t="shared" si="3"/>
        <v>0.99932999999999783</v>
      </c>
    </row>
    <row r="63" spans="1:8" ht="14.25" thickBot="1">
      <c r="A63" s="9">
        <v>6</v>
      </c>
      <c r="B63" s="19">
        <v>0.99063999999999997</v>
      </c>
      <c r="C63" s="11">
        <f t="shared" si="0"/>
        <v>-1.2999999999996393E-3</v>
      </c>
      <c r="D63" s="12">
        <f t="shared" si="1"/>
        <v>0.99843999999999777</v>
      </c>
      <c r="E63" s="9">
        <v>6</v>
      </c>
      <c r="F63" s="19">
        <v>0.99153000000000002</v>
      </c>
      <c r="G63" s="11">
        <f t="shared" si="2"/>
        <v>-1.3000000000007496E-3</v>
      </c>
      <c r="H63" s="12">
        <f t="shared" si="3"/>
        <v>0.9993300000000046</v>
      </c>
    </row>
    <row r="64" spans="1:8" ht="14.25" thickBot="1">
      <c r="A64" s="18">
        <v>6.1</v>
      </c>
      <c r="B64" s="15">
        <v>0.99051</v>
      </c>
      <c r="C64" s="11">
        <f t="shared" si="0"/>
        <v>-1.2999999999996278E-3</v>
      </c>
      <c r="D64" s="12">
        <f t="shared" si="1"/>
        <v>0.99843999999999777</v>
      </c>
      <c r="E64" s="18">
        <v>6.1</v>
      </c>
      <c r="F64" s="15">
        <v>0.99139999999999995</v>
      </c>
      <c r="G64" s="11">
        <f t="shared" si="2"/>
        <v>-1.2999999999996278E-3</v>
      </c>
      <c r="H64" s="12">
        <f t="shared" si="3"/>
        <v>0.99932999999999772</v>
      </c>
    </row>
    <row r="65" spans="1:8" ht="14.25" thickBot="1">
      <c r="A65" s="18">
        <v>6.2</v>
      </c>
      <c r="B65" s="15">
        <v>0.99038000000000004</v>
      </c>
      <c r="C65" s="11">
        <f t="shared" si="0"/>
        <v>-1.3000000000007496E-3</v>
      </c>
      <c r="D65" s="12">
        <f t="shared" si="1"/>
        <v>0.99844000000000477</v>
      </c>
      <c r="E65" s="18">
        <v>6.2</v>
      </c>
      <c r="F65" s="15">
        <v>0.99126999999999998</v>
      </c>
      <c r="G65" s="11">
        <f t="shared" si="2"/>
        <v>-1.2999999999996393E-3</v>
      </c>
      <c r="H65" s="12">
        <f t="shared" si="3"/>
        <v>0.99932999999999772</v>
      </c>
    </row>
    <row r="66" spans="1:8" ht="14.25" thickBot="1">
      <c r="A66" s="18">
        <v>6.3</v>
      </c>
      <c r="B66" s="15">
        <v>0.99024999999999996</v>
      </c>
      <c r="C66" s="11">
        <f t="shared" si="0"/>
        <v>-1.2999999999996278E-3</v>
      </c>
      <c r="D66" s="12">
        <f t="shared" si="1"/>
        <v>0.99843999999999766</v>
      </c>
      <c r="E66" s="18">
        <v>6.3</v>
      </c>
      <c r="F66" s="15">
        <v>0.99114000000000002</v>
      </c>
      <c r="G66" s="11">
        <f t="shared" si="2"/>
        <v>-1.3000000000007381E-3</v>
      </c>
      <c r="H66" s="12">
        <f t="shared" si="3"/>
        <v>0.9993300000000046</v>
      </c>
    </row>
    <row r="67" spans="1:8" ht="14.25" thickBot="1">
      <c r="A67" s="18">
        <v>6.4</v>
      </c>
      <c r="B67" s="15">
        <v>0.99012</v>
      </c>
      <c r="C67" s="11">
        <f t="shared" si="0"/>
        <v>-1.2000000000000942E-3</v>
      </c>
      <c r="D67" s="12">
        <f t="shared" si="1"/>
        <v>0.99780000000000058</v>
      </c>
      <c r="E67" s="18">
        <v>6.4</v>
      </c>
      <c r="F67" s="15">
        <v>0.99100999999999995</v>
      </c>
      <c r="G67" s="11">
        <f t="shared" si="2"/>
        <v>-1.199999999998984E-3</v>
      </c>
      <c r="H67" s="12">
        <f t="shared" si="3"/>
        <v>0.99868999999999342</v>
      </c>
    </row>
    <row r="68" spans="1:8" ht="14.25" thickBot="1">
      <c r="A68" s="18">
        <v>6.5</v>
      </c>
      <c r="B68" s="15">
        <v>0.99</v>
      </c>
      <c r="C68" s="11">
        <f t="shared" ref="C68:C131" si="4">SLOPE(B68:B69,A68:A69)</f>
        <v>-1.2999999999996393E-3</v>
      </c>
      <c r="D68" s="12">
        <f t="shared" ref="D68:D131" si="5">INTERCEPT(B68:B69,A68:A69)</f>
        <v>0.99844999999999762</v>
      </c>
      <c r="E68" s="18">
        <v>6.5</v>
      </c>
      <c r="F68" s="15">
        <v>0.99089000000000005</v>
      </c>
      <c r="G68" s="11">
        <f t="shared" ref="G68:G131" si="6">SLOPE(F68:F69,E68:E69)</f>
        <v>-1.3000000000007496E-3</v>
      </c>
      <c r="H68" s="12">
        <f t="shared" ref="H68:H131" si="7">INTERCEPT(F68:F69,E68:E69)</f>
        <v>0.999340000000005</v>
      </c>
    </row>
    <row r="69" spans="1:8" ht="14.25" thickBot="1">
      <c r="A69" s="18">
        <v>6.6</v>
      </c>
      <c r="B69" s="15">
        <v>0.98987000000000003</v>
      </c>
      <c r="C69" s="11">
        <f t="shared" si="4"/>
        <v>-1.3000000000007381E-3</v>
      </c>
      <c r="D69" s="12">
        <f t="shared" si="5"/>
        <v>0.99845000000000494</v>
      </c>
      <c r="E69" s="18">
        <v>6.6</v>
      </c>
      <c r="F69" s="15">
        <v>0.99075999999999997</v>
      </c>
      <c r="G69" s="11">
        <f t="shared" si="6"/>
        <v>-1.2999999999996278E-3</v>
      </c>
      <c r="H69" s="12">
        <f t="shared" si="7"/>
        <v>0.99933999999999756</v>
      </c>
    </row>
    <row r="70" spans="1:8" ht="14.25" thickBot="1">
      <c r="A70" s="18">
        <v>6.7</v>
      </c>
      <c r="B70" s="15">
        <v>0.98973999999999995</v>
      </c>
      <c r="C70" s="11">
        <f t="shared" si="4"/>
        <v>-1.199999999998984E-3</v>
      </c>
      <c r="D70" s="12">
        <f t="shared" si="5"/>
        <v>0.99777999999999312</v>
      </c>
      <c r="E70" s="18">
        <v>6.7</v>
      </c>
      <c r="F70" s="15">
        <v>0.99063000000000001</v>
      </c>
      <c r="G70" s="11">
        <f t="shared" si="6"/>
        <v>-1.2000000000000942E-3</v>
      </c>
      <c r="H70" s="12">
        <f t="shared" si="7"/>
        <v>0.99867000000000061</v>
      </c>
    </row>
    <row r="71" spans="1:8" ht="14.25" thickBot="1">
      <c r="A71" s="18">
        <v>6.8</v>
      </c>
      <c r="B71" s="15">
        <v>0.98962000000000006</v>
      </c>
      <c r="C71" s="11">
        <f t="shared" si="4"/>
        <v>-1.3000000000007381E-3</v>
      </c>
      <c r="D71" s="12">
        <f t="shared" si="5"/>
        <v>0.99846000000000501</v>
      </c>
      <c r="E71" s="18">
        <v>6.8</v>
      </c>
      <c r="F71" s="15">
        <v>0.99051</v>
      </c>
      <c r="G71" s="11">
        <f t="shared" si="6"/>
        <v>-1.2999999999996278E-3</v>
      </c>
      <c r="H71" s="12">
        <f t="shared" si="7"/>
        <v>0.99934999999999752</v>
      </c>
    </row>
    <row r="72" spans="1:8" ht="14.25" thickBot="1">
      <c r="A72" s="18">
        <v>6.9</v>
      </c>
      <c r="B72" s="15">
        <v>0.98948999999999998</v>
      </c>
      <c r="C72" s="11">
        <f t="shared" si="4"/>
        <v>-1.2999999999996393E-3</v>
      </c>
      <c r="D72" s="12">
        <f t="shared" si="5"/>
        <v>0.99845999999999746</v>
      </c>
      <c r="E72" s="18">
        <v>6.9</v>
      </c>
      <c r="F72" s="15">
        <v>0.99038000000000004</v>
      </c>
      <c r="G72" s="11">
        <f t="shared" si="6"/>
        <v>-1.3000000000007496E-3</v>
      </c>
      <c r="H72" s="12">
        <f t="shared" si="7"/>
        <v>0.99935000000000529</v>
      </c>
    </row>
    <row r="73" spans="1:8" ht="14.25" thickBot="1">
      <c r="A73" s="9">
        <v>7</v>
      </c>
      <c r="B73" s="19">
        <v>0.98936000000000002</v>
      </c>
      <c r="C73" s="11">
        <f t="shared" si="4"/>
        <v>-1.2000000000000942E-3</v>
      </c>
      <c r="D73" s="12">
        <f t="shared" si="5"/>
        <v>0.99776000000000076</v>
      </c>
      <c r="E73" s="9">
        <v>7</v>
      </c>
      <c r="F73" s="19">
        <v>0.99024999999999996</v>
      </c>
      <c r="G73" s="11">
        <f t="shared" si="6"/>
        <v>-1.2000000000000942E-3</v>
      </c>
      <c r="H73" s="12">
        <f t="shared" si="7"/>
        <v>0.99865000000000059</v>
      </c>
    </row>
    <row r="74" spans="1:8" ht="14.25" thickBot="1">
      <c r="A74" s="18">
        <v>7.1</v>
      </c>
      <c r="B74" s="15">
        <v>0.98924000000000001</v>
      </c>
      <c r="C74" s="11">
        <f t="shared" si="4"/>
        <v>-1.2999999999996278E-3</v>
      </c>
      <c r="D74" s="12">
        <f t="shared" si="5"/>
        <v>0.99846999999999742</v>
      </c>
      <c r="E74" s="18">
        <v>7.1</v>
      </c>
      <c r="F74" s="15">
        <v>0.99012999999999995</v>
      </c>
      <c r="G74" s="11">
        <f t="shared" si="6"/>
        <v>-1.2999999999996278E-3</v>
      </c>
      <c r="H74" s="12">
        <f t="shared" si="7"/>
        <v>0.99935999999999736</v>
      </c>
    </row>
    <row r="75" spans="1:8" ht="14.25" thickBot="1">
      <c r="A75" s="18">
        <v>7.2</v>
      </c>
      <c r="B75" s="15">
        <v>0.98911000000000004</v>
      </c>
      <c r="C75" s="11">
        <f t="shared" si="4"/>
        <v>-1.2000000000000942E-3</v>
      </c>
      <c r="D75" s="12">
        <f t="shared" si="5"/>
        <v>0.99775000000000069</v>
      </c>
      <c r="E75" s="18">
        <v>7.2</v>
      </c>
      <c r="F75" s="15">
        <v>0.99</v>
      </c>
      <c r="G75" s="11">
        <f t="shared" si="6"/>
        <v>-1.2000000000000942E-3</v>
      </c>
      <c r="H75" s="12">
        <f t="shared" si="7"/>
        <v>0.99864000000000075</v>
      </c>
    </row>
    <row r="76" spans="1:8" ht="14.25" thickBot="1">
      <c r="A76" s="18">
        <v>7.3</v>
      </c>
      <c r="B76" s="15">
        <v>0.98899000000000004</v>
      </c>
      <c r="C76" s="11">
        <f t="shared" si="4"/>
        <v>-1.3000000000007381E-3</v>
      </c>
      <c r="D76" s="12">
        <f t="shared" si="5"/>
        <v>0.99848000000000547</v>
      </c>
      <c r="E76" s="18">
        <v>7.3</v>
      </c>
      <c r="F76" s="15">
        <v>0.98987999999999998</v>
      </c>
      <c r="G76" s="11">
        <f t="shared" si="6"/>
        <v>-1.2999999999996278E-3</v>
      </c>
      <c r="H76" s="12">
        <f t="shared" si="7"/>
        <v>0.99936999999999732</v>
      </c>
    </row>
    <row r="77" spans="1:8" ht="14.25" thickBot="1">
      <c r="A77" s="18">
        <v>7.4</v>
      </c>
      <c r="B77" s="15">
        <v>0.98885999999999996</v>
      </c>
      <c r="C77" s="11">
        <f t="shared" si="4"/>
        <v>-1.2000000000000942E-3</v>
      </c>
      <c r="D77" s="12">
        <f t="shared" si="5"/>
        <v>0.99774000000000063</v>
      </c>
      <c r="E77" s="18">
        <v>7.4</v>
      </c>
      <c r="F77" s="15">
        <v>0.98975000000000002</v>
      </c>
      <c r="G77" s="11">
        <f t="shared" si="6"/>
        <v>-1.2000000000000942E-3</v>
      </c>
      <c r="H77" s="12">
        <f t="shared" si="7"/>
        <v>0.99863000000000068</v>
      </c>
    </row>
    <row r="78" spans="1:8" ht="14.25" thickBot="1">
      <c r="A78" s="18">
        <v>7.5</v>
      </c>
      <c r="B78" s="15">
        <v>0.98873999999999995</v>
      </c>
      <c r="C78" s="11">
        <f t="shared" si="4"/>
        <v>-1.2999999999996393E-3</v>
      </c>
      <c r="D78" s="12">
        <f t="shared" si="5"/>
        <v>0.99848999999999721</v>
      </c>
      <c r="E78" s="18">
        <v>7.5</v>
      </c>
      <c r="F78" s="15">
        <v>0.98963000000000001</v>
      </c>
      <c r="G78" s="11">
        <f t="shared" si="6"/>
        <v>-1.2999999999996393E-3</v>
      </c>
      <c r="H78" s="12">
        <f t="shared" si="7"/>
        <v>0.99937999999999727</v>
      </c>
    </row>
    <row r="79" spans="1:8" ht="14.25" thickBot="1">
      <c r="A79" s="18">
        <v>7.6</v>
      </c>
      <c r="B79" s="15">
        <v>0.98860999999999999</v>
      </c>
      <c r="C79" s="11">
        <f t="shared" si="4"/>
        <v>-1.2000000000000836E-3</v>
      </c>
      <c r="D79" s="12">
        <f t="shared" si="5"/>
        <v>0.99773000000000067</v>
      </c>
      <c r="E79" s="18">
        <v>7.6</v>
      </c>
      <c r="F79" s="15">
        <v>0.98950000000000005</v>
      </c>
      <c r="G79" s="11">
        <f t="shared" si="6"/>
        <v>-1.2000000000000836E-3</v>
      </c>
      <c r="H79" s="12">
        <f t="shared" si="7"/>
        <v>0.99862000000000073</v>
      </c>
    </row>
    <row r="80" spans="1:8" ht="14.25" thickBot="1">
      <c r="A80" s="18">
        <v>7.7</v>
      </c>
      <c r="B80" s="15">
        <v>0.98848999999999998</v>
      </c>
      <c r="C80" s="11">
        <f t="shared" si="4"/>
        <v>-1.2000000000000942E-3</v>
      </c>
      <c r="D80" s="12">
        <f t="shared" si="5"/>
        <v>0.99773000000000067</v>
      </c>
      <c r="E80" s="18">
        <v>7.7</v>
      </c>
      <c r="F80" s="15">
        <v>0.98938000000000004</v>
      </c>
      <c r="G80" s="11">
        <f t="shared" si="6"/>
        <v>-1.2000000000000942E-3</v>
      </c>
      <c r="H80" s="12">
        <f t="shared" si="7"/>
        <v>0.99862000000000073</v>
      </c>
    </row>
    <row r="81" spans="1:8" ht="14.25" thickBot="1">
      <c r="A81" s="18">
        <v>7.8</v>
      </c>
      <c r="B81" s="15">
        <v>0.98836999999999997</v>
      </c>
      <c r="C81" s="11">
        <f t="shared" si="4"/>
        <v>-1.2999999999996278E-3</v>
      </c>
      <c r="D81" s="12">
        <f t="shared" si="5"/>
        <v>0.99850999999999712</v>
      </c>
      <c r="E81" s="18">
        <v>7.8</v>
      </c>
      <c r="F81" s="15">
        <v>0.98926000000000003</v>
      </c>
      <c r="G81" s="11">
        <f t="shared" si="6"/>
        <v>-1.3000000000007381E-3</v>
      </c>
      <c r="H81" s="12">
        <f t="shared" si="7"/>
        <v>0.99940000000000584</v>
      </c>
    </row>
    <row r="82" spans="1:8" ht="14.25" thickBot="1">
      <c r="A82" s="18">
        <v>7.9</v>
      </c>
      <c r="B82" s="15">
        <v>0.98824000000000001</v>
      </c>
      <c r="C82" s="11">
        <f t="shared" si="4"/>
        <v>-1.2000000000000942E-3</v>
      </c>
      <c r="D82" s="12">
        <f t="shared" si="5"/>
        <v>0.99772000000000083</v>
      </c>
      <c r="E82" s="18">
        <v>7.9</v>
      </c>
      <c r="F82" s="15">
        <v>0.98912999999999995</v>
      </c>
      <c r="G82" s="11">
        <f t="shared" si="6"/>
        <v>-1.2000000000000942E-3</v>
      </c>
      <c r="H82" s="12">
        <f t="shared" si="7"/>
        <v>0.99861000000000066</v>
      </c>
    </row>
    <row r="83" spans="1:8" ht="14.25" thickBot="1">
      <c r="A83" s="9">
        <v>8</v>
      </c>
      <c r="B83" s="19">
        <v>0.98812</v>
      </c>
      <c r="C83" s="11">
        <f t="shared" si="4"/>
        <v>-1.2000000000000942E-3</v>
      </c>
      <c r="D83" s="12">
        <f t="shared" si="5"/>
        <v>0.99772000000000072</v>
      </c>
      <c r="E83" s="9">
        <v>8</v>
      </c>
      <c r="F83" s="19">
        <v>0.98900999999999994</v>
      </c>
      <c r="G83" s="11">
        <f t="shared" si="6"/>
        <v>-1.199999999998984E-3</v>
      </c>
      <c r="H83" s="12">
        <f t="shared" si="7"/>
        <v>0.99860999999999178</v>
      </c>
    </row>
    <row r="84" spans="1:8" ht="14.25" thickBot="1">
      <c r="A84" s="18">
        <v>8.1</v>
      </c>
      <c r="B84" s="15">
        <v>0.98799999999999999</v>
      </c>
      <c r="C84" s="11">
        <f t="shared" si="4"/>
        <v>-1.2000000000000942E-3</v>
      </c>
      <c r="D84" s="12">
        <f t="shared" si="5"/>
        <v>0.99772000000000083</v>
      </c>
      <c r="E84" s="18">
        <v>8.1</v>
      </c>
      <c r="F84" s="15">
        <v>0.98889000000000005</v>
      </c>
      <c r="G84" s="11">
        <f t="shared" si="6"/>
        <v>-1.2000000000000942E-3</v>
      </c>
      <c r="H84" s="12">
        <f t="shared" si="7"/>
        <v>0.99861000000000089</v>
      </c>
    </row>
    <row r="85" spans="1:8" ht="14.25" thickBot="1">
      <c r="A85" s="18">
        <v>8.1999999999999993</v>
      </c>
      <c r="B85" s="15">
        <v>0.98787999999999998</v>
      </c>
      <c r="C85" s="11">
        <f t="shared" si="4"/>
        <v>-1.2999999999996163E-3</v>
      </c>
      <c r="D85" s="12">
        <f t="shared" si="5"/>
        <v>0.99853999999999687</v>
      </c>
      <c r="E85" s="18">
        <v>8.1999999999999993</v>
      </c>
      <c r="F85" s="15">
        <v>0.98877000000000004</v>
      </c>
      <c r="G85" s="11">
        <f t="shared" si="6"/>
        <v>-1.3000000000007264E-3</v>
      </c>
      <c r="H85" s="12">
        <f t="shared" si="7"/>
        <v>0.99943000000000592</v>
      </c>
    </row>
    <row r="86" spans="1:8" ht="14.25" thickBot="1">
      <c r="A86" s="18">
        <v>8.3000000000000007</v>
      </c>
      <c r="B86" s="15">
        <v>0.98775000000000002</v>
      </c>
      <c r="C86" s="11">
        <f t="shared" si="4"/>
        <v>-1.2000000000000942E-3</v>
      </c>
      <c r="D86" s="12">
        <f t="shared" si="5"/>
        <v>0.99771000000000076</v>
      </c>
      <c r="E86" s="18">
        <v>8.3000000000000007</v>
      </c>
      <c r="F86" s="15">
        <v>0.98863999999999996</v>
      </c>
      <c r="G86" s="11">
        <f t="shared" si="6"/>
        <v>-1.200000000000094E-3</v>
      </c>
      <c r="H86" s="12">
        <f t="shared" si="7"/>
        <v>0.99860000000000082</v>
      </c>
    </row>
    <row r="87" spans="1:8" ht="14.25" thickBot="1">
      <c r="A87" s="18">
        <v>8.4</v>
      </c>
      <c r="B87" s="15">
        <v>0.98763000000000001</v>
      </c>
      <c r="C87" s="11">
        <f t="shared" si="4"/>
        <v>-1.2000000000000942E-3</v>
      </c>
      <c r="D87" s="12">
        <f t="shared" si="5"/>
        <v>0.99771000000000087</v>
      </c>
      <c r="E87" s="18">
        <v>8.4</v>
      </c>
      <c r="F87" s="15">
        <v>0.98851999999999995</v>
      </c>
      <c r="G87" s="11">
        <f t="shared" si="6"/>
        <v>-1.200000000000094E-3</v>
      </c>
      <c r="H87" s="12">
        <f t="shared" si="7"/>
        <v>0.99860000000000071</v>
      </c>
    </row>
    <row r="88" spans="1:8" ht="14.25" thickBot="1">
      <c r="A88" s="18">
        <v>8.5</v>
      </c>
      <c r="B88" s="15">
        <v>0.98751</v>
      </c>
      <c r="C88" s="11">
        <f t="shared" si="4"/>
        <v>-1.2000000000000942E-3</v>
      </c>
      <c r="D88" s="12">
        <f t="shared" si="5"/>
        <v>0.99771000000000076</v>
      </c>
      <c r="E88" s="18">
        <v>8.5</v>
      </c>
      <c r="F88" s="15">
        <v>0.98839999999999995</v>
      </c>
      <c r="G88" s="11">
        <f t="shared" si="6"/>
        <v>-1.199999999998984E-3</v>
      </c>
      <c r="H88" s="12">
        <f t="shared" si="7"/>
        <v>0.99859999999999127</v>
      </c>
    </row>
    <row r="89" spans="1:8" ht="14.25" thickBot="1">
      <c r="A89" s="18">
        <v>8.6</v>
      </c>
      <c r="B89" s="15">
        <v>0.98738999999999999</v>
      </c>
      <c r="C89" s="11">
        <f t="shared" si="4"/>
        <v>-1.2000000000000942E-3</v>
      </c>
      <c r="D89" s="12">
        <f t="shared" si="5"/>
        <v>0.99771000000000087</v>
      </c>
      <c r="E89" s="18">
        <v>8.6</v>
      </c>
      <c r="F89" s="15">
        <v>0.98828000000000005</v>
      </c>
      <c r="G89" s="11">
        <f t="shared" si="6"/>
        <v>-1.2000000000000942E-3</v>
      </c>
      <c r="H89" s="12">
        <f t="shared" si="7"/>
        <v>0.99860000000000093</v>
      </c>
    </row>
    <row r="90" spans="1:8" ht="14.25" thickBot="1">
      <c r="A90" s="18">
        <v>8.6999999999999993</v>
      </c>
      <c r="B90" s="15">
        <v>0.98726999999999998</v>
      </c>
      <c r="C90" s="11">
        <f t="shared" si="4"/>
        <v>-1.2000000000000728E-3</v>
      </c>
      <c r="D90" s="12">
        <f t="shared" si="5"/>
        <v>0.99771000000000054</v>
      </c>
      <c r="E90" s="18">
        <v>8.6999999999999993</v>
      </c>
      <c r="F90" s="15">
        <v>0.98816000000000004</v>
      </c>
      <c r="G90" s="11">
        <f t="shared" si="6"/>
        <v>-1.2000000000000728E-3</v>
      </c>
      <c r="H90" s="12">
        <f t="shared" si="7"/>
        <v>0.9986000000000006</v>
      </c>
    </row>
    <row r="91" spans="1:8" ht="14.25" thickBot="1">
      <c r="A91" s="18">
        <v>8.8000000000000007</v>
      </c>
      <c r="B91" s="15">
        <v>0.98714999999999997</v>
      </c>
      <c r="C91" s="11">
        <f t="shared" si="4"/>
        <v>-1.200000000000094E-3</v>
      </c>
      <c r="D91" s="12">
        <f t="shared" si="5"/>
        <v>0.99771000000000087</v>
      </c>
      <c r="E91" s="18">
        <v>8.8000000000000007</v>
      </c>
      <c r="F91" s="15">
        <v>0.98804000000000003</v>
      </c>
      <c r="G91" s="11">
        <f t="shared" si="6"/>
        <v>-1.200000000000094E-3</v>
      </c>
      <c r="H91" s="12">
        <f t="shared" si="7"/>
        <v>0.99860000000000093</v>
      </c>
    </row>
    <row r="92" spans="1:8" ht="14.25" thickBot="1">
      <c r="A92" s="18">
        <v>8.9</v>
      </c>
      <c r="B92" s="15">
        <v>0.98702999999999996</v>
      </c>
      <c r="C92" s="11">
        <f t="shared" si="4"/>
        <v>-1.200000000000094E-3</v>
      </c>
      <c r="D92" s="12">
        <f t="shared" si="5"/>
        <v>0.99771000000000076</v>
      </c>
      <c r="E92" s="18">
        <v>8.9</v>
      </c>
      <c r="F92" s="15">
        <v>0.98792000000000002</v>
      </c>
      <c r="G92" s="11">
        <f t="shared" si="6"/>
        <v>-1.200000000000094E-3</v>
      </c>
      <c r="H92" s="12">
        <f t="shared" si="7"/>
        <v>0.99860000000000082</v>
      </c>
    </row>
    <row r="93" spans="1:8" ht="14.25" thickBot="1">
      <c r="A93" s="9">
        <v>9</v>
      </c>
      <c r="B93" s="19">
        <v>0.98690999999999995</v>
      </c>
      <c r="C93" s="11">
        <f t="shared" si="4"/>
        <v>-1.200000000000094E-3</v>
      </c>
      <c r="D93" s="12">
        <f t="shared" si="5"/>
        <v>0.99771000000000087</v>
      </c>
      <c r="E93" s="9">
        <v>9</v>
      </c>
      <c r="F93" s="19">
        <v>0.98780000000000001</v>
      </c>
      <c r="G93" s="11">
        <f t="shared" si="6"/>
        <v>-1.200000000000094E-3</v>
      </c>
      <c r="H93" s="12">
        <f t="shared" si="7"/>
        <v>0.99860000000000093</v>
      </c>
    </row>
    <row r="94" spans="1:8" ht="14.25" thickBot="1">
      <c r="A94" s="18">
        <v>9.1</v>
      </c>
      <c r="B94" s="15">
        <v>0.98678999999999994</v>
      </c>
      <c r="C94" s="11">
        <f t="shared" si="4"/>
        <v>-1.199999999998984E-3</v>
      </c>
      <c r="D94" s="12">
        <f t="shared" si="5"/>
        <v>0.99770999999999066</v>
      </c>
      <c r="E94" s="18">
        <v>9.1</v>
      </c>
      <c r="F94" s="15">
        <v>0.98768</v>
      </c>
      <c r="G94" s="11">
        <f t="shared" si="6"/>
        <v>-1.200000000000094E-3</v>
      </c>
      <c r="H94" s="12">
        <f t="shared" si="7"/>
        <v>0.99860000000000082</v>
      </c>
    </row>
    <row r="95" spans="1:8" ht="14.25" thickBot="1">
      <c r="A95" s="18">
        <v>9.1999999999999993</v>
      </c>
      <c r="B95" s="15">
        <v>0.98667000000000005</v>
      </c>
      <c r="C95" s="11">
        <f t="shared" si="4"/>
        <v>-1.2000000000000728E-3</v>
      </c>
      <c r="D95" s="12">
        <f t="shared" si="5"/>
        <v>0.99771000000000065</v>
      </c>
      <c r="E95" s="18">
        <v>9.1999999999999993</v>
      </c>
      <c r="F95" s="15">
        <v>0.98755999999999999</v>
      </c>
      <c r="G95" s="11">
        <f t="shared" si="6"/>
        <v>-1.2000000000000728E-3</v>
      </c>
      <c r="H95" s="12">
        <f t="shared" si="7"/>
        <v>0.99860000000000071</v>
      </c>
    </row>
    <row r="96" spans="1:8" ht="14.25" thickBot="1">
      <c r="A96" s="18">
        <v>9.3000000000000007</v>
      </c>
      <c r="B96" s="15">
        <v>0.98655000000000004</v>
      </c>
      <c r="C96" s="11">
        <f t="shared" si="4"/>
        <v>-1.1000000000005489E-3</v>
      </c>
      <c r="D96" s="12">
        <f t="shared" si="5"/>
        <v>0.99678000000000511</v>
      </c>
      <c r="E96" s="18">
        <v>9.3000000000000007</v>
      </c>
      <c r="F96" s="15">
        <v>0.98743999999999998</v>
      </c>
      <c r="G96" s="11">
        <f t="shared" si="6"/>
        <v>-1.0999999999994387E-3</v>
      </c>
      <c r="H96" s="12">
        <f t="shared" si="7"/>
        <v>0.99766999999999473</v>
      </c>
    </row>
    <row r="97" spans="1:8" ht="14.25" thickBot="1">
      <c r="A97" s="18">
        <v>9.4</v>
      </c>
      <c r="B97" s="15">
        <v>0.98643999999999998</v>
      </c>
      <c r="C97" s="11">
        <f t="shared" si="4"/>
        <v>-1.2000000000000942E-3</v>
      </c>
      <c r="D97" s="12">
        <f t="shared" si="5"/>
        <v>0.99772000000000094</v>
      </c>
      <c r="E97" s="18">
        <v>9.4</v>
      </c>
      <c r="F97" s="15">
        <v>0.98733000000000004</v>
      </c>
      <c r="G97" s="11">
        <f t="shared" si="6"/>
        <v>-1.2000000000000942E-3</v>
      </c>
      <c r="H97" s="12">
        <f t="shared" si="7"/>
        <v>0.998610000000001</v>
      </c>
    </row>
    <row r="98" spans="1:8" ht="14.25" thickBot="1">
      <c r="A98" s="18">
        <v>9.5</v>
      </c>
      <c r="B98" s="15">
        <v>0.98631999999999997</v>
      </c>
      <c r="C98" s="11">
        <f t="shared" si="4"/>
        <v>-1.2000000000000942E-3</v>
      </c>
      <c r="D98" s="12">
        <f t="shared" si="5"/>
        <v>0.99772000000000083</v>
      </c>
      <c r="E98" s="18">
        <v>9.5</v>
      </c>
      <c r="F98" s="15">
        <v>0.98721000000000003</v>
      </c>
      <c r="G98" s="11">
        <f t="shared" si="6"/>
        <v>-1.2000000000000942E-3</v>
      </c>
      <c r="H98" s="12">
        <f t="shared" si="7"/>
        <v>0.99861000000000089</v>
      </c>
    </row>
    <row r="99" spans="1:8" ht="14.25" thickBot="1">
      <c r="A99" s="18">
        <v>9.6</v>
      </c>
      <c r="B99" s="15">
        <v>0.98619999999999997</v>
      </c>
      <c r="C99" s="11">
        <f t="shared" si="4"/>
        <v>-1.2000000000000942E-3</v>
      </c>
      <c r="D99" s="12">
        <f t="shared" si="5"/>
        <v>0.99772000000000094</v>
      </c>
      <c r="E99" s="18">
        <v>9.6</v>
      </c>
      <c r="F99" s="15">
        <v>0.98709000000000002</v>
      </c>
      <c r="G99" s="11">
        <f t="shared" si="6"/>
        <v>-1.2000000000000942E-3</v>
      </c>
      <c r="H99" s="12">
        <f t="shared" si="7"/>
        <v>0.998610000000001</v>
      </c>
    </row>
    <row r="100" spans="1:8" ht="14.25" thickBot="1">
      <c r="A100" s="18">
        <v>9.6999999999999993</v>
      </c>
      <c r="B100" s="15">
        <v>0.98607999999999996</v>
      </c>
      <c r="C100" s="11">
        <f t="shared" si="4"/>
        <v>-1.0999999999994192E-3</v>
      </c>
      <c r="D100" s="12">
        <f t="shared" si="5"/>
        <v>0.99674999999999425</v>
      </c>
      <c r="E100" s="18">
        <v>9.6999999999999993</v>
      </c>
      <c r="F100" s="15">
        <v>0.98697000000000001</v>
      </c>
      <c r="G100" s="11">
        <f t="shared" si="6"/>
        <v>-1.1000000000005292E-3</v>
      </c>
      <c r="H100" s="12">
        <f t="shared" si="7"/>
        <v>0.99764000000000519</v>
      </c>
    </row>
    <row r="101" spans="1:8" ht="14.25" thickBot="1">
      <c r="A101" s="18">
        <v>9.8000000000000007</v>
      </c>
      <c r="B101" s="15">
        <v>0.98597000000000001</v>
      </c>
      <c r="C101" s="11">
        <f t="shared" si="4"/>
        <v>-1.200000000000094E-3</v>
      </c>
      <c r="D101" s="12">
        <f t="shared" si="5"/>
        <v>0.997730000000001</v>
      </c>
      <c r="E101" s="18">
        <v>9.8000000000000007</v>
      </c>
      <c r="F101" s="15">
        <v>0.98685999999999996</v>
      </c>
      <c r="G101" s="11">
        <f t="shared" si="6"/>
        <v>-1.2000000000000942E-3</v>
      </c>
      <c r="H101" s="12">
        <f t="shared" si="7"/>
        <v>0.99862000000000084</v>
      </c>
    </row>
    <row r="102" spans="1:8" ht="14.25" thickBot="1">
      <c r="A102" s="18">
        <v>9.9</v>
      </c>
      <c r="B102" s="15">
        <v>0.98585</v>
      </c>
      <c r="C102" s="11">
        <f t="shared" si="4"/>
        <v>-1.200000000000094E-3</v>
      </c>
      <c r="D102" s="12">
        <f t="shared" si="5"/>
        <v>0.99773000000000089</v>
      </c>
      <c r="E102" s="18">
        <v>9.9</v>
      </c>
      <c r="F102" s="15">
        <v>0.98673999999999995</v>
      </c>
      <c r="G102" s="11">
        <f t="shared" si="6"/>
        <v>-1.199999999998984E-3</v>
      </c>
      <c r="H102" s="12">
        <f t="shared" si="7"/>
        <v>0.99861999999998985</v>
      </c>
    </row>
    <row r="103" spans="1:8" ht="14.25" thickBot="1">
      <c r="A103" s="9">
        <v>10</v>
      </c>
      <c r="B103" s="19">
        <v>0.98573</v>
      </c>
      <c r="C103" s="11">
        <f t="shared" si="4"/>
        <v>-1.0999999999994387E-3</v>
      </c>
      <c r="D103" s="12">
        <f t="shared" si="5"/>
        <v>0.99672999999999445</v>
      </c>
      <c r="E103" s="9">
        <v>10</v>
      </c>
      <c r="F103" s="19">
        <v>0.98662000000000005</v>
      </c>
      <c r="G103" s="11">
        <f t="shared" si="6"/>
        <v>-1.1000000000005489E-3</v>
      </c>
      <c r="H103" s="12">
        <f t="shared" si="7"/>
        <v>0.9976200000000055</v>
      </c>
    </row>
    <row r="104" spans="1:8" ht="14.25" thickBot="1">
      <c r="A104" s="18">
        <v>10.1</v>
      </c>
      <c r="B104" s="15">
        <v>0.98562000000000005</v>
      </c>
      <c r="C104" s="11">
        <f t="shared" si="4"/>
        <v>-1.200000000000094E-3</v>
      </c>
      <c r="D104" s="12">
        <f t="shared" si="5"/>
        <v>0.99774000000000096</v>
      </c>
      <c r="E104" s="18">
        <v>10.1</v>
      </c>
      <c r="F104" s="15">
        <v>0.98651</v>
      </c>
      <c r="G104" s="11">
        <f t="shared" si="6"/>
        <v>-1.2000000000000942E-3</v>
      </c>
      <c r="H104" s="12">
        <f t="shared" si="7"/>
        <v>0.99863000000000102</v>
      </c>
    </row>
    <row r="105" spans="1:8" ht="14.25" thickBot="1">
      <c r="A105" s="20">
        <v>10.199999999999999</v>
      </c>
      <c r="B105" s="21">
        <v>0.98550000000000004</v>
      </c>
      <c r="C105" s="11">
        <f t="shared" si="4"/>
        <v>-1.2000000000000728E-3</v>
      </c>
      <c r="D105" s="12">
        <f t="shared" si="5"/>
        <v>0.99774000000000085</v>
      </c>
      <c r="E105" s="20">
        <v>10.199999999999999</v>
      </c>
      <c r="F105" s="21">
        <v>0.98638999999999999</v>
      </c>
      <c r="G105" s="11">
        <f t="shared" si="6"/>
        <v>-1.2000000000000728E-3</v>
      </c>
      <c r="H105" s="12">
        <f t="shared" si="7"/>
        <v>0.99863000000000068</v>
      </c>
    </row>
    <row r="106" spans="1:8" ht="14.25" thickBot="1">
      <c r="A106" s="18">
        <v>10.3</v>
      </c>
      <c r="B106" s="15">
        <v>0.98538000000000003</v>
      </c>
      <c r="C106" s="11">
        <f t="shared" si="4"/>
        <v>-1.1000000000005489E-3</v>
      </c>
      <c r="D106" s="12">
        <f t="shared" si="5"/>
        <v>0.99671000000000565</v>
      </c>
      <c r="E106" s="18">
        <v>10.3</v>
      </c>
      <c r="F106" s="15">
        <v>0.98626999999999998</v>
      </c>
      <c r="G106" s="11">
        <f t="shared" si="6"/>
        <v>-1.0999999999994387E-3</v>
      </c>
      <c r="H106" s="12">
        <f t="shared" si="7"/>
        <v>0.99759999999999427</v>
      </c>
    </row>
    <row r="107" spans="1:8" ht="14.25" thickBot="1">
      <c r="A107" s="18">
        <v>10.4</v>
      </c>
      <c r="B107" s="15">
        <v>0.98526999999999998</v>
      </c>
      <c r="C107" s="11">
        <f t="shared" si="4"/>
        <v>-1.200000000000094E-3</v>
      </c>
      <c r="D107" s="12">
        <f t="shared" si="5"/>
        <v>0.99775000000000091</v>
      </c>
      <c r="E107" s="18">
        <v>10.4</v>
      </c>
      <c r="F107" s="15">
        <v>0.98616000000000004</v>
      </c>
      <c r="G107" s="11">
        <f t="shared" si="6"/>
        <v>-1.200000000000094E-3</v>
      </c>
      <c r="H107" s="12">
        <f t="shared" si="7"/>
        <v>0.99864000000000097</v>
      </c>
    </row>
    <row r="108" spans="1:8" ht="14.25" thickBot="1">
      <c r="A108" s="18">
        <v>10.5</v>
      </c>
      <c r="B108" s="15">
        <v>0.98514999999999997</v>
      </c>
      <c r="C108" s="11">
        <f t="shared" si="4"/>
        <v>-1.0999999999994387E-3</v>
      </c>
      <c r="D108" s="12">
        <f t="shared" si="5"/>
        <v>0.99669999999999415</v>
      </c>
      <c r="E108" s="18">
        <v>10.5</v>
      </c>
      <c r="F108" s="15">
        <v>0.98604000000000003</v>
      </c>
      <c r="G108" s="11">
        <f t="shared" si="6"/>
        <v>-1.1000000000005489E-3</v>
      </c>
      <c r="H108" s="12">
        <f t="shared" si="7"/>
        <v>0.99759000000000575</v>
      </c>
    </row>
    <row r="109" spans="1:8" ht="14.25" thickBot="1">
      <c r="A109" s="18">
        <v>10.6</v>
      </c>
      <c r="B109" s="15">
        <v>0.98504000000000003</v>
      </c>
      <c r="C109" s="11">
        <f t="shared" si="4"/>
        <v>-1.200000000000094E-3</v>
      </c>
      <c r="D109" s="12">
        <f t="shared" si="5"/>
        <v>0.99776000000000098</v>
      </c>
      <c r="E109" s="18">
        <v>10.6</v>
      </c>
      <c r="F109" s="15">
        <v>0.98592999999999997</v>
      </c>
      <c r="G109" s="11">
        <f t="shared" si="6"/>
        <v>-1.2000000000000942E-3</v>
      </c>
      <c r="H109" s="12">
        <f t="shared" si="7"/>
        <v>0.99865000000000104</v>
      </c>
    </row>
    <row r="110" spans="1:8" ht="14.25" thickBot="1">
      <c r="A110" s="18">
        <v>10.7</v>
      </c>
      <c r="B110" s="15">
        <v>0.98492000000000002</v>
      </c>
      <c r="C110" s="11">
        <f t="shared" si="4"/>
        <v>-1.1000000000005292E-3</v>
      </c>
      <c r="D110" s="12">
        <f t="shared" si="5"/>
        <v>0.99669000000000563</v>
      </c>
      <c r="E110" s="18">
        <v>10.7</v>
      </c>
      <c r="F110" s="15">
        <v>0.98580999999999996</v>
      </c>
      <c r="G110" s="11">
        <f t="shared" si="6"/>
        <v>-1.0999999999994192E-3</v>
      </c>
      <c r="H110" s="12">
        <f t="shared" si="7"/>
        <v>0.99757999999999369</v>
      </c>
    </row>
    <row r="111" spans="1:8" ht="14.25" thickBot="1">
      <c r="A111" s="18">
        <v>10.8</v>
      </c>
      <c r="B111" s="15">
        <v>0.98480999999999996</v>
      </c>
      <c r="C111" s="11">
        <f t="shared" si="4"/>
        <v>-1.0999999999994387E-3</v>
      </c>
      <c r="D111" s="12">
        <f t="shared" si="5"/>
        <v>0.99668999999999397</v>
      </c>
      <c r="E111" s="18">
        <v>10.8</v>
      </c>
      <c r="F111" s="15">
        <v>0.98570000000000002</v>
      </c>
      <c r="G111" s="11">
        <f t="shared" si="6"/>
        <v>-1.1000000000005489E-3</v>
      </c>
      <c r="H111" s="12">
        <f t="shared" si="7"/>
        <v>0.99758000000000591</v>
      </c>
    </row>
    <row r="112" spans="1:8" ht="14.25" thickBot="1">
      <c r="A112" s="18">
        <v>10.9</v>
      </c>
      <c r="B112" s="15">
        <v>0.98470000000000002</v>
      </c>
      <c r="C112" s="11">
        <f t="shared" si="4"/>
        <v>-1.200000000000094E-3</v>
      </c>
      <c r="D112" s="12">
        <f t="shared" si="5"/>
        <v>0.997780000000001</v>
      </c>
      <c r="E112" s="18">
        <v>10.9</v>
      </c>
      <c r="F112" s="15">
        <v>0.98558999999999997</v>
      </c>
      <c r="G112" s="11">
        <f t="shared" si="6"/>
        <v>-1.2000000000000942E-3</v>
      </c>
      <c r="H112" s="12">
        <f t="shared" si="7"/>
        <v>0.99867000000000106</v>
      </c>
    </row>
    <row r="113" spans="1:8" ht="14.25" thickBot="1">
      <c r="A113" s="9">
        <v>11</v>
      </c>
      <c r="B113" s="19">
        <v>0.98458000000000001</v>
      </c>
      <c r="C113" s="11">
        <f t="shared" si="4"/>
        <v>-1.1000000000005489E-3</v>
      </c>
      <c r="D113" s="12">
        <f t="shared" si="5"/>
        <v>0.99668000000000601</v>
      </c>
      <c r="E113" s="9">
        <v>11</v>
      </c>
      <c r="F113" s="19">
        <v>0.98546999999999996</v>
      </c>
      <c r="G113" s="11">
        <f t="shared" si="6"/>
        <v>-1.0999999999994387E-3</v>
      </c>
      <c r="H113" s="12">
        <f t="shared" si="7"/>
        <v>0.99756999999999374</v>
      </c>
    </row>
    <row r="114" spans="1:8" ht="14.25" thickBot="1">
      <c r="A114" s="18">
        <v>11.1</v>
      </c>
      <c r="B114" s="15">
        <v>0.98446999999999996</v>
      </c>
      <c r="C114" s="11">
        <f t="shared" si="4"/>
        <v>-1.0999999999994387E-3</v>
      </c>
      <c r="D114" s="12">
        <f t="shared" si="5"/>
        <v>0.99667999999999379</v>
      </c>
      <c r="E114" s="18">
        <v>11.1</v>
      </c>
      <c r="F114" s="15">
        <v>0.98536000000000001</v>
      </c>
      <c r="G114" s="11">
        <f t="shared" si="6"/>
        <v>-1.1000000000005489E-3</v>
      </c>
      <c r="H114" s="12">
        <f t="shared" si="7"/>
        <v>0.99757000000000606</v>
      </c>
    </row>
    <row r="115" spans="1:8" ht="14.25" thickBot="1">
      <c r="A115" s="18">
        <v>11.2</v>
      </c>
      <c r="B115" s="15">
        <v>0.98436000000000001</v>
      </c>
      <c r="C115" s="11">
        <f t="shared" si="4"/>
        <v>-1.2000000000000728E-3</v>
      </c>
      <c r="D115" s="12">
        <f t="shared" si="5"/>
        <v>0.9978000000000008</v>
      </c>
      <c r="E115" s="18">
        <v>11.2</v>
      </c>
      <c r="F115" s="15">
        <v>0.98524999999999996</v>
      </c>
      <c r="G115" s="11">
        <f t="shared" si="6"/>
        <v>-1.2000000000000728E-3</v>
      </c>
      <c r="H115" s="12">
        <f t="shared" si="7"/>
        <v>0.99869000000000085</v>
      </c>
    </row>
    <row r="116" spans="1:8" ht="14.25" thickBot="1">
      <c r="A116" s="18">
        <v>11.3</v>
      </c>
      <c r="B116" s="15">
        <v>0.98424</v>
      </c>
      <c r="C116" s="11">
        <f t="shared" si="4"/>
        <v>-1.1000000000005489E-3</v>
      </c>
      <c r="D116" s="12">
        <f t="shared" si="5"/>
        <v>0.99667000000000616</v>
      </c>
      <c r="E116" s="18">
        <v>11.3</v>
      </c>
      <c r="F116" s="15">
        <v>0.98512999999999995</v>
      </c>
      <c r="G116" s="11">
        <f t="shared" si="6"/>
        <v>-1.0999999999994387E-3</v>
      </c>
      <c r="H116" s="12">
        <f t="shared" si="7"/>
        <v>0.99755999999999356</v>
      </c>
    </row>
    <row r="117" spans="1:8" ht="14.25" thickBot="1">
      <c r="A117" s="18">
        <v>11.4</v>
      </c>
      <c r="B117" s="15">
        <v>0.98412999999999995</v>
      </c>
      <c r="C117" s="11">
        <f t="shared" si="4"/>
        <v>-1.0999999999994387E-3</v>
      </c>
      <c r="D117" s="12">
        <f t="shared" si="5"/>
        <v>0.99666999999999362</v>
      </c>
      <c r="E117" s="18">
        <v>11.4</v>
      </c>
      <c r="F117" s="15">
        <v>0.98502000000000001</v>
      </c>
      <c r="G117" s="11">
        <f t="shared" si="6"/>
        <v>-1.1000000000005489E-3</v>
      </c>
      <c r="H117" s="12">
        <f t="shared" si="7"/>
        <v>0.99756000000000622</v>
      </c>
    </row>
    <row r="118" spans="1:8" ht="14.25" thickBot="1">
      <c r="A118" s="18">
        <v>11.5</v>
      </c>
      <c r="B118" s="15">
        <v>0.98402000000000001</v>
      </c>
      <c r="C118" s="11">
        <f t="shared" si="4"/>
        <v>-1.1000000000005489E-3</v>
      </c>
      <c r="D118" s="12">
        <f t="shared" si="5"/>
        <v>0.99667000000000627</v>
      </c>
      <c r="E118" s="18">
        <v>11.5</v>
      </c>
      <c r="F118" s="15">
        <v>0.98490999999999995</v>
      </c>
      <c r="G118" s="11">
        <f t="shared" si="6"/>
        <v>-1.0999999999994387E-3</v>
      </c>
      <c r="H118" s="12">
        <f t="shared" si="7"/>
        <v>0.99755999999999356</v>
      </c>
    </row>
    <row r="119" spans="1:8" ht="14.25" thickBot="1">
      <c r="A119" s="18">
        <v>11.6</v>
      </c>
      <c r="B119" s="15">
        <v>0.98390999999999995</v>
      </c>
      <c r="C119" s="11">
        <f t="shared" si="4"/>
        <v>-1.199999999998984E-3</v>
      </c>
      <c r="D119" s="12">
        <f t="shared" si="5"/>
        <v>0.99782999999998812</v>
      </c>
      <c r="E119" s="18">
        <v>11.6</v>
      </c>
      <c r="F119" s="15">
        <v>0.98480000000000001</v>
      </c>
      <c r="G119" s="11">
        <f t="shared" si="6"/>
        <v>-1.200000000000094E-3</v>
      </c>
      <c r="H119" s="12">
        <f t="shared" si="7"/>
        <v>0.99872000000000105</v>
      </c>
    </row>
    <row r="120" spans="1:8" ht="14.25" thickBot="1">
      <c r="A120" s="18">
        <v>11.7</v>
      </c>
      <c r="B120" s="15">
        <v>0.98379000000000005</v>
      </c>
      <c r="C120" s="11">
        <f t="shared" si="4"/>
        <v>-1.1000000000005292E-3</v>
      </c>
      <c r="D120" s="12">
        <f t="shared" si="5"/>
        <v>0.99666000000000621</v>
      </c>
      <c r="E120" s="18">
        <v>11.7</v>
      </c>
      <c r="F120" s="15">
        <v>0.98468</v>
      </c>
      <c r="G120" s="11">
        <f t="shared" si="6"/>
        <v>-1.1000000000005292E-3</v>
      </c>
      <c r="H120" s="12">
        <f t="shared" si="7"/>
        <v>0.99755000000000615</v>
      </c>
    </row>
    <row r="121" spans="1:8" ht="14.25" thickBot="1">
      <c r="A121" s="18">
        <v>11.8</v>
      </c>
      <c r="B121" s="15">
        <v>0.98368</v>
      </c>
      <c r="C121" s="11">
        <f t="shared" si="4"/>
        <v>-1.0999999999994387E-3</v>
      </c>
      <c r="D121" s="12">
        <f t="shared" si="5"/>
        <v>0.99665999999999333</v>
      </c>
      <c r="E121" s="18">
        <v>11.8</v>
      </c>
      <c r="F121" s="15">
        <v>0.98456999999999995</v>
      </c>
      <c r="G121" s="11">
        <f t="shared" si="6"/>
        <v>-1.0999999999994387E-3</v>
      </c>
      <c r="H121" s="12">
        <f t="shared" si="7"/>
        <v>0.99754999999999339</v>
      </c>
    </row>
    <row r="122" spans="1:8" ht="14.25" thickBot="1">
      <c r="A122" s="18">
        <v>11.9</v>
      </c>
      <c r="B122" s="15">
        <v>0.98357000000000006</v>
      </c>
      <c r="C122" s="11">
        <f t="shared" si="4"/>
        <v>-1.1000000000005489E-3</v>
      </c>
      <c r="D122" s="12">
        <f t="shared" si="5"/>
        <v>0.99666000000000654</v>
      </c>
      <c r="E122" s="18">
        <v>11.9</v>
      </c>
      <c r="F122" s="15">
        <v>0.98446</v>
      </c>
      <c r="G122" s="11">
        <f t="shared" si="6"/>
        <v>-1.1000000000005489E-3</v>
      </c>
      <c r="H122" s="12">
        <f t="shared" si="7"/>
        <v>0.99755000000000649</v>
      </c>
    </row>
    <row r="123" spans="1:8" ht="14.25" thickBot="1">
      <c r="A123" s="9">
        <v>12</v>
      </c>
      <c r="B123" s="19">
        <v>0.98346</v>
      </c>
      <c r="C123" s="11">
        <f t="shared" si="4"/>
        <v>-1.1000000000005489E-3</v>
      </c>
      <c r="D123" s="12">
        <f t="shared" si="5"/>
        <v>0.99666000000000654</v>
      </c>
      <c r="E123" s="9">
        <v>12</v>
      </c>
      <c r="F123" s="19">
        <v>0.98434999999999995</v>
      </c>
      <c r="G123" s="11">
        <f t="shared" si="6"/>
        <v>-1.0999999999994387E-3</v>
      </c>
      <c r="H123" s="12">
        <f t="shared" si="7"/>
        <v>0.99754999999999316</v>
      </c>
    </row>
    <row r="124" spans="1:8" ht="14.25" thickBot="1">
      <c r="A124" s="18">
        <v>12.1</v>
      </c>
      <c r="B124" s="15">
        <v>0.98334999999999995</v>
      </c>
      <c r="C124" s="11">
        <f t="shared" si="4"/>
        <v>-1.0999999999994387E-3</v>
      </c>
      <c r="D124" s="12">
        <f t="shared" si="5"/>
        <v>0.99665999999999322</v>
      </c>
      <c r="E124" s="18">
        <v>12.1</v>
      </c>
      <c r="F124" s="15">
        <v>0.98424</v>
      </c>
      <c r="G124" s="11">
        <f t="shared" si="6"/>
        <v>-1.1000000000005489E-3</v>
      </c>
      <c r="H124" s="12">
        <f t="shared" si="7"/>
        <v>0.9975500000000066</v>
      </c>
    </row>
    <row r="125" spans="1:8" ht="14.25" thickBot="1">
      <c r="A125" s="18">
        <v>12.2</v>
      </c>
      <c r="B125" s="15">
        <v>0.98324</v>
      </c>
      <c r="C125" s="11">
        <f t="shared" si="4"/>
        <v>-1.1000000000005292E-3</v>
      </c>
      <c r="D125" s="12">
        <f t="shared" si="5"/>
        <v>0.99666000000000643</v>
      </c>
      <c r="E125" s="18">
        <v>12.2</v>
      </c>
      <c r="F125" s="15">
        <v>0.98412999999999995</v>
      </c>
      <c r="G125" s="11">
        <f t="shared" si="6"/>
        <v>-1.0999999999994192E-3</v>
      </c>
      <c r="H125" s="12">
        <f t="shared" si="7"/>
        <v>0.99754999999999294</v>
      </c>
    </row>
    <row r="126" spans="1:8" ht="14.25" thickBot="1">
      <c r="A126" s="18">
        <v>12.3</v>
      </c>
      <c r="B126" s="15">
        <v>0.98312999999999995</v>
      </c>
      <c r="C126" s="11">
        <f t="shared" si="4"/>
        <v>-1.0999999999994387E-3</v>
      </c>
      <c r="D126" s="12">
        <f t="shared" si="5"/>
        <v>0.996659999999993</v>
      </c>
      <c r="E126" s="18">
        <v>12.3</v>
      </c>
      <c r="F126" s="15">
        <v>0.98402000000000001</v>
      </c>
      <c r="G126" s="11">
        <f t="shared" si="6"/>
        <v>-1.1000000000005489E-3</v>
      </c>
      <c r="H126" s="12">
        <f t="shared" si="7"/>
        <v>0.99755000000000671</v>
      </c>
    </row>
    <row r="127" spans="1:8" ht="14.25" thickBot="1">
      <c r="A127" s="18">
        <v>12.4</v>
      </c>
      <c r="B127" s="15">
        <v>0.98302</v>
      </c>
      <c r="C127" s="11">
        <f t="shared" si="4"/>
        <v>-1.1000000000005489E-3</v>
      </c>
      <c r="D127" s="12">
        <f t="shared" si="5"/>
        <v>0.99666000000000676</v>
      </c>
      <c r="E127" s="18">
        <v>12.4</v>
      </c>
      <c r="F127" s="15">
        <v>0.98390999999999995</v>
      </c>
      <c r="G127" s="11">
        <f t="shared" si="6"/>
        <v>-1.0999999999994387E-3</v>
      </c>
      <c r="H127" s="12">
        <f t="shared" si="7"/>
        <v>0.99754999999999294</v>
      </c>
    </row>
    <row r="128" spans="1:8" ht="14.25" thickBot="1">
      <c r="A128" s="18">
        <v>12.5</v>
      </c>
      <c r="B128" s="15">
        <v>0.98290999999999995</v>
      </c>
      <c r="C128" s="11">
        <f t="shared" si="4"/>
        <v>-1.0999999999994387E-3</v>
      </c>
      <c r="D128" s="12">
        <f t="shared" si="5"/>
        <v>0.996659999999993</v>
      </c>
      <c r="E128" s="18">
        <v>12.5</v>
      </c>
      <c r="F128" s="15">
        <v>0.98380000000000001</v>
      </c>
      <c r="G128" s="11">
        <f t="shared" si="6"/>
        <v>-1.1000000000005489E-3</v>
      </c>
      <c r="H128" s="12">
        <f t="shared" si="7"/>
        <v>0.99755000000000682</v>
      </c>
    </row>
    <row r="129" spans="1:8" ht="14.25" thickBot="1">
      <c r="A129" s="18">
        <v>12.6</v>
      </c>
      <c r="B129" s="15">
        <v>0.98280000000000001</v>
      </c>
      <c r="C129" s="11">
        <f t="shared" si="4"/>
        <v>-1.1000000000005489E-3</v>
      </c>
      <c r="D129" s="12">
        <f t="shared" si="5"/>
        <v>0.99666000000000687</v>
      </c>
      <c r="E129" s="18">
        <v>12.6</v>
      </c>
      <c r="F129" s="15">
        <v>0.98368999999999995</v>
      </c>
      <c r="G129" s="11">
        <f t="shared" si="6"/>
        <v>-1.0999999999994387E-3</v>
      </c>
      <c r="H129" s="12">
        <f t="shared" si="7"/>
        <v>0.99754999999999294</v>
      </c>
    </row>
    <row r="130" spans="1:8" ht="14.25" thickBot="1">
      <c r="A130" s="18">
        <v>12.7</v>
      </c>
      <c r="B130" s="15">
        <v>0.98268999999999995</v>
      </c>
      <c r="C130" s="11">
        <f t="shared" si="4"/>
        <v>-1.0999999999994192E-3</v>
      </c>
      <c r="D130" s="12">
        <f t="shared" si="5"/>
        <v>0.99665999999999255</v>
      </c>
      <c r="E130" s="18">
        <v>12.7</v>
      </c>
      <c r="F130" s="15">
        <v>0.98358000000000001</v>
      </c>
      <c r="G130" s="11">
        <f t="shared" si="6"/>
        <v>-1.1000000000005292E-3</v>
      </c>
      <c r="H130" s="12">
        <f t="shared" si="7"/>
        <v>0.99755000000000671</v>
      </c>
    </row>
    <row r="131" spans="1:8" ht="14.25" thickBot="1">
      <c r="A131" s="18">
        <v>12.8</v>
      </c>
      <c r="B131" s="15">
        <v>0.98258000000000001</v>
      </c>
      <c r="C131" s="11">
        <f t="shared" si="4"/>
        <v>-1.1000000000005489E-3</v>
      </c>
      <c r="D131" s="12">
        <f t="shared" si="5"/>
        <v>0.99666000000000698</v>
      </c>
      <c r="E131" s="18">
        <v>12.8</v>
      </c>
      <c r="F131" s="15">
        <v>0.98346999999999996</v>
      </c>
      <c r="G131" s="11">
        <f t="shared" si="6"/>
        <v>-1.0999999999994387E-3</v>
      </c>
      <c r="H131" s="12">
        <f t="shared" si="7"/>
        <v>0.99754999999999272</v>
      </c>
    </row>
    <row r="132" spans="1:8" ht="14.25" thickBot="1">
      <c r="A132" s="18">
        <v>12.9</v>
      </c>
      <c r="B132" s="15">
        <v>0.98246999999999995</v>
      </c>
      <c r="C132" s="11">
        <f t="shared" ref="C132:C195" si="8">SLOPE(B132:B133,A132:A133)</f>
        <v>-1.0999999999994387E-3</v>
      </c>
      <c r="D132" s="12">
        <f t="shared" ref="D132:D195" si="9">INTERCEPT(B132:B133,A132:A133)</f>
        <v>0.99665999999999277</v>
      </c>
      <c r="E132" s="18">
        <v>12.9</v>
      </c>
      <c r="F132" s="15">
        <v>0.98336000000000001</v>
      </c>
      <c r="G132" s="11">
        <f t="shared" ref="G132:G195" si="10">SLOPE(F132:F133,E132:E133)</f>
        <v>-1.2000000000000942E-3</v>
      </c>
      <c r="H132" s="12">
        <f t="shared" ref="H132:H195" si="11">INTERCEPT(F132:F133,E132:E133)</f>
        <v>0.99884000000000128</v>
      </c>
    </row>
    <row r="133" spans="1:8" ht="14.25" thickBot="1">
      <c r="A133" s="9">
        <v>13</v>
      </c>
      <c r="B133" s="19">
        <v>0.98236000000000001</v>
      </c>
      <c r="C133" s="11">
        <f t="shared" si="8"/>
        <v>-1.1000000000005489E-3</v>
      </c>
      <c r="D133" s="12">
        <f t="shared" si="9"/>
        <v>0.9966600000000071</v>
      </c>
      <c r="E133" s="9">
        <v>13</v>
      </c>
      <c r="F133" s="19">
        <v>0.98324</v>
      </c>
      <c r="G133" s="11">
        <f t="shared" si="10"/>
        <v>-1.1000000000005489E-3</v>
      </c>
      <c r="H133" s="12">
        <f t="shared" si="11"/>
        <v>0.99754000000000709</v>
      </c>
    </row>
    <row r="134" spans="1:8" ht="14.25" thickBot="1">
      <c r="A134" s="18">
        <v>13.1</v>
      </c>
      <c r="B134" s="15">
        <v>0.98224999999999996</v>
      </c>
      <c r="C134" s="11">
        <f t="shared" si="8"/>
        <v>-9.9999999999989355E-4</v>
      </c>
      <c r="D134" s="12">
        <f t="shared" si="9"/>
        <v>0.99534999999999851</v>
      </c>
      <c r="E134" s="18">
        <v>13.1</v>
      </c>
      <c r="F134" s="15">
        <v>0.98312999999999995</v>
      </c>
      <c r="G134" s="11">
        <f t="shared" si="10"/>
        <v>-9.9999999999989355E-4</v>
      </c>
      <c r="H134" s="12">
        <f t="shared" si="11"/>
        <v>0.99622999999999851</v>
      </c>
    </row>
    <row r="135" spans="1:8" ht="14.25" thickBot="1">
      <c r="A135" s="18">
        <v>13.2</v>
      </c>
      <c r="B135" s="15">
        <v>0.98214999999999997</v>
      </c>
      <c r="C135" s="11">
        <f t="shared" si="8"/>
        <v>-1.0999999999994192E-3</v>
      </c>
      <c r="D135" s="12">
        <f t="shared" si="9"/>
        <v>0.99666999999999228</v>
      </c>
      <c r="E135" s="18">
        <v>13.2</v>
      </c>
      <c r="F135" s="15">
        <v>0.98302999999999996</v>
      </c>
      <c r="G135" s="11">
        <f t="shared" si="10"/>
        <v>-1.0999999999994192E-3</v>
      </c>
      <c r="H135" s="12">
        <f t="shared" si="11"/>
        <v>0.99754999999999228</v>
      </c>
    </row>
    <row r="136" spans="1:8" ht="14.25" thickBot="1">
      <c r="A136" s="18">
        <v>13.3</v>
      </c>
      <c r="B136" s="15">
        <v>0.98204000000000002</v>
      </c>
      <c r="C136" s="11">
        <f t="shared" si="8"/>
        <v>-1.1000000000005489E-3</v>
      </c>
      <c r="D136" s="12">
        <f t="shared" si="9"/>
        <v>0.99667000000000727</v>
      </c>
      <c r="E136" s="18">
        <v>13.3</v>
      </c>
      <c r="F136" s="15">
        <v>0.98292000000000002</v>
      </c>
      <c r="G136" s="11">
        <f t="shared" si="10"/>
        <v>-1.1000000000005489E-3</v>
      </c>
      <c r="H136" s="12">
        <f t="shared" si="11"/>
        <v>0.99755000000000726</v>
      </c>
    </row>
    <row r="137" spans="1:8" ht="14.25" thickBot="1">
      <c r="A137" s="18">
        <v>13.4</v>
      </c>
      <c r="B137" s="15">
        <v>0.98192999999999997</v>
      </c>
      <c r="C137" s="11">
        <f t="shared" si="8"/>
        <v>-1.0999999999994387E-3</v>
      </c>
      <c r="D137" s="12">
        <f t="shared" si="9"/>
        <v>0.99666999999999251</v>
      </c>
      <c r="E137" s="18">
        <v>13.4</v>
      </c>
      <c r="F137" s="15">
        <v>0.98280999999999996</v>
      </c>
      <c r="G137" s="11">
        <f t="shared" si="10"/>
        <v>-1.0999999999994387E-3</v>
      </c>
      <c r="H137" s="12">
        <f t="shared" si="11"/>
        <v>0.9975499999999925</v>
      </c>
    </row>
    <row r="138" spans="1:8" ht="14.25" thickBot="1">
      <c r="A138" s="18">
        <v>13.5</v>
      </c>
      <c r="B138" s="15">
        <v>0.98182000000000003</v>
      </c>
      <c r="C138" s="11">
        <f t="shared" si="8"/>
        <v>-9.9999999999989355E-4</v>
      </c>
      <c r="D138" s="12">
        <f t="shared" si="9"/>
        <v>0.99531999999999854</v>
      </c>
      <c r="E138" s="18">
        <v>13.5</v>
      </c>
      <c r="F138" s="15">
        <v>0.98270000000000002</v>
      </c>
      <c r="G138" s="11">
        <f t="shared" si="10"/>
        <v>-9.9999999999989355E-4</v>
      </c>
      <c r="H138" s="12">
        <f t="shared" si="11"/>
        <v>0.99619999999999853</v>
      </c>
    </row>
    <row r="139" spans="1:8" ht="14.25" thickBot="1">
      <c r="A139" s="18">
        <v>13.6</v>
      </c>
      <c r="B139" s="15">
        <v>0.98172000000000004</v>
      </c>
      <c r="C139" s="11">
        <f t="shared" si="8"/>
        <v>-1.1000000000005489E-3</v>
      </c>
      <c r="D139" s="12">
        <f t="shared" si="9"/>
        <v>0.99668000000000745</v>
      </c>
      <c r="E139" s="18">
        <v>13.6</v>
      </c>
      <c r="F139" s="15">
        <v>0.98260000000000003</v>
      </c>
      <c r="G139" s="11">
        <f t="shared" si="10"/>
        <v>-1.1000000000005489E-3</v>
      </c>
      <c r="H139" s="12">
        <f t="shared" si="11"/>
        <v>0.99756000000000744</v>
      </c>
    </row>
    <row r="140" spans="1:8" ht="14.25" thickBot="1">
      <c r="A140" s="18">
        <v>13.7</v>
      </c>
      <c r="B140" s="15">
        <v>0.98160999999999998</v>
      </c>
      <c r="C140" s="11">
        <f t="shared" si="8"/>
        <v>-1.0999999999994192E-3</v>
      </c>
      <c r="D140" s="12">
        <f t="shared" si="9"/>
        <v>0.99667999999999202</v>
      </c>
      <c r="E140" s="18">
        <v>13.7</v>
      </c>
      <c r="F140" s="15">
        <v>0.98248999999999997</v>
      </c>
      <c r="G140" s="11">
        <f t="shared" si="10"/>
        <v>-1.0999999999994192E-3</v>
      </c>
      <c r="H140" s="12">
        <f t="shared" si="11"/>
        <v>0.99755999999999201</v>
      </c>
    </row>
    <row r="141" spans="1:8" ht="14.25" thickBot="1">
      <c r="A141" s="18">
        <v>13.8</v>
      </c>
      <c r="B141" s="15">
        <v>0.98150000000000004</v>
      </c>
      <c r="C141" s="11">
        <f t="shared" si="8"/>
        <v>-9.9999999999989355E-4</v>
      </c>
      <c r="D141" s="12">
        <f t="shared" si="9"/>
        <v>0.99529999999999852</v>
      </c>
      <c r="E141" s="18">
        <v>13.8</v>
      </c>
      <c r="F141" s="15">
        <v>0.98238000000000003</v>
      </c>
      <c r="G141" s="11">
        <f t="shared" si="10"/>
        <v>-9.9999999999989355E-4</v>
      </c>
      <c r="H141" s="12">
        <f t="shared" si="11"/>
        <v>0.99617999999999851</v>
      </c>
    </row>
    <row r="142" spans="1:8" ht="14.25" thickBot="1">
      <c r="A142" s="18">
        <v>13.9</v>
      </c>
      <c r="B142" s="15">
        <v>0.98140000000000005</v>
      </c>
      <c r="C142" s="11">
        <f t="shared" si="8"/>
        <v>-1.1000000000005489E-3</v>
      </c>
      <c r="D142" s="12">
        <f t="shared" si="9"/>
        <v>0.99669000000000763</v>
      </c>
      <c r="E142" s="18">
        <v>13.9</v>
      </c>
      <c r="F142" s="15">
        <v>0.98228000000000004</v>
      </c>
      <c r="G142" s="11">
        <f t="shared" si="10"/>
        <v>-1.1000000000005489E-3</v>
      </c>
      <c r="H142" s="12">
        <f t="shared" si="11"/>
        <v>0.99757000000000762</v>
      </c>
    </row>
    <row r="143" spans="1:8" ht="14.25" thickBot="1">
      <c r="A143" s="9">
        <v>14</v>
      </c>
      <c r="B143" s="19">
        <v>0.98129</v>
      </c>
      <c r="C143" s="11">
        <f t="shared" si="8"/>
        <v>-1.0999999999994387E-3</v>
      </c>
      <c r="D143" s="12">
        <f t="shared" si="9"/>
        <v>0.99668999999999219</v>
      </c>
      <c r="E143" s="9">
        <v>14</v>
      </c>
      <c r="F143" s="19">
        <v>0.98216999999999999</v>
      </c>
      <c r="G143" s="11">
        <f t="shared" si="10"/>
        <v>-1.0999999999994387E-3</v>
      </c>
      <c r="H143" s="12">
        <f t="shared" si="11"/>
        <v>0.99756999999999219</v>
      </c>
    </row>
    <row r="144" spans="1:8" ht="14.25" thickBot="1">
      <c r="A144" s="18">
        <v>14.1</v>
      </c>
      <c r="B144" s="15">
        <v>0.98118000000000005</v>
      </c>
      <c r="C144" s="11">
        <f t="shared" si="8"/>
        <v>-1.0000000000010036E-3</v>
      </c>
      <c r="D144" s="12">
        <f t="shared" si="9"/>
        <v>0.99528000000001426</v>
      </c>
      <c r="E144" s="18">
        <v>14.1</v>
      </c>
      <c r="F144" s="15">
        <v>0.98206000000000004</v>
      </c>
      <c r="G144" s="11">
        <f t="shared" si="10"/>
        <v>-9.9999999999989355E-4</v>
      </c>
      <c r="H144" s="12">
        <f t="shared" si="11"/>
        <v>0.99615999999999849</v>
      </c>
    </row>
    <row r="145" spans="1:8" ht="14.25" thickBot="1">
      <c r="A145" s="18">
        <v>14.2</v>
      </c>
      <c r="B145" s="15">
        <v>0.98107999999999995</v>
      </c>
      <c r="C145" s="11">
        <f t="shared" si="8"/>
        <v>-1.0999999999994192E-3</v>
      </c>
      <c r="D145" s="12">
        <f t="shared" si="9"/>
        <v>0.9966999999999917</v>
      </c>
      <c r="E145" s="18">
        <v>14.2</v>
      </c>
      <c r="F145" s="15">
        <v>0.98196000000000006</v>
      </c>
      <c r="G145" s="11">
        <f t="shared" si="10"/>
        <v>-1.1000000000005292E-3</v>
      </c>
      <c r="H145" s="12">
        <f t="shared" si="11"/>
        <v>0.99758000000000757</v>
      </c>
    </row>
    <row r="146" spans="1:8" ht="14.25" thickBot="1">
      <c r="A146" s="18">
        <v>14.3</v>
      </c>
      <c r="B146" s="15">
        <v>0.98097000000000001</v>
      </c>
      <c r="C146" s="11">
        <f t="shared" si="8"/>
        <v>-1.1000000000005489E-3</v>
      </c>
      <c r="D146" s="12">
        <f t="shared" si="9"/>
        <v>0.99670000000000791</v>
      </c>
      <c r="E146" s="18">
        <v>14.3</v>
      </c>
      <c r="F146" s="15">
        <v>0.98185</v>
      </c>
      <c r="G146" s="11">
        <f t="shared" si="10"/>
        <v>-1.1000000000005489E-3</v>
      </c>
      <c r="H146" s="12">
        <f t="shared" si="11"/>
        <v>0.9975800000000079</v>
      </c>
    </row>
    <row r="147" spans="1:8" ht="14.25" thickBot="1">
      <c r="A147" s="18">
        <v>14.4</v>
      </c>
      <c r="B147" s="15">
        <v>0.98085999999999995</v>
      </c>
      <c r="C147" s="11">
        <f t="shared" si="8"/>
        <v>-9.9999999999989355E-4</v>
      </c>
      <c r="D147" s="12">
        <f t="shared" si="9"/>
        <v>0.99525999999999837</v>
      </c>
      <c r="E147" s="18">
        <v>14.4</v>
      </c>
      <c r="F147" s="15">
        <v>0.98173999999999995</v>
      </c>
      <c r="G147" s="11">
        <f t="shared" si="10"/>
        <v>-9.9999999999989355E-4</v>
      </c>
      <c r="H147" s="12">
        <f t="shared" si="11"/>
        <v>0.99613999999999836</v>
      </c>
    </row>
    <row r="148" spans="1:8" ht="14.25" thickBot="1">
      <c r="A148" s="18">
        <v>14.5</v>
      </c>
      <c r="B148" s="15">
        <v>0.98075999999999997</v>
      </c>
      <c r="C148" s="11">
        <f t="shared" si="8"/>
        <v>-1.0999999999994387E-3</v>
      </c>
      <c r="D148" s="12">
        <f t="shared" si="9"/>
        <v>0.99670999999999177</v>
      </c>
      <c r="E148" s="18">
        <v>14.5</v>
      </c>
      <c r="F148" s="15">
        <v>0.98163999999999996</v>
      </c>
      <c r="G148" s="11">
        <f t="shared" si="10"/>
        <v>-1.0999999999994387E-3</v>
      </c>
      <c r="H148" s="12">
        <f t="shared" si="11"/>
        <v>0.99758999999999176</v>
      </c>
    </row>
    <row r="149" spans="1:8" ht="14.25" thickBot="1">
      <c r="A149" s="18">
        <v>14.6</v>
      </c>
      <c r="B149" s="15">
        <v>0.98065000000000002</v>
      </c>
      <c r="C149" s="11">
        <f t="shared" si="8"/>
        <v>-9.9999999999989355E-4</v>
      </c>
      <c r="D149" s="12">
        <f t="shared" si="9"/>
        <v>0.99524999999999841</v>
      </c>
      <c r="E149" s="18">
        <v>14.6</v>
      </c>
      <c r="F149" s="15">
        <v>0.98153000000000001</v>
      </c>
      <c r="G149" s="11">
        <f t="shared" si="10"/>
        <v>-9.9999999999989355E-4</v>
      </c>
      <c r="H149" s="12">
        <f t="shared" si="11"/>
        <v>0.99612999999999841</v>
      </c>
    </row>
    <row r="150" spans="1:8" ht="14.25" thickBot="1">
      <c r="A150" s="18">
        <v>14.7</v>
      </c>
      <c r="B150" s="15">
        <v>0.98055000000000003</v>
      </c>
      <c r="C150" s="11">
        <f t="shared" si="8"/>
        <v>-1.1000000000005292E-3</v>
      </c>
      <c r="D150" s="12">
        <f t="shared" si="9"/>
        <v>0.99672000000000782</v>
      </c>
      <c r="E150" s="18">
        <v>14.7</v>
      </c>
      <c r="F150" s="15">
        <v>0.98143000000000002</v>
      </c>
      <c r="G150" s="11">
        <f t="shared" si="10"/>
        <v>-1.1000000000005292E-3</v>
      </c>
      <c r="H150" s="12">
        <f t="shared" si="11"/>
        <v>0.99760000000000781</v>
      </c>
    </row>
    <row r="151" spans="1:8" ht="14.25" thickBot="1">
      <c r="A151" s="18">
        <v>14.8</v>
      </c>
      <c r="B151" s="15">
        <v>0.98043999999999998</v>
      </c>
      <c r="C151" s="11">
        <f t="shared" si="8"/>
        <v>-9.9999999999989355E-4</v>
      </c>
      <c r="D151" s="12">
        <f t="shared" si="9"/>
        <v>0.99523999999999835</v>
      </c>
      <c r="E151" s="18">
        <v>14.8</v>
      </c>
      <c r="F151" s="15">
        <v>0.98131999999999997</v>
      </c>
      <c r="G151" s="11">
        <f t="shared" si="10"/>
        <v>-9.9999999999989355E-4</v>
      </c>
      <c r="H151" s="12">
        <f t="shared" si="11"/>
        <v>0.99611999999999834</v>
      </c>
    </row>
    <row r="152" spans="1:8" ht="14.25" thickBot="1">
      <c r="A152" s="18">
        <v>14.9</v>
      </c>
      <c r="B152" s="15">
        <v>0.98033999999999999</v>
      </c>
      <c r="C152" s="11">
        <f t="shared" si="8"/>
        <v>-9.9999999999989355E-4</v>
      </c>
      <c r="D152" s="12">
        <f t="shared" si="9"/>
        <v>0.99523999999999835</v>
      </c>
      <c r="E152" s="18">
        <v>14.9</v>
      </c>
      <c r="F152" s="15">
        <v>0.98121999999999998</v>
      </c>
      <c r="G152" s="11">
        <f t="shared" si="10"/>
        <v>-9.9999999999989355E-4</v>
      </c>
      <c r="H152" s="12">
        <f t="shared" si="11"/>
        <v>0.99611999999999834</v>
      </c>
    </row>
    <row r="153" spans="1:8" ht="14.25" thickBot="1">
      <c r="A153" s="9">
        <v>15</v>
      </c>
      <c r="B153" s="19">
        <v>0.98024</v>
      </c>
      <c r="C153" s="11">
        <f t="shared" si="8"/>
        <v>-1.1000000000005489E-3</v>
      </c>
      <c r="D153" s="12">
        <f t="shared" si="9"/>
        <v>0.99674000000000829</v>
      </c>
      <c r="E153" s="9">
        <v>15</v>
      </c>
      <c r="F153" s="19">
        <v>0.98111999999999999</v>
      </c>
      <c r="G153" s="11">
        <f t="shared" si="10"/>
        <v>-1.0999999999994387E-3</v>
      </c>
      <c r="H153" s="12">
        <f t="shared" si="11"/>
        <v>0.99761999999999162</v>
      </c>
    </row>
    <row r="154" spans="1:8" ht="14.25" thickBot="1">
      <c r="A154" s="18">
        <v>15.1</v>
      </c>
      <c r="B154" s="15">
        <v>0.98012999999999995</v>
      </c>
      <c r="C154" s="11">
        <f t="shared" si="8"/>
        <v>-9.9999999999989355E-4</v>
      </c>
      <c r="D154" s="12">
        <f t="shared" si="9"/>
        <v>0.99522999999999828</v>
      </c>
      <c r="E154" s="18">
        <v>15.1</v>
      </c>
      <c r="F154" s="15">
        <v>0.98101000000000005</v>
      </c>
      <c r="G154" s="11">
        <f t="shared" si="10"/>
        <v>-1.0000000000010036E-3</v>
      </c>
      <c r="H154" s="12">
        <f t="shared" si="11"/>
        <v>0.99611000000001526</v>
      </c>
    </row>
    <row r="155" spans="1:8" ht="14.25" thickBot="1">
      <c r="A155" s="18">
        <v>15.2</v>
      </c>
      <c r="B155" s="15">
        <v>0.98002999999999996</v>
      </c>
      <c r="C155" s="11">
        <f t="shared" si="8"/>
        <v>-1.0999999999994192E-3</v>
      </c>
      <c r="D155" s="12">
        <f t="shared" si="9"/>
        <v>0.99674999999999114</v>
      </c>
      <c r="E155" s="18">
        <v>15.2</v>
      </c>
      <c r="F155" s="15">
        <v>0.98090999999999995</v>
      </c>
      <c r="G155" s="11">
        <f t="shared" si="10"/>
        <v>-1.0999999999994192E-3</v>
      </c>
      <c r="H155" s="12">
        <f t="shared" si="11"/>
        <v>0.99762999999999113</v>
      </c>
    </row>
    <row r="156" spans="1:8" ht="14.25" thickBot="1">
      <c r="A156" s="18">
        <v>15.3</v>
      </c>
      <c r="B156" s="15">
        <v>0.97992000000000001</v>
      </c>
      <c r="C156" s="11">
        <f t="shared" si="8"/>
        <v>-9.9999999999989355E-4</v>
      </c>
      <c r="D156" s="12">
        <f t="shared" si="9"/>
        <v>0.99521999999999844</v>
      </c>
      <c r="E156" s="18">
        <v>15.3</v>
      </c>
      <c r="F156" s="15">
        <v>0.98080000000000001</v>
      </c>
      <c r="G156" s="11">
        <f t="shared" si="10"/>
        <v>-9.9999999999989355E-4</v>
      </c>
      <c r="H156" s="12">
        <f t="shared" si="11"/>
        <v>0.99609999999999843</v>
      </c>
    </row>
    <row r="157" spans="1:8" ht="14.25" thickBot="1">
      <c r="A157" s="18">
        <v>15.4</v>
      </c>
      <c r="B157" s="15">
        <v>0.97982000000000002</v>
      </c>
      <c r="C157" s="11">
        <f t="shared" si="8"/>
        <v>-1.1000000000005489E-3</v>
      </c>
      <c r="D157" s="12">
        <f t="shared" si="9"/>
        <v>0.99676000000000853</v>
      </c>
      <c r="E157" s="18">
        <v>15.4</v>
      </c>
      <c r="F157" s="15">
        <v>0.98070000000000002</v>
      </c>
      <c r="G157" s="11">
        <f t="shared" si="10"/>
        <v>-1.1000000000005489E-3</v>
      </c>
      <c r="H157" s="12">
        <f t="shared" si="11"/>
        <v>0.99764000000000852</v>
      </c>
    </row>
    <row r="158" spans="1:8" ht="14.25" thickBot="1">
      <c r="A158" s="18">
        <v>15.5</v>
      </c>
      <c r="B158" s="15">
        <v>0.97970999999999997</v>
      </c>
      <c r="C158" s="11">
        <f t="shared" si="8"/>
        <v>-9.9999999999989355E-4</v>
      </c>
      <c r="D158" s="12">
        <f t="shared" si="9"/>
        <v>0.99520999999999837</v>
      </c>
      <c r="E158" s="18">
        <v>15.5</v>
      </c>
      <c r="F158" s="15">
        <v>0.98058999999999996</v>
      </c>
      <c r="G158" s="11">
        <f t="shared" si="10"/>
        <v>-9.9999999999989355E-4</v>
      </c>
      <c r="H158" s="12">
        <f t="shared" si="11"/>
        <v>0.99608999999999837</v>
      </c>
    </row>
    <row r="159" spans="1:8" ht="14.25" thickBot="1">
      <c r="A159" s="18">
        <v>15.6</v>
      </c>
      <c r="B159" s="15">
        <v>0.97960999999999998</v>
      </c>
      <c r="C159" s="11">
        <f t="shared" si="8"/>
        <v>-9.9999999999989355E-4</v>
      </c>
      <c r="D159" s="12">
        <f t="shared" si="9"/>
        <v>0.99520999999999837</v>
      </c>
      <c r="E159" s="18">
        <v>15.6</v>
      </c>
      <c r="F159" s="15">
        <v>0.98048999999999997</v>
      </c>
      <c r="G159" s="11">
        <f t="shared" si="10"/>
        <v>-9.9999999999989355E-4</v>
      </c>
      <c r="H159" s="12">
        <f t="shared" si="11"/>
        <v>0.99608999999999837</v>
      </c>
    </row>
    <row r="160" spans="1:8" ht="14.25" thickBot="1">
      <c r="A160" s="18">
        <v>15.7</v>
      </c>
      <c r="B160" s="15">
        <v>0.97950999999999999</v>
      </c>
      <c r="C160" s="11">
        <f t="shared" si="8"/>
        <v>-1.0999999999994192E-3</v>
      </c>
      <c r="D160" s="12">
        <f t="shared" si="9"/>
        <v>0.99677999999999078</v>
      </c>
      <c r="E160" s="18">
        <v>15.7</v>
      </c>
      <c r="F160" s="15">
        <v>0.98038999999999998</v>
      </c>
      <c r="G160" s="11">
        <f t="shared" si="10"/>
        <v>-1.0999999999994192E-3</v>
      </c>
      <c r="H160" s="12">
        <f t="shared" si="11"/>
        <v>0.99765999999999078</v>
      </c>
    </row>
    <row r="161" spans="1:8" ht="14.25" thickBot="1">
      <c r="A161" s="14">
        <v>15.8</v>
      </c>
      <c r="B161" s="15">
        <v>0.97940000000000005</v>
      </c>
      <c r="C161" s="11">
        <f t="shared" si="8"/>
        <v>-1.0000000000010036E-3</v>
      </c>
      <c r="D161" s="12">
        <f t="shared" si="9"/>
        <v>0.99520000000001585</v>
      </c>
      <c r="E161" s="14">
        <v>15.8</v>
      </c>
      <c r="F161" s="15">
        <v>0.98028000000000004</v>
      </c>
      <c r="G161" s="11">
        <f t="shared" si="10"/>
        <v>-9.9999999999989355E-4</v>
      </c>
      <c r="H161" s="12">
        <f t="shared" si="11"/>
        <v>0.99607999999999841</v>
      </c>
    </row>
    <row r="162" spans="1:8" ht="14.25" thickBot="1">
      <c r="A162" s="14">
        <v>15.9</v>
      </c>
      <c r="B162" s="15">
        <v>0.97929999999999995</v>
      </c>
      <c r="C162" s="11">
        <f t="shared" si="8"/>
        <v>-9.9999999999989355E-4</v>
      </c>
      <c r="D162" s="12">
        <f t="shared" si="9"/>
        <v>0.99519999999999831</v>
      </c>
      <c r="E162" s="14">
        <v>15.9</v>
      </c>
      <c r="F162" s="15">
        <v>0.98018000000000005</v>
      </c>
      <c r="G162" s="11">
        <f t="shared" si="10"/>
        <v>-1.0000000000010036E-3</v>
      </c>
      <c r="H162" s="12">
        <f t="shared" si="11"/>
        <v>0.99608000000001595</v>
      </c>
    </row>
    <row r="163" spans="1:8" ht="14.25" thickBot="1">
      <c r="A163" s="9">
        <v>16</v>
      </c>
      <c r="B163" s="19">
        <v>0.97919999999999996</v>
      </c>
      <c r="C163" s="11">
        <f t="shared" si="8"/>
        <v>-9.9999999999987555E-4</v>
      </c>
      <c r="D163" s="12">
        <f t="shared" si="9"/>
        <v>0.99519999999999798</v>
      </c>
      <c r="E163" s="9">
        <v>16</v>
      </c>
      <c r="F163" s="19">
        <v>0.98007999999999995</v>
      </c>
      <c r="G163" s="11">
        <f t="shared" si="10"/>
        <v>-9.9999999999987555E-4</v>
      </c>
      <c r="H163" s="12">
        <f t="shared" si="11"/>
        <v>0.99607999999999797</v>
      </c>
    </row>
    <row r="164" spans="1:8" ht="14.25" thickBot="1">
      <c r="A164" s="18">
        <v>16.100000000000001</v>
      </c>
      <c r="B164" s="15">
        <v>0.97909999999999997</v>
      </c>
      <c r="C164" s="11">
        <f t="shared" si="8"/>
        <v>-1.099999999999458E-3</v>
      </c>
      <c r="D164" s="12">
        <f t="shared" si="9"/>
        <v>0.9968099999999912</v>
      </c>
      <c r="E164" s="18">
        <v>16.100000000000001</v>
      </c>
      <c r="F164" s="15">
        <v>0.97997999999999996</v>
      </c>
      <c r="G164" s="11">
        <f t="shared" si="10"/>
        <v>-1.099999999999458E-3</v>
      </c>
      <c r="H164" s="12">
        <f t="shared" si="11"/>
        <v>0.99768999999999119</v>
      </c>
    </row>
    <row r="165" spans="1:8" ht="14.25" thickBot="1">
      <c r="A165" s="18">
        <v>16.2</v>
      </c>
      <c r="B165" s="15">
        <v>0.97899000000000003</v>
      </c>
      <c r="C165" s="11">
        <f t="shared" si="8"/>
        <v>-9.9999999999987555E-4</v>
      </c>
      <c r="D165" s="12">
        <f t="shared" si="9"/>
        <v>0.99518999999999802</v>
      </c>
      <c r="E165" s="18">
        <v>16.2</v>
      </c>
      <c r="F165" s="15">
        <v>0.97987000000000002</v>
      </c>
      <c r="G165" s="11">
        <f t="shared" si="10"/>
        <v>-9.9999999999987555E-4</v>
      </c>
      <c r="H165" s="12">
        <f t="shared" si="11"/>
        <v>0.99606999999999801</v>
      </c>
    </row>
    <row r="166" spans="1:8" ht="14.25" thickBot="1">
      <c r="A166" s="18">
        <v>16.3</v>
      </c>
      <c r="B166" s="15">
        <v>0.97889000000000004</v>
      </c>
      <c r="C166" s="11">
        <f t="shared" si="8"/>
        <v>-9.999999999999109E-4</v>
      </c>
      <c r="D166" s="12">
        <f t="shared" si="9"/>
        <v>0.99518999999999858</v>
      </c>
      <c r="E166" s="18">
        <v>16.3</v>
      </c>
      <c r="F166" s="15">
        <v>0.97977000000000003</v>
      </c>
      <c r="G166" s="11">
        <f t="shared" si="10"/>
        <v>-9.999999999999109E-4</v>
      </c>
      <c r="H166" s="12">
        <f t="shared" si="11"/>
        <v>0.99606999999999857</v>
      </c>
    </row>
    <row r="167" spans="1:8" ht="14.25" thickBot="1">
      <c r="A167" s="18">
        <v>16.399999999999999</v>
      </c>
      <c r="B167" s="15">
        <v>0.97879000000000005</v>
      </c>
      <c r="C167" s="11">
        <f t="shared" si="8"/>
        <v>-1.0000000000009858E-3</v>
      </c>
      <c r="D167" s="12">
        <f t="shared" si="9"/>
        <v>0.99519000000001612</v>
      </c>
      <c r="E167" s="18">
        <v>16.399999999999999</v>
      </c>
      <c r="F167" s="15">
        <v>0.97967000000000004</v>
      </c>
      <c r="G167" s="11">
        <f t="shared" si="10"/>
        <v>-9.9999999999987555E-4</v>
      </c>
      <c r="H167" s="12">
        <f t="shared" si="11"/>
        <v>0.99606999999999801</v>
      </c>
    </row>
    <row r="168" spans="1:8" ht="14.25" thickBot="1">
      <c r="A168" s="18">
        <v>16.5</v>
      </c>
      <c r="B168" s="15">
        <v>0.97868999999999995</v>
      </c>
      <c r="C168" s="11">
        <f t="shared" si="8"/>
        <v>-1.0999999999994192E-3</v>
      </c>
      <c r="D168" s="12">
        <f t="shared" si="9"/>
        <v>0.99683999999999029</v>
      </c>
      <c r="E168" s="18">
        <v>16.5</v>
      </c>
      <c r="F168" s="15">
        <v>0.97957000000000005</v>
      </c>
      <c r="G168" s="11">
        <f t="shared" si="10"/>
        <v>-1.1000000000005292E-3</v>
      </c>
      <c r="H168" s="12">
        <f t="shared" si="11"/>
        <v>0.99772000000000882</v>
      </c>
    </row>
    <row r="169" spans="1:8" ht="14.25" thickBot="1">
      <c r="A169" s="18">
        <v>16.600000000000001</v>
      </c>
      <c r="B169" s="15">
        <v>0.97858000000000001</v>
      </c>
      <c r="C169" s="11">
        <f t="shared" si="8"/>
        <v>-9.999999999999109E-4</v>
      </c>
      <c r="D169" s="12">
        <f t="shared" si="9"/>
        <v>0.99517999999999851</v>
      </c>
      <c r="E169" s="18">
        <v>16.600000000000001</v>
      </c>
      <c r="F169" s="15">
        <v>0.97946</v>
      </c>
      <c r="G169" s="11">
        <f t="shared" si="10"/>
        <v>-9.999999999999109E-4</v>
      </c>
      <c r="H169" s="12">
        <f t="shared" si="11"/>
        <v>0.9960599999999985</v>
      </c>
    </row>
    <row r="170" spans="1:8" ht="14.25" thickBot="1">
      <c r="A170" s="18">
        <v>16.7</v>
      </c>
      <c r="B170" s="15">
        <v>0.97848000000000002</v>
      </c>
      <c r="C170" s="11">
        <f t="shared" si="8"/>
        <v>-9.9999999999987555E-4</v>
      </c>
      <c r="D170" s="12">
        <f t="shared" si="9"/>
        <v>0.99517999999999796</v>
      </c>
      <c r="E170" s="18">
        <v>16.7</v>
      </c>
      <c r="F170" s="15">
        <v>0.97936000000000001</v>
      </c>
      <c r="G170" s="11">
        <f t="shared" si="10"/>
        <v>-9.9999999999987555E-4</v>
      </c>
      <c r="H170" s="12">
        <f t="shared" si="11"/>
        <v>0.99605999999999795</v>
      </c>
    </row>
    <row r="171" spans="1:8" ht="14.25" thickBot="1">
      <c r="A171" s="18">
        <v>16.8</v>
      </c>
      <c r="B171" s="15">
        <v>0.97838000000000003</v>
      </c>
      <c r="C171" s="11">
        <f t="shared" si="8"/>
        <v>-9.999999999999109E-4</v>
      </c>
      <c r="D171" s="12">
        <f t="shared" si="9"/>
        <v>0.99517999999999851</v>
      </c>
      <c r="E171" s="18">
        <v>16.8</v>
      </c>
      <c r="F171" s="15">
        <v>0.97926000000000002</v>
      </c>
      <c r="G171" s="11">
        <f t="shared" si="10"/>
        <v>-9.999999999999109E-4</v>
      </c>
      <c r="H171" s="12">
        <f t="shared" si="11"/>
        <v>0.9960599999999985</v>
      </c>
    </row>
    <row r="172" spans="1:8" ht="14.25" thickBot="1">
      <c r="A172" s="18">
        <v>16.899999999999999</v>
      </c>
      <c r="B172" s="15">
        <v>0.97828000000000004</v>
      </c>
      <c r="C172" s="11">
        <f t="shared" si="8"/>
        <v>-9.9999999999987555E-4</v>
      </c>
      <c r="D172" s="12">
        <f t="shared" si="9"/>
        <v>0.99517999999999796</v>
      </c>
      <c r="E172" s="18">
        <v>16.899999999999999</v>
      </c>
      <c r="F172" s="15">
        <v>0.97916000000000003</v>
      </c>
      <c r="G172" s="11">
        <f t="shared" si="10"/>
        <v>-9.9999999999987555E-4</v>
      </c>
      <c r="H172" s="12">
        <f t="shared" si="11"/>
        <v>0.99605999999999795</v>
      </c>
    </row>
    <row r="173" spans="1:8" ht="14.25" thickBot="1">
      <c r="A173" s="9">
        <v>17</v>
      </c>
      <c r="B173" s="19">
        <v>0.97818000000000005</v>
      </c>
      <c r="C173" s="11">
        <f t="shared" si="8"/>
        <v>-1.0000000000009858E-3</v>
      </c>
      <c r="D173" s="12">
        <f t="shared" si="9"/>
        <v>0.99518000000001672</v>
      </c>
      <c r="E173" s="9">
        <v>17</v>
      </c>
      <c r="F173" s="19">
        <v>0.97906000000000004</v>
      </c>
      <c r="G173" s="11">
        <f t="shared" si="10"/>
        <v>-9.9999999999987555E-4</v>
      </c>
      <c r="H173" s="12">
        <f t="shared" si="11"/>
        <v>0.99605999999999795</v>
      </c>
    </row>
    <row r="174" spans="1:8" ht="14.25" thickBot="1">
      <c r="A174" s="18">
        <v>17.100000000000001</v>
      </c>
      <c r="B174" s="15">
        <v>0.97807999999999995</v>
      </c>
      <c r="C174" s="11">
        <f t="shared" si="8"/>
        <v>-1.099999999999458E-3</v>
      </c>
      <c r="D174" s="12">
        <f t="shared" si="9"/>
        <v>0.99688999999999062</v>
      </c>
      <c r="E174" s="18">
        <v>17.100000000000001</v>
      </c>
      <c r="F174" s="15">
        <v>0.97896000000000005</v>
      </c>
      <c r="G174" s="11">
        <f t="shared" si="10"/>
        <v>-1.1000000000005682E-3</v>
      </c>
      <c r="H174" s="12">
        <f t="shared" si="11"/>
        <v>0.99777000000000982</v>
      </c>
    </row>
    <row r="175" spans="1:8" ht="14.25" thickBot="1">
      <c r="A175" s="18">
        <v>17.2</v>
      </c>
      <c r="B175" s="15">
        <v>0.97797000000000001</v>
      </c>
      <c r="C175" s="11">
        <f t="shared" si="8"/>
        <v>-9.9999999999987555E-4</v>
      </c>
      <c r="D175" s="12">
        <f t="shared" si="9"/>
        <v>0.99516999999999789</v>
      </c>
      <c r="E175" s="18">
        <v>17.2</v>
      </c>
      <c r="F175" s="15">
        <v>0.97885</v>
      </c>
      <c r="G175" s="11">
        <f t="shared" si="10"/>
        <v>-9.9999999999987555E-4</v>
      </c>
      <c r="H175" s="12">
        <f t="shared" si="11"/>
        <v>0.99604999999999788</v>
      </c>
    </row>
    <row r="176" spans="1:8" ht="14.25" thickBot="1">
      <c r="A176" s="18">
        <v>17.3</v>
      </c>
      <c r="B176" s="15">
        <v>0.97787000000000002</v>
      </c>
      <c r="C176" s="11">
        <f t="shared" si="8"/>
        <v>-9.999999999999109E-4</v>
      </c>
      <c r="D176" s="12">
        <f t="shared" si="9"/>
        <v>0.99516999999999844</v>
      </c>
      <c r="E176" s="18">
        <v>17.3</v>
      </c>
      <c r="F176" s="15">
        <v>0.97875000000000001</v>
      </c>
      <c r="G176" s="11">
        <f t="shared" si="10"/>
        <v>-9.999999999999109E-4</v>
      </c>
      <c r="H176" s="12">
        <f t="shared" si="11"/>
        <v>0.99604999999999844</v>
      </c>
    </row>
    <row r="177" spans="1:8" ht="14.25" thickBot="1">
      <c r="A177" s="18">
        <v>17.399999999999999</v>
      </c>
      <c r="B177" s="15">
        <v>0.97777000000000003</v>
      </c>
      <c r="C177" s="11">
        <f t="shared" si="8"/>
        <v>-9.9999999999987555E-4</v>
      </c>
      <c r="D177" s="12">
        <f t="shared" si="9"/>
        <v>0.99516999999999789</v>
      </c>
      <c r="E177" s="18">
        <v>17.399999999999999</v>
      </c>
      <c r="F177" s="15">
        <v>0.97865000000000002</v>
      </c>
      <c r="G177" s="11">
        <f t="shared" si="10"/>
        <v>-9.9999999999987555E-4</v>
      </c>
      <c r="H177" s="12">
        <f t="shared" si="11"/>
        <v>0.99604999999999788</v>
      </c>
    </row>
    <row r="178" spans="1:8" ht="14.25" thickBot="1">
      <c r="A178" s="18">
        <v>17.5</v>
      </c>
      <c r="B178" s="15">
        <v>0.97767000000000004</v>
      </c>
      <c r="C178" s="11">
        <f t="shared" si="8"/>
        <v>-9.9999999999987555E-4</v>
      </c>
      <c r="D178" s="12">
        <f t="shared" si="9"/>
        <v>0.99516999999999789</v>
      </c>
      <c r="E178" s="18">
        <v>17.5</v>
      </c>
      <c r="F178" s="15">
        <v>0.97855000000000003</v>
      </c>
      <c r="G178" s="11">
        <f t="shared" si="10"/>
        <v>-9.9999999999987555E-4</v>
      </c>
      <c r="H178" s="12">
        <f t="shared" si="11"/>
        <v>0.99604999999999788</v>
      </c>
    </row>
    <row r="179" spans="1:8" ht="14.25" thickBot="1">
      <c r="A179" s="18">
        <v>17.600000000000001</v>
      </c>
      <c r="B179" s="15">
        <v>0.97757000000000005</v>
      </c>
      <c r="C179" s="11">
        <f t="shared" si="8"/>
        <v>-1.0000000000010211E-3</v>
      </c>
      <c r="D179" s="12">
        <f t="shared" si="9"/>
        <v>0.99517000000001798</v>
      </c>
      <c r="E179" s="18">
        <v>17.600000000000001</v>
      </c>
      <c r="F179" s="15">
        <v>0.97845000000000004</v>
      </c>
      <c r="G179" s="11">
        <f t="shared" si="10"/>
        <v>-9.999999999999109E-4</v>
      </c>
      <c r="H179" s="12">
        <f t="shared" si="11"/>
        <v>0.99604999999999844</v>
      </c>
    </row>
    <row r="180" spans="1:8" ht="14.25" thickBot="1">
      <c r="A180" s="18">
        <v>17.7</v>
      </c>
      <c r="B180" s="15">
        <v>0.97746999999999995</v>
      </c>
      <c r="C180" s="11">
        <f t="shared" si="8"/>
        <v>-9.9999999999987555E-4</v>
      </c>
      <c r="D180" s="12">
        <f t="shared" si="9"/>
        <v>0.99516999999999778</v>
      </c>
      <c r="E180" s="18">
        <v>17.7</v>
      </c>
      <c r="F180" s="15">
        <v>0.97835000000000005</v>
      </c>
      <c r="G180" s="11">
        <f t="shared" si="10"/>
        <v>-1.0000000000009858E-3</v>
      </c>
      <c r="H180" s="12">
        <f t="shared" si="11"/>
        <v>0.99605000000001742</v>
      </c>
    </row>
    <row r="181" spans="1:8" ht="14.25" thickBot="1">
      <c r="A181" s="18">
        <v>17.8</v>
      </c>
      <c r="B181" s="15">
        <v>0.97736999999999996</v>
      </c>
      <c r="C181" s="11">
        <f t="shared" si="8"/>
        <v>-9.999999999999109E-4</v>
      </c>
      <c r="D181" s="12">
        <f t="shared" si="9"/>
        <v>0.99516999999999833</v>
      </c>
      <c r="E181" s="18">
        <v>17.8</v>
      </c>
      <c r="F181" s="15">
        <v>0.97824999999999995</v>
      </c>
      <c r="G181" s="11">
        <f t="shared" si="10"/>
        <v>-9.999999999999109E-4</v>
      </c>
      <c r="H181" s="12">
        <f t="shared" si="11"/>
        <v>0.99604999999999833</v>
      </c>
    </row>
    <row r="182" spans="1:8" ht="14.25" thickBot="1">
      <c r="A182" s="18">
        <v>17.899999999999999</v>
      </c>
      <c r="B182" s="15">
        <v>0.97726999999999997</v>
      </c>
      <c r="C182" s="11">
        <f t="shared" si="8"/>
        <v>-9.9999999999987555E-4</v>
      </c>
      <c r="D182" s="12">
        <f t="shared" si="9"/>
        <v>0.99516999999999778</v>
      </c>
      <c r="E182" s="18">
        <v>17.899999999999999</v>
      </c>
      <c r="F182" s="15">
        <v>0.97814999999999996</v>
      </c>
      <c r="G182" s="11">
        <f t="shared" si="10"/>
        <v>-9.9999999999987555E-4</v>
      </c>
      <c r="H182" s="12">
        <f t="shared" si="11"/>
        <v>0.99604999999999777</v>
      </c>
    </row>
    <row r="183" spans="1:8" ht="14.25" thickBot="1">
      <c r="A183" s="9">
        <v>18</v>
      </c>
      <c r="B183" s="19">
        <v>0.97716999999999998</v>
      </c>
      <c r="C183" s="11">
        <f t="shared" si="8"/>
        <v>-9.9999999999987555E-4</v>
      </c>
      <c r="D183" s="12">
        <f t="shared" si="9"/>
        <v>0.99516999999999778</v>
      </c>
      <c r="E183" s="9">
        <v>18</v>
      </c>
      <c r="F183" s="19">
        <v>0.97804999999999997</v>
      </c>
      <c r="G183" s="11">
        <f t="shared" si="10"/>
        <v>-9.9999999999987555E-4</v>
      </c>
      <c r="H183" s="12">
        <f t="shared" si="11"/>
        <v>0.99604999999999777</v>
      </c>
    </row>
    <row r="184" spans="1:8" ht="14.25" thickBot="1">
      <c r="A184" s="18">
        <v>18.100000000000001</v>
      </c>
      <c r="B184" s="15">
        <v>0.97706999999999999</v>
      </c>
      <c r="C184" s="11">
        <f t="shared" si="8"/>
        <v>-9.999999999999109E-4</v>
      </c>
      <c r="D184" s="12">
        <f t="shared" si="9"/>
        <v>0.99516999999999833</v>
      </c>
      <c r="E184" s="18">
        <v>18.100000000000001</v>
      </c>
      <c r="F184" s="15">
        <v>0.97794999999999999</v>
      </c>
      <c r="G184" s="11">
        <f t="shared" si="10"/>
        <v>-9.999999999999109E-4</v>
      </c>
      <c r="H184" s="12">
        <f t="shared" si="11"/>
        <v>0.99604999999999833</v>
      </c>
    </row>
    <row r="185" spans="1:8" ht="14.25" thickBot="1">
      <c r="A185" s="18">
        <v>18.2</v>
      </c>
      <c r="B185" s="15">
        <v>0.97697000000000001</v>
      </c>
      <c r="C185" s="11">
        <f t="shared" si="8"/>
        <v>-1.1000000000005292E-3</v>
      </c>
      <c r="D185" s="12">
        <f t="shared" si="9"/>
        <v>0.99699000000000959</v>
      </c>
      <c r="E185" s="18">
        <v>18.2</v>
      </c>
      <c r="F185" s="15">
        <v>0.97785</v>
      </c>
      <c r="G185" s="11">
        <f t="shared" si="10"/>
        <v>-1.0999999999994192E-3</v>
      </c>
      <c r="H185" s="12">
        <f t="shared" si="11"/>
        <v>0.99786999999998938</v>
      </c>
    </row>
    <row r="186" spans="1:8" ht="14.25" thickBot="1">
      <c r="A186" s="18">
        <v>18.3</v>
      </c>
      <c r="B186" s="15">
        <v>0.97685999999999995</v>
      </c>
      <c r="C186" s="11">
        <f t="shared" si="8"/>
        <v>-9.999999999999109E-4</v>
      </c>
      <c r="D186" s="12">
        <f t="shared" si="9"/>
        <v>0.99515999999999827</v>
      </c>
      <c r="E186" s="18">
        <v>18.3</v>
      </c>
      <c r="F186" s="15">
        <v>0.97774000000000005</v>
      </c>
      <c r="G186" s="11">
        <f t="shared" si="10"/>
        <v>-1.0000000000010211E-3</v>
      </c>
      <c r="H186" s="12">
        <f t="shared" si="11"/>
        <v>0.99604000000001869</v>
      </c>
    </row>
    <row r="187" spans="1:8" ht="14.25" thickBot="1">
      <c r="A187" s="18">
        <v>18.399999999999999</v>
      </c>
      <c r="B187" s="15">
        <v>0.97675999999999996</v>
      </c>
      <c r="C187" s="11">
        <f t="shared" si="8"/>
        <v>-9.9999999999987555E-4</v>
      </c>
      <c r="D187" s="12">
        <f t="shared" si="9"/>
        <v>0.99515999999999771</v>
      </c>
      <c r="E187" s="18">
        <v>18.399999999999999</v>
      </c>
      <c r="F187" s="15">
        <v>0.97763999999999995</v>
      </c>
      <c r="G187" s="11">
        <f t="shared" si="10"/>
        <v>-9.9999999999987555E-4</v>
      </c>
      <c r="H187" s="12">
        <f t="shared" si="11"/>
        <v>0.9960399999999977</v>
      </c>
    </row>
    <row r="188" spans="1:8" ht="14.25" thickBot="1">
      <c r="A188" s="18">
        <v>18.5</v>
      </c>
      <c r="B188" s="15">
        <v>0.97665999999999997</v>
      </c>
      <c r="C188" s="11">
        <f t="shared" si="8"/>
        <v>-9.9999999999987555E-4</v>
      </c>
      <c r="D188" s="12">
        <f t="shared" si="9"/>
        <v>0.99515999999999771</v>
      </c>
      <c r="E188" s="18">
        <v>18.5</v>
      </c>
      <c r="F188" s="15">
        <v>0.97753999999999996</v>
      </c>
      <c r="G188" s="11">
        <f t="shared" si="10"/>
        <v>-9.9999999999987555E-4</v>
      </c>
      <c r="H188" s="12">
        <f t="shared" si="11"/>
        <v>0.9960399999999977</v>
      </c>
    </row>
    <row r="189" spans="1:8" ht="14.25" thickBot="1">
      <c r="A189" s="18">
        <v>18.600000000000001</v>
      </c>
      <c r="B189" s="15">
        <v>0.97655999999999998</v>
      </c>
      <c r="C189" s="11">
        <f t="shared" si="8"/>
        <v>-9.999999999999109E-4</v>
      </c>
      <c r="D189" s="12">
        <f t="shared" si="9"/>
        <v>0.99515999999999838</v>
      </c>
      <c r="E189" s="18">
        <v>18.600000000000001</v>
      </c>
      <c r="F189" s="15">
        <v>0.97743999999999998</v>
      </c>
      <c r="G189" s="11">
        <f t="shared" si="10"/>
        <v>-9.999999999999109E-4</v>
      </c>
      <c r="H189" s="12">
        <f t="shared" si="11"/>
        <v>0.99603999999999837</v>
      </c>
    </row>
    <row r="190" spans="1:8" ht="14.25" thickBot="1">
      <c r="A190" s="18">
        <v>18.7</v>
      </c>
      <c r="B190" s="15">
        <v>0.97645999999999999</v>
      </c>
      <c r="C190" s="11">
        <f t="shared" si="8"/>
        <v>-9.9999999999987555E-4</v>
      </c>
      <c r="D190" s="12">
        <f t="shared" si="9"/>
        <v>0.99515999999999771</v>
      </c>
      <c r="E190" s="18">
        <v>18.7</v>
      </c>
      <c r="F190" s="15">
        <v>0.97733999999999999</v>
      </c>
      <c r="G190" s="11">
        <f t="shared" si="10"/>
        <v>-9.9999999999987555E-4</v>
      </c>
      <c r="H190" s="12">
        <f t="shared" si="11"/>
        <v>0.9960399999999977</v>
      </c>
    </row>
    <row r="191" spans="1:8" ht="14.25" thickBot="1">
      <c r="A191" s="18">
        <v>18.8</v>
      </c>
      <c r="B191" s="15">
        <v>0.97636000000000001</v>
      </c>
      <c r="C191" s="11">
        <f t="shared" si="8"/>
        <v>-9.999999999999109E-4</v>
      </c>
      <c r="D191" s="12">
        <f t="shared" si="9"/>
        <v>0.99515999999999838</v>
      </c>
      <c r="E191" s="18">
        <v>18.8</v>
      </c>
      <c r="F191" s="15">
        <v>0.97724</v>
      </c>
      <c r="G191" s="11">
        <f t="shared" si="10"/>
        <v>-9.999999999999109E-4</v>
      </c>
      <c r="H191" s="12">
        <f t="shared" si="11"/>
        <v>0.99603999999999837</v>
      </c>
    </row>
    <row r="192" spans="1:8" ht="14.25" thickBot="1">
      <c r="A192" s="18">
        <v>18.899999999999999</v>
      </c>
      <c r="B192" s="15">
        <v>0.97626000000000002</v>
      </c>
      <c r="C192" s="11">
        <f t="shared" si="8"/>
        <v>-9.9999999999987555E-4</v>
      </c>
      <c r="D192" s="12">
        <f t="shared" si="9"/>
        <v>0.99515999999999771</v>
      </c>
      <c r="E192" s="18">
        <v>18.899999999999999</v>
      </c>
      <c r="F192" s="15">
        <v>0.97714000000000001</v>
      </c>
      <c r="G192" s="11">
        <f t="shared" si="10"/>
        <v>-9.9999999999987555E-4</v>
      </c>
      <c r="H192" s="12">
        <f t="shared" si="11"/>
        <v>0.9960399999999977</v>
      </c>
    </row>
    <row r="193" spans="1:8" ht="14.25" thickBot="1">
      <c r="A193" s="9">
        <v>19</v>
      </c>
      <c r="B193" s="19">
        <v>0.97616000000000003</v>
      </c>
      <c r="C193" s="11">
        <f t="shared" si="8"/>
        <v>-9.9999999999987555E-4</v>
      </c>
      <c r="D193" s="12">
        <f t="shared" si="9"/>
        <v>0.99515999999999771</v>
      </c>
      <c r="E193" s="9">
        <v>19</v>
      </c>
      <c r="F193" s="19">
        <v>0.97704000000000002</v>
      </c>
      <c r="G193" s="11">
        <f t="shared" si="10"/>
        <v>-9.9999999999987555E-4</v>
      </c>
      <c r="H193" s="12">
        <f t="shared" si="11"/>
        <v>0.9960399999999977</v>
      </c>
    </row>
    <row r="194" spans="1:8" ht="14.25" thickBot="1">
      <c r="A194" s="18">
        <v>19.100000000000001</v>
      </c>
      <c r="B194" s="15">
        <v>0.97606000000000004</v>
      </c>
      <c r="C194" s="11">
        <f t="shared" si="8"/>
        <v>-9.999999999999109E-4</v>
      </c>
      <c r="D194" s="12">
        <f t="shared" si="9"/>
        <v>0.99515999999999838</v>
      </c>
      <c r="E194" s="18">
        <v>19.100000000000001</v>
      </c>
      <c r="F194" s="15">
        <v>0.97694000000000003</v>
      </c>
      <c r="G194" s="11">
        <f t="shared" si="10"/>
        <v>-9.999999999999109E-4</v>
      </c>
      <c r="H194" s="12">
        <f t="shared" si="11"/>
        <v>0.99603999999999837</v>
      </c>
    </row>
    <row r="195" spans="1:8" ht="14.25" thickBot="1">
      <c r="A195" s="18">
        <v>19.2</v>
      </c>
      <c r="B195" s="15">
        <v>0.97596000000000005</v>
      </c>
      <c r="C195" s="11">
        <f t="shared" si="8"/>
        <v>-1.0000000000009858E-3</v>
      </c>
      <c r="D195" s="12">
        <f t="shared" si="9"/>
        <v>0.99516000000001903</v>
      </c>
      <c r="E195" s="18">
        <v>19.2</v>
      </c>
      <c r="F195" s="15">
        <v>0.97684000000000004</v>
      </c>
      <c r="G195" s="11">
        <f t="shared" si="10"/>
        <v>-9.9999999999987555E-4</v>
      </c>
      <c r="H195" s="12">
        <f t="shared" si="11"/>
        <v>0.9960399999999977</v>
      </c>
    </row>
    <row r="196" spans="1:8" ht="14.25" thickBot="1">
      <c r="A196" s="18">
        <v>19.3</v>
      </c>
      <c r="B196" s="15">
        <v>0.97585999999999995</v>
      </c>
      <c r="C196" s="11">
        <f t="shared" ref="C196:C259" si="12">SLOPE(B196:B197,A196:A197)</f>
        <v>-9.999999999999109E-4</v>
      </c>
      <c r="D196" s="12">
        <f t="shared" ref="D196:D259" si="13">INTERCEPT(B196:B197,A196:A197)</f>
        <v>0.99515999999999827</v>
      </c>
      <c r="E196" s="18">
        <v>19.3</v>
      </c>
      <c r="F196" s="15">
        <v>0.97674000000000005</v>
      </c>
      <c r="G196" s="11">
        <f t="shared" ref="G196:G259" si="14">SLOPE(F196:F197,E196:E197)</f>
        <v>-1.0000000000010211E-3</v>
      </c>
      <c r="H196" s="12">
        <f t="shared" ref="H196:H259" si="15">INTERCEPT(F196:F197,E196:E197)</f>
        <v>0.9960400000000198</v>
      </c>
    </row>
    <row r="197" spans="1:8" ht="14.25" thickBot="1">
      <c r="A197" s="18">
        <v>19.399999999999999</v>
      </c>
      <c r="B197" s="15">
        <v>0.97575999999999996</v>
      </c>
      <c r="C197" s="11">
        <f t="shared" si="12"/>
        <v>-9.9999999999987555E-4</v>
      </c>
      <c r="D197" s="12">
        <f t="shared" si="13"/>
        <v>0.9951599999999976</v>
      </c>
      <c r="E197" s="18">
        <v>19.399999999999999</v>
      </c>
      <c r="F197" s="15">
        <v>0.97663999999999995</v>
      </c>
      <c r="G197" s="11">
        <f t="shared" si="14"/>
        <v>-9.9999999999987555E-4</v>
      </c>
      <c r="H197" s="12">
        <f t="shared" si="15"/>
        <v>0.99603999999999759</v>
      </c>
    </row>
    <row r="198" spans="1:8" ht="14.25" thickBot="1">
      <c r="A198" s="18">
        <v>19.5</v>
      </c>
      <c r="B198" s="15">
        <v>0.97565999999999997</v>
      </c>
      <c r="C198" s="11">
        <f t="shared" si="12"/>
        <v>-9.9999999999987555E-4</v>
      </c>
      <c r="D198" s="12">
        <f t="shared" si="13"/>
        <v>0.9951599999999976</v>
      </c>
      <c r="E198" s="18">
        <v>19.5</v>
      </c>
      <c r="F198" s="15">
        <v>0.97653999999999996</v>
      </c>
      <c r="G198" s="11">
        <f t="shared" si="14"/>
        <v>-9.9999999999987555E-4</v>
      </c>
      <c r="H198" s="12">
        <f t="shared" si="15"/>
        <v>0.99603999999999759</v>
      </c>
    </row>
    <row r="199" spans="1:8" ht="14.25" thickBot="1">
      <c r="A199" s="18">
        <v>19.600000000000001</v>
      </c>
      <c r="B199" s="15">
        <v>0.97555999999999998</v>
      </c>
      <c r="C199" s="11">
        <f t="shared" si="12"/>
        <v>-9.999999999999109E-4</v>
      </c>
      <c r="D199" s="12">
        <f t="shared" si="13"/>
        <v>0.99515999999999827</v>
      </c>
      <c r="E199" s="18">
        <v>19.600000000000001</v>
      </c>
      <c r="F199" s="15">
        <v>0.97643999999999997</v>
      </c>
      <c r="G199" s="11">
        <f t="shared" si="14"/>
        <v>-9.999999999999109E-4</v>
      </c>
      <c r="H199" s="12">
        <f t="shared" si="15"/>
        <v>0.99603999999999826</v>
      </c>
    </row>
    <row r="200" spans="1:8" ht="14.25" thickBot="1">
      <c r="A200" s="18">
        <v>19.7</v>
      </c>
      <c r="B200" s="15">
        <v>0.97545999999999999</v>
      </c>
      <c r="C200" s="11">
        <f t="shared" si="12"/>
        <v>-9.9999999999987555E-4</v>
      </c>
      <c r="D200" s="12">
        <f t="shared" si="13"/>
        <v>0.99515999999999749</v>
      </c>
      <c r="E200" s="18">
        <v>19.7</v>
      </c>
      <c r="F200" s="15">
        <v>0.97633999999999999</v>
      </c>
      <c r="G200" s="11">
        <f t="shared" si="14"/>
        <v>-9.9999999999987555E-4</v>
      </c>
      <c r="H200" s="12">
        <f t="shared" si="15"/>
        <v>0.99603999999999748</v>
      </c>
    </row>
    <row r="201" spans="1:8" ht="14.25" thickBot="1">
      <c r="A201" s="18">
        <v>19.8</v>
      </c>
      <c r="B201" s="15">
        <v>0.97536</v>
      </c>
      <c r="C201" s="11">
        <f t="shared" si="12"/>
        <v>-9.999999999999109E-4</v>
      </c>
      <c r="D201" s="12">
        <f t="shared" si="13"/>
        <v>0.99515999999999827</v>
      </c>
      <c r="E201" s="18">
        <v>19.8</v>
      </c>
      <c r="F201" s="15">
        <v>0.97624</v>
      </c>
      <c r="G201" s="11">
        <f t="shared" si="14"/>
        <v>-9.999999999999109E-4</v>
      </c>
      <c r="H201" s="12">
        <f t="shared" si="15"/>
        <v>0.99603999999999826</v>
      </c>
    </row>
    <row r="202" spans="1:8" ht="14.25" thickBot="1">
      <c r="A202" s="18">
        <v>19.899999999999999</v>
      </c>
      <c r="B202" s="15">
        <v>0.97526000000000002</v>
      </c>
      <c r="C202" s="11">
        <f t="shared" si="12"/>
        <v>-9.0000000000033207E-4</v>
      </c>
      <c r="D202" s="12">
        <f t="shared" si="13"/>
        <v>0.99317000000000655</v>
      </c>
      <c r="E202" s="18">
        <v>19.899999999999999</v>
      </c>
      <c r="F202" s="15">
        <v>0.97614000000000001</v>
      </c>
      <c r="G202" s="11">
        <f t="shared" si="14"/>
        <v>-9.0000000000033207E-4</v>
      </c>
      <c r="H202" s="12">
        <f t="shared" si="15"/>
        <v>0.99405000000000654</v>
      </c>
    </row>
    <row r="203" spans="1:8" ht="14.25" thickBot="1">
      <c r="A203" s="9">
        <v>20</v>
      </c>
      <c r="B203" s="19">
        <v>0.97516999999999998</v>
      </c>
      <c r="C203" s="11">
        <f t="shared" si="12"/>
        <v>-9.9999999999987555E-4</v>
      </c>
      <c r="D203" s="12">
        <f t="shared" si="13"/>
        <v>0.99516999999999745</v>
      </c>
      <c r="E203" s="9">
        <v>20</v>
      </c>
      <c r="F203" s="19">
        <v>0.97604999999999997</v>
      </c>
      <c r="G203" s="11">
        <f t="shared" si="14"/>
        <v>-9.9999999999987555E-4</v>
      </c>
      <c r="H203" s="12">
        <f t="shared" si="15"/>
        <v>0.99604999999999744</v>
      </c>
    </row>
    <row r="204" spans="1:8" ht="14.25" thickBot="1">
      <c r="A204" s="22">
        <v>20.100000000000001</v>
      </c>
      <c r="B204" s="15">
        <v>0.97506999999999999</v>
      </c>
      <c r="C204" s="11">
        <f t="shared" si="12"/>
        <v>-9.999999999999109E-4</v>
      </c>
      <c r="D204" s="12">
        <f t="shared" si="13"/>
        <v>0.99516999999999822</v>
      </c>
      <c r="E204" s="22">
        <v>20.100000000000001</v>
      </c>
      <c r="F204" s="15">
        <v>0.97594999999999998</v>
      </c>
      <c r="G204" s="11">
        <f t="shared" si="14"/>
        <v>-9.999999999999109E-4</v>
      </c>
      <c r="H204" s="12">
        <f t="shared" si="15"/>
        <v>0.99604999999999821</v>
      </c>
    </row>
    <row r="205" spans="1:8" ht="14.25" thickBot="1">
      <c r="A205" s="22">
        <v>20.2</v>
      </c>
      <c r="B205" s="15">
        <v>0.97497</v>
      </c>
      <c r="C205" s="11">
        <f t="shared" si="12"/>
        <v>-9.9999999999987555E-4</v>
      </c>
      <c r="D205" s="12">
        <f t="shared" si="13"/>
        <v>0.99516999999999745</v>
      </c>
      <c r="E205" s="22">
        <v>20.2</v>
      </c>
      <c r="F205" s="15">
        <v>0.97585</v>
      </c>
      <c r="G205" s="11">
        <f t="shared" si="14"/>
        <v>-9.9999999999987555E-4</v>
      </c>
      <c r="H205" s="12">
        <f t="shared" si="15"/>
        <v>0.99604999999999744</v>
      </c>
    </row>
    <row r="206" spans="1:8" ht="14.25" thickBot="1">
      <c r="A206" s="22">
        <v>20.3</v>
      </c>
      <c r="B206" s="15">
        <v>0.97487000000000001</v>
      </c>
      <c r="C206" s="11">
        <f t="shared" si="12"/>
        <v>-9.999999999999109E-4</v>
      </c>
      <c r="D206" s="12">
        <f t="shared" si="13"/>
        <v>0.99516999999999822</v>
      </c>
      <c r="E206" s="22">
        <v>20.3</v>
      </c>
      <c r="F206" s="15">
        <v>0.97575000000000001</v>
      </c>
      <c r="G206" s="11">
        <f t="shared" si="14"/>
        <v>-9.999999999999109E-4</v>
      </c>
      <c r="H206" s="12">
        <f t="shared" si="15"/>
        <v>0.99604999999999821</v>
      </c>
    </row>
    <row r="207" spans="1:8" ht="14.25" thickBot="1">
      <c r="A207" s="22">
        <v>20.399999999999999</v>
      </c>
      <c r="B207" s="15">
        <v>0.97477000000000003</v>
      </c>
      <c r="C207" s="11">
        <f t="shared" si="12"/>
        <v>-9.9999999999987555E-4</v>
      </c>
      <c r="D207" s="12">
        <f t="shared" si="13"/>
        <v>0.99516999999999745</v>
      </c>
      <c r="E207" s="22">
        <v>20.399999999999999</v>
      </c>
      <c r="F207" s="15">
        <v>0.97565000000000002</v>
      </c>
      <c r="G207" s="11">
        <f t="shared" si="14"/>
        <v>-9.9999999999987555E-4</v>
      </c>
      <c r="H207" s="12">
        <f t="shared" si="15"/>
        <v>0.99604999999999744</v>
      </c>
    </row>
    <row r="208" spans="1:8" ht="14.25" thickBot="1">
      <c r="A208" s="22">
        <v>20.5</v>
      </c>
      <c r="B208" s="15">
        <v>0.97467000000000004</v>
      </c>
      <c r="C208" s="11">
        <f t="shared" si="12"/>
        <v>-9.9999999999987555E-4</v>
      </c>
      <c r="D208" s="12">
        <f t="shared" si="13"/>
        <v>0.99516999999999745</v>
      </c>
      <c r="E208" s="22">
        <v>20.5</v>
      </c>
      <c r="F208" s="15">
        <v>0.97555000000000003</v>
      </c>
      <c r="G208" s="11">
        <f t="shared" si="14"/>
        <v>-9.9999999999987555E-4</v>
      </c>
      <c r="H208" s="12">
        <f t="shared" si="15"/>
        <v>0.99604999999999744</v>
      </c>
    </row>
    <row r="209" spans="1:8" ht="14.25" thickBot="1">
      <c r="A209" s="22">
        <v>20.6</v>
      </c>
      <c r="B209" s="15">
        <v>0.97457000000000005</v>
      </c>
      <c r="C209" s="11">
        <f t="shared" si="12"/>
        <v>-1.0000000000010211E-3</v>
      </c>
      <c r="D209" s="12">
        <f t="shared" si="13"/>
        <v>0.99517000000002109</v>
      </c>
      <c r="E209" s="22">
        <v>20.6</v>
      </c>
      <c r="F209" s="15">
        <v>0.97545000000000004</v>
      </c>
      <c r="G209" s="11">
        <f t="shared" si="14"/>
        <v>-9.999999999999109E-4</v>
      </c>
      <c r="H209" s="12">
        <f t="shared" si="15"/>
        <v>0.99604999999999821</v>
      </c>
    </row>
    <row r="210" spans="1:8" ht="14.25" thickBot="1">
      <c r="A210" s="22">
        <v>20.7</v>
      </c>
      <c r="B210" s="15">
        <v>0.97446999999999995</v>
      </c>
      <c r="C210" s="11">
        <f t="shared" si="12"/>
        <v>-9.9999999999987555E-4</v>
      </c>
      <c r="D210" s="12">
        <f t="shared" si="13"/>
        <v>0.99516999999999733</v>
      </c>
      <c r="E210" s="22">
        <v>20.7</v>
      </c>
      <c r="F210" s="15">
        <v>0.97535000000000005</v>
      </c>
      <c r="G210" s="11">
        <f t="shared" si="14"/>
        <v>-1.0000000000009858E-3</v>
      </c>
      <c r="H210" s="12">
        <f t="shared" si="15"/>
        <v>0.99605000000002053</v>
      </c>
    </row>
    <row r="211" spans="1:8" ht="14.25" thickBot="1">
      <c r="A211" s="22">
        <v>20.8</v>
      </c>
      <c r="B211" s="15">
        <v>0.97436999999999996</v>
      </c>
      <c r="C211" s="11">
        <f t="shared" si="12"/>
        <v>-9.999999999999109E-4</v>
      </c>
      <c r="D211" s="12">
        <f t="shared" si="13"/>
        <v>0.99516999999999811</v>
      </c>
      <c r="E211" s="22">
        <v>20.8</v>
      </c>
      <c r="F211" s="15">
        <v>0.97524999999999995</v>
      </c>
      <c r="G211" s="11">
        <f t="shared" si="14"/>
        <v>-9.999999999999109E-4</v>
      </c>
      <c r="H211" s="12">
        <f t="shared" si="15"/>
        <v>0.9960499999999981</v>
      </c>
    </row>
    <row r="212" spans="1:8" ht="14.25" thickBot="1">
      <c r="A212" s="23">
        <v>20.9</v>
      </c>
      <c r="B212" s="17">
        <v>0.97426999999999997</v>
      </c>
      <c r="C212" s="11">
        <f t="shared" si="12"/>
        <v>-9.9999999999987555E-4</v>
      </c>
      <c r="D212" s="12">
        <f t="shared" si="13"/>
        <v>0.99516999999999733</v>
      </c>
      <c r="E212" s="23">
        <v>20.9</v>
      </c>
      <c r="F212" s="17">
        <v>0.97514999999999996</v>
      </c>
      <c r="G212" s="11">
        <f t="shared" si="14"/>
        <v>-9.9999999999987555E-4</v>
      </c>
      <c r="H212" s="12">
        <f t="shared" si="15"/>
        <v>0.99604999999999733</v>
      </c>
    </row>
    <row r="213" spans="1:8" ht="14.25" thickBot="1">
      <c r="A213" s="24">
        <v>21</v>
      </c>
      <c r="B213" s="17">
        <v>0.97416999999999998</v>
      </c>
      <c r="C213" s="11">
        <f t="shared" si="12"/>
        <v>-9.9999999999987555E-4</v>
      </c>
      <c r="D213" s="12">
        <f t="shared" si="13"/>
        <v>0.99516999999999733</v>
      </c>
      <c r="E213" s="24">
        <v>21</v>
      </c>
      <c r="F213" s="17">
        <v>0.97504999999999997</v>
      </c>
      <c r="G213" s="11">
        <f t="shared" si="14"/>
        <v>-9.9999999999987555E-4</v>
      </c>
      <c r="H213" s="12">
        <f t="shared" si="15"/>
        <v>0.99604999999999733</v>
      </c>
    </row>
    <row r="214" spans="1:8" ht="14.25" thickBot="1">
      <c r="A214" s="22">
        <v>21.1</v>
      </c>
      <c r="B214" s="15">
        <v>0.97406999999999999</v>
      </c>
      <c r="C214" s="11">
        <f t="shared" si="12"/>
        <v>-9.999999999999109E-4</v>
      </c>
      <c r="D214" s="12">
        <f t="shared" si="13"/>
        <v>0.99516999999999811</v>
      </c>
      <c r="E214" s="22">
        <v>21.1</v>
      </c>
      <c r="F214" s="15">
        <v>0.97494999999999998</v>
      </c>
      <c r="G214" s="11">
        <f t="shared" si="14"/>
        <v>-9.999999999999109E-4</v>
      </c>
      <c r="H214" s="12">
        <f t="shared" si="15"/>
        <v>0.9960499999999981</v>
      </c>
    </row>
    <row r="215" spans="1:8" ht="14.25" thickBot="1">
      <c r="A215" s="25">
        <v>21.2</v>
      </c>
      <c r="B215" s="15">
        <v>0.97397</v>
      </c>
      <c r="C215" s="11">
        <f t="shared" si="12"/>
        <v>-9.9999999999987555E-4</v>
      </c>
      <c r="D215" s="12">
        <f t="shared" si="13"/>
        <v>0.99516999999999733</v>
      </c>
      <c r="E215" s="25">
        <v>21.2</v>
      </c>
      <c r="F215" s="15">
        <v>0.97484999999999999</v>
      </c>
      <c r="G215" s="11">
        <f t="shared" si="14"/>
        <v>-9.9999999999987555E-4</v>
      </c>
      <c r="H215" s="12">
        <f t="shared" si="15"/>
        <v>0.99604999999999733</v>
      </c>
    </row>
    <row r="216" spans="1:8" ht="14.25" thickBot="1">
      <c r="A216" s="25">
        <v>21.3</v>
      </c>
      <c r="B216" s="15">
        <v>0.97387000000000001</v>
      </c>
      <c r="C216" s="11">
        <f t="shared" si="12"/>
        <v>-9.999999999999109E-4</v>
      </c>
      <c r="D216" s="12">
        <f t="shared" si="13"/>
        <v>0.99516999999999811</v>
      </c>
      <c r="E216" s="25">
        <v>21.3</v>
      </c>
      <c r="F216" s="15">
        <v>0.97475000000000001</v>
      </c>
      <c r="G216" s="11">
        <f t="shared" si="14"/>
        <v>-9.999999999999109E-4</v>
      </c>
      <c r="H216" s="12">
        <f t="shared" si="15"/>
        <v>0.9960499999999981</v>
      </c>
    </row>
    <row r="217" spans="1:8" ht="14.25" thickBot="1">
      <c r="A217" s="25">
        <v>21.4</v>
      </c>
      <c r="B217" s="15">
        <v>0.97377000000000002</v>
      </c>
      <c r="C217" s="11">
        <f t="shared" si="12"/>
        <v>-9.9999999999987555E-4</v>
      </c>
      <c r="D217" s="12">
        <f t="shared" si="13"/>
        <v>0.99516999999999733</v>
      </c>
      <c r="E217" s="25">
        <v>21.4</v>
      </c>
      <c r="F217" s="15">
        <v>0.97465000000000002</v>
      </c>
      <c r="G217" s="11">
        <f t="shared" si="14"/>
        <v>-9.9999999999987555E-4</v>
      </c>
      <c r="H217" s="12">
        <f t="shared" si="15"/>
        <v>0.99604999999999733</v>
      </c>
    </row>
    <row r="218" spans="1:8" ht="14.25" thickBot="1">
      <c r="A218" s="25">
        <v>21.5</v>
      </c>
      <c r="B218" s="15">
        <v>0.97367000000000004</v>
      </c>
      <c r="C218" s="11">
        <f t="shared" si="12"/>
        <v>-9.9999999999987555E-4</v>
      </c>
      <c r="D218" s="12">
        <f t="shared" si="13"/>
        <v>0.99516999999999733</v>
      </c>
      <c r="E218" s="25">
        <v>21.5</v>
      </c>
      <c r="F218" s="15">
        <v>0.97455000000000003</v>
      </c>
      <c r="G218" s="11">
        <f t="shared" si="14"/>
        <v>-9.9999999999987555E-4</v>
      </c>
      <c r="H218" s="12">
        <f t="shared" si="15"/>
        <v>0.99604999999999733</v>
      </c>
    </row>
    <row r="219" spans="1:8" ht="14.25" thickBot="1">
      <c r="A219" s="25">
        <v>21.6</v>
      </c>
      <c r="B219" s="15">
        <v>0.97357000000000005</v>
      </c>
      <c r="C219" s="11">
        <f t="shared" si="12"/>
        <v>-1.0000000000010211E-3</v>
      </c>
      <c r="D219" s="12">
        <f t="shared" si="13"/>
        <v>0.99517000000002209</v>
      </c>
      <c r="E219" s="25">
        <v>21.6</v>
      </c>
      <c r="F219" s="15">
        <v>0.97445000000000004</v>
      </c>
      <c r="G219" s="11">
        <f t="shared" si="14"/>
        <v>-9.999999999999109E-4</v>
      </c>
      <c r="H219" s="12">
        <f t="shared" si="15"/>
        <v>0.9960499999999981</v>
      </c>
    </row>
    <row r="220" spans="1:8" ht="14.25" thickBot="1">
      <c r="A220" s="25">
        <v>21.7</v>
      </c>
      <c r="B220" s="15">
        <v>0.97346999999999995</v>
      </c>
      <c r="C220" s="11">
        <f t="shared" si="12"/>
        <v>-9.9999999999987555E-4</v>
      </c>
      <c r="D220" s="12">
        <f t="shared" si="13"/>
        <v>0.99516999999999722</v>
      </c>
      <c r="E220" s="25">
        <v>21.7</v>
      </c>
      <c r="F220" s="15">
        <v>0.97435000000000005</v>
      </c>
      <c r="G220" s="11">
        <f t="shared" si="14"/>
        <v>-1.0000000000009858E-3</v>
      </c>
      <c r="H220" s="12">
        <f t="shared" si="15"/>
        <v>0.99605000000002142</v>
      </c>
    </row>
    <row r="221" spans="1:8" ht="14.25" thickBot="1">
      <c r="A221" s="25">
        <v>21.8</v>
      </c>
      <c r="B221" s="15">
        <v>0.97336999999999996</v>
      </c>
      <c r="C221" s="11">
        <f t="shared" si="12"/>
        <v>-9.999999999999109E-4</v>
      </c>
      <c r="D221" s="12">
        <f t="shared" si="13"/>
        <v>0.995169999999998</v>
      </c>
      <c r="E221" s="25">
        <v>21.8</v>
      </c>
      <c r="F221" s="15">
        <v>0.97424999999999995</v>
      </c>
      <c r="G221" s="11">
        <f t="shared" si="14"/>
        <v>-9.999999999999109E-4</v>
      </c>
      <c r="H221" s="12">
        <f t="shared" si="15"/>
        <v>0.99604999999999799</v>
      </c>
    </row>
    <row r="222" spans="1:8" ht="14.25" thickBot="1">
      <c r="A222" s="25">
        <v>21.9</v>
      </c>
      <c r="B222" s="15">
        <v>0.97326999999999997</v>
      </c>
      <c r="C222" s="11">
        <f t="shared" si="12"/>
        <v>-9.9999999999987555E-4</v>
      </c>
      <c r="D222" s="12">
        <f t="shared" si="13"/>
        <v>0.99516999999999722</v>
      </c>
      <c r="E222" s="25">
        <v>21.9</v>
      </c>
      <c r="F222" s="15">
        <v>0.97414999999999996</v>
      </c>
      <c r="G222" s="11">
        <f t="shared" si="14"/>
        <v>-9.9999999999987555E-4</v>
      </c>
      <c r="H222" s="12">
        <f t="shared" si="15"/>
        <v>0.99604999999999722</v>
      </c>
    </row>
    <row r="223" spans="1:8" ht="14.25" thickBot="1">
      <c r="A223" s="26">
        <v>22</v>
      </c>
      <c r="B223" s="19">
        <v>0.97316999999999998</v>
      </c>
      <c r="C223" s="11">
        <f t="shared" si="12"/>
        <v>-9.9999999999987555E-4</v>
      </c>
      <c r="D223" s="12">
        <f t="shared" si="13"/>
        <v>0.99516999999999722</v>
      </c>
      <c r="E223" s="26">
        <v>22</v>
      </c>
      <c r="F223" s="19">
        <v>0.97404999999999997</v>
      </c>
      <c r="G223" s="11">
        <f t="shared" si="14"/>
        <v>-9.9999999999987555E-4</v>
      </c>
      <c r="H223" s="12">
        <f t="shared" si="15"/>
        <v>0.99604999999999722</v>
      </c>
    </row>
    <row r="224" spans="1:8" ht="14.25" thickBot="1">
      <c r="A224" s="22">
        <v>22.1</v>
      </c>
      <c r="B224" s="15">
        <v>0.97306999999999999</v>
      </c>
      <c r="C224" s="11">
        <f t="shared" si="12"/>
        <v>-9.999999999999109E-4</v>
      </c>
      <c r="D224" s="12">
        <f t="shared" si="13"/>
        <v>0.995169999999998</v>
      </c>
      <c r="E224" s="22">
        <v>22.1</v>
      </c>
      <c r="F224" s="15">
        <v>0.97394999999999998</v>
      </c>
      <c r="G224" s="11">
        <f t="shared" si="14"/>
        <v>-9.999999999999109E-4</v>
      </c>
      <c r="H224" s="12">
        <f t="shared" si="15"/>
        <v>0.99604999999999799</v>
      </c>
    </row>
    <row r="225" spans="1:8" ht="14.25" thickBot="1">
      <c r="A225" s="22">
        <v>22.2</v>
      </c>
      <c r="B225" s="15">
        <v>0.97297</v>
      </c>
      <c r="C225" s="11">
        <f t="shared" si="12"/>
        <v>-9.9999999999987555E-4</v>
      </c>
      <c r="D225" s="12">
        <f t="shared" si="13"/>
        <v>0.99516999999999722</v>
      </c>
      <c r="E225" s="22">
        <v>22.2</v>
      </c>
      <c r="F225" s="15">
        <v>0.97384999999999999</v>
      </c>
      <c r="G225" s="11">
        <f t="shared" si="14"/>
        <v>-9.9999999999987555E-4</v>
      </c>
      <c r="H225" s="12">
        <f t="shared" si="15"/>
        <v>0.99604999999999722</v>
      </c>
    </row>
    <row r="226" spans="1:8" ht="14.25" thickBot="1">
      <c r="A226" s="22">
        <v>22.3</v>
      </c>
      <c r="B226" s="15">
        <v>0.97287000000000001</v>
      </c>
      <c r="C226" s="11">
        <f t="shared" si="12"/>
        <v>-9.999999999999109E-4</v>
      </c>
      <c r="D226" s="12">
        <f t="shared" si="13"/>
        <v>0.995169999999998</v>
      </c>
      <c r="E226" s="22">
        <v>22.3</v>
      </c>
      <c r="F226" s="15">
        <v>0.97375</v>
      </c>
      <c r="G226" s="11">
        <f t="shared" si="14"/>
        <v>-9.999999999999109E-4</v>
      </c>
      <c r="H226" s="12">
        <f t="shared" si="15"/>
        <v>0.99604999999999799</v>
      </c>
    </row>
    <row r="227" spans="1:8" ht="14.25" thickBot="1">
      <c r="A227" s="22">
        <v>22.4</v>
      </c>
      <c r="B227" s="15">
        <v>0.97277000000000002</v>
      </c>
      <c r="C227" s="11">
        <f t="shared" si="12"/>
        <v>-1.1000000000005292E-3</v>
      </c>
      <c r="D227" s="12">
        <f t="shared" si="13"/>
        <v>0.9974100000000119</v>
      </c>
      <c r="E227" s="22">
        <v>22.4</v>
      </c>
      <c r="F227" s="15">
        <v>0.97365000000000002</v>
      </c>
      <c r="G227" s="11">
        <f t="shared" si="14"/>
        <v>-1.1000000000005292E-3</v>
      </c>
      <c r="H227" s="12">
        <f t="shared" si="15"/>
        <v>0.99829000000001189</v>
      </c>
    </row>
    <row r="228" spans="1:8" ht="14.25" thickBot="1">
      <c r="A228" s="22">
        <v>22.5</v>
      </c>
      <c r="B228" s="15">
        <v>0.97265999999999997</v>
      </c>
      <c r="C228" s="11">
        <f t="shared" si="12"/>
        <v>-9.9999999999987555E-4</v>
      </c>
      <c r="D228" s="12">
        <f t="shared" si="13"/>
        <v>0.99515999999999716</v>
      </c>
      <c r="E228" s="22">
        <v>22.5</v>
      </c>
      <c r="F228" s="15">
        <v>0.97353999999999996</v>
      </c>
      <c r="G228" s="11">
        <f t="shared" si="14"/>
        <v>-9.9999999999987555E-4</v>
      </c>
      <c r="H228" s="12">
        <f t="shared" si="15"/>
        <v>0.99603999999999715</v>
      </c>
    </row>
    <row r="229" spans="1:8" ht="14.25" thickBot="1">
      <c r="A229" s="22">
        <v>22.6</v>
      </c>
      <c r="B229" s="15">
        <v>0.97255999999999998</v>
      </c>
      <c r="C229" s="11">
        <f t="shared" si="12"/>
        <v>-9.999999999999109E-4</v>
      </c>
      <c r="D229" s="12">
        <f t="shared" si="13"/>
        <v>0.99515999999999794</v>
      </c>
      <c r="E229" s="22">
        <v>22.6</v>
      </c>
      <c r="F229" s="15">
        <v>0.97343999999999997</v>
      </c>
      <c r="G229" s="11">
        <f t="shared" si="14"/>
        <v>-9.999999999999109E-4</v>
      </c>
      <c r="H229" s="12">
        <f t="shared" si="15"/>
        <v>0.99603999999999793</v>
      </c>
    </row>
    <row r="230" spans="1:8" ht="14.25" thickBot="1">
      <c r="A230" s="22">
        <v>22.7</v>
      </c>
      <c r="B230" s="15">
        <v>0.97245999999999999</v>
      </c>
      <c r="C230" s="11">
        <f t="shared" si="12"/>
        <v>-9.9999999999987555E-4</v>
      </c>
      <c r="D230" s="12">
        <f t="shared" si="13"/>
        <v>0.99515999999999716</v>
      </c>
      <c r="E230" s="22">
        <v>22.7</v>
      </c>
      <c r="F230" s="15">
        <v>0.97333999999999998</v>
      </c>
      <c r="G230" s="11">
        <f t="shared" si="14"/>
        <v>-9.9999999999987555E-4</v>
      </c>
      <c r="H230" s="12">
        <f t="shared" si="15"/>
        <v>0.99603999999999715</v>
      </c>
    </row>
    <row r="231" spans="1:8" ht="14.25" thickBot="1">
      <c r="A231" s="22">
        <v>22.8</v>
      </c>
      <c r="B231" s="15">
        <v>0.97236</v>
      </c>
      <c r="C231" s="11">
        <f t="shared" si="12"/>
        <v>-9.999999999999109E-4</v>
      </c>
      <c r="D231" s="12">
        <f t="shared" si="13"/>
        <v>0.99515999999999794</v>
      </c>
      <c r="E231" s="22">
        <v>22.8</v>
      </c>
      <c r="F231" s="15">
        <v>0.97323999999999999</v>
      </c>
      <c r="G231" s="11">
        <f t="shared" si="14"/>
        <v>-9.999999999999109E-4</v>
      </c>
      <c r="H231" s="12">
        <f t="shared" si="15"/>
        <v>0.99603999999999793</v>
      </c>
    </row>
    <row r="232" spans="1:8" ht="14.25" thickBot="1">
      <c r="A232" s="22">
        <v>22.9</v>
      </c>
      <c r="B232" s="15">
        <v>0.97226000000000001</v>
      </c>
      <c r="C232" s="11">
        <f t="shared" si="12"/>
        <v>-9.9999999999987555E-4</v>
      </c>
      <c r="D232" s="12">
        <f t="shared" si="13"/>
        <v>0.99515999999999716</v>
      </c>
      <c r="E232" s="22">
        <v>22.9</v>
      </c>
      <c r="F232" s="15">
        <v>0.97314000000000001</v>
      </c>
      <c r="G232" s="11">
        <f t="shared" si="14"/>
        <v>-9.9999999999987555E-4</v>
      </c>
      <c r="H232" s="12">
        <f t="shared" si="15"/>
        <v>0.99603999999999715</v>
      </c>
    </row>
    <row r="233" spans="1:8" ht="14.25" thickBot="1">
      <c r="A233" s="26">
        <v>23</v>
      </c>
      <c r="B233" s="19">
        <v>0.97216000000000002</v>
      </c>
      <c r="C233" s="11">
        <f t="shared" si="12"/>
        <v>-9.9999999999987555E-4</v>
      </c>
      <c r="D233" s="12">
        <f t="shared" si="13"/>
        <v>0.99515999999999716</v>
      </c>
      <c r="E233" s="26">
        <v>23</v>
      </c>
      <c r="F233" s="19">
        <v>0.97304000000000002</v>
      </c>
      <c r="G233" s="11">
        <f t="shared" si="14"/>
        <v>-9.9999999999987555E-4</v>
      </c>
      <c r="H233" s="12">
        <f t="shared" si="15"/>
        <v>0.99603999999999715</v>
      </c>
    </row>
    <row r="234" spans="1:8" ht="14.25" thickBot="1">
      <c r="A234" s="22">
        <v>23.1</v>
      </c>
      <c r="B234" s="15">
        <v>0.97206000000000004</v>
      </c>
      <c r="C234" s="11">
        <f t="shared" si="12"/>
        <v>-9.999999999999109E-4</v>
      </c>
      <c r="D234" s="12">
        <f t="shared" si="13"/>
        <v>0.99515999999999794</v>
      </c>
      <c r="E234" s="22">
        <v>23.1</v>
      </c>
      <c r="F234" s="15">
        <v>0.97294000000000003</v>
      </c>
      <c r="G234" s="11">
        <f t="shared" si="14"/>
        <v>-9.999999999999109E-4</v>
      </c>
      <c r="H234" s="12">
        <f t="shared" si="15"/>
        <v>0.99603999999999793</v>
      </c>
    </row>
    <row r="235" spans="1:8" ht="14.25" thickBot="1">
      <c r="A235" s="22">
        <v>23.2</v>
      </c>
      <c r="B235" s="15">
        <v>0.97196000000000005</v>
      </c>
      <c r="C235" s="11">
        <f t="shared" si="12"/>
        <v>-1.0000000000009858E-3</v>
      </c>
      <c r="D235" s="12">
        <f t="shared" si="13"/>
        <v>0.99516000000002292</v>
      </c>
      <c r="E235" s="22">
        <v>23.2</v>
      </c>
      <c r="F235" s="15">
        <v>0.97284000000000004</v>
      </c>
      <c r="G235" s="11">
        <f t="shared" si="14"/>
        <v>-9.9999999999987555E-4</v>
      </c>
      <c r="H235" s="12">
        <f t="shared" si="15"/>
        <v>0.99603999999999715</v>
      </c>
    </row>
    <row r="236" spans="1:8" ht="14.25" thickBot="1">
      <c r="A236" s="22">
        <v>23.3</v>
      </c>
      <c r="B236" s="15">
        <v>0.97185999999999995</v>
      </c>
      <c r="C236" s="11">
        <f t="shared" si="12"/>
        <v>-1.099999999999458E-3</v>
      </c>
      <c r="D236" s="12">
        <f t="shared" si="13"/>
        <v>0.99748999999998733</v>
      </c>
      <c r="E236" s="22">
        <v>23.3</v>
      </c>
      <c r="F236" s="15">
        <v>0.97274000000000005</v>
      </c>
      <c r="G236" s="11">
        <f t="shared" si="14"/>
        <v>-1.1000000000005682E-3</v>
      </c>
      <c r="H236" s="12">
        <f t="shared" si="15"/>
        <v>0.9983700000000133</v>
      </c>
    </row>
    <row r="237" spans="1:8" ht="14.25" thickBot="1">
      <c r="A237" s="22">
        <v>23.4</v>
      </c>
      <c r="B237" s="15">
        <v>0.97175</v>
      </c>
      <c r="C237" s="11">
        <f t="shared" si="12"/>
        <v>-9.9999999999987555E-4</v>
      </c>
      <c r="D237" s="12">
        <f t="shared" si="13"/>
        <v>0.99514999999999709</v>
      </c>
      <c r="E237" s="22">
        <v>23.4</v>
      </c>
      <c r="F237" s="15">
        <v>0.97262999999999999</v>
      </c>
      <c r="G237" s="11">
        <f t="shared" si="14"/>
        <v>-9.9999999999987555E-4</v>
      </c>
      <c r="H237" s="12">
        <f t="shared" si="15"/>
        <v>0.99602999999999708</v>
      </c>
    </row>
    <row r="238" spans="1:8" ht="14.25" thickBot="1">
      <c r="A238" s="22">
        <v>23.5</v>
      </c>
      <c r="B238" s="15">
        <v>0.97165000000000001</v>
      </c>
      <c r="C238" s="11">
        <f t="shared" si="12"/>
        <v>-9.9999999999987555E-4</v>
      </c>
      <c r="D238" s="12">
        <f t="shared" si="13"/>
        <v>0.99514999999999709</v>
      </c>
      <c r="E238" s="22">
        <v>23.5</v>
      </c>
      <c r="F238" s="15">
        <v>0.97253000000000001</v>
      </c>
      <c r="G238" s="11">
        <f t="shared" si="14"/>
        <v>-9.9999999999987555E-4</v>
      </c>
      <c r="H238" s="12">
        <f t="shared" si="15"/>
        <v>0.99602999999999708</v>
      </c>
    </row>
    <row r="239" spans="1:8" ht="14.25" thickBot="1">
      <c r="A239" s="22">
        <v>23.6</v>
      </c>
      <c r="B239" s="15">
        <v>0.97155000000000002</v>
      </c>
      <c r="C239" s="11">
        <f t="shared" si="12"/>
        <v>-9.999999999999109E-4</v>
      </c>
      <c r="D239" s="12">
        <f t="shared" si="13"/>
        <v>0.99514999999999787</v>
      </c>
      <c r="E239" s="22">
        <v>23.6</v>
      </c>
      <c r="F239" s="15">
        <v>0.97243000000000002</v>
      </c>
      <c r="G239" s="11">
        <f t="shared" si="14"/>
        <v>-9.999999999999109E-4</v>
      </c>
      <c r="H239" s="12">
        <f t="shared" si="15"/>
        <v>0.99602999999999786</v>
      </c>
    </row>
    <row r="240" spans="1:8" ht="14.25" thickBot="1">
      <c r="A240" s="22">
        <v>23.7</v>
      </c>
      <c r="B240" s="15">
        <v>0.97145000000000004</v>
      </c>
      <c r="C240" s="11">
        <f t="shared" si="12"/>
        <v>-9.9999999999987555E-4</v>
      </c>
      <c r="D240" s="12">
        <f t="shared" si="13"/>
        <v>0.99514999999999709</v>
      </c>
      <c r="E240" s="22">
        <v>23.7</v>
      </c>
      <c r="F240" s="15">
        <v>0.97233000000000003</v>
      </c>
      <c r="G240" s="11">
        <f t="shared" si="14"/>
        <v>-9.9999999999987555E-4</v>
      </c>
      <c r="H240" s="12">
        <f t="shared" si="15"/>
        <v>0.99602999999999708</v>
      </c>
    </row>
    <row r="241" spans="1:8" ht="14.25" thickBot="1">
      <c r="A241" s="22">
        <v>23.8</v>
      </c>
      <c r="B241" s="15">
        <v>0.97135000000000005</v>
      </c>
      <c r="C241" s="11">
        <f t="shared" si="12"/>
        <v>-1.0000000000010211E-3</v>
      </c>
      <c r="D241" s="12">
        <f t="shared" si="13"/>
        <v>0.9951500000000244</v>
      </c>
      <c r="E241" s="22">
        <v>23.8</v>
      </c>
      <c r="F241" s="15">
        <v>0.97223000000000004</v>
      </c>
      <c r="G241" s="11">
        <f t="shared" si="14"/>
        <v>-1.1000000000005682E-3</v>
      </c>
      <c r="H241" s="12">
        <f t="shared" si="15"/>
        <v>0.99841000000001356</v>
      </c>
    </row>
    <row r="242" spans="1:8" ht="14.25" thickBot="1">
      <c r="A242" s="22">
        <v>23.9</v>
      </c>
      <c r="B242" s="15">
        <v>0.97124999999999995</v>
      </c>
      <c r="C242" s="11">
        <f t="shared" si="12"/>
        <v>-1.0999999999994192E-3</v>
      </c>
      <c r="D242" s="12">
        <f t="shared" si="13"/>
        <v>0.9975399999999861</v>
      </c>
      <c r="E242" s="22">
        <v>23.9</v>
      </c>
      <c r="F242" s="15">
        <v>0.97211999999999998</v>
      </c>
      <c r="G242" s="11">
        <f t="shared" si="14"/>
        <v>-1.0999999999994192E-3</v>
      </c>
      <c r="H242" s="12">
        <f t="shared" si="15"/>
        <v>0.99840999999998603</v>
      </c>
    </row>
    <row r="243" spans="1:8" ht="14.25" thickBot="1">
      <c r="A243" s="26">
        <v>24</v>
      </c>
      <c r="B243" s="19">
        <v>0.97114</v>
      </c>
      <c r="C243" s="11">
        <f t="shared" si="12"/>
        <v>-9.9999999999987555E-4</v>
      </c>
      <c r="D243" s="12">
        <f t="shared" si="13"/>
        <v>0.99513999999999703</v>
      </c>
      <c r="E243" s="26">
        <v>24</v>
      </c>
      <c r="F243" s="19">
        <v>0.97201000000000004</v>
      </c>
      <c r="G243" s="11">
        <f t="shared" si="14"/>
        <v>-9.9999999999987555E-4</v>
      </c>
      <c r="H243" s="12">
        <f t="shared" si="15"/>
        <v>0.99600999999999706</v>
      </c>
    </row>
    <row r="244" spans="1:8" ht="14.25" thickBot="1">
      <c r="A244" s="22">
        <v>24.1</v>
      </c>
      <c r="B244" s="15">
        <v>0.97104000000000001</v>
      </c>
      <c r="C244" s="11">
        <f t="shared" si="12"/>
        <v>-9.999999999999109E-4</v>
      </c>
      <c r="D244" s="12">
        <f t="shared" si="13"/>
        <v>0.99513999999999792</v>
      </c>
      <c r="E244" s="22">
        <v>24.1</v>
      </c>
      <c r="F244" s="15">
        <v>0.97191000000000005</v>
      </c>
      <c r="G244" s="11">
        <f t="shared" si="14"/>
        <v>-1.0000000000010211E-3</v>
      </c>
      <c r="H244" s="12">
        <f t="shared" si="15"/>
        <v>0.9960100000000246</v>
      </c>
    </row>
    <row r="245" spans="1:8" ht="14.25" thickBot="1">
      <c r="A245" s="22">
        <v>24.2</v>
      </c>
      <c r="B245" s="15">
        <v>0.97094000000000003</v>
      </c>
      <c r="C245" s="11">
        <f t="shared" si="12"/>
        <v>-9.9999999999987555E-4</v>
      </c>
      <c r="D245" s="12">
        <f t="shared" si="13"/>
        <v>0.99513999999999703</v>
      </c>
      <c r="E245" s="22">
        <v>24.2</v>
      </c>
      <c r="F245" s="15">
        <v>0.97180999999999995</v>
      </c>
      <c r="G245" s="11">
        <f t="shared" si="14"/>
        <v>-9.9999999999987555E-4</v>
      </c>
      <c r="H245" s="12">
        <f t="shared" si="15"/>
        <v>0.99600999999999695</v>
      </c>
    </row>
    <row r="246" spans="1:8" ht="14.25" thickBot="1">
      <c r="A246" s="22">
        <v>24.3</v>
      </c>
      <c r="B246" s="15">
        <v>0.97084000000000004</v>
      </c>
      <c r="C246" s="11">
        <f t="shared" si="12"/>
        <v>-1.1000000000005682E-3</v>
      </c>
      <c r="D246" s="12">
        <f t="shared" si="13"/>
        <v>0.99757000000001383</v>
      </c>
      <c r="E246" s="22">
        <v>24.3</v>
      </c>
      <c r="F246" s="15">
        <v>0.97170999999999996</v>
      </c>
      <c r="G246" s="11">
        <f t="shared" si="14"/>
        <v>-1.099999999999458E-3</v>
      </c>
      <c r="H246" s="12">
        <f t="shared" si="15"/>
        <v>0.99843999999998678</v>
      </c>
    </row>
    <row r="247" spans="1:8" ht="14.25" thickBot="1">
      <c r="A247" s="22">
        <v>24.4</v>
      </c>
      <c r="B247" s="15">
        <v>0.97072999999999998</v>
      </c>
      <c r="C247" s="11">
        <f t="shared" si="12"/>
        <v>-9.9999999999987555E-4</v>
      </c>
      <c r="D247" s="12">
        <f t="shared" si="13"/>
        <v>0.99512999999999696</v>
      </c>
      <c r="E247" s="22">
        <v>24.4</v>
      </c>
      <c r="F247" s="15">
        <v>0.97160000000000002</v>
      </c>
      <c r="G247" s="11">
        <f t="shared" si="14"/>
        <v>-9.9999999999987555E-4</v>
      </c>
      <c r="H247" s="12">
        <f t="shared" si="15"/>
        <v>0.995999999999997</v>
      </c>
    </row>
    <row r="248" spans="1:8" ht="14.25" thickBot="1">
      <c r="A248" s="22">
        <v>24.5</v>
      </c>
      <c r="B248" s="15">
        <v>0.97062999999999999</v>
      </c>
      <c r="C248" s="11">
        <f t="shared" si="12"/>
        <v>-9.9999999999987555E-4</v>
      </c>
      <c r="D248" s="12">
        <f t="shared" si="13"/>
        <v>0.99512999999999696</v>
      </c>
      <c r="E248" s="22">
        <v>24.5</v>
      </c>
      <c r="F248" s="15">
        <v>0.97150000000000003</v>
      </c>
      <c r="G248" s="11">
        <f t="shared" si="14"/>
        <v>-9.9999999999987555E-4</v>
      </c>
      <c r="H248" s="12">
        <f t="shared" si="15"/>
        <v>0.995999999999997</v>
      </c>
    </row>
    <row r="249" spans="1:8" ht="14.25" thickBot="1">
      <c r="A249" s="22">
        <v>24.6</v>
      </c>
      <c r="B249" s="15">
        <v>0.97053</v>
      </c>
      <c r="C249" s="11">
        <f t="shared" si="12"/>
        <v>-1.1000000000005682E-3</v>
      </c>
      <c r="D249" s="12">
        <f t="shared" si="13"/>
        <v>0.99759000000001397</v>
      </c>
      <c r="E249" s="22">
        <v>24.6</v>
      </c>
      <c r="F249" s="15">
        <v>0.97140000000000004</v>
      </c>
      <c r="G249" s="11">
        <f t="shared" si="14"/>
        <v>-1.1000000000005682E-3</v>
      </c>
      <c r="H249" s="12">
        <f t="shared" si="15"/>
        <v>0.998460000000014</v>
      </c>
    </row>
    <row r="250" spans="1:8" ht="14.25" thickBot="1">
      <c r="A250" s="22">
        <v>24.7</v>
      </c>
      <c r="B250" s="15">
        <v>0.97041999999999995</v>
      </c>
      <c r="C250" s="11">
        <f t="shared" si="12"/>
        <v>-9.9999999999987555E-4</v>
      </c>
      <c r="D250" s="12">
        <f t="shared" si="13"/>
        <v>0.9951199999999969</v>
      </c>
      <c r="E250" s="22">
        <v>24.7</v>
      </c>
      <c r="F250" s="15">
        <v>0.97128999999999999</v>
      </c>
      <c r="G250" s="11">
        <f t="shared" si="14"/>
        <v>-9.9999999999987555E-4</v>
      </c>
      <c r="H250" s="12">
        <f t="shared" si="15"/>
        <v>0.99598999999999693</v>
      </c>
    </row>
    <row r="251" spans="1:8" ht="14.25" thickBot="1">
      <c r="A251" s="22">
        <v>24.8</v>
      </c>
      <c r="B251" s="15">
        <v>0.97031999999999996</v>
      </c>
      <c r="C251" s="11">
        <f t="shared" si="12"/>
        <v>-9.999999999999109E-4</v>
      </c>
      <c r="D251" s="12">
        <f t="shared" si="13"/>
        <v>0.99511999999999778</v>
      </c>
      <c r="E251" s="22">
        <v>24.8</v>
      </c>
      <c r="F251" s="15">
        <v>0.97119</v>
      </c>
      <c r="G251" s="11">
        <f t="shared" si="14"/>
        <v>-9.999999999999109E-4</v>
      </c>
      <c r="H251" s="12">
        <f t="shared" si="15"/>
        <v>0.99598999999999782</v>
      </c>
    </row>
    <row r="252" spans="1:8" ht="14.25" thickBot="1">
      <c r="A252" s="22">
        <v>24.9</v>
      </c>
      <c r="B252" s="15">
        <v>0.97021999999999997</v>
      </c>
      <c r="C252" s="11">
        <f t="shared" si="12"/>
        <v>-1.0999999999994192E-3</v>
      </c>
      <c r="D252" s="12">
        <f t="shared" si="13"/>
        <v>0.99760999999998545</v>
      </c>
      <c r="E252" s="22">
        <v>24.9</v>
      </c>
      <c r="F252" s="15">
        <v>0.97109000000000001</v>
      </c>
      <c r="G252" s="11">
        <f t="shared" si="14"/>
        <v>-1.1000000000005292E-3</v>
      </c>
      <c r="H252" s="12">
        <f t="shared" si="15"/>
        <v>0.99848000000001313</v>
      </c>
    </row>
    <row r="253" spans="1:8" ht="14.25" thickBot="1">
      <c r="A253" s="26">
        <v>25</v>
      </c>
      <c r="B253" s="19">
        <v>0.97011000000000003</v>
      </c>
      <c r="C253" s="11">
        <f t="shared" si="12"/>
        <v>-9.9999999999987555E-4</v>
      </c>
      <c r="D253" s="12">
        <f t="shared" si="13"/>
        <v>0.99510999999999694</v>
      </c>
      <c r="E253" s="26">
        <v>25</v>
      </c>
      <c r="F253" s="19">
        <v>0.97097999999999995</v>
      </c>
      <c r="G253" s="11">
        <f t="shared" si="14"/>
        <v>-9.9999999999987555E-4</v>
      </c>
      <c r="H253" s="12">
        <f t="shared" si="15"/>
        <v>0.99597999999999687</v>
      </c>
    </row>
    <row r="254" spans="1:8" ht="14.25" thickBot="1">
      <c r="A254" s="22">
        <v>25.1</v>
      </c>
      <c r="B254" s="15">
        <v>0.97001000000000004</v>
      </c>
      <c r="C254" s="11">
        <f t="shared" si="12"/>
        <v>-9.999999999999109E-4</v>
      </c>
      <c r="D254" s="12">
        <f t="shared" si="13"/>
        <v>0.99510999999999783</v>
      </c>
      <c r="E254" s="22">
        <v>25.1</v>
      </c>
      <c r="F254" s="15">
        <v>0.97087999999999997</v>
      </c>
      <c r="G254" s="11">
        <f t="shared" si="14"/>
        <v>-9.999999999999109E-4</v>
      </c>
      <c r="H254" s="12">
        <f t="shared" si="15"/>
        <v>0.99597999999999776</v>
      </c>
    </row>
    <row r="255" spans="1:8" ht="14.25" thickBot="1">
      <c r="A255" s="22">
        <v>25.2</v>
      </c>
      <c r="B255" s="15">
        <v>0.96991000000000005</v>
      </c>
      <c r="C255" s="11">
        <f t="shared" si="12"/>
        <v>-1.1000000000005292E-3</v>
      </c>
      <c r="D255" s="12">
        <f t="shared" si="13"/>
        <v>0.99763000000001334</v>
      </c>
      <c r="E255" s="22">
        <v>25.2</v>
      </c>
      <c r="F255" s="15">
        <v>0.97077999999999998</v>
      </c>
      <c r="G255" s="11">
        <f t="shared" si="14"/>
        <v>-1.0999999999994192E-3</v>
      </c>
      <c r="H255" s="12">
        <f t="shared" si="15"/>
        <v>0.9984999999999854</v>
      </c>
    </row>
    <row r="256" spans="1:8" ht="14.25" thickBot="1">
      <c r="A256" s="22">
        <v>25.3</v>
      </c>
      <c r="B256" s="15">
        <v>0.9698</v>
      </c>
      <c r="C256" s="11">
        <f t="shared" si="12"/>
        <v>-9.999999999999109E-4</v>
      </c>
      <c r="D256" s="12">
        <f t="shared" si="13"/>
        <v>0.99509999999999776</v>
      </c>
      <c r="E256" s="22">
        <v>25.3</v>
      </c>
      <c r="F256" s="15">
        <v>0.97067000000000003</v>
      </c>
      <c r="G256" s="11">
        <f t="shared" si="14"/>
        <v>-9.999999999999109E-4</v>
      </c>
      <c r="H256" s="12">
        <f t="shared" si="15"/>
        <v>0.9959699999999978</v>
      </c>
    </row>
    <row r="257" spans="1:8" ht="14.25" thickBot="1">
      <c r="A257" s="22">
        <v>25.4</v>
      </c>
      <c r="B257" s="15">
        <v>0.96970000000000001</v>
      </c>
      <c r="C257" s="11">
        <f t="shared" si="12"/>
        <v>-1.1000000000005292E-3</v>
      </c>
      <c r="D257" s="12">
        <f t="shared" si="13"/>
        <v>0.9976400000000134</v>
      </c>
      <c r="E257" s="22">
        <v>25.4</v>
      </c>
      <c r="F257" s="15">
        <v>0.97057000000000004</v>
      </c>
      <c r="G257" s="11">
        <f t="shared" si="14"/>
        <v>-1.1000000000005292E-3</v>
      </c>
      <c r="H257" s="12">
        <f t="shared" si="15"/>
        <v>0.99851000000001344</v>
      </c>
    </row>
    <row r="258" spans="1:8" ht="14.25" thickBot="1">
      <c r="A258" s="22">
        <v>25.5</v>
      </c>
      <c r="B258" s="15">
        <v>0.96958999999999995</v>
      </c>
      <c r="C258" s="11">
        <f t="shared" si="12"/>
        <v>-9.9999999999987555E-4</v>
      </c>
      <c r="D258" s="12">
        <f t="shared" si="13"/>
        <v>0.99508999999999681</v>
      </c>
      <c r="E258" s="22">
        <v>25.5</v>
      </c>
      <c r="F258" s="15">
        <v>0.97045999999999999</v>
      </c>
      <c r="G258" s="11">
        <f t="shared" si="14"/>
        <v>-9.9999999999987555E-4</v>
      </c>
      <c r="H258" s="12">
        <f t="shared" si="15"/>
        <v>0.99595999999999685</v>
      </c>
    </row>
    <row r="259" spans="1:8" ht="14.25" thickBot="1">
      <c r="A259" s="22">
        <v>25.6</v>
      </c>
      <c r="B259" s="15">
        <v>0.96948999999999996</v>
      </c>
      <c r="C259" s="11">
        <f t="shared" si="12"/>
        <v>-1.099999999999458E-3</v>
      </c>
      <c r="D259" s="12">
        <f t="shared" si="13"/>
        <v>0.99764999999998616</v>
      </c>
      <c r="E259" s="22">
        <v>25.6</v>
      </c>
      <c r="F259" s="15">
        <v>0.97036</v>
      </c>
      <c r="G259" s="11">
        <f t="shared" si="14"/>
        <v>-1.1000000000005682E-3</v>
      </c>
      <c r="H259" s="12">
        <f t="shared" si="15"/>
        <v>0.99852000000001451</v>
      </c>
    </row>
    <row r="260" spans="1:8" ht="14.25" thickBot="1">
      <c r="A260" s="22">
        <v>25.7</v>
      </c>
      <c r="B260" s="15">
        <v>0.96938000000000002</v>
      </c>
      <c r="C260" s="11">
        <f t="shared" ref="C260:C323" si="16">SLOPE(B260:B261,A260:A261)</f>
        <v>-9.9999999999987555E-4</v>
      </c>
      <c r="D260" s="12">
        <f t="shared" ref="D260:D323" si="17">INTERCEPT(B260:B261,A260:A261)</f>
        <v>0.99507999999999686</v>
      </c>
      <c r="E260" s="22">
        <v>25.7</v>
      </c>
      <c r="F260" s="15">
        <v>0.97024999999999995</v>
      </c>
      <c r="G260" s="11">
        <f t="shared" ref="G260:G323" si="18">SLOPE(F260:F261,E260:E261)</f>
        <v>-9.9999999999987555E-4</v>
      </c>
      <c r="H260" s="12">
        <f t="shared" ref="H260:H323" si="19">INTERCEPT(F260:F261,E260:E261)</f>
        <v>0.99594999999999678</v>
      </c>
    </row>
    <row r="261" spans="1:8" ht="14.25" thickBot="1">
      <c r="A261" s="22">
        <v>25.8</v>
      </c>
      <c r="B261" s="15">
        <v>0.96928000000000003</v>
      </c>
      <c r="C261" s="11">
        <f t="shared" si="16"/>
        <v>-1.1000000000005682E-3</v>
      </c>
      <c r="D261" s="12">
        <f t="shared" si="17"/>
        <v>0.99766000000001465</v>
      </c>
      <c r="E261" s="22">
        <v>25.8</v>
      </c>
      <c r="F261" s="15">
        <v>0.97014999999999996</v>
      </c>
      <c r="G261" s="11">
        <f t="shared" si="18"/>
        <v>-1.099999999999458E-3</v>
      </c>
      <c r="H261" s="12">
        <f t="shared" si="19"/>
        <v>0.99852999999998593</v>
      </c>
    </row>
    <row r="262" spans="1:8" ht="14.25" thickBot="1">
      <c r="A262" s="22">
        <v>25.9</v>
      </c>
      <c r="B262" s="15">
        <v>0.96916999999999998</v>
      </c>
      <c r="C262" s="11">
        <f t="shared" si="16"/>
        <v>-9.9999999999987555E-4</v>
      </c>
      <c r="D262" s="12">
        <f t="shared" si="17"/>
        <v>0.99506999999999679</v>
      </c>
      <c r="E262" s="22">
        <v>25.9</v>
      </c>
      <c r="F262" s="15">
        <v>0.97004000000000001</v>
      </c>
      <c r="G262" s="11">
        <f t="shared" si="18"/>
        <v>-9.9999999999987555E-4</v>
      </c>
      <c r="H262" s="12">
        <f t="shared" si="19"/>
        <v>0.99593999999999683</v>
      </c>
    </row>
    <row r="263" spans="1:8" ht="14.25" thickBot="1">
      <c r="A263" s="26">
        <v>26</v>
      </c>
      <c r="B263" s="19">
        <v>0.96906999999999999</v>
      </c>
      <c r="C263" s="11">
        <f t="shared" si="16"/>
        <v>-1.0999999999994192E-3</v>
      </c>
      <c r="D263" s="12">
        <f t="shared" si="17"/>
        <v>0.99766999999998485</v>
      </c>
      <c r="E263" s="26">
        <v>26</v>
      </c>
      <c r="F263" s="19">
        <v>0.96994000000000002</v>
      </c>
      <c r="G263" s="11">
        <f t="shared" si="18"/>
        <v>-1.1000000000005292E-3</v>
      </c>
      <c r="H263" s="12">
        <f t="shared" si="19"/>
        <v>0.99854000000001375</v>
      </c>
    </row>
    <row r="264" spans="1:8" ht="14.25" thickBot="1">
      <c r="A264" s="22">
        <v>26.1</v>
      </c>
      <c r="B264" s="27">
        <v>0.96896000000000004</v>
      </c>
      <c r="C264" s="11">
        <f t="shared" si="16"/>
        <v>-1.1000000000005682E-3</v>
      </c>
      <c r="D264" s="12">
        <f t="shared" si="17"/>
        <v>0.99767000000001482</v>
      </c>
      <c r="E264" s="22">
        <v>26.1</v>
      </c>
      <c r="F264" s="27">
        <v>0.96982999999999997</v>
      </c>
      <c r="G264" s="11">
        <f t="shared" si="18"/>
        <v>-1.099999999999458E-3</v>
      </c>
      <c r="H264" s="12">
        <f t="shared" si="19"/>
        <v>0.99853999999998588</v>
      </c>
    </row>
    <row r="265" spans="1:8" ht="14.25" thickBot="1">
      <c r="A265" s="22">
        <v>26.2</v>
      </c>
      <c r="B265" s="27">
        <v>0.96884999999999999</v>
      </c>
      <c r="C265" s="11">
        <f t="shared" si="16"/>
        <v>-9.9999999999987555E-4</v>
      </c>
      <c r="D265" s="12">
        <f t="shared" si="17"/>
        <v>0.99504999999999677</v>
      </c>
      <c r="E265" s="22">
        <v>26.2</v>
      </c>
      <c r="F265" s="27">
        <v>0.96972000000000003</v>
      </c>
      <c r="G265" s="11">
        <f t="shared" si="18"/>
        <v>-9.9999999999987555E-4</v>
      </c>
      <c r="H265" s="12">
        <f t="shared" si="19"/>
        <v>0.99591999999999681</v>
      </c>
    </row>
    <row r="266" spans="1:8" ht="14.25" thickBot="1">
      <c r="A266" s="22">
        <v>26.3</v>
      </c>
      <c r="B266" s="27">
        <v>0.96875</v>
      </c>
      <c r="C266" s="11">
        <f t="shared" si="16"/>
        <v>-1.1000000000005682E-3</v>
      </c>
      <c r="D266" s="12">
        <f t="shared" si="17"/>
        <v>0.997680000000015</v>
      </c>
      <c r="E266" s="22">
        <v>26.3</v>
      </c>
      <c r="F266" s="27">
        <v>0.96962000000000004</v>
      </c>
      <c r="G266" s="11">
        <f t="shared" si="18"/>
        <v>-1.1000000000005682E-3</v>
      </c>
      <c r="H266" s="12">
        <f t="shared" si="19"/>
        <v>0.99855000000001504</v>
      </c>
    </row>
    <row r="267" spans="1:8" ht="14.25" thickBot="1">
      <c r="A267" s="22">
        <v>26.4</v>
      </c>
      <c r="B267" s="27">
        <v>0.96863999999999995</v>
      </c>
      <c r="C267" s="11">
        <f t="shared" si="16"/>
        <v>-9.9999999999987555E-4</v>
      </c>
      <c r="D267" s="12">
        <f t="shared" si="17"/>
        <v>0.9950399999999967</v>
      </c>
      <c r="E267" s="22">
        <v>26.4</v>
      </c>
      <c r="F267" s="27">
        <v>0.96950999999999998</v>
      </c>
      <c r="G267" s="11">
        <f t="shared" si="18"/>
        <v>-9.9999999999987555E-4</v>
      </c>
      <c r="H267" s="12">
        <f t="shared" si="19"/>
        <v>0.99590999999999674</v>
      </c>
    </row>
    <row r="268" spans="1:8" ht="14.25" thickBot="1">
      <c r="A268" s="22">
        <v>26.5</v>
      </c>
      <c r="B268" s="27">
        <v>0.96853999999999996</v>
      </c>
      <c r="C268" s="11">
        <f t="shared" si="16"/>
        <v>-1.0999999999994192E-3</v>
      </c>
      <c r="D268" s="12">
        <f t="shared" si="17"/>
        <v>0.99768999999998464</v>
      </c>
      <c r="E268" s="22">
        <v>26.5</v>
      </c>
      <c r="F268" s="27">
        <v>0.96940999999999999</v>
      </c>
      <c r="G268" s="11">
        <f t="shared" si="18"/>
        <v>-1.0999999999994192E-3</v>
      </c>
      <c r="H268" s="12">
        <f t="shared" si="19"/>
        <v>0.99855999999998457</v>
      </c>
    </row>
    <row r="269" spans="1:8" ht="14.25" thickBot="1">
      <c r="A269" s="22">
        <v>26.6</v>
      </c>
      <c r="B269" s="27">
        <v>0.96843000000000001</v>
      </c>
      <c r="C269" s="11">
        <f t="shared" si="16"/>
        <v>-1.1000000000005682E-3</v>
      </c>
      <c r="D269" s="12">
        <f t="shared" si="17"/>
        <v>0.99769000000001518</v>
      </c>
      <c r="E269" s="22">
        <v>26.6</v>
      </c>
      <c r="F269" s="27">
        <v>0.96930000000000005</v>
      </c>
      <c r="G269" s="11">
        <f t="shared" si="18"/>
        <v>-1.1000000000005682E-3</v>
      </c>
      <c r="H269" s="12">
        <f t="shared" si="19"/>
        <v>0.99856000000001521</v>
      </c>
    </row>
    <row r="270" spans="1:8" ht="14.25" thickBot="1">
      <c r="A270" s="22">
        <v>26.7</v>
      </c>
      <c r="B270" s="27">
        <v>0.96831999999999996</v>
      </c>
      <c r="C270" s="11">
        <f t="shared" si="16"/>
        <v>-1.0999999999994192E-3</v>
      </c>
      <c r="D270" s="12">
        <f t="shared" si="17"/>
        <v>0.99768999999998442</v>
      </c>
      <c r="E270" s="22">
        <v>26.7</v>
      </c>
      <c r="F270" s="27">
        <v>0.96919</v>
      </c>
      <c r="G270" s="11">
        <f t="shared" si="18"/>
        <v>-1.0999999999994192E-3</v>
      </c>
      <c r="H270" s="12">
        <f t="shared" si="19"/>
        <v>0.99855999999998457</v>
      </c>
    </row>
    <row r="271" spans="1:8" ht="14.25" thickBot="1">
      <c r="A271" s="22">
        <v>26.8</v>
      </c>
      <c r="B271" s="27">
        <v>0.96821000000000002</v>
      </c>
      <c r="C271" s="11">
        <f t="shared" si="16"/>
        <v>-9.999999999999109E-4</v>
      </c>
      <c r="D271" s="12">
        <f t="shared" si="17"/>
        <v>0.99500999999999762</v>
      </c>
      <c r="E271" s="22">
        <v>26.8</v>
      </c>
      <c r="F271" s="27">
        <v>0.96908000000000005</v>
      </c>
      <c r="G271" s="11">
        <f t="shared" si="18"/>
        <v>-1.0000000000010211E-3</v>
      </c>
      <c r="H271" s="12">
        <f t="shared" si="19"/>
        <v>0.99588000000002752</v>
      </c>
    </row>
    <row r="272" spans="1:8" ht="14.25" thickBot="1">
      <c r="A272" s="22">
        <v>26.9</v>
      </c>
      <c r="B272" s="27">
        <v>0.96811000000000003</v>
      </c>
      <c r="C272" s="11">
        <f t="shared" si="16"/>
        <v>-1.1000000000005292E-3</v>
      </c>
      <c r="D272" s="12">
        <f t="shared" si="17"/>
        <v>0.99770000000001424</v>
      </c>
      <c r="E272" s="22">
        <v>26.9</v>
      </c>
      <c r="F272" s="27">
        <v>0.96897999999999995</v>
      </c>
      <c r="G272" s="11">
        <f t="shared" si="18"/>
        <v>-1.0999999999994192E-3</v>
      </c>
      <c r="H272" s="12">
        <f t="shared" si="19"/>
        <v>0.99856999999998441</v>
      </c>
    </row>
    <row r="273" spans="1:8" ht="14.25" thickBot="1">
      <c r="A273" s="26">
        <v>27</v>
      </c>
      <c r="B273" s="19">
        <v>0.96799999999999997</v>
      </c>
      <c r="C273" s="11">
        <f t="shared" si="16"/>
        <v>-1.0999999999994192E-3</v>
      </c>
      <c r="D273" s="12">
        <f t="shared" si="17"/>
        <v>0.99769999999998438</v>
      </c>
      <c r="E273" s="26">
        <v>27</v>
      </c>
      <c r="F273" s="19">
        <v>0.96887000000000001</v>
      </c>
      <c r="G273" s="11">
        <f t="shared" si="18"/>
        <v>-1.1000000000005292E-3</v>
      </c>
      <c r="H273" s="12">
        <f t="shared" si="19"/>
        <v>0.99857000000001428</v>
      </c>
    </row>
    <row r="274" spans="1:8" ht="14.25" thickBot="1">
      <c r="A274" s="22">
        <v>27.1</v>
      </c>
      <c r="B274" s="27">
        <v>0.96789000000000003</v>
      </c>
      <c r="C274" s="11">
        <f t="shared" si="16"/>
        <v>-1.1000000000005682E-3</v>
      </c>
      <c r="D274" s="12">
        <f t="shared" si="17"/>
        <v>0.99770000000001546</v>
      </c>
      <c r="E274" s="22">
        <v>27.1</v>
      </c>
      <c r="F274" s="27">
        <v>0.96875999999999995</v>
      </c>
      <c r="G274" s="11">
        <f t="shared" si="18"/>
        <v>-1.099999999999458E-3</v>
      </c>
      <c r="H274" s="12">
        <f t="shared" si="19"/>
        <v>0.99856999999998519</v>
      </c>
    </row>
    <row r="275" spans="1:8" ht="14.25" thickBot="1">
      <c r="A275" s="22">
        <v>27.2</v>
      </c>
      <c r="B275" s="27">
        <v>0.96777999999999997</v>
      </c>
      <c r="C275" s="11">
        <f t="shared" si="16"/>
        <v>-1.0999999999994192E-3</v>
      </c>
      <c r="D275" s="12">
        <f t="shared" si="17"/>
        <v>0.99769999999998416</v>
      </c>
      <c r="E275" s="22">
        <v>27.2</v>
      </c>
      <c r="F275" s="27">
        <v>0.96865000000000001</v>
      </c>
      <c r="G275" s="11">
        <f t="shared" si="18"/>
        <v>-1.1000000000005292E-3</v>
      </c>
      <c r="H275" s="12">
        <f t="shared" si="19"/>
        <v>0.99857000000001439</v>
      </c>
    </row>
    <row r="276" spans="1:8" ht="14.25" thickBot="1">
      <c r="A276" s="22">
        <v>27.3</v>
      </c>
      <c r="B276" s="27">
        <v>0.96767000000000003</v>
      </c>
      <c r="C276" s="11">
        <f t="shared" si="16"/>
        <v>-9.999999999999109E-4</v>
      </c>
      <c r="D276" s="12">
        <f t="shared" si="17"/>
        <v>0.99496999999999758</v>
      </c>
      <c r="E276" s="22">
        <v>27.3</v>
      </c>
      <c r="F276" s="27">
        <v>0.96853999999999996</v>
      </c>
      <c r="G276" s="11">
        <f t="shared" si="18"/>
        <v>-9.999999999999109E-4</v>
      </c>
      <c r="H276" s="12">
        <f t="shared" si="19"/>
        <v>0.9958399999999975</v>
      </c>
    </row>
    <row r="277" spans="1:8" ht="14.25" thickBot="1">
      <c r="A277" s="22">
        <v>27.4</v>
      </c>
      <c r="B277" s="27">
        <v>0.96757000000000004</v>
      </c>
      <c r="C277" s="11">
        <f t="shared" si="16"/>
        <v>-1.1000000000005292E-3</v>
      </c>
      <c r="D277" s="12">
        <f t="shared" si="17"/>
        <v>0.99771000000001453</v>
      </c>
      <c r="E277" s="22">
        <v>27.4</v>
      </c>
      <c r="F277" s="27">
        <v>0.96843999999999997</v>
      </c>
      <c r="G277" s="11">
        <f t="shared" si="18"/>
        <v>-1.0999999999994192E-3</v>
      </c>
      <c r="H277" s="12">
        <f t="shared" si="19"/>
        <v>0.99857999999998415</v>
      </c>
    </row>
    <row r="278" spans="1:8" ht="14.25" thickBot="1">
      <c r="A278" s="22">
        <v>27.5</v>
      </c>
      <c r="B278" s="27">
        <v>0.96745999999999999</v>
      </c>
      <c r="C278" s="11">
        <f t="shared" si="16"/>
        <v>-1.0999999999994192E-3</v>
      </c>
      <c r="D278" s="12">
        <f t="shared" si="17"/>
        <v>0.99770999999998411</v>
      </c>
      <c r="E278" s="22">
        <v>27.5</v>
      </c>
      <c r="F278" s="27">
        <v>0.96833000000000002</v>
      </c>
      <c r="G278" s="11">
        <f t="shared" si="18"/>
        <v>-1.1000000000005292E-3</v>
      </c>
      <c r="H278" s="12">
        <f t="shared" si="19"/>
        <v>0.99858000000001457</v>
      </c>
    </row>
    <row r="279" spans="1:8" ht="14.25" thickBot="1">
      <c r="A279" s="22">
        <v>27.6</v>
      </c>
      <c r="B279" s="27">
        <v>0.96735000000000004</v>
      </c>
      <c r="C279" s="11">
        <f t="shared" si="16"/>
        <v>-1.1000000000005682E-3</v>
      </c>
      <c r="D279" s="12">
        <f t="shared" si="17"/>
        <v>0.99771000000001575</v>
      </c>
      <c r="E279" s="22">
        <v>27.6</v>
      </c>
      <c r="F279" s="27">
        <v>0.96821999999999997</v>
      </c>
      <c r="G279" s="11">
        <f t="shared" si="18"/>
        <v>-1.099999999999458E-3</v>
      </c>
      <c r="H279" s="12">
        <f t="shared" si="19"/>
        <v>0.99857999999998492</v>
      </c>
    </row>
    <row r="280" spans="1:8" ht="14.25" thickBot="1">
      <c r="A280" s="22">
        <v>27.7</v>
      </c>
      <c r="B280" s="27">
        <v>0.96723999999999999</v>
      </c>
      <c r="C280" s="11">
        <f t="shared" si="16"/>
        <v>-1.0999999999994192E-3</v>
      </c>
      <c r="D280" s="12">
        <f t="shared" si="17"/>
        <v>0.99770999999998389</v>
      </c>
      <c r="E280" s="22">
        <v>27.7</v>
      </c>
      <c r="F280" s="27">
        <v>0.96811000000000003</v>
      </c>
      <c r="G280" s="11">
        <f t="shared" si="18"/>
        <v>-1.1000000000005292E-3</v>
      </c>
      <c r="H280" s="12">
        <f t="shared" si="19"/>
        <v>0.99858000000001468</v>
      </c>
    </row>
    <row r="281" spans="1:8" ht="14.25" thickBot="1">
      <c r="A281" s="22">
        <v>27.8</v>
      </c>
      <c r="B281" s="27">
        <v>0.96713000000000005</v>
      </c>
      <c r="C281" s="11">
        <f t="shared" si="16"/>
        <v>-1.1000000000005682E-3</v>
      </c>
      <c r="D281" s="12">
        <f t="shared" si="17"/>
        <v>0.99771000000001586</v>
      </c>
      <c r="E281" s="22">
        <v>27.8</v>
      </c>
      <c r="F281" s="27">
        <v>0.96799999999999997</v>
      </c>
      <c r="G281" s="11">
        <f t="shared" si="18"/>
        <v>-1.099999999999458E-3</v>
      </c>
      <c r="H281" s="12">
        <f t="shared" si="19"/>
        <v>0.99857999999998492</v>
      </c>
    </row>
    <row r="282" spans="1:8" ht="14.25" thickBot="1">
      <c r="A282" s="22">
        <v>27.9</v>
      </c>
      <c r="B282" s="27">
        <v>0.96701999999999999</v>
      </c>
      <c r="C282" s="11">
        <f t="shared" si="16"/>
        <v>-1.0999999999994192E-3</v>
      </c>
      <c r="D282" s="12">
        <f t="shared" si="17"/>
        <v>0.99770999999998389</v>
      </c>
      <c r="E282" s="22">
        <v>27.9</v>
      </c>
      <c r="F282" s="27">
        <v>0.96789000000000003</v>
      </c>
      <c r="G282" s="11">
        <f t="shared" si="18"/>
        <v>-1.1000000000005292E-3</v>
      </c>
      <c r="H282" s="12">
        <f t="shared" si="19"/>
        <v>0.99858000000001479</v>
      </c>
    </row>
    <row r="283" spans="1:8" ht="14.25" thickBot="1">
      <c r="A283" s="26">
        <v>28</v>
      </c>
      <c r="B283" s="19">
        <v>0.96691000000000005</v>
      </c>
      <c r="C283" s="11">
        <f t="shared" si="16"/>
        <v>-1.1000000000005292E-3</v>
      </c>
      <c r="D283" s="12">
        <f t="shared" si="17"/>
        <v>0.99771000000001486</v>
      </c>
      <c r="E283" s="26">
        <v>28</v>
      </c>
      <c r="F283" s="19">
        <v>0.96777999999999997</v>
      </c>
      <c r="G283" s="11">
        <f t="shared" si="18"/>
        <v>-1.0999999999994192E-3</v>
      </c>
      <c r="H283" s="12">
        <f t="shared" si="19"/>
        <v>0.9985799999999837</v>
      </c>
    </row>
    <row r="284" spans="1:8" ht="14.25" thickBot="1">
      <c r="A284" s="22">
        <v>28.1</v>
      </c>
      <c r="B284" s="27">
        <v>0.96679999999999999</v>
      </c>
      <c r="C284" s="11">
        <f t="shared" si="16"/>
        <v>-1.099999999999458E-3</v>
      </c>
      <c r="D284" s="12">
        <f t="shared" si="17"/>
        <v>0.99770999999998466</v>
      </c>
      <c r="E284" s="22">
        <v>28.1</v>
      </c>
      <c r="F284" s="27">
        <v>0.96767000000000003</v>
      </c>
      <c r="G284" s="11">
        <f t="shared" si="18"/>
        <v>-1.1000000000005682E-3</v>
      </c>
      <c r="H284" s="12">
        <f t="shared" si="19"/>
        <v>0.99858000000001601</v>
      </c>
    </row>
    <row r="285" spans="1:8" ht="14.25" thickBot="1">
      <c r="A285" s="22">
        <v>28.2</v>
      </c>
      <c r="B285" s="27">
        <v>0.96669000000000005</v>
      </c>
      <c r="C285" s="11">
        <f t="shared" si="16"/>
        <v>-1.1000000000005292E-3</v>
      </c>
      <c r="D285" s="12">
        <f t="shared" si="17"/>
        <v>0.99771000000001497</v>
      </c>
      <c r="E285" s="22">
        <v>28.2</v>
      </c>
      <c r="F285" s="27">
        <v>0.96755999999999998</v>
      </c>
      <c r="G285" s="11">
        <f t="shared" si="18"/>
        <v>-1.0999999999994192E-3</v>
      </c>
      <c r="H285" s="12">
        <f t="shared" si="19"/>
        <v>0.9985799999999837</v>
      </c>
    </row>
    <row r="286" spans="1:8" ht="14.25" thickBot="1">
      <c r="A286" s="22">
        <v>28.3</v>
      </c>
      <c r="B286" s="27">
        <v>0.96657999999999999</v>
      </c>
      <c r="C286" s="11">
        <f t="shared" si="16"/>
        <v>-1.099999999999458E-3</v>
      </c>
      <c r="D286" s="12">
        <f t="shared" si="17"/>
        <v>0.99770999999998466</v>
      </c>
      <c r="E286" s="22">
        <v>28.3</v>
      </c>
      <c r="F286" s="27">
        <v>0.96745000000000003</v>
      </c>
      <c r="G286" s="11">
        <f t="shared" si="18"/>
        <v>-1.1000000000005682E-3</v>
      </c>
      <c r="H286" s="12">
        <f t="shared" si="19"/>
        <v>0.99858000000001612</v>
      </c>
    </row>
    <row r="287" spans="1:8" ht="14.25" thickBot="1">
      <c r="A287" s="22">
        <v>28.4</v>
      </c>
      <c r="B287" s="27">
        <v>0.96647000000000005</v>
      </c>
      <c r="C287" s="11">
        <f t="shared" si="16"/>
        <v>-1.2000000000000728E-3</v>
      </c>
      <c r="D287" s="12">
        <f t="shared" si="17"/>
        <v>1.000550000000002</v>
      </c>
      <c r="E287" s="22">
        <v>28.4</v>
      </c>
      <c r="F287" s="27">
        <v>0.96733999999999998</v>
      </c>
      <c r="G287" s="11">
        <f t="shared" si="18"/>
        <v>-1.2000000000000728E-3</v>
      </c>
      <c r="H287" s="12">
        <f t="shared" si="19"/>
        <v>1.001420000000002</v>
      </c>
    </row>
    <row r="288" spans="1:8" ht="14.25" thickBot="1">
      <c r="A288" s="22">
        <v>28.5</v>
      </c>
      <c r="B288" s="27">
        <v>0.96635000000000004</v>
      </c>
      <c r="C288" s="11">
        <f t="shared" si="16"/>
        <v>-1.1000000000005292E-3</v>
      </c>
      <c r="D288" s="12">
        <f t="shared" si="17"/>
        <v>0.99770000000001513</v>
      </c>
      <c r="E288" s="22">
        <v>28.5</v>
      </c>
      <c r="F288" s="27">
        <v>0.96721999999999997</v>
      </c>
      <c r="G288" s="11">
        <f t="shared" si="18"/>
        <v>-1.0999999999994192E-3</v>
      </c>
      <c r="H288" s="12">
        <f t="shared" si="19"/>
        <v>0.99856999999998353</v>
      </c>
    </row>
    <row r="289" spans="1:8" ht="14.25" thickBot="1">
      <c r="A289" s="22">
        <v>28.6</v>
      </c>
      <c r="B289" s="27">
        <v>0.96623999999999999</v>
      </c>
      <c r="C289" s="11">
        <f t="shared" si="16"/>
        <v>-1.099999999999458E-3</v>
      </c>
      <c r="D289" s="12">
        <f t="shared" si="17"/>
        <v>0.99769999999998449</v>
      </c>
      <c r="E289" s="22">
        <v>28.6</v>
      </c>
      <c r="F289" s="27">
        <v>0.96711000000000003</v>
      </c>
      <c r="G289" s="11">
        <f t="shared" si="18"/>
        <v>-1.1000000000005682E-3</v>
      </c>
      <c r="H289" s="12">
        <f t="shared" si="19"/>
        <v>0.99857000000001628</v>
      </c>
    </row>
    <row r="290" spans="1:8" ht="14.25" thickBot="1">
      <c r="A290" s="22">
        <v>28.7</v>
      </c>
      <c r="B290" s="27">
        <v>0.96613000000000004</v>
      </c>
      <c r="C290" s="11">
        <f t="shared" si="16"/>
        <v>-1.1000000000005292E-3</v>
      </c>
      <c r="D290" s="12">
        <f t="shared" si="17"/>
        <v>0.99770000000001524</v>
      </c>
      <c r="E290" s="22">
        <v>28.7</v>
      </c>
      <c r="F290" s="27">
        <v>0.96699999999999997</v>
      </c>
      <c r="G290" s="11">
        <f t="shared" si="18"/>
        <v>-1.0999999999994192E-3</v>
      </c>
      <c r="H290" s="12">
        <f t="shared" si="19"/>
        <v>0.99856999999998319</v>
      </c>
    </row>
    <row r="291" spans="1:8" ht="14.25" thickBot="1">
      <c r="A291" s="22">
        <v>28.8</v>
      </c>
      <c r="B291" s="27">
        <v>0.96601999999999999</v>
      </c>
      <c r="C291" s="11">
        <f t="shared" si="16"/>
        <v>-1.099999999999458E-3</v>
      </c>
      <c r="D291" s="12">
        <f t="shared" si="17"/>
        <v>0.99769999999998438</v>
      </c>
      <c r="E291" s="22">
        <v>28.8</v>
      </c>
      <c r="F291" s="27">
        <v>0.96689000000000003</v>
      </c>
      <c r="G291" s="11">
        <f t="shared" si="18"/>
        <v>-1.1000000000005682E-3</v>
      </c>
      <c r="H291" s="12">
        <f t="shared" si="19"/>
        <v>0.99857000000001639</v>
      </c>
    </row>
    <row r="292" spans="1:8" ht="14.25" thickBot="1">
      <c r="A292" s="22">
        <v>28.9</v>
      </c>
      <c r="B292" s="27">
        <v>0.96591000000000005</v>
      </c>
      <c r="C292" s="11">
        <f t="shared" si="16"/>
        <v>-1.2000000000000728E-3</v>
      </c>
      <c r="D292" s="12">
        <f t="shared" si="17"/>
        <v>1.0005900000000021</v>
      </c>
      <c r="E292" s="22">
        <v>28.9</v>
      </c>
      <c r="F292" s="27">
        <v>0.96677999999999997</v>
      </c>
      <c r="G292" s="11">
        <f t="shared" si="18"/>
        <v>-1.2000000000000728E-3</v>
      </c>
      <c r="H292" s="12">
        <f t="shared" si="19"/>
        <v>1.001460000000002</v>
      </c>
    </row>
    <row r="293" spans="1:8" ht="14.25" thickBot="1">
      <c r="A293" s="26">
        <v>29</v>
      </c>
      <c r="B293" s="19">
        <v>0.96579000000000004</v>
      </c>
      <c r="C293" s="11">
        <f t="shared" si="16"/>
        <v>-1.1000000000005292E-3</v>
      </c>
      <c r="D293" s="12">
        <f t="shared" si="17"/>
        <v>0.9976900000000154</v>
      </c>
      <c r="E293" s="26">
        <v>29</v>
      </c>
      <c r="F293" s="19">
        <v>0.96665999999999996</v>
      </c>
      <c r="G293" s="11">
        <f t="shared" si="18"/>
        <v>-1.0999999999994192E-3</v>
      </c>
      <c r="H293" s="12">
        <f t="shared" si="19"/>
        <v>0.99855999999998302</v>
      </c>
    </row>
    <row r="294" spans="1:8" ht="14.25" thickBot="1">
      <c r="A294" s="22">
        <v>29.1</v>
      </c>
      <c r="B294" s="27">
        <v>0.96567999999999998</v>
      </c>
      <c r="C294" s="11">
        <f t="shared" si="16"/>
        <v>-1.099999999999458E-3</v>
      </c>
      <c r="D294" s="12">
        <f t="shared" si="17"/>
        <v>0.9976899999999842</v>
      </c>
      <c r="E294" s="22">
        <v>29.1</v>
      </c>
      <c r="F294" s="27">
        <v>0.96655000000000002</v>
      </c>
      <c r="G294" s="11">
        <f t="shared" si="18"/>
        <v>-1.1000000000005682E-3</v>
      </c>
      <c r="H294" s="12">
        <f t="shared" si="19"/>
        <v>0.99856000000001655</v>
      </c>
    </row>
    <row r="295" spans="1:8" ht="14.25" thickBot="1">
      <c r="A295" s="22">
        <v>29.2</v>
      </c>
      <c r="B295" s="27">
        <v>0.96557000000000004</v>
      </c>
      <c r="C295" s="11">
        <f t="shared" si="16"/>
        <v>-1.2000000000000728E-3</v>
      </c>
      <c r="D295" s="12">
        <f t="shared" si="17"/>
        <v>1.0006100000000022</v>
      </c>
      <c r="E295" s="22">
        <v>29.2</v>
      </c>
      <c r="F295" s="27">
        <v>0.96643999999999997</v>
      </c>
      <c r="G295" s="11">
        <f t="shared" si="18"/>
        <v>-1.2000000000000728E-3</v>
      </c>
      <c r="H295" s="12">
        <f t="shared" si="19"/>
        <v>1.0014800000000021</v>
      </c>
    </row>
    <row r="296" spans="1:8" ht="14.25" thickBot="1">
      <c r="A296" s="22">
        <v>29.3</v>
      </c>
      <c r="B296" s="27">
        <v>0.96545000000000003</v>
      </c>
      <c r="C296" s="11">
        <f t="shared" si="16"/>
        <v>-1.1000000000005682E-3</v>
      </c>
      <c r="D296" s="12">
        <f t="shared" si="17"/>
        <v>0.99768000000001666</v>
      </c>
      <c r="E296" s="22">
        <v>29.3</v>
      </c>
      <c r="F296" s="27">
        <v>0.96631999999999996</v>
      </c>
      <c r="G296" s="11">
        <f t="shared" si="18"/>
        <v>-1.099999999999458E-3</v>
      </c>
      <c r="H296" s="12">
        <f t="shared" si="19"/>
        <v>0.99854999999998406</v>
      </c>
    </row>
    <row r="297" spans="1:8" ht="14.25" thickBot="1">
      <c r="A297" s="22">
        <v>29.4</v>
      </c>
      <c r="B297" s="27">
        <v>0.96533999999999998</v>
      </c>
      <c r="C297" s="11">
        <f t="shared" si="16"/>
        <v>-1.2000000000000728E-3</v>
      </c>
      <c r="D297" s="12">
        <f t="shared" si="17"/>
        <v>1.0006200000000021</v>
      </c>
      <c r="E297" s="22">
        <v>29.4</v>
      </c>
      <c r="F297" s="27">
        <v>0.96621000000000001</v>
      </c>
      <c r="G297" s="11">
        <f t="shared" si="18"/>
        <v>-1.2000000000000728E-3</v>
      </c>
      <c r="H297" s="12">
        <f t="shared" si="19"/>
        <v>1.0014900000000022</v>
      </c>
    </row>
    <row r="298" spans="1:8" ht="14.25" thickBot="1">
      <c r="A298" s="22">
        <v>29.5</v>
      </c>
      <c r="B298" s="27">
        <v>0.96521999999999997</v>
      </c>
      <c r="C298" s="11">
        <f t="shared" si="16"/>
        <v>-1.0999999999994192E-3</v>
      </c>
      <c r="D298" s="12">
        <f t="shared" si="17"/>
        <v>0.99766999999998285</v>
      </c>
      <c r="E298" s="22">
        <v>29.5</v>
      </c>
      <c r="F298" s="27">
        <v>0.96609</v>
      </c>
      <c r="G298" s="11">
        <f t="shared" si="18"/>
        <v>-1.1000000000005292E-3</v>
      </c>
      <c r="H298" s="12">
        <f t="shared" si="19"/>
        <v>0.99854000000001564</v>
      </c>
    </row>
    <row r="299" spans="1:8" ht="14.25" thickBot="1">
      <c r="A299" s="22">
        <v>29.6</v>
      </c>
      <c r="B299" s="27">
        <v>0.96511000000000002</v>
      </c>
      <c r="C299" s="11">
        <f t="shared" si="16"/>
        <v>-1.2000000000001153E-3</v>
      </c>
      <c r="D299" s="12">
        <f t="shared" si="17"/>
        <v>1.0006300000000035</v>
      </c>
      <c r="E299" s="22">
        <v>29.6</v>
      </c>
      <c r="F299" s="27">
        <v>0.96597999999999995</v>
      </c>
      <c r="G299" s="11">
        <f t="shared" si="18"/>
        <v>-1.199999999999005E-3</v>
      </c>
      <c r="H299" s="12">
        <f t="shared" si="19"/>
        <v>1.0014999999999705</v>
      </c>
    </row>
    <row r="300" spans="1:8" ht="14.25" thickBot="1">
      <c r="A300" s="22">
        <v>29.7</v>
      </c>
      <c r="B300" s="27">
        <v>0.96499000000000001</v>
      </c>
      <c r="C300" s="11">
        <f t="shared" si="16"/>
        <v>-1.1000000000005292E-3</v>
      </c>
      <c r="D300" s="12">
        <f t="shared" si="17"/>
        <v>0.99766000000001576</v>
      </c>
      <c r="E300" s="22">
        <v>29.7</v>
      </c>
      <c r="F300" s="27">
        <v>0.96586000000000005</v>
      </c>
      <c r="G300" s="11">
        <f t="shared" si="18"/>
        <v>-1.1000000000005292E-3</v>
      </c>
      <c r="H300" s="12">
        <f t="shared" si="19"/>
        <v>0.99853000000001579</v>
      </c>
    </row>
    <row r="301" spans="1:8" ht="14.25" thickBot="1">
      <c r="A301" s="22">
        <v>29.8</v>
      </c>
      <c r="B301" s="27">
        <v>0.96487999999999996</v>
      </c>
      <c r="C301" s="11">
        <f t="shared" si="16"/>
        <v>-1.2000000000001153E-3</v>
      </c>
      <c r="D301" s="12">
        <f t="shared" si="17"/>
        <v>1.0006400000000035</v>
      </c>
      <c r="E301" s="22">
        <v>29.8</v>
      </c>
      <c r="F301" s="27">
        <v>0.96575</v>
      </c>
      <c r="G301" s="11">
        <f t="shared" si="18"/>
        <v>-1.2000000000001155E-3</v>
      </c>
      <c r="H301" s="12">
        <f t="shared" si="19"/>
        <v>1.0015100000000035</v>
      </c>
    </row>
    <row r="302" spans="1:8" ht="14.25" thickBot="1">
      <c r="A302" s="22">
        <v>29.9</v>
      </c>
      <c r="B302" s="27">
        <v>0.96475999999999995</v>
      </c>
      <c r="C302" s="11">
        <f t="shared" si="16"/>
        <v>-1.0999999999994192E-3</v>
      </c>
      <c r="D302" s="12">
        <f t="shared" si="17"/>
        <v>0.9976499999999825</v>
      </c>
      <c r="E302" s="22">
        <v>29.9</v>
      </c>
      <c r="F302" s="27">
        <v>0.96562999999999999</v>
      </c>
      <c r="G302" s="11">
        <f t="shared" si="18"/>
        <v>-1.0999999999994192E-3</v>
      </c>
      <c r="H302" s="12">
        <f t="shared" si="19"/>
        <v>0.99851999999998264</v>
      </c>
    </row>
    <row r="303" spans="1:8" ht="14.25" thickBot="1">
      <c r="A303" s="26">
        <v>30</v>
      </c>
      <c r="B303" s="19">
        <v>0.96465000000000001</v>
      </c>
      <c r="C303" s="11">
        <f t="shared" si="16"/>
        <v>-1.2000000000000728E-3</v>
      </c>
      <c r="D303" s="12">
        <f t="shared" si="17"/>
        <v>1.0006500000000023</v>
      </c>
      <c r="E303" s="26">
        <v>30</v>
      </c>
      <c r="F303" s="19">
        <v>0.96552000000000004</v>
      </c>
      <c r="G303" s="11">
        <f t="shared" si="18"/>
        <v>-1.2000000000000728E-3</v>
      </c>
      <c r="H303" s="12">
        <f t="shared" si="19"/>
        <v>1.0015200000000022</v>
      </c>
    </row>
    <row r="304" spans="1:8" ht="14.25" thickBot="1">
      <c r="A304" s="22">
        <v>30.1</v>
      </c>
      <c r="B304" s="27">
        <v>0.96453</v>
      </c>
      <c r="C304" s="11">
        <f t="shared" si="16"/>
        <v>-1.099999999999458E-3</v>
      </c>
      <c r="D304" s="12">
        <f t="shared" si="17"/>
        <v>0.99763999999998365</v>
      </c>
      <c r="E304" s="22">
        <v>30.1</v>
      </c>
      <c r="F304" s="27">
        <v>0.96540000000000004</v>
      </c>
      <c r="G304" s="11">
        <f t="shared" si="18"/>
        <v>-1.1000000000005682E-3</v>
      </c>
      <c r="H304" s="12">
        <f t="shared" si="19"/>
        <v>0.99851000000001711</v>
      </c>
    </row>
    <row r="305" spans="1:8" ht="14.25" thickBot="1">
      <c r="A305" s="22">
        <v>30.2</v>
      </c>
      <c r="B305" s="27">
        <v>0.96442000000000005</v>
      </c>
      <c r="C305" s="11">
        <f t="shared" si="16"/>
        <v>-1.2000000000000728E-3</v>
      </c>
      <c r="D305" s="12">
        <f t="shared" si="17"/>
        <v>1.0006600000000023</v>
      </c>
      <c r="E305" s="22">
        <v>30.2</v>
      </c>
      <c r="F305" s="27">
        <v>0.96528999999999998</v>
      </c>
      <c r="G305" s="11">
        <f t="shared" si="18"/>
        <v>-1.2000000000000728E-3</v>
      </c>
      <c r="H305" s="12">
        <f t="shared" si="19"/>
        <v>1.0015300000000023</v>
      </c>
    </row>
    <row r="306" spans="1:8" ht="14.25" thickBot="1">
      <c r="A306" s="22">
        <v>30.3</v>
      </c>
      <c r="B306" s="27">
        <v>0.96430000000000005</v>
      </c>
      <c r="C306" s="11">
        <f t="shared" si="16"/>
        <v>-1.2000000000001155E-3</v>
      </c>
      <c r="D306" s="12">
        <f t="shared" si="17"/>
        <v>1.0006600000000034</v>
      </c>
      <c r="E306" s="22">
        <v>30.3</v>
      </c>
      <c r="F306" s="27">
        <v>0.96516999999999997</v>
      </c>
      <c r="G306" s="11">
        <f t="shared" si="18"/>
        <v>-1.2000000000001155E-3</v>
      </c>
      <c r="H306" s="12">
        <f t="shared" si="19"/>
        <v>1.0015300000000034</v>
      </c>
    </row>
    <row r="307" spans="1:8" ht="14.25" thickBot="1">
      <c r="A307" s="22">
        <v>30.4</v>
      </c>
      <c r="B307" s="27">
        <v>0.96418000000000004</v>
      </c>
      <c r="C307" s="11">
        <f t="shared" si="16"/>
        <v>-1.2000000000000728E-3</v>
      </c>
      <c r="D307" s="12">
        <f t="shared" si="17"/>
        <v>1.0006600000000023</v>
      </c>
      <c r="E307" s="22">
        <v>30.4</v>
      </c>
      <c r="F307" s="27">
        <v>0.96504999999999996</v>
      </c>
      <c r="G307" s="11">
        <f t="shared" si="18"/>
        <v>-1.2000000000000728E-3</v>
      </c>
      <c r="H307" s="12">
        <f t="shared" si="19"/>
        <v>1.0015300000000023</v>
      </c>
    </row>
    <row r="308" spans="1:8" ht="14.25" thickBot="1">
      <c r="A308" s="22">
        <v>30.5</v>
      </c>
      <c r="B308" s="27">
        <v>0.96406000000000003</v>
      </c>
      <c r="C308" s="11">
        <f t="shared" si="16"/>
        <v>-1.1000000000005292E-3</v>
      </c>
      <c r="D308" s="12">
        <f t="shared" si="17"/>
        <v>0.99761000000001621</v>
      </c>
      <c r="E308" s="22">
        <v>30.5</v>
      </c>
      <c r="F308" s="27">
        <v>0.96492999999999995</v>
      </c>
      <c r="G308" s="11">
        <f t="shared" si="18"/>
        <v>-1.0999999999994192E-3</v>
      </c>
      <c r="H308" s="12">
        <f t="shared" si="19"/>
        <v>0.99847999999998216</v>
      </c>
    </row>
    <row r="309" spans="1:8" ht="14.25" thickBot="1">
      <c r="A309" s="22">
        <v>30.6</v>
      </c>
      <c r="B309" s="27">
        <v>0.96394999999999997</v>
      </c>
      <c r="C309" s="11">
        <f t="shared" si="16"/>
        <v>-1.2000000000001153E-3</v>
      </c>
      <c r="D309" s="12">
        <f t="shared" si="17"/>
        <v>1.0006700000000035</v>
      </c>
      <c r="E309" s="22">
        <v>30.6</v>
      </c>
      <c r="F309" s="27">
        <v>0.96482000000000001</v>
      </c>
      <c r="G309" s="11">
        <f t="shared" si="18"/>
        <v>-1.2000000000001155E-3</v>
      </c>
      <c r="H309" s="12">
        <f t="shared" si="19"/>
        <v>1.0015400000000036</v>
      </c>
    </row>
    <row r="310" spans="1:8" ht="14.25" thickBot="1">
      <c r="A310" s="22">
        <v>30.7</v>
      </c>
      <c r="B310" s="27">
        <v>0.96382999999999996</v>
      </c>
      <c r="C310" s="11">
        <f t="shared" si="16"/>
        <v>-1.2000000000000728E-3</v>
      </c>
      <c r="D310" s="12">
        <f t="shared" si="17"/>
        <v>1.0006700000000022</v>
      </c>
      <c r="E310" s="22">
        <v>30.7</v>
      </c>
      <c r="F310" s="27">
        <v>0.9647</v>
      </c>
      <c r="G310" s="11">
        <f t="shared" si="18"/>
        <v>-1.2000000000000728E-3</v>
      </c>
      <c r="H310" s="12">
        <f t="shared" si="19"/>
        <v>1.0015400000000021</v>
      </c>
    </row>
    <row r="311" spans="1:8" ht="14.25" thickBot="1">
      <c r="A311" s="22">
        <v>30.8</v>
      </c>
      <c r="B311" s="27">
        <v>0.96370999999999996</v>
      </c>
      <c r="C311" s="11">
        <f t="shared" si="16"/>
        <v>-1.2000000000001155E-3</v>
      </c>
      <c r="D311" s="12">
        <f t="shared" si="17"/>
        <v>1.0006700000000035</v>
      </c>
      <c r="E311" s="22">
        <v>30.8</v>
      </c>
      <c r="F311" s="27">
        <v>0.96457999999999999</v>
      </c>
      <c r="G311" s="11">
        <f t="shared" si="18"/>
        <v>-1.2000000000001153E-3</v>
      </c>
      <c r="H311" s="12">
        <f t="shared" si="19"/>
        <v>1.0015400000000036</v>
      </c>
    </row>
    <row r="312" spans="1:8" ht="14.25" thickBot="1">
      <c r="A312" s="22">
        <v>30.9</v>
      </c>
      <c r="B312" s="27">
        <v>0.96358999999999995</v>
      </c>
      <c r="C312" s="11">
        <f t="shared" si="16"/>
        <v>-1.1999999999989625E-3</v>
      </c>
      <c r="D312" s="12">
        <f t="shared" si="17"/>
        <v>1.000669999999968</v>
      </c>
      <c r="E312" s="22">
        <v>30.9</v>
      </c>
      <c r="F312" s="27">
        <v>0.96445999999999998</v>
      </c>
      <c r="G312" s="11">
        <f t="shared" si="18"/>
        <v>-1.2000000000000728E-3</v>
      </c>
      <c r="H312" s="12">
        <f t="shared" si="19"/>
        <v>1.0015400000000021</v>
      </c>
    </row>
    <row r="313" spans="1:8" ht="14.25" thickBot="1">
      <c r="A313" s="26">
        <v>31</v>
      </c>
      <c r="B313" s="19">
        <v>0.96347000000000005</v>
      </c>
      <c r="C313" s="11">
        <f t="shared" si="16"/>
        <v>-1.2000000000000728E-3</v>
      </c>
      <c r="D313" s="12">
        <f t="shared" si="17"/>
        <v>1.0006700000000024</v>
      </c>
      <c r="E313" s="26">
        <v>31</v>
      </c>
      <c r="F313" s="19">
        <v>0.96433999999999997</v>
      </c>
      <c r="G313" s="11">
        <f t="shared" si="18"/>
        <v>-1.2000000000000728E-3</v>
      </c>
      <c r="H313" s="12">
        <f t="shared" si="19"/>
        <v>1.0015400000000023</v>
      </c>
    </row>
    <row r="314" spans="1:8" ht="14.25" thickBot="1">
      <c r="A314" s="22">
        <v>31.1</v>
      </c>
      <c r="B314" s="27">
        <v>0.96335000000000004</v>
      </c>
      <c r="C314" s="11">
        <f t="shared" si="16"/>
        <v>-1.2000000000001153E-3</v>
      </c>
      <c r="D314" s="12">
        <f t="shared" si="17"/>
        <v>1.0006700000000035</v>
      </c>
      <c r="E314" s="22">
        <v>31.1</v>
      </c>
      <c r="F314" s="27">
        <v>0.96421999999999997</v>
      </c>
      <c r="G314" s="11">
        <f t="shared" si="18"/>
        <v>-1.2000000000001153E-3</v>
      </c>
      <c r="H314" s="12">
        <f t="shared" si="19"/>
        <v>1.0015400000000034</v>
      </c>
    </row>
    <row r="315" spans="1:8" ht="14.25" thickBot="1">
      <c r="A315" s="22">
        <v>31.2</v>
      </c>
      <c r="B315" s="27">
        <v>0.96323000000000003</v>
      </c>
      <c r="C315" s="11">
        <f t="shared" si="16"/>
        <v>-1.2000000000000728E-3</v>
      </c>
      <c r="D315" s="12">
        <f t="shared" si="17"/>
        <v>1.0006700000000024</v>
      </c>
      <c r="E315" s="22">
        <v>31.2</v>
      </c>
      <c r="F315" s="27">
        <v>0.96409999999999996</v>
      </c>
      <c r="G315" s="11">
        <f t="shared" si="18"/>
        <v>-1.2000000000000728E-3</v>
      </c>
      <c r="H315" s="12">
        <f t="shared" si="19"/>
        <v>1.0015400000000023</v>
      </c>
    </row>
    <row r="316" spans="1:8" ht="14.25" thickBot="1">
      <c r="A316" s="22">
        <v>31.3</v>
      </c>
      <c r="B316" s="27">
        <v>0.96311000000000002</v>
      </c>
      <c r="C316" s="11">
        <f t="shared" si="16"/>
        <v>-1.2000000000001155E-3</v>
      </c>
      <c r="D316" s="12">
        <f t="shared" si="17"/>
        <v>1.0006700000000035</v>
      </c>
      <c r="E316" s="22">
        <v>31.3</v>
      </c>
      <c r="F316" s="27">
        <v>0.96397999999999995</v>
      </c>
      <c r="G316" s="11">
        <f t="shared" si="18"/>
        <v>-1.199999999999005E-3</v>
      </c>
      <c r="H316" s="12">
        <f t="shared" si="19"/>
        <v>1.0015399999999688</v>
      </c>
    </row>
    <row r="317" spans="1:8" ht="14.25" thickBot="1">
      <c r="A317" s="22">
        <v>31.4</v>
      </c>
      <c r="B317" s="27">
        <v>0.96299000000000001</v>
      </c>
      <c r="C317" s="11">
        <f t="shared" si="16"/>
        <v>-1.2000000000000728E-3</v>
      </c>
      <c r="D317" s="12">
        <f t="shared" si="17"/>
        <v>1.0006700000000024</v>
      </c>
      <c r="E317" s="22">
        <v>31.4</v>
      </c>
      <c r="F317" s="27">
        <v>0.96386000000000005</v>
      </c>
      <c r="G317" s="11">
        <f t="shared" si="18"/>
        <v>-1.2000000000000728E-3</v>
      </c>
      <c r="H317" s="12">
        <f t="shared" si="19"/>
        <v>1.0015400000000023</v>
      </c>
    </row>
    <row r="318" spans="1:8" ht="14.25" thickBot="1">
      <c r="A318" s="22">
        <v>31.5</v>
      </c>
      <c r="B318" s="27">
        <v>0.96287</v>
      </c>
      <c r="C318" s="11">
        <f t="shared" si="16"/>
        <v>-1.2000000000000728E-3</v>
      </c>
      <c r="D318" s="12">
        <f t="shared" si="17"/>
        <v>1.0006700000000022</v>
      </c>
      <c r="E318" s="22">
        <v>31.5</v>
      </c>
      <c r="F318" s="27">
        <v>0.96374000000000004</v>
      </c>
      <c r="G318" s="11">
        <f t="shared" si="18"/>
        <v>-1.2000000000000728E-3</v>
      </c>
      <c r="H318" s="12">
        <f t="shared" si="19"/>
        <v>1.0015400000000023</v>
      </c>
    </row>
    <row r="319" spans="1:8" ht="14.25" thickBot="1">
      <c r="A319" s="22">
        <v>31.6</v>
      </c>
      <c r="B319" s="27">
        <v>0.96274999999999999</v>
      </c>
      <c r="C319" s="11">
        <f t="shared" si="16"/>
        <v>-1.2000000000001155E-3</v>
      </c>
      <c r="D319" s="12">
        <f t="shared" si="17"/>
        <v>1.0006700000000037</v>
      </c>
      <c r="E319" s="22">
        <v>31.6</v>
      </c>
      <c r="F319" s="27">
        <v>0.96362000000000003</v>
      </c>
      <c r="G319" s="11">
        <f t="shared" si="18"/>
        <v>-1.2000000000001153E-3</v>
      </c>
      <c r="H319" s="12">
        <f t="shared" si="19"/>
        <v>1.0015400000000036</v>
      </c>
    </row>
    <row r="320" spans="1:8" ht="14.25" thickBot="1">
      <c r="A320" s="22">
        <v>31.7</v>
      </c>
      <c r="B320" s="27">
        <v>0.96262999999999999</v>
      </c>
      <c r="C320" s="11">
        <f t="shared" si="16"/>
        <v>-1.2000000000000728E-3</v>
      </c>
      <c r="D320" s="12">
        <f t="shared" si="17"/>
        <v>1.0006700000000022</v>
      </c>
      <c r="E320" s="22">
        <v>31.7</v>
      </c>
      <c r="F320" s="27">
        <v>0.96350000000000002</v>
      </c>
      <c r="G320" s="11">
        <f t="shared" si="18"/>
        <v>-1.2000000000000728E-3</v>
      </c>
      <c r="H320" s="12">
        <f t="shared" si="19"/>
        <v>1.0015400000000023</v>
      </c>
    </row>
    <row r="321" spans="1:8" ht="14.25" thickBot="1">
      <c r="A321" s="22">
        <v>31.8</v>
      </c>
      <c r="B321" s="27">
        <v>0.96250999999999998</v>
      </c>
      <c r="C321" s="11">
        <f t="shared" si="16"/>
        <v>-1.2000000000001153E-3</v>
      </c>
      <c r="D321" s="12">
        <f t="shared" si="17"/>
        <v>1.0006700000000037</v>
      </c>
      <c r="E321" s="22">
        <v>31.8</v>
      </c>
      <c r="F321" s="27">
        <v>0.96338000000000001</v>
      </c>
      <c r="G321" s="11">
        <f t="shared" si="18"/>
        <v>-1.2000000000001155E-3</v>
      </c>
      <c r="H321" s="12">
        <f t="shared" si="19"/>
        <v>1.0015400000000036</v>
      </c>
    </row>
    <row r="322" spans="1:8" ht="14.25" thickBot="1">
      <c r="A322" s="22">
        <v>31.9</v>
      </c>
      <c r="B322" s="27">
        <v>0.96238999999999997</v>
      </c>
      <c r="C322" s="11">
        <f t="shared" si="16"/>
        <v>-1.2999999999996163E-3</v>
      </c>
      <c r="D322" s="12">
        <f t="shared" si="17"/>
        <v>1.0038599999999878</v>
      </c>
      <c r="E322" s="22">
        <v>31.9</v>
      </c>
      <c r="F322" s="27">
        <v>0.96326000000000001</v>
      </c>
      <c r="G322" s="11">
        <f t="shared" si="18"/>
        <v>-1.2999999999996163E-3</v>
      </c>
      <c r="H322" s="12">
        <f t="shared" si="19"/>
        <v>1.0047299999999877</v>
      </c>
    </row>
    <row r="323" spans="1:8" ht="14.25" thickBot="1">
      <c r="A323" s="26">
        <v>32</v>
      </c>
      <c r="B323" s="19">
        <v>0.96226</v>
      </c>
      <c r="C323" s="11">
        <f t="shared" si="16"/>
        <v>-1.2000000000000728E-3</v>
      </c>
      <c r="D323" s="12">
        <f t="shared" si="17"/>
        <v>1.0006600000000023</v>
      </c>
      <c r="E323" s="26">
        <v>32</v>
      </c>
      <c r="F323" s="19">
        <v>0.96313000000000004</v>
      </c>
      <c r="G323" s="11">
        <f t="shared" si="18"/>
        <v>-1.2000000000000728E-3</v>
      </c>
      <c r="H323" s="12">
        <f t="shared" si="19"/>
        <v>1.0015300000000025</v>
      </c>
    </row>
    <row r="324" spans="1:8" ht="14.25" thickBot="1">
      <c r="A324" s="22">
        <v>32.1</v>
      </c>
      <c r="B324" s="27">
        <v>0.96214</v>
      </c>
      <c r="C324" s="11">
        <f t="shared" ref="C324:C387" si="20">SLOPE(B324:B325,A324:A325)</f>
        <v>-1.2000000000000728E-3</v>
      </c>
      <c r="D324" s="12">
        <f t="shared" ref="D324:D387" si="21">INTERCEPT(B324:B325,A324:A325)</f>
        <v>1.0006600000000023</v>
      </c>
      <c r="E324" s="22">
        <v>32.1</v>
      </c>
      <c r="F324" s="27">
        <v>0.96301000000000003</v>
      </c>
      <c r="G324" s="11">
        <f t="shared" ref="G324:G387" si="22">SLOPE(F324:F325,E324:E325)</f>
        <v>-1.2000000000000728E-3</v>
      </c>
      <c r="H324" s="12">
        <f t="shared" ref="H324:H387" si="23">INTERCEPT(F324:F325,E324:E325)</f>
        <v>1.0015300000000023</v>
      </c>
    </row>
    <row r="325" spans="1:8" ht="14.25" thickBot="1">
      <c r="A325" s="22">
        <v>32.200000000000003</v>
      </c>
      <c r="B325" s="27">
        <v>0.96201999999999999</v>
      </c>
      <c r="C325" s="11">
        <f t="shared" si="20"/>
        <v>-1.2999999999997085E-3</v>
      </c>
      <c r="D325" s="12">
        <f t="shared" si="21"/>
        <v>1.0038799999999906</v>
      </c>
      <c r="E325" s="22">
        <v>32.200000000000003</v>
      </c>
      <c r="F325" s="27">
        <v>0.96289000000000002</v>
      </c>
      <c r="G325" s="11">
        <f t="shared" si="22"/>
        <v>-1.3000000000008187E-3</v>
      </c>
      <c r="H325" s="12">
        <f t="shared" si="23"/>
        <v>1.0047500000000265</v>
      </c>
    </row>
    <row r="326" spans="1:8" ht="14.25" thickBot="1">
      <c r="A326" s="22">
        <v>32.299999999999997</v>
      </c>
      <c r="B326" s="15">
        <v>0.96189000000000002</v>
      </c>
      <c r="C326" s="11">
        <f t="shared" si="20"/>
        <v>-1.2000000000000728E-3</v>
      </c>
      <c r="D326" s="12">
        <f t="shared" si="21"/>
        <v>1.0006500000000023</v>
      </c>
      <c r="E326" s="22">
        <v>32.299999999999997</v>
      </c>
      <c r="F326" s="15">
        <v>0.96275999999999995</v>
      </c>
      <c r="G326" s="11">
        <f t="shared" si="22"/>
        <v>-1.1999999999989627E-3</v>
      </c>
      <c r="H326" s="12">
        <f t="shared" si="23"/>
        <v>1.0015199999999664</v>
      </c>
    </row>
    <row r="327" spans="1:8" ht="14.25" thickBot="1">
      <c r="A327" s="22">
        <v>32.4</v>
      </c>
      <c r="B327" s="27">
        <v>0.96177000000000001</v>
      </c>
      <c r="C327" s="11">
        <f t="shared" si="20"/>
        <v>-1.2000000000000728E-3</v>
      </c>
      <c r="D327" s="12">
        <f t="shared" si="21"/>
        <v>1.0006500000000025</v>
      </c>
      <c r="E327" s="22">
        <v>32.4</v>
      </c>
      <c r="F327" s="27">
        <v>0.96264000000000005</v>
      </c>
      <c r="G327" s="11">
        <f t="shared" si="22"/>
        <v>-1.2000000000000728E-3</v>
      </c>
      <c r="H327" s="12">
        <f t="shared" si="23"/>
        <v>1.0015200000000024</v>
      </c>
    </row>
    <row r="328" spans="1:8" ht="14.25" thickBot="1">
      <c r="A328" s="22">
        <v>32.5</v>
      </c>
      <c r="B328" s="27">
        <v>0.96165</v>
      </c>
      <c r="C328" s="11">
        <f t="shared" si="20"/>
        <v>-1.2999999999996161E-3</v>
      </c>
      <c r="D328" s="12">
        <f t="shared" si="21"/>
        <v>1.0038999999999876</v>
      </c>
      <c r="E328" s="22">
        <v>32.5</v>
      </c>
      <c r="F328" s="27">
        <v>0.96252000000000004</v>
      </c>
      <c r="G328" s="11">
        <f t="shared" si="22"/>
        <v>-1.3000000000007264E-3</v>
      </c>
      <c r="H328" s="12">
        <f t="shared" si="23"/>
        <v>1.0047700000000237</v>
      </c>
    </row>
    <row r="329" spans="1:8" ht="14.25" thickBot="1">
      <c r="A329" s="22">
        <v>32.6</v>
      </c>
      <c r="B329" s="27">
        <v>0.96152000000000004</v>
      </c>
      <c r="C329" s="11">
        <f t="shared" si="20"/>
        <v>-1.2000000000000728E-3</v>
      </c>
      <c r="D329" s="12">
        <f t="shared" si="21"/>
        <v>1.0006400000000024</v>
      </c>
      <c r="E329" s="22">
        <v>32.6</v>
      </c>
      <c r="F329" s="27">
        <v>0.96238999999999997</v>
      </c>
      <c r="G329" s="11">
        <f t="shared" si="22"/>
        <v>-1.2000000000000728E-3</v>
      </c>
      <c r="H329" s="12">
        <f t="shared" si="23"/>
        <v>1.0015100000000023</v>
      </c>
    </row>
    <row r="330" spans="1:8" ht="14.25" thickBot="1">
      <c r="A330" s="22">
        <v>32.700000000000003</v>
      </c>
      <c r="B330" s="27">
        <v>0.96140000000000003</v>
      </c>
      <c r="C330" s="11">
        <f t="shared" si="20"/>
        <v>-1.3000000000008187E-3</v>
      </c>
      <c r="D330" s="12">
        <f t="shared" si="21"/>
        <v>1.0039100000000269</v>
      </c>
      <c r="E330" s="22">
        <v>32.700000000000003</v>
      </c>
      <c r="F330" s="27">
        <v>0.96226999999999996</v>
      </c>
      <c r="G330" s="11">
        <f t="shared" si="22"/>
        <v>-1.2999999999997085E-3</v>
      </c>
      <c r="H330" s="12">
        <f t="shared" si="23"/>
        <v>1.0047799999999905</v>
      </c>
    </row>
    <row r="331" spans="1:8" ht="14.25" thickBot="1">
      <c r="A331" s="22">
        <v>32.799999999999997</v>
      </c>
      <c r="B331" s="27">
        <v>0.96126999999999996</v>
      </c>
      <c r="C331" s="11">
        <f t="shared" si="20"/>
        <v>-1.2999999999996161E-3</v>
      </c>
      <c r="D331" s="12">
        <f t="shared" si="21"/>
        <v>1.0039099999999874</v>
      </c>
      <c r="E331" s="22">
        <v>32.799999999999997</v>
      </c>
      <c r="F331" s="27">
        <v>0.96214</v>
      </c>
      <c r="G331" s="11">
        <f t="shared" si="22"/>
        <v>-1.2999999999996161E-3</v>
      </c>
      <c r="H331" s="12">
        <f t="shared" si="23"/>
        <v>1.0047799999999873</v>
      </c>
    </row>
    <row r="332" spans="1:8" ht="14.25" thickBot="1">
      <c r="A332" s="22">
        <v>32.9</v>
      </c>
      <c r="B332" s="27">
        <v>0.96113999999999999</v>
      </c>
      <c r="C332" s="11">
        <f t="shared" si="20"/>
        <v>-1.2000000000000728E-3</v>
      </c>
      <c r="D332" s="12">
        <f t="shared" si="21"/>
        <v>1.0006200000000023</v>
      </c>
      <c r="E332" s="22">
        <v>32.9</v>
      </c>
      <c r="F332" s="27">
        <v>0.96201000000000003</v>
      </c>
      <c r="G332" s="11">
        <f t="shared" si="22"/>
        <v>-1.2000000000000728E-3</v>
      </c>
      <c r="H332" s="12">
        <f t="shared" si="23"/>
        <v>1.0014900000000024</v>
      </c>
    </row>
    <row r="333" spans="1:8" ht="14.25" thickBot="1">
      <c r="A333" s="26">
        <v>33</v>
      </c>
      <c r="B333" s="19">
        <v>0.96101999999999999</v>
      </c>
      <c r="C333" s="11">
        <f t="shared" si="20"/>
        <v>-1.2999999999996161E-3</v>
      </c>
      <c r="D333" s="12">
        <f t="shared" si="21"/>
        <v>1.0039199999999873</v>
      </c>
      <c r="E333" s="26">
        <v>33</v>
      </c>
      <c r="F333" s="19">
        <v>0.96189000000000002</v>
      </c>
      <c r="G333" s="11">
        <f t="shared" si="22"/>
        <v>-1.3000000000007264E-3</v>
      </c>
      <c r="H333" s="12">
        <f t="shared" si="23"/>
        <v>1.0047900000000238</v>
      </c>
    </row>
    <row r="334" spans="1:8" ht="14.25" thickBot="1">
      <c r="A334" s="22">
        <v>33.1</v>
      </c>
      <c r="B334" s="27">
        <v>0.96089000000000002</v>
      </c>
      <c r="C334" s="11">
        <f t="shared" si="20"/>
        <v>-1.2000000000000728E-3</v>
      </c>
      <c r="D334" s="12">
        <f t="shared" si="21"/>
        <v>1.0006100000000024</v>
      </c>
      <c r="E334" s="22">
        <v>33.1</v>
      </c>
      <c r="F334" s="27">
        <v>0.96175999999999995</v>
      </c>
      <c r="G334" s="11">
        <f t="shared" si="22"/>
        <v>-1.1999999999989627E-3</v>
      </c>
      <c r="H334" s="12">
        <f t="shared" si="23"/>
        <v>1.0014799999999657</v>
      </c>
    </row>
    <row r="335" spans="1:8" ht="14.25" thickBot="1">
      <c r="A335" s="22">
        <v>33.200000000000003</v>
      </c>
      <c r="B335" s="27">
        <v>0.96077000000000001</v>
      </c>
      <c r="C335" s="11">
        <f t="shared" si="20"/>
        <v>-1.2999999999997085E-3</v>
      </c>
      <c r="D335" s="12">
        <f t="shared" si="21"/>
        <v>1.0039299999999904</v>
      </c>
      <c r="E335" s="22">
        <v>33.200000000000003</v>
      </c>
      <c r="F335" s="27">
        <v>0.96164000000000005</v>
      </c>
      <c r="G335" s="11">
        <f t="shared" si="22"/>
        <v>-1.3000000000008187E-3</v>
      </c>
      <c r="H335" s="12">
        <f t="shared" si="23"/>
        <v>1.0048000000000272</v>
      </c>
    </row>
    <row r="336" spans="1:8" ht="14.25" thickBot="1">
      <c r="A336" s="22">
        <v>33.299999999999997</v>
      </c>
      <c r="B336" s="27">
        <v>0.96064000000000005</v>
      </c>
      <c r="C336" s="11">
        <f t="shared" si="20"/>
        <v>-1.3000000000007264E-3</v>
      </c>
      <c r="D336" s="12">
        <f t="shared" si="21"/>
        <v>1.0039300000000242</v>
      </c>
      <c r="E336" s="22">
        <v>33.299999999999997</v>
      </c>
      <c r="F336" s="27">
        <v>0.96150999999999998</v>
      </c>
      <c r="G336" s="11">
        <f t="shared" si="22"/>
        <v>-1.2999999999996161E-3</v>
      </c>
      <c r="H336" s="12">
        <f t="shared" si="23"/>
        <v>1.0047999999999873</v>
      </c>
    </row>
    <row r="337" spans="1:8" ht="14.25" thickBot="1">
      <c r="A337" s="22">
        <v>33.4</v>
      </c>
      <c r="B337" s="27">
        <v>0.96050999999999997</v>
      </c>
      <c r="C337" s="11">
        <f t="shared" si="20"/>
        <v>-1.2999999999996161E-3</v>
      </c>
      <c r="D337" s="12">
        <f t="shared" si="21"/>
        <v>1.0039299999999871</v>
      </c>
      <c r="E337" s="22">
        <v>33.4</v>
      </c>
      <c r="F337" s="27">
        <v>0.96138000000000001</v>
      </c>
      <c r="G337" s="11">
        <f t="shared" si="22"/>
        <v>-1.2999999999996161E-3</v>
      </c>
      <c r="H337" s="12">
        <f t="shared" si="23"/>
        <v>1.0047999999999873</v>
      </c>
    </row>
    <row r="338" spans="1:8" ht="14.25" thickBot="1">
      <c r="A338" s="22">
        <v>33.5</v>
      </c>
      <c r="B338" s="27">
        <v>0.96038000000000001</v>
      </c>
      <c r="C338" s="11">
        <f t="shared" si="20"/>
        <v>-1.2999999999996161E-3</v>
      </c>
      <c r="D338" s="12">
        <f t="shared" si="21"/>
        <v>1.0039299999999871</v>
      </c>
      <c r="E338" s="22">
        <v>33.5</v>
      </c>
      <c r="F338" s="27">
        <v>0.96125000000000005</v>
      </c>
      <c r="G338" s="11">
        <f t="shared" si="22"/>
        <v>-1.3000000000007264E-3</v>
      </c>
      <c r="H338" s="12">
        <f t="shared" si="23"/>
        <v>1.0048000000000243</v>
      </c>
    </row>
    <row r="339" spans="1:8" ht="14.25" thickBot="1">
      <c r="A339" s="22">
        <v>33.6</v>
      </c>
      <c r="B339" s="27">
        <v>0.96025000000000005</v>
      </c>
      <c r="C339" s="11">
        <f t="shared" si="20"/>
        <v>-1.2000000000000728E-3</v>
      </c>
      <c r="D339" s="12">
        <f t="shared" si="21"/>
        <v>1.0005700000000026</v>
      </c>
      <c r="E339" s="22">
        <v>33.6</v>
      </c>
      <c r="F339" s="27">
        <v>0.96111999999999997</v>
      </c>
      <c r="G339" s="11">
        <f t="shared" si="22"/>
        <v>-1.2999999999996161E-3</v>
      </c>
      <c r="H339" s="12">
        <f t="shared" si="23"/>
        <v>1.004799999999987</v>
      </c>
    </row>
    <row r="340" spans="1:8" ht="14.25" thickBot="1">
      <c r="A340" s="22">
        <v>33.700000000000003</v>
      </c>
      <c r="B340" s="27">
        <v>0.96013000000000004</v>
      </c>
      <c r="C340" s="11">
        <f t="shared" si="20"/>
        <v>-1.3000000000008187E-3</v>
      </c>
      <c r="D340" s="12">
        <f t="shared" si="21"/>
        <v>1.0039400000000276</v>
      </c>
      <c r="E340" s="22">
        <v>33.700000000000003</v>
      </c>
      <c r="F340" s="27">
        <v>0.96099000000000001</v>
      </c>
      <c r="G340" s="11">
        <f t="shared" si="22"/>
        <v>-1.2999999999997085E-3</v>
      </c>
      <c r="H340" s="12">
        <f t="shared" si="23"/>
        <v>1.0047999999999901</v>
      </c>
    </row>
    <row r="341" spans="1:8" ht="14.25" thickBot="1">
      <c r="A341" s="22">
        <v>33.799999999999997</v>
      </c>
      <c r="B341" s="27">
        <v>0.96</v>
      </c>
      <c r="C341" s="11">
        <f t="shared" si="20"/>
        <v>-1.2999999999996161E-3</v>
      </c>
      <c r="D341" s="12">
        <f t="shared" si="21"/>
        <v>1.003939999999987</v>
      </c>
      <c r="E341" s="22">
        <v>33.799999999999997</v>
      </c>
      <c r="F341" s="27">
        <v>0.96086000000000005</v>
      </c>
      <c r="G341" s="11">
        <f t="shared" si="22"/>
        <v>-1.3000000000007264E-3</v>
      </c>
      <c r="H341" s="12">
        <f t="shared" si="23"/>
        <v>1.0048000000000246</v>
      </c>
    </row>
    <row r="342" spans="1:8" ht="14.25" thickBot="1">
      <c r="A342" s="22">
        <v>33.9</v>
      </c>
      <c r="B342" s="27">
        <v>0.95987</v>
      </c>
      <c r="C342" s="11">
        <f t="shared" si="20"/>
        <v>-1.2999999999996161E-3</v>
      </c>
      <c r="D342" s="12">
        <f t="shared" si="21"/>
        <v>1.003939999999987</v>
      </c>
      <c r="E342" s="22">
        <v>33.9</v>
      </c>
      <c r="F342" s="27">
        <v>0.96072999999999997</v>
      </c>
      <c r="G342" s="11">
        <f t="shared" si="22"/>
        <v>-1.2999999999996161E-3</v>
      </c>
      <c r="H342" s="12">
        <f t="shared" si="23"/>
        <v>1.004799999999987</v>
      </c>
    </row>
    <row r="343" spans="1:8" ht="14.25" thickBot="1">
      <c r="A343" s="26">
        <v>34</v>
      </c>
      <c r="B343" s="19">
        <v>0.95974000000000004</v>
      </c>
      <c r="C343" s="11">
        <f t="shared" si="20"/>
        <v>-1.3000000000007264E-3</v>
      </c>
      <c r="D343" s="12">
        <f t="shared" si="21"/>
        <v>1.0039400000000247</v>
      </c>
      <c r="E343" s="26">
        <v>34</v>
      </c>
      <c r="F343" s="19">
        <v>0.96060000000000001</v>
      </c>
      <c r="G343" s="11">
        <f t="shared" si="22"/>
        <v>-1.2999999999996161E-3</v>
      </c>
      <c r="H343" s="12">
        <f t="shared" si="23"/>
        <v>1.004799999999987</v>
      </c>
    </row>
    <row r="344" spans="1:8" ht="14.25" thickBot="1">
      <c r="A344" s="22">
        <v>34.1</v>
      </c>
      <c r="B344" s="27">
        <v>0.95960999999999996</v>
      </c>
      <c r="C344" s="11">
        <f t="shared" si="20"/>
        <v>-1.2999999999996161E-3</v>
      </c>
      <c r="D344" s="12">
        <f t="shared" si="21"/>
        <v>1.003939999999987</v>
      </c>
      <c r="E344" s="22">
        <v>34.1</v>
      </c>
      <c r="F344" s="27">
        <v>0.96047000000000005</v>
      </c>
      <c r="G344" s="11">
        <f t="shared" si="22"/>
        <v>-1.3000000000007264E-3</v>
      </c>
      <c r="H344" s="12">
        <f t="shared" si="23"/>
        <v>1.0048000000000248</v>
      </c>
    </row>
    <row r="345" spans="1:8" ht="14.25" thickBot="1">
      <c r="A345" s="22">
        <v>34.200000000000003</v>
      </c>
      <c r="B345" s="27">
        <v>0.95948</v>
      </c>
      <c r="C345" s="11">
        <f t="shared" si="20"/>
        <v>-1.2999999999997085E-3</v>
      </c>
      <c r="D345" s="12">
        <f t="shared" si="21"/>
        <v>1.0039399999999901</v>
      </c>
      <c r="E345" s="22">
        <v>34.200000000000003</v>
      </c>
      <c r="F345" s="27">
        <v>0.96033999999999997</v>
      </c>
      <c r="G345" s="11">
        <f t="shared" si="22"/>
        <v>-1.2999999999997085E-3</v>
      </c>
      <c r="H345" s="12">
        <f t="shared" si="23"/>
        <v>1.0047999999999899</v>
      </c>
    </row>
    <row r="346" spans="1:8" ht="14.25" thickBot="1">
      <c r="A346" s="22">
        <v>34.299999999999997</v>
      </c>
      <c r="B346" s="27">
        <v>0.95935000000000004</v>
      </c>
      <c r="C346" s="11">
        <f t="shared" si="20"/>
        <v>-1.40000000000027E-3</v>
      </c>
      <c r="D346" s="12">
        <f t="shared" si="21"/>
        <v>1.0073700000000092</v>
      </c>
      <c r="E346" s="22">
        <v>34.299999999999997</v>
      </c>
      <c r="F346" s="27">
        <v>0.96021000000000001</v>
      </c>
      <c r="G346" s="11">
        <f t="shared" si="22"/>
        <v>-1.40000000000027E-3</v>
      </c>
      <c r="H346" s="12">
        <f t="shared" si="23"/>
        <v>1.0082300000000093</v>
      </c>
    </row>
    <row r="347" spans="1:8" ht="14.25" thickBot="1">
      <c r="A347" s="22">
        <v>34.4</v>
      </c>
      <c r="B347" s="27">
        <v>0.95921000000000001</v>
      </c>
      <c r="C347" s="11">
        <f t="shared" si="20"/>
        <v>-1.2999999999996161E-3</v>
      </c>
      <c r="D347" s="12">
        <f t="shared" si="21"/>
        <v>1.0039299999999869</v>
      </c>
      <c r="E347" s="22">
        <v>34.4</v>
      </c>
      <c r="F347" s="27">
        <v>0.96006999999999998</v>
      </c>
      <c r="G347" s="11">
        <f t="shared" si="22"/>
        <v>-1.2999999999996161E-3</v>
      </c>
      <c r="H347" s="12">
        <f t="shared" si="23"/>
        <v>1.0047899999999867</v>
      </c>
    </row>
    <row r="348" spans="1:8" ht="14.25" thickBot="1">
      <c r="A348" s="22">
        <v>34.5</v>
      </c>
      <c r="B348" s="27">
        <v>0.95908000000000004</v>
      </c>
      <c r="C348" s="11">
        <f t="shared" si="20"/>
        <v>-1.3000000000007264E-3</v>
      </c>
      <c r="D348" s="12">
        <f t="shared" si="21"/>
        <v>1.0039300000000251</v>
      </c>
      <c r="E348" s="22">
        <v>34.5</v>
      </c>
      <c r="F348" s="27">
        <v>0.95994000000000002</v>
      </c>
      <c r="G348" s="11">
        <f t="shared" si="22"/>
        <v>-1.2999999999996161E-3</v>
      </c>
      <c r="H348" s="12">
        <f t="shared" si="23"/>
        <v>1.0047899999999867</v>
      </c>
    </row>
    <row r="349" spans="1:8" ht="14.25" thickBot="1">
      <c r="A349" s="22">
        <v>34.6</v>
      </c>
      <c r="B349" s="27">
        <v>0.95894999999999997</v>
      </c>
      <c r="C349" s="11">
        <f t="shared" si="20"/>
        <v>-1.2999999999996161E-3</v>
      </c>
      <c r="D349" s="12">
        <f t="shared" si="21"/>
        <v>1.0039299999999867</v>
      </c>
      <c r="E349" s="22">
        <v>34.6</v>
      </c>
      <c r="F349" s="27">
        <v>0.95981000000000005</v>
      </c>
      <c r="G349" s="11">
        <f t="shared" si="22"/>
        <v>-1.3000000000007264E-3</v>
      </c>
      <c r="H349" s="12">
        <f t="shared" si="23"/>
        <v>1.0047900000000252</v>
      </c>
    </row>
    <row r="350" spans="1:8" ht="14.25" thickBot="1">
      <c r="A350" s="22">
        <v>34.700000000000003</v>
      </c>
      <c r="B350" s="27">
        <v>0.95882000000000001</v>
      </c>
      <c r="C350" s="11">
        <f t="shared" si="20"/>
        <v>-1.4000000000003695E-3</v>
      </c>
      <c r="D350" s="12">
        <f t="shared" si="21"/>
        <v>1.0074000000000127</v>
      </c>
      <c r="E350" s="22">
        <v>34.700000000000003</v>
      </c>
      <c r="F350" s="27">
        <v>0.95967999999999998</v>
      </c>
      <c r="G350" s="11">
        <f t="shared" si="22"/>
        <v>-1.4000000000003695E-3</v>
      </c>
      <c r="H350" s="12">
        <f t="shared" si="23"/>
        <v>1.0082600000000128</v>
      </c>
    </row>
    <row r="351" spans="1:8" ht="14.25" thickBot="1">
      <c r="A351" s="22">
        <v>34.799999999999997</v>
      </c>
      <c r="B351" s="27">
        <v>0.95867999999999998</v>
      </c>
      <c r="C351" s="11">
        <f t="shared" si="20"/>
        <v>-1.2999999999996161E-3</v>
      </c>
      <c r="D351" s="12">
        <f t="shared" si="21"/>
        <v>1.0039199999999866</v>
      </c>
      <c r="E351" s="22">
        <v>34.799999999999997</v>
      </c>
      <c r="F351" s="27">
        <v>0.95953999999999995</v>
      </c>
      <c r="G351" s="11">
        <f t="shared" si="22"/>
        <v>-1.2999999999996161E-3</v>
      </c>
      <c r="H351" s="12">
        <f t="shared" si="23"/>
        <v>1.0047799999999867</v>
      </c>
    </row>
    <row r="352" spans="1:8" ht="14.25" thickBot="1">
      <c r="A352" s="22">
        <v>34.9</v>
      </c>
      <c r="B352" s="27">
        <v>0.95855000000000001</v>
      </c>
      <c r="C352" s="11">
        <f t="shared" si="20"/>
        <v>-1.2999999999996161E-3</v>
      </c>
      <c r="D352" s="12">
        <f t="shared" si="21"/>
        <v>1.0039199999999866</v>
      </c>
      <c r="E352" s="22">
        <v>34.9</v>
      </c>
      <c r="F352" s="27">
        <v>0.95940999999999999</v>
      </c>
      <c r="G352" s="11">
        <f t="shared" si="22"/>
        <v>-1.2999999999996161E-3</v>
      </c>
      <c r="H352" s="12">
        <f t="shared" si="23"/>
        <v>1.0047799999999867</v>
      </c>
    </row>
    <row r="353" spans="1:8" ht="14.25" thickBot="1">
      <c r="A353" s="26">
        <v>35</v>
      </c>
      <c r="B353" s="19">
        <v>0.95842000000000005</v>
      </c>
      <c r="C353" s="11">
        <f t="shared" si="20"/>
        <v>-1.40000000000027E-3</v>
      </c>
      <c r="D353" s="12">
        <f t="shared" si="21"/>
        <v>1.0074200000000095</v>
      </c>
      <c r="E353" s="26">
        <v>35</v>
      </c>
      <c r="F353" s="19">
        <v>0.95928000000000002</v>
      </c>
      <c r="G353" s="11">
        <f t="shared" si="22"/>
        <v>-1.40000000000027E-3</v>
      </c>
      <c r="H353" s="12">
        <f t="shared" si="23"/>
        <v>1.0082800000000094</v>
      </c>
    </row>
    <row r="354" spans="1:8" ht="14.25" thickBot="1">
      <c r="A354" s="22">
        <v>35.1</v>
      </c>
      <c r="B354" s="27">
        <v>0.95828000000000002</v>
      </c>
      <c r="C354" s="11">
        <f t="shared" si="20"/>
        <v>-1.3000000000007264E-3</v>
      </c>
      <c r="D354" s="12">
        <f t="shared" si="21"/>
        <v>1.0039100000000256</v>
      </c>
      <c r="E354" s="22">
        <v>35.1</v>
      </c>
      <c r="F354" s="27">
        <v>0.95913999999999999</v>
      </c>
      <c r="G354" s="11">
        <f t="shared" si="22"/>
        <v>-1.2999999999996161E-3</v>
      </c>
      <c r="H354" s="12">
        <f t="shared" si="23"/>
        <v>1.0047699999999866</v>
      </c>
    </row>
    <row r="355" spans="1:8" ht="14.25" thickBot="1">
      <c r="A355" s="22">
        <v>35.200000000000003</v>
      </c>
      <c r="B355" s="27">
        <v>0.95814999999999995</v>
      </c>
      <c r="C355" s="11">
        <f t="shared" si="20"/>
        <v>-1.399999999999259E-3</v>
      </c>
      <c r="D355" s="12">
        <f t="shared" si="21"/>
        <v>1.0074299999999738</v>
      </c>
      <c r="E355" s="22">
        <v>35.200000000000003</v>
      </c>
      <c r="F355" s="27">
        <v>0.95901000000000003</v>
      </c>
      <c r="G355" s="11">
        <f t="shared" si="22"/>
        <v>-1.4000000000003695E-3</v>
      </c>
      <c r="H355" s="12">
        <f t="shared" si="23"/>
        <v>1.008290000000013</v>
      </c>
    </row>
    <row r="356" spans="1:8" ht="14.25" thickBot="1">
      <c r="A356" s="22">
        <v>35.299999999999997</v>
      </c>
      <c r="B356" s="27">
        <v>0.95801000000000003</v>
      </c>
      <c r="C356" s="11">
        <f t="shared" si="20"/>
        <v>-1.3000000000007264E-3</v>
      </c>
      <c r="D356" s="12">
        <f t="shared" si="21"/>
        <v>1.0039000000000258</v>
      </c>
      <c r="E356" s="22">
        <v>35.299999999999997</v>
      </c>
      <c r="F356" s="27">
        <v>0.95887</v>
      </c>
      <c r="G356" s="11">
        <f t="shared" si="22"/>
        <v>-1.2999999999996161E-3</v>
      </c>
      <c r="H356" s="12">
        <f t="shared" si="23"/>
        <v>1.0047599999999863</v>
      </c>
    </row>
    <row r="357" spans="1:8" ht="14.25" thickBot="1">
      <c r="A357" s="22">
        <v>35.4</v>
      </c>
      <c r="B357" s="27">
        <v>0.95787999999999995</v>
      </c>
      <c r="C357" s="11">
        <f t="shared" si="20"/>
        <v>-1.3999999999991597E-3</v>
      </c>
      <c r="D357" s="12">
        <f t="shared" si="21"/>
        <v>1.0074399999999704</v>
      </c>
      <c r="E357" s="22">
        <v>35.4</v>
      </c>
      <c r="F357" s="27">
        <v>0.95874000000000004</v>
      </c>
      <c r="G357" s="11">
        <f t="shared" si="22"/>
        <v>-1.40000000000027E-3</v>
      </c>
      <c r="H357" s="12">
        <f t="shared" si="23"/>
        <v>1.0083000000000095</v>
      </c>
    </row>
    <row r="358" spans="1:8" ht="14.25" thickBot="1">
      <c r="A358" s="22">
        <v>35.5</v>
      </c>
      <c r="B358" s="27">
        <v>0.95774000000000004</v>
      </c>
      <c r="C358" s="11">
        <f t="shared" si="20"/>
        <v>-1.3000000000007264E-3</v>
      </c>
      <c r="D358" s="12">
        <f t="shared" si="21"/>
        <v>1.0038900000000259</v>
      </c>
      <c r="E358" s="22">
        <v>35.5</v>
      </c>
      <c r="F358" s="27">
        <v>0.95860000000000001</v>
      </c>
      <c r="G358" s="11">
        <f t="shared" si="22"/>
        <v>-1.2999999999996161E-3</v>
      </c>
      <c r="H358" s="12">
        <f t="shared" si="23"/>
        <v>1.0047499999999863</v>
      </c>
    </row>
    <row r="359" spans="1:8" ht="14.25" thickBot="1">
      <c r="A359" s="22">
        <v>35.6</v>
      </c>
      <c r="B359" s="27">
        <v>0.95760999999999996</v>
      </c>
      <c r="C359" s="11">
        <f t="shared" si="20"/>
        <v>-1.3999999999991597E-3</v>
      </c>
      <c r="D359" s="12">
        <f t="shared" si="21"/>
        <v>1.0074499999999702</v>
      </c>
      <c r="E359" s="22">
        <v>35.6</v>
      </c>
      <c r="F359" s="27">
        <v>0.95847000000000004</v>
      </c>
      <c r="G359" s="11">
        <f t="shared" si="22"/>
        <v>-1.40000000000027E-3</v>
      </c>
      <c r="H359" s="12">
        <f t="shared" si="23"/>
        <v>1.0083100000000096</v>
      </c>
    </row>
    <row r="360" spans="1:8" ht="14.25" thickBot="1">
      <c r="A360" s="22">
        <v>35.700000000000003</v>
      </c>
      <c r="B360" s="27">
        <v>0.95747000000000004</v>
      </c>
      <c r="C360" s="11">
        <f t="shared" si="20"/>
        <v>-1.4000000000003695E-3</v>
      </c>
      <c r="D360" s="12">
        <f t="shared" si="21"/>
        <v>1.0074500000000133</v>
      </c>
      <c r="E360" s="22">
        <v>35.700000000000003</v>
      </c>
      <c r="F360" s="27">
        <v>0.95833000000000002</v>
      </c>
      <c r="G360" s="11">
        <f t="shared" si="22"/>
        <v>-1.4000000000003695E-3</v>
      </c>
      <c r="H360" s="12">
        <f t="shared" si="23"/>
        <v>1.0083100000000131</v>
      </c>
    </row>
    <row r="361" spans="1:8" ht="14.25" thickBot="1">
      <c r="A361" s="22">
        <v>35.799999999999997</v>
      </c>
      <c r="B361" s="27">
        <v>0.95733000000000001</v>
      </c>
      <c r="C361" s="11">
        <f t="shared" si="20"/>
        <v>-1.2999999999996161E-3</v>
      </c>
      <c r="D361" s="12">
        <f t="shared" si="21"/>
        <v>1.0038699999999863</v>
      </c>
      <c r="E361" s="22">
        <v>35.799999999999997</v>
      </c>
      <c r="F361" s="27">
        <v>0.95818999999999999</v>
      </c>
      <c r="G361" s="11">
        <f t="shared" si="22"/>
        <v>-1.2999999999996161E-3</v>
      </c>
      <c r="H361" s="12">
        <f t="shared" si="23"/>
        <v>1.0047299999999861</v>
      </c>
    </row>
    <row r="362" spans="1:8" ht="14.25" thickBot="1">
      <c r="A362" s="22">
        <v>35.9</v>
      </c>
      <c r="B362" s="27">
        <v>0.95720000000000005</v>
      </c>
      <c r="C362" s="11">
        <f t="shared" si="20"/>
        <v>-1.40000000000027E-3</v>
      </c>
      <c r="D362" s="12">
        <f t="shared" si="21"/>
        <v>1.0074600000000098</v>
      </c>
      <c r="E362" s="22">
        <v>35.9</v>
      </c>
      <c r="F362" s="27">
        <v>0.95806000000000002</v>
      </c>
      <c r="G362" s="11">
        <f t="shared" si="22"/>
        <v>-1.40000000000027E-3</v>
      </c>
      <c r="H362" s="12">
        <f t="shared" si="23"/>
        <v>1.0083200000000097</v>
      </c>
    </row>
    <row r="363" spans="1:8" ht="14.25" thickBot="1">
      <c r="A363" s="26">
        <v>36</v>
      </c>
      <c r="B363" s="19">
        <v>0.95706000000000002</v>
      </c>
      <c r="C363" s="11">
        <f t="shared" si="20"/>
        <v>-1.40000000000027E-3</v>
      </c>
      <c r="D363" s="12">
        <f t="shared" si="21"/>
        <v>1.0074600000000098</v>
      </c>
      <c r="E363" s="26">
        <v>36</v>
      </c>
      <c r="F363" s="19">
        <v>0.95791999999999999</v>
      </c>
      <c r="G363" s="11">
        <f t="shared" si="22"/>
        <v>-1.40000000000027E-3</v>
      </c>
      <c r="H363" s="12">
        <f t="shared" si="23"/>
        <v>1.0083200000000097</v>
      </c>
    </row>
    <row r="364" spans="1:8" ht="14.25" thickBot="1">
      <c r="A364" s="22">
        <v>36.1</v>
      </c>
      <c r="B364" s="27">
        <v>0.95691999999999999</v>
      </c>
      <c r="C364" s="11">
        <f t="shared" si="20"/>
        <v>-1.40000000000027E-3</v>
      </c>
      <c r="D364" s="12">
        <f t="shared" si="21"/>
        <v>1.0074600000000098</v>
      </c>
      <c r="E364" s="22">
        <v>36.1</v>
      </c>
      <c r="F364" s="27">
        <v>0.95777999999999996</v>
      </c>
      <c r="G364" s="11">
        <f t="shared" si="22"/>
        <v>-1.3999999999991597E-3</v>
      </c>
      <c r="H364" s="12">
        <f t="shared" si="23"/>
        <v>1.0083199999999697</v>
      </c>
    </row>
    <row r="365" spans="1:8" ht="14.25" thickBot="1">
      <c r="A365" s="22">
        <v>36.200000000000003</v>
      </c>
      <c r="B365" s="27">
        <v>0.95677999999999996</v>
      </c>
      <c r="C365" s="11">
        <f t="shared" si="20"/>
        <v>-1.399999999999259E-3</v>
      </c>
      <c r="D365" s="12">
        <f t="shared" si="21"/>
        <v>1.0074599999999732</v>
      </c>
      <c r="E365" s="22">
        <v>36.200000000000003</v>
      </c>
      <c r="F365" s="27">
        <v>0.95764000000000005</v>
      </c>
      <c r="G365" s="11">
        <f t="shared" si="22"/>
        <v>-1.4000000000003695E-3</v>
      </c>
      <c r="H365" s="12">
        <f t="shared" si="23"/>
        <v>1.0083200000000134</v>
      </c>
    </row>
    <row r="366" spans="1:8" ht="14.25" thickBot="1">
      <c r="A366" s="22">
        <v>36.299999999999997</v>
      </c>
      <c r="B366" s="27">
        <v>0.95664000000000005</v>
      </c>
      <c r="C366" s="11">
        <f t="shared" si="20"/>
        <v>-1.40000000000027E-3</v>
      </c>
      <c r="D366" s="12">
        <f t="shared" si="21"/>
        <v>1.0074600000000098</v>
      </c>
      <c r="E366" s="22">
        <v>36.299999999999997</v>
      </c>
      <c r="F366" s="27">
        <v>0.95750000000000002</v>
      </c>
      <c r="G366" s="11">
        <f t="shared" si="22"/>
        <v>-1.40000000000027E-3</v>
      </c>
      <c r="H366" s="12">
        <f t="shared" si="23"/>
        <v>1.0083200000000099</v>
      </c>
    </row>
    <row r="367" spans="1:8" ht="14.25" thickBot="1">
      <c r="A367" s="22">
        <v>36.4</v>
      </c>
      <c r="B367" s="27">
        <v>0.95650000000000002</v>
      </c>
      <c r="C367" s="11">
        <f t="shared" si="20"/>
        <v>-1.40000000000027E-3</v>
      </c>
      <c r="D367" s="12">
        <f t="shared" si="21"/>
        <v>1.0074600000000098</v>
      </c>
      <c r="E367" s="22">
        <v>36.4</v>
      </c>
      <c r="F367" s="27">
        <v>0.95735999999999999</v>
      </c>
      <c r="G367" s="11">
        <f t="shared" si="22"/>
        <v>-1.40000000000027E-3</v>
      </c>
      <c r="H367" s="12">
        <f t="shared" si="23"/>
        <v>1.0083200000000099</v>
      </c>
    </row>
    <row r="368" spans="1:8" ht="14.25" thickBot="1">
      <c r="A368" s="22">
        <v>36.5</v>
      </c>
      <c r="B368" s="27">
        <v>0.95635999999999999</v>
      </c>
      <c r="C368" s="11">
        <f t="shared" si="20"/>
        <v>-1.40000000000027E-3</v>
      </c>
      <c r="D368" s="12">
        <f t="shared" si="21"/>
        <v>1.0074600000000098</v>
      </c>
      <c r="E368" s="22">
        <v>36.5</v>
      </c>
      <c r="F368" s="27">
        <v>0.95721999999999996</v>
      </c>
      <c r="G368" s="11">
        <f t="shared" si="22"/>
        <v>-1.3999999999991597E-3</v>
      </c>
      <c r="H368" s="12">
        <f t="shared" si="23"/>
        <v>1.0083199999999692</v>
      </c>
    </row>
    <row r="369" spans="1:8" ht="14.25" thickBot="1">
      <c r="A369" s="22">
        <v>36.6</v>
      </c>
      <c r="B369" s="27">
        <v>0.95621999999999996</v>
      </c>
      <c r="C369" s="11">
        <f t="shared" si="20"/>
        <v>-1.3999999999991597E-3</v>
      </c>
      <c r="D369" s="12">
        <f t="shared" si="21"/>
        <v>1.0074599999999694</v>
      </c>
      <c r="E369" s="22">
        <v>36.6</v>
      </c>
      <c r="F369" s="27">
        <v>0.95708000000000004</v>
      </c>
      <c r="G369" s="11">
        <f t="shared" si="22"/>
        <v>-1.40000000000027E-3</v>
      </c>
      <c r="H369" s="12">
        <f t="shared" si="23"/>
        <v>1.0083200000000099</v>
      </c>
    </row>
    <row r="370" spans="1:8" ht="14.25" thickBot="1">
      <c r="A370" s="22">
        <v>36.700000000000003</v>
      </c>
      <c r="B370" s="27">
        <v>0.95608000000000004</v>
      </c>
      <c r="C370" s="11">
        <f t="shared" si="20"/>
        <v>-1.4000000000003695E-3</v>
      </c>
      <c r="D370" s="12">
        <f t="shared" si="21"/>
        <v>1.0074600000000136</v>
      </c>
      <c r="E370" s="22">
        <v>36.700000000000003</v>
      </c>
      <c r="F370" s="27">
        <v>0.95694000000000001</v>
      </c>
      <c r="G370" s="11">
        <f t="shared" si="22"/>
        <v>-1.4000000000003695E-3</v>
      </c>
      <c r="H370" s="12">
        <f t="shared" si="23"/>
        <v>1.0083200000000136</v>
      </c>
    </row>
    <row r="371" spans="1:8" ht="14.25" thickBot="1">
      <c r="A371" s="22">
        <v>36.799999999999997</v>
      </c>
      <c r="B371" s="27">
        <v>0.95594000000000001</v>
      </c>
      <c r="C371" s="11">
        <f t="shared" si="20"/>
        <v>-1.40000000000027E-3</v>
      </c>
      <c r="D371" s="12">
        <f t="shared" si="21"/>
        <v>1.00746000000001</v>
      </c>
      <c r="E371" s="22">
        <v>36.799999999999997</v>
      </c>
      <c r="F371" s="27">
        <v>0.95679999999999998</v>
      </c>
      <c r="G371" s="11">
        <f t="shared" si="22"/>
        <v>-1.40000000000027E-3</v>
      </c>
      <c r="H371" s="12">
        <f t="shared" si="23"/>
        <v>1.0083200000000099</v>
      </c>
    </row>
    <row r="372" spans="1:8" ht="14.25" thickBot="1">
      <c r="A372" s="22">
        <v>36.9</v>
      </c>
      <c r="B372" s="27">
        <v>0.95579999999999998</v>
      </c>
      <c r="C372" s="11">
        <f t="shared" si="20"/>
        <v>-1.40000000000027E-3</v>
      </c>
      <c r="D372" s="12">
        <f t="shared" si="21"/>
        <v>1.00746000000001</v>
      </c>
      <c r="E372" s="22">
        <v>36.9</v>
      </c>
      <c r="F372" s="27">
        <v>0.95665999999999995</v>
      </c>
      <c r="G372" s="11">
        <f t="shared" si="22"/>
        <v>-1.3999999999991597E-3</v>
      </c>
      <c r="H372" s="12">
        <f t="shared" si="23"/>
        <v>1.008319999999969</v>
      </c>
    </row>
    <row r="373" spans="1:8" ht="14.25" thickBot="1">
      <c r="A373" s="26">
        <v>37</v>
      </c>
      <c r="B373" s="19">
        <v>0.95565999999999995</v>
      </c>
      <c r="C373" s="11">
        <f t="shared" si="20"/>
        <v>-1.3999999999991597E-3</v>
      </c>
      <c r="D373" s="12">
        <f t="shared" si="21"/>
        <v>1.0074599999999687</v>
      </c>
      <c r="E373" s="26">
        <v>37</v>
      </c>
      <c r="F373" s="19">
        <v>0.95652000000000004</v>
      </c>
      <c r="G373" s="11">
        <f t="shared" si="22"/>
        <v>-1.40000000000027E-3</v>
      </c>
      <c r="H373" s="12">
        <f t="shared" si="23"/>
        <v>1.0083200000000101</v>
      </c>
    </row>
    <row r="374" spans="1:8" ht="14.25" thickBot="1">
      <c r="A374" s="22">
        <v>37.1</v>
      </c>
      <c r="B374" s="27">
        <v>0.95552000000000004</v>
      </c>
      <c r="C374" s="11">
        <f t="shared" si="20"/>
        <v>-1.4999999999998135E-3</v>
      </c>
      <c r="D374" s="12">
        <f t="shared" si="21"/>
        <v>1.0111699999999932</v>
      </c>
      <c r="E374" s="22">
        <v>37.1</v>
      </c>
      <c r="F374" s="27">
        <v>0.95638000000000001</v>
      </c>
      <c r="G374" s="11">
        <f t="shared" si="22"/>
        <v>-1.4999999999998135E-3</v>
      </c>
      <c r="H374" s="12">
        <f t="shared" si="23"/>
        <v>1.0120299999999931</v>
      </c>
    </row>
    <row r="375" spans="1:8" ht="14.25" thickBot="1">
      <c r="A375" s="22">
        <v>37.200000000000003</v>
      </c>
      <c r="B375" s="27">
        <v>0.95537000000000005</v>
      </c>
      <c r="C375" s="11">
        <f t="shared" si="20"/>
        <v>-1.4000000000003695E-3</v>
      </c>
      <c r="D375" s="12">
        <f t="shared" si="21"/>
        <v>1.0074500000000137</v>
      </c>
      <c r="E375" s="22">
        <v>37.200000000000003</v>
      </c>
      <c r="F375" s="27">
        <v>0.95623000000000002</v>
      </c>
      <c r="G375" s="11">
        <f t="shared" si="22"/>
        <v>-1.4000000000003695E-3</v>
      </c>
      <c r="H375" s="12">
        <f t="shared" si="23"/>
        <v>1.0083100000000138</v>
      </c>
    </row>
    <row r="376" spans="1:8" ht="14.25" thickBot="1">
      <c r="A376" s="22">
        <v>37.299999999999997</v>
      </c>
      <c r="B376" s="27">
        <v>0.95523000000000002</v>
      </c>
      <c r="C376" s="11">
        <f t="shared" si="20"/>
        <v>-1.40000000000027E-3</v>
      </c>
      <c r="D376" s="12">
        <f t="shared" si="21"/>
        <v>1.0074500000000102</v>
      </c>
      <c r="E376" s="22">
        <v>37.299999999999997</v>
      </c>
      <c r="F376" s="27">
        <v>0.95609</v>
      </c>
      <c r="G376" s="11">
        <f t="shared" si="22"/>
        <v>-1.40000000000027E-3</v>
      </c>
      <c r="H376" s="12">
        <f t="shared" si="23"/>
        <v>1.00831000000001</v>
      </c>
    </row>
    <row r="377" spans="1:8" ht="14.25" thickBot="1">
      <c r="A377" s="22">
        <v>37.4</v>
      </c>
      <c r="B377" s="27">
        <v>0.95508999999999999</v>
      </c>
      <c r="C377" s="11">
        <f t="shared" si="20"/>
        <v>-1.4999999999998135E-3</v>
      </c>
      <c r="D377" s="12">
        <f t="shared" si="21"/>
        <v>1.0111899999999929</v>
      </c>
      <c r="E377" s="22">
        <v>37.4</v>
      </c>
      <c r="F377" s="27">
        <v>0.95594999999999997</v>
      </c>
      <c r="G377" s="11">
        <f t="shared" si="22"/>
        <v>-1.4999999999998135E-3</v>
      </c>
      <c r="H377" s="12">
        <f t="shared" si="23"/>
        <v>1.012049999999993</v>
      </c>
    </row>
    <row r="378" spans="1:8" ht="14.25" thickBot="1">
      <c r="A378" s="22">
        <v>37.5</v>
      </c>
      <c r="B378" s="27">
        <v>0.95494000000000001</v>
      </c>
      <c r="C378" s="11">
        <f t="shared" si="20"/>
        <v>-1.40000000000027E-3</v>
      </c>
      <c r="D378" s="12">
        <f t="shared" si="21"/>
        <v>1.0074400000000101</v>
      </c>
      <c r="E378" s="22">
        <v>37.5</v>
      </c>
      <c r="F378" s="27">
        <v>0.95579999999999998</v>
      </c>
      <c r="G378" s="11">
        <f t="shared" si="22"/>
        <v>-1.40000000000027E-3</v>
      </c>
      <c r="H378" s="12">
        <f t="shared" si="23"/>
        <v>1.0083000000000102</v>
      </c>
    </row>
    <row r="379" spans="1:8" ht="14.25" thickBot="1">
      <c r="A379" s="22">
        <v>37.6</v>
      </c>
      <c r="B379" s="27">
        <v>0.95479999999999998</v>
      </c>
      <c r="C379" s="11">
        <f t="shared" si="20"/>
        <v>-1.4999999999998135E-3</v>
      </c>
      <c r="D379" s="12">
        <f t="shared" si="21"/>
        <v>1.011199999999993</v>
      </c>
      <c r="E379" s="22">
        <v>37.6</v>
      </c>
      <c r="F379" s="27">
        <v>0.95565999999999995</v>
      </c>
      <c r="G379" s="11">
        <f t="shared" si="22"/>
        <v>-1.4999999999998135E-3</v>
      </c>
      <c r="H379" s="12">
        <f t="shared" si="23"/>
        <v>1.0120599999999929</v>
      </c>
    </row>
    <row r="380" spans="1:8" ht="14.25" thickBot="1">
      <c r="A380" s="22">
        <v>37.700000000000003</v>
      </c>
      <c r="B380" s="27">
        <v>0.95465</v>
      </c>
      <c r="C380" s="11">
        <f t="shared" si="20"/>
        <v>-1.4000000000003695E-3</v>
      </c>
      <c r="D380" s="12">
        <f t="shared" si="21"/>
        <v>1.007430000000014</v>
      </c>
      <c r="E380" s="22">
        <v>37.700000000000003</v>
      </c>
      <c r="F380" s="27">
        <v>0.95550999999999997</v>
      </c>
      <c r="G380" s="11">
        <f t="shared" si="22"/>
        <v>-1.399999999999259E-3</v>
      </c>
      <c r="H380" s="12">
        <f t="shared" si="23"/>
        <v>1.0082899999999722</v>
      </c>
    </row>
    <row r="381" spans="1:8" ht="14.25" thickBot="1">
      <c r="A381" s="22">
        <v>37.799999999999997</v>
      </c>
      <c r="B381" s="27">
        <v>0.95450999999999997</v>
      </c>
      <c r="C381" s="11">
        <f t="shared" si="20"/>
        <v>-1.4999999999998135E-3</v>
      </c>
      <c r="D381" s="12">
        <f t="shared" si="21"/>
        <v>1.0112099999999928</v>
      </c>
      <c r="E381" s="22">
        <v>37.799999999999997</v>
      </c>
      <c r="F381" s="27">
        <v>0.95537000000000005</v>
      </c>
      <c r="G381" s="11">
        <f t="shared" si="22"/>
        <v>-1.5000000000009236E-3</v>
      </c>
      <c r="H381" s="12">
        <f t="shared" si="23"/>
        <v>1.0120700000000349</v>
      </c>
    </row>
    <row r="382" spans="1:8" ht="14.25" thickBot="1">
      <c r="A382" s="22">
        <v>37.9</v>
      </c>
      <c r="B382" s="27">
        <v>0.95435999999999999</v>
      </c>
      <c r="C382" s="11">
        <f t="shared" si="20"/>
        <v>-1.40000000000027E-3</v>
      </c>
      <c r="D382" s="12">
        <f t="shared" si="21"/>
        <v>1.0074200000000102</v>
      </c>
      <c r="E382" s="22">
        <v>37.9</v>
      </c>
      <c r="F382" s="27">
        <v>0.95521999999999996</v>
      </c>
      <c r="G382" s="11">
        <f t="shared" si="22"/>
        <v>-1.3999999999991597E-3</v>
      </c>
      <c r="H382" s="12">
        <f t="shared" si="23"/>
        <v>1.0082799999999681</v>
      </c>
    </row>
    <row r="383" spans="1:8" ht="14.25" thickBot="1">
      <c r="A383" s="26">
        <v>38</v>
      </c>
      <c r="B383" s="19">
        <v>0.95421999999999996</v>
      </c>
      <c r="C383" s="11">
        <f t="shared" si="20"/>
        <v>-1.4999999999998135E-3</v>
      </c>
      <c r="D383" s="12">
        <f t="shared" si="21"/>
        <v>1.0112199999999929</v>
      </c>
      <c r="E383" s="26">
        <v>38</v>
      </c>
      <c r="F383" s="19">
        <v>0.95508000000000004</v>
      </c>
      <c r="G383" s="11">
        <f t="shared" si="22"/>
        <v>-1.5000000000009236E-3</v>
      </c>
      <c r="H383" s="12">
        <f t="shared" si="23"/>
        <v>1.0120800000000352</v>
      </c>
    </row>
    <row r="384" spans="1:8" ht="14.25" thickBot="1">
      <c r="A384" s="22">
        <v>38.1</v>
      </c>
      <c r="B384" s="27">
        <v>0.95406999999999997</v>
      </c>
      <c r="C384" s="11">
        <f t="shared" si="20"/>
        <v>-1.4999999999998135E-3</v>
      </c>
      <c r="D384" s="12">
        <f t="shared" si="21"/>
        <v>1.0112199999999929</v>
      </c>
      <c r="E384" s="22">
        <v>38.1</v>
      </c>
      <c r="F384" s="27">
        <v>0.95492999999999995</v>
      </c>
      <c r="G384" s="11">
        <f t="shared" si="22"/>
        <v>-1.4999999999998135E-3</v>
      </c>
      <c r="H384" s="12">
        <f t="shared" si="23"/>
        <v>1.012079999999993</v>
      </c>
    </row>
    <row r="385" spans="1:8" ht="14.25" thickBot="1">
      <c r="A385" s="22">
        <v>38.200000000000003</v>
      </c>
      <c r="B385" s="27">
        <v>0.95391999999999999</v>
      </c>
      <c r="C385" s="11">
        <f t="shared" si="20"/>
        <v>-1.4000000000003695E-3</v>
      </c>
      <c r="D385" s="12">
        <f t="shared" si="21"/>
        <v>1.0074000000000141</v>
      </c>
      <c r="E385" s="22">
        <v>38.200000000000003</v>
      </c>
      <c r="F385" s="27">
        <v>0.95477999999999996</v>
      </c>
      <c r="G385" s="11">
        <f t="shared" si="22"/>
        <v>-1.399999999999259E-3</v>
      </c>
      <c r="H385" s="12">
        <f t="shared" si="23"/>
        <v>1.0082599999999715</v>
      </c>
    </row>
    <row r="386" spans="1:8" ht="14.25" thickBot="1">
      <c r="A386" s="22">
        <v>38.299999999999997</v>
      </c>
      <c r="B386" s="27">
        <v>0.95377999999999996</v>
      </c>
      <c r="C386" s="11">
        <f t="shared" si="20"/>
        <v>-1.4999999999998135E-3</v>
      </c>
      <c r="D386" s="12">
        <f t="shared" si="21"/>
        <v>1.011229999999993</v>
      </c>
      <c r="E386" s="22">
        <v>38.299999999999997</v>
      </c>
      <c r="F386" s="27">
        <v>0.95464000000000004</v>
      </c>
      <c r="G386" s="11">
        <f t="shared" si="22"/>
        <v>-1.5000000000009236E-3</v>
      </c>
      <c r="H386" s="12">
        <f t="shared" si="23"/>
        <v>1.0120900000000355</v>
      </c>
    </row>
    <row r="387" spans="1:8" ht="14.25" thickBot="1">
      <c r="A387" s="22">
        <v>38.4</v>
      </c>
      <c r="B387" s="27">
        <v>0.95362999999999998</v>
      </c>
      <c r="C387" s="11">
        <f t="shared" si="20"/>
        <v>-1.4999999999998135E-3</v>
      </c>
      <c r="D387" s="12">
        <f t="shared" si="21"/>
        <v>1.0112299999999927</v>
      </c>
      <c r="E387" s="22">
        <v>38.4</v>
      </c>
      <c r="F387" s="27">
        <v>0.95448999999999995</v>
      </c>
      <c r="G387" s="11">
        <f t="shared" si="22"/>
        <v>-1.4999999999998135E-3</v>
      </c>
      <c r="H387" s="12">
        <f t="shared" si="23"/>
        <v>1.0120899999999928</v>
      </c>
    </row>
    <row r="388" spans="1:8" ht="14.25" thickBot="1">
      <c r="A388" s="22">
        <v>38.5</v>
      </c>
      <c r="B388" s="27">
        <v>0.95347999999999999</v>
      </c>
      <c r="C388" s="11">
        <f t="shared" ref="C388:C451" si="24">SLOPE(B388:B389,A388:A389)</f>
        <v>-1.4999999999998135E-3</v>
      </c>
      <c r="D388" s="12">
        <f t="shared" ref="D388:D451" si="25">INTERCEPT(B388:B389,A388:A389)</f>
        <v>1.011229999999993</v>
      </c>
      <c r="E388" s="22">
        <v>38.5</v>
      </c>
      <c r="F388" s="27">
        <v>0.95433999999999997</v>
      </c>
      <c r="G388" s="11">
        <f t="shared" ref="G388:G451" si="26">SLOPE(F388:F389,E388:E389)</f>
        <v>-1.4999999999998135E-3</v>
      </c>
      <c r="H388" s="12">
        <f t="shared" ref="H388:H451" si="27">INTERCEPT(F388:F389,E388:E389)</f>
        <v>1.0120899999999928</v>
      </c>
    </row>
    <row r="389" spans="1:8" ht="14.25" thickBot="1">
      <c r="A389" s="22">
        <v>38.6</v>
      </c>
      <c r="B389" s="27">
        <v>0.95333000000000001</v>
      </c>
      <c r="C389" s="11">
        <f t="shared" si="24"/>
        <v>-1.4999999999998135E-3</v>
      </c>
      <c r="D389" s="12">
        <f t="shared" si="25"/>
        <v>1.0112299999999927</v>
      </c>
      <c r="E389" s="22">
        <v>38.6</v>
      </c>
      <c r="F389" s="27">
        <v>0.95418999999999998</v>
      </c>
      <c r="G389" s="11">
        <f t="shared" si="26"/>
        <v>-1.4999999999998135E-3</v>
      </c>
      <c r="H389" s="12">
        <f t="shared" si="27"/>
        <v>1.0120899999999928</v>
      </c>
    </row>
    <row r="390" spans="1:8" ht="14.25" thickBot="1">
      <c r="A390" s="22">
        <v>38.700000000000003</v>
      </c>
      <c r="B390" s="27">
        <v>0.95318000000000003</v>
      </c>
      <c r="C390" s="11">
        <f t="shared" si="24"/>
        <v>-1.4999999999999198E-3</v>
      </c>
      <c r="D390" s="12">
        <f t="shared" si="25"/>
        <v>1.011229999999997</v>
      </c>
      <c r="E390" s="22">
        <v>38.700000000000003</v>
      </c>
      <c r="F390" s="27">
        <v>0.95404</v>
      </c>
      <c r="G390" s="11">
        <f t="shared" si="26"/>
        <v>-1.4999999999999198E-3</v>
      </c>
      <c r="H390" s="12">
        <f t="shared" si="27"/>
        <v>1.0120899999999968</v>
      </c>
    </row>
    <row r="391" spans="1:8" ht="14.25" thickBot="1">
      <c r="A391" s="22">
        <v>38.799999999999997</v>
      </c>
      <c r="B391" s="27">
        <v>0.95303000000000004</v>
      </c>
      <c r="C391" s="11">
        <f t="shared" si="24"/>
        <v>-1.5000000000009236E-3</v>
      </c>
      <c r="D391" s="12">
        <f t="shared" si="25"/>
        <v>1.0112300000000358</v>
      </c>
      <c r="E391" s="22">
        <v>38.799999999999997</v>
      </c>
      <c r="F391" s="27">
        <v>0.95389000000000002</v>
      </c>
      <c r="G391" s="11">
        <f t="shared" si="26"/>
        <v>-1.4999999999998135E-3</v>
      </c>
      <c r="H391" s="12">
        <f t="shared" si="27"/>
        <v>1.0120899999999928</v>
      </c>
    </row>
    <row r="392" spans="1:8" ht="14.25" thickBot="1">
      <c r="A392" s="22">
        <v>38.9</v>
      </c>
      <c r="B392" s="27">
        <v>0.95287999999999995</v>
      </c>
      <c r="C392" s="11">
        <f t="shared" si="24"/>
        <v>-1.4999999999998135E-3</v>
      </c>
      <c r="D392" s="12">
        <f t="shared" si="25"/>
        <v>1.0112299999999927</v>
      </c>
      <c r="E392" s="22">
        <v>38.9</v>
      </c>
      <c r="F392" s="27">
        <v>0.95374000000000003</v>
      </c>
      <c r="G392" s="11">
        <f t="shared" si="26"/>
        <v>-1.4999999999998135E-3</v>
      </c>
      <c r="H392" s="12">
        <f t="shared" si="27"/>
        <v>1.0120899999999928</v>
      </c>
    </row>
    <row r="393" spans="1:8" ht="14.25" thickBot="1">
      <c r="A393" s="26">
        <v>39</v>
      </c>
      <c r="B393" s="19">
        <v>0.95272999999999997</v>
      </c>
      <c r="C393" s="11">
        <f t="shared" si="24"/>
        <v>-1.4999999999998135E-3</v>
      </c>
      <c r="D393" s="12">
        <f t="shared" si="25"/>
        <v>1.0112299999999927</v>
      </c>
      <c r="E393" s="26">
        <v>39</v>
      </c>
      <c r="F393" s="19">
        <v>0.95359000000000005</v>
      </c>
      <c r="G393" s="11">
        <f t="shared" si="26"/>
        <v>-1.5000000000009236E-3</v>
      </c>
      <c r="H393" s="12">
        <f t="shared" si="27"/>
        <v>1.0120900000000361</v>
      </c>
    </row>
    <row r="394" spans="1:8" ht="14.25" thickBot="1">
      <c r="A394" s="22">
        <v>39.1</v>
      </c>
      <c r="B394" s="27">
        <v>0.95257999999999998</v>
      </c>
      <c r="C394" s="11">
        <f t="shared" si="24"/>
        <v>-1.4999999999998135E-3</v>
      </c>
      <c r="D394" s="12">
        <f t="shared" si="25"/>
        <v>1.0112299999999927</v>
      </c>
      <c r="E394" s="22">
        <v>39.1</v>
      </c>
      <c r="F394" s="27">
        <v>0.95343999999999995</v>
      </c>
      <c r="G394" s="11">
        <f t="shared" si="26"/>
        <v>-1.4999999999998135E-3</v>
      </c>
      <c r="H394" s="12">
        <f t="shared" si="27"/>
        <v>1.0120899999999928</v>
      </c>
    </row>
    <row r="395" spans="1:8" ht="14.25" thickBot="1">
      <c r="A395" s="22">
        <v>39.200000000000003</v>
      </c>
      <c r="B395" s="27">
        <v>0.95243</v>
      </c>
      <c r="C395" s="11">
        <f t="shared" si="24"/>
        <v>-1.4999999999999198E-3</v>
      </c>
      <c r="D395" s="12">
        <f t="shared" si="25"/>
        <v>1.011229999999997</v>
      </c>
      <c r="E395" s="22">
        <v>39.200000000000003</v>
      </c>
      <c r="F395" s="27">
        <v>0.95328999999999997</v>
      </c>
      <c r="G395" s="11">
        <f t="shared" si="26"/>
        <v>-1.4999999999999198E-3</v>
      </c>
      <c r="H395" s="12">
        <f t="shared" si="27"/>
        <v>1.0120899999999968</v>
      </c>
    </row>
    <row r="396" spans="1:8" ht="14.25" thickBot="1">
      <c r="A396" s="22">
        <v>39.299999999999997</v>
      </c>
      <c r="B396" s="27">
        <v>0.95228000000000002</v>
      </c>
      <c r="C396" s="11">
        <f t="shared" si="24"/>
        <v>-1.4999999999998135E-3</v>
      </c>
      <c r="D396" s="12">
        <f t="shared" si="25"/>
        <v>1.0112299999999925</v>
      </c>
      <c r="E396" s="22">
        <v>39.299999999999997</v>
      </c>
      <c r="F396" s="27">
        <v>0.95313999999999999</v>
      </c>
      <c r="G396" s="11">
        <f t="shared" si="26"/>
        <v>-1.4999999999998135E-3</v>
      </c>
      <c r="H396" s="12">
        <f t="shared" si="27"/>
        <v>1.0120899999999926</v>
      </c>
    </row>
    <row r="397" spans="1:8" ht="14.25" thickBot="1">
      <c r="A397" s="22">
        <v>39.4</v>
      </c>
      <c r="B397" s="27">
        <v>0.95213000000000003</v>
      </c>
      <c r="C397" s="11">
        <f t="shared" si="24"/>
        <v>-1.4999999999998135E-3</v>
      </c>
      <c r="D397" s="12">
        <f t="shared" si="25"/>
        <v>1.0112299999999927</v>
      </c>
      <c r="E397" s="22">
        <v>39.4</v>
      </c>
      <c r="F397" s="27">
        <v>0.95299</v>
      </c>
      <c r="G397" s="11">
        <f t="shared" si="26"/>
        <v>-1.4999999999998135E-3</v>
      </c>
      <c r="H397" s="12">
        <f t="shared" si="27"/>
        <v>1.0120899999999926</v>
      </c>
    </row>
    <row r="398" spans="1:8" ht="14.25" thickBot="1">
      <c r="A398" s="22">
        <v>39.5</v>
      </c>
      <c r="B398" s="27">
        <v>0.95198000000000005</v>
      </c>
      <c r="C398" s="11">
        <f t="shared" si="24"/>
        <v>-1.6000000000004669E-3</v>
      </c>
      <c r="D398" s="12">
        <f t="shared" si="25"/>
        <v>1.0151800000000184</v>
      </c>
      <c r="E398" s="22">
        <v>39.5</v>
      </c>
      <c r="F398" s="27">
        <v>0.95284000000000002</v>
      </c>
      <c r="G398" s="11">
        <f t="shared" si="26"/>
        <v>-1.6000000000004669E-3</v>
      </c>
      <c r="H398" s="12">
        <f t="shared" si="27"/>
        <v>1.0160400000000185</v>
      </c>
    </row>
    <row r="399" spans="1:8" ht="14.25" thickBot="1">
      <c r="A399" s="22">
        <v>39.6</v>
      </c>
      <c r="B399" s="27">
        <v>0.95182</v>
      </c>
      <c r="C399" s="11">
        <f t="shared" si="24"/>
        <v>-1.4999999999998135E-3</v>
      </c>
      <c r="D399" s="12">
        <f t="shared" si="25"/>
        <v>1.0112199999999927</v>
      </c>
      <c r="E399" s="22">
        <v>39.6</v>
      </c>
      <c r="F399" s="27">
        <v>0.95267999999999997</v>
      </c>
      <c r="G399" s="11">
        <f t="shared" si="26"/>
        <v>-1.4999999999998135E-3</v>
      </c>
      <c r="H399" s="12">
        <f t="shared" si="27"/>
        <v>1.0120799999999925</v>
      </c>
    </row>
    <row r="400" spans="1:8" ht="14.25" thickBot="1">
      <c r="A400" s="22">
        <v>39.700000000000003</v>
      </c>
      <c r="B400" s="27">
        <v>0.95167000000000002</v>
      </c>
      <c r="C400" s="11">
        <f t="shared" si="24"/>
        <v>-1.4999999999999198E-3</v>
      </c>
      <c r="D400" s="12">
        <f t="shared" si="25"/>
        <v>1.0112199999999967</v>
      </c>
      <c r="E400" s="22">
        <v>39.700000000000003</v>
      </c>
      <c r="F400" s="27">
        <v>0.95252999999999999</v>
      </c>
      <c r="G400" s="11">
        <f t="shared" si="26"/>
        <v>-1.4999999999999198E-3</v>
      </c>
      <c r="H400" s="12">
        <f t="shared" si="27"/>
        <v>1.0120799999999968</v>
      </c>
    </row>
    <row r="401" spans="1:8" ht="14.25" thickBot="1">
      <c r="A401" s="22">
        <v>39.799999999999997</v>
      </c>
      <c r="B401" s="27">
        <v>0.95152000000000003</v>
      </c>
      <c r="C401" s="11">
        <f t="shared" si="24"/>
        <v>-1.6000000000004669E-3</v>
      </c>
      <c r="D401" s="12">
        <f t="shared" si="25"/>
        <v>1.0152000000000188</v>
      </c>
      <c r="E401" s="22">
        <v>39.799999999999997</v>
      </c>
      <c r="F401" s="27">
        <v>0.95238</v>
      </c>
      <c r="G401" s="11">
        <f t="shared" si="26"/>
        <v>-1.6000000000004669E-3</v>
      </c>
      <c r="H401" s="12">
        <f t="shared" si="27"/>
        <v>1.0160600000000186</v>
      </c>
    </row>
    <row r="402" spans="1:8" ht="14.25" thickBot="1">
      <c r="A402" s="22">
        <v>39.9</v>
      </c>
      <c r="B402" s="27">
        <v>0.95135999999999998</v>
      </c>
      <c r="C402" s="11">
        <f t="shared" si="24"/>
        <v>-1.4999999999998135E-3</v>
      </c>
      <c r="D402" s="12">
        <f t="shared" si="25"/>
        <v>1.0112099999999924</v>
      </c>
      <c r="E402" s="22">
        <v>39.9</v>
      </c>
      <c r="F402" s="27">
        <v>0.95221999999999996</v>
      </c>
      <c r="G402" s="11">
        <f t="shared" si="26"/>
        <v>-1.4999999999998135E-3</v>
      </c>
      <c r="H402" s="12">
        <f t="shared" si="27"/>
        <v>1.0120699999999925</v>
      </c>
    </row>
    <row r="403" spans="1:8" ht="14.25" thickBot="1">
      <c r="A403" s="26">
        <v>40</v>
      </c>
      <c r="B403" s="19">
        <v>0.95121</v>
      </c>
      <c r="C403" s="11">
        <f t="shared" si="24"/>
        <v>-1.6000000000004669E-3</v>
      </c>
      <c r="D403" s="12">
        <f t="shared" si="25"/>
        <v>1.0152100000000188</v>
      </c>
      <c r="E403" s="26">
        <v>40</v>
      </c>
      <c r="F403" s="19">
        <v>0.95206999999999997</v>
      </c>
      <c r="G403" s="11">
        <f t="shared" si="26"/>
        <v>-1.5999999999993571E-3</v>
      </c>
      <c r="H403" s="12">
        <f t="shared" si="27"/>
        <v>1.0160699999999743</v>
      </c>
    </row>
    <row r="404" spans="1:8" ht="14.25" thickBot="1">
      <c r="A404" s="18">
        <v>40.1</v>
      </c>
      <c r="B404" s="27">
        <v>0.95104999999999995</v>
      </c>
      <c r="C404" s="11">
        <f t="shared" si="24"/>
        <v>-1.4999999999998135E-3</v>
      </c>
      <c r="D404" s="12">
        <f t="shared" si="25"/>
        <v>1.0111999999999923</v>
      </c>
      <c r="E404" s="18">
        <v>40.1</v>
      </c>
      <c r="F404" s="27">
        <v>0.95191000000000003</v>
      </c>
      <c r="G404" s="11">
        <f t="shared" si="26"/>
        <v>-1.4999999999998135E-3</v>
      </c>
      <c r="H404" s="12">
        <f t="shared" si="27"/>
        <v>1.0120599999999924</v>
      </c>
    </row>
    <row r="405" spans="1:8" ht="14.25" thickBot="1">
      <c r="A405" s="18">
        <v>40.200000000000003</v>
      </c>
      <c r="B405" s="27">
        <v>0.95089999999999997</v>
      </c>
      <c r="C405" s="11">
        <f t="shared" si="24"/>
        <v>-1.5999999999994706E-3</v>
      </c>
      <c r="D405" s="12">
        <f t="shared" si="25"/>
        <v>1.0152199999999787</v>
      </c>
      <c r="E405" s="18">
        <v>40.200000000000003</v>
      </c>
      <c r="F405" s="27">
        <v>0.95176000000000005</v>
      </c>
      <c r="G405" s="11">
        <f t="shared" si="26"/>
        <v>-1.6000000000005808E-3</v>
      </c>
      <c r="H405" s="12">
        <f t="shared" si="27"/>
        <v>1.0160800000000234</v>
      </c>
    </row>
    <row r="406" spans="1:8" ht="14.25" thickBot="1">
      <c r="A406" s="18">
        <v>40.299999999999997</v>
      </c>
      <c r="B406" s="27">
        <v>0.95074000000000003</v>
      </c>
      <c r="C406" s="11">
        <f t="shared" si="24"/>
        <v>-1.4999999999998135E-3</v>
      </c>
      <c r="D406" s="12">
        <f t="shared" si="25"/>
        <v>1.0111899999999925</v>
      </c>
      <c r="E406" s="18">
        <v>40.299999999999997</v>
      </c>
      <c r="F406" s="27">
        <v>0.9516</v>
      </c>
      <c r="G406" s="11">
        <f t="shared" si="26"/>
        <v>-1.4999999999998135E-3</v>
      </c>
      <c r="H406" s="12">
        <f t="shared" si="27"/>
        <v>1.0120499999999923</v>
      </c>
    </row>
    <row r="407" spans="1:8" ht="14.25" thickBot="1">
      <c r="A407" s="18">
        <v>40.4</v>
      </c>
      <c r="B407" s="27">
        <v>0.95059000000000005</v>
      </c>
      <c r="C407" s="11">
        <f t="shared" si="24"/>
        <v>-1.6000000000004669E-3</v>
      </c>
      <c r="D407" s="12">
        <f t="shared" si="25"/>
        <v>1.015230000000019</v>
      </c>
      <c r="E407" s="18">
        <v>40.4</v>
      </c>
      <c r="F407" s="27">
        <v>0.95145000000000002</v>
      </c>
      <c r="G407" s="11">
        <f t="shared" si="26"/>
        <v>-1.6000000000004669E-3</v>
      </c>
      <c r="H407" s="12">
        <f t="shared" si="27"/>
        <v>1.016090000000019</v>
      </c>
    </row>
    <row r="408" spans="1:8" ht="14.25" thickBot="1">
      <c r="A408" s="18">
        <v>40.5</v>
      </c>
      <c r="B408" s="27">
        <v>0.95043</v>
      </c>
      <c r="C408" s="11">
        <f t="shared" si="24"/>
        <v>-1.6000000000004669E-3</v>
      </c>
      <c r="D408" s="12">
        <f t="shared" si="25"/>
        <v>1.015230000000019</v>
      </c>
      <c r="E408" s="18">
        <v>40.5</v>
      </c>
      <c r="F408" s="27">
        <v>0.95128999999999997</v>
      </c>
      <c r="G408" s="11">
        <f t="shared" si="26"/>
        <v>-1.5999999999993571E-3</v>
      </c>
      <c r="H408" s="12">
        <f t="shared" si="27"/>
        <v>1.016089999999974</v>
      </c>
    </row>
    <row r="409" spans="1:8" ht="14.25" thickBot="1">
      <c r="A409" s="18">
        <v>40.6</v>
      </c>
      <c r="B409" s="27">
        <v>0.95026999999999995</v>
      </c>
      <c r="C409" s="11">
        <f t="shared" si="24"/>
        <v>-1.4999999999998135E-3</v>
      </c>
      <c r="D409" s="12">
        <f t="shared" si="25"/>
        <v>1.0111699999999924</v>
      </c>
      <c r="E409" s="18">
        <v>40.6</v>
      </c>
      <c r="F409" s="27">
        <v>0.95113000000000003</v>
      </c>
      <c r="G409" s="11">
        <f t="shared" si="26"/>
        <v>-1.4999999999998135E-3</v>
      </c>
      <c r="H409" s="12">
        <f t="shared" si="27"/>
        <v>1.0120299999999924</v>
      </c>
    </row>
    <row r="410" spans="1:8" ht="14.25" thickBot="1">
      <c r="A410" s="18">
        <v>40.700000000000003</v>
      </c>
      <c r="B410" s="27">
        <v>0.95011999999999996</v>
      </c>
      <c r="C410" s="11">
        <f t="shared" si="24"/>
        <v>-1.5999999999994706E-3</v>
      </c>
      <c r="D410" s="12">
        <f t="shared" si="25"/>
        <v>1.0152399999999784</v>
      </c>
      <c r="E410" s="18">
        <v>40.700000000000003</v>
      </c>
      <c r="F410" s="27">
        <v>0.95098000000000005</v>
      </c>
      <c r="G410" s="11">
        <f t="shared" si="26"/>
        <v>-1.6000000000005808E-3</v>
      </c>
      <c r="H410" s="12">
        <f t="shared" si="27"/>
        <v>1.0161000000000238</v>
      </c>
    </row>
    <row r="411" spans="1:8" ht="14.25" thickBot="1">
      <c r="A411" s="18">
        <v>40.799999999999997</v>
      </c>
      <c r="B411" s="27">
        <v>0.94996000000000003</v>
      </c>
      <c r="C411" s="11">
        <f t="shared" si="24"/>
        <v>-1.6000000000004669E-3</v>
      </c>
      <c r="D411" s="12">
        <f t="shared" si="25"/>
        <v>1.015240000000019</v>
      </c>
      <c r="E411" s="18">
        <v>40.799999999999997</v>
      </c>
      <c r="F411" s="27">
        <v>0.95082</v>
      </c>
      <c r="G411" s="11">
        <f t="shared" si="26"/>
        <v>-1.6000000000004669E-3</v>
      </c>
      <c r="H411" s="12">
        <f t="shared" si="27"/>
        <v>1.0161000000000189</v>
      </c>
    </row>
    <row r="412" spans="1:8" ht="14.25" thickBot="1">
      <c r="A412" s="28">
        <v>40.9</v>
      </c>
      <c r="B412" s="29">
        <v>0.94979999999999998</v>
      </c>
      <c r="C412" s="11">
        <f t="shared" si="24"/>
        <v>-1.5999999999993571E-3</v>
      </c>
      <c r="D412" s="12">
        <f t="shared" si="25"/>
        <v>1.0152399999999737</v>
      </c>
      <c r="E412" s="28">
        <v>40.9</v>
      </c>
      <c r="F412" s="29">
        <v>0.95065999999999995</v>
      </c>
      <c r="G412" s="11">
        <f t="shared" si="26"/>
        <v>-1.5999999999993571E-3</v>
      </c>
      <c r="H412" s="12">
        <f t="shared" si="27"/>
        <v>1.0160999999999736</v>
      </c>
    </row>
    <row r="413" spans="1:8" ht="14.25" thickBot="1">
      <c r="A413" s="16">
        <v>41</v>
      </c>
      <c r="B413" s="17">
        <v>0.94964000000000004</v>
      </c>
      <c r="C413" s="11">
        <f t="shared" si="24"/>
        <v>-1.6000000000004669E-3</v>
      </c>
      <c r="D413" s="12">
        <f t="shared" si="25"/>
        <v>1.015240000000019</v>
      </c>
      <c r="E413" s="16">
        <v>41</v>
      </c>
      <c r="F413" s="17">
        <v>0.95050000000000001</v>
      </c>
      <c r="G413" s="11">
        <f t="shared" si="26"/>
        <v>-1.6000000000004669E-3</v>
      </c>
      <c r="H413" s="12">
        <f t="shared" si="27"/>
        <v>1.0161000000000193</v>
      </c>
    </row>
    <row r="414" spans="1:8" ht="14.25" thickBot="1">
      <c r="A414" s="18">
        <v>41.1</v>
      </c>
      <c r="B414" s="27">
        <v>0.94947999999999999</v>
      </c>
      <c r="C414" s="11">
        <f t="shared" si="24"/>
        <v>-1.5999999999993571E-3</v>
      </c>
      <c r="D414" s="12">
        <f t="shared" si="25"/>
        <v>1.0152399999999735</v>
      </c>
      <c r="E414" s="18">
        <v>41.1</v>
      </c>
      <c r="F414" s="27">
        <v>0.95033999999999996</v>
      </c>
      <c r="G414" s="11">
        <f t="shared" si="26"/>
        <v>-1.5999999999993571E-3</v>
      </c>
      <c r="H414" s="12">
        <f t="shared" si="27"/>
        <v>1.0160999999999736</v>
      </c>
    </row>
    <row r="415" spans="1:8" ht="14.25" thickBot="1">
      <c r="A415" s="18">
        <v>41.2</v>
      </c>
      <c r="B415" s="27">
        <v>0.94932000000000005</v>
      </c>
      <c r="C415" s="11">
        <f t="shared" si="24"/>
        <v>-1.6000000000005808E-3</v>
      </c>
      <c r="D415" s="12">
        <f t="shared" si="25"/>
        <v>1.0152400000000241</v>
      </c>
      <c r="E415" s="18">
        <v>41.2</v>
      </c>
      <c r="F415" s="27">
        <v>0.95018000000000002</v>
      </c>
      <c r="G415" s="11">
        <f t="shared" si="26"/>
        <v>-1.6000000000005808E-3</v>
      </c>
      <c r="H415" s="12">
        <f t="shared" si="27"/>
        <v>1.016100000000024</v>
      </c>
    </row>
    <row r="416" spans="1:8" ht="14.25" thickBot="1">
      <c r="A416" s="18">
        <v>41.3</v>
      </c>
      <c r="B416" s="27">
        <v>0.94916</v>
      </c>
      <c r="C416" s="11">
        <f t="shared" si="24"/>
        <v>-1.6000000000004669E-3</v>
      </c>
      <c r="D416" s="12">
        <f t="shared" si="25"/>
        <v>1.0152400000000192</v>
      </c>
      <c r="E416" s="18">
        <v>41.3</v>
      </c>
      <c r="F416" s="27">
        <v>0.95001999999999998</v>
      </c>
      <c r="G416" s="11">
        <f t="shared" si="26"/>
        <v>-1.7000000000000105E-3</v>
      </c>
      <c r="H416" s="12">
        <f t="shared" si="27"/>
        <v>1.0202300000000004</v>
      </c>
    </row>
    <row r="417" spans="1:8" ht="14.25" thickBot="1">
      <c r="A417" s="18">
        <v>41.4</v>
      </c>
      <c r="B417" s="27">
        <v>0.94899999999999995</v>
      </c>
      <c r="C417" s="11">
        <f t="shared" si="24"/>
        <v>-1.5999999999993571E-3</v>
      </c>
      <c r="D417" s="12">
        <f t="shared" si="25"/>
        <v>1.0152399999999733</v>
      </c>
      <c r="E417" s="18">
        <v>41.4</v>
      </c>
      <c r="F417" s="27">
        <v>0.94984999999999997</v>
      </c>
      <c r="G417" s="11">
        <f t="shared" si="26"/>
        <v>-1.5999999999993571E-3</v>
      </c>
      <c r="H417" s="12">
        <f t="shared" si="27"/>
        <v>1.0160899999999733</v>
      </c>
    </row>
    <row r="418" spans="1:8" ht="14.25" thickBot="1">
      <c r="A418" s="18">
        <v>41.5</v>
      </c>
      <c r="B418" s="27">
        <v>0.94884000000000002</v>
      </c>
      <c r="C418" s="11">
        <f t="shared" si="24"/>
        <v>-1.6000000000004669E-3</v>
      </c>
      <c r="D418" s="12">
        <f t="shared" si="25"/>
        <v>1.0152400000000195</v>
      </c>
      <c r="E418" s="18">
        <v>41.5</v>
      </c>
      <c r="F418" s="27">
        <v>0.94969000000000003</v>
      </c>
      <c r="G418" s="11">
        <f t="shared" si="26"/>
        <v>-1.6000000000004669E-3</v>
      </c>
      <c r="H418" s="12">
        <f t="shared" si="27"/>
        <v>1.0160900000000195</v>
      </c>
    </row>
    <row r="419" spans="1:8" ht="14.25" thickBot="1">
      <c r="A419" s="18">
        <v>41.6</v>
      </c>
      <c r="B419" s="27">
        <v>0.94867999999999997</v>
      </c>
      <c r="C419" s="11">
        <f t="shared" si="24"/>
        <v>-1.5999999999993571E-3</v>
      </c>
      <c r="D419" s="12">
        <f t="shared" si="25"/>
        <v>1.0152399999999733</v>
      </c>
      <c r="E419" s="18">
        <v>41.6</v>
      </c>
      <c r="F419" s="27">
        <v>0.94952999999999999</v>
      </c>
      <c r="G419" s="11">
        <f t="shared" si="26"/>
        <v>-1.5999999999993571E-3</v>
      </c>
      <c r="H419" s="12">
        <f t="shared" si="27"/>
        <v>1.0160899999999733</v>
      </c>
    </row>
    <row r="420" spans="1:8" ht="14.25" thickBot="1">
      <c r="A420" s="18">
        <v>41.7</v>
      </c>
      <c r="B420" s="27">
        <v>0.94852000000000003</v>
      </c>
      <c r="C420" s="11">
        <f t="shared" si="24"/>
        <v>-1.6000000000005808E-3</v>
      </c>
      <c r="D420" s="12">
        <f t="shared" si="25"/>
        <v>1.0152400000000241</v>
      </c>
      <c r="E420" s="18">
        <v>41.7</v>
      </c>
      <c r="F420" s="27">
        <v>0.94937000000000005</v>
      </c>
      <c r="G420" s="11">
        <f t="shared" si="26"/>
        <v>-1.6000000000005808E-3</v>
      </c>
      <c r="H420" s="12">
        <f t="shared" si="27"/>
        <v>1.0160900000000241</v>
      </c>
    </row>
    <row r="421" spans="1:8" ht="14.25" thickBot="1">
      <c r="A421" s="18">
        <v>41.8</v>
      </c>
      <c r="B421" s="27">
        <v>0.94835999999999998</v>
      </c>
      <c r="C421" s="11">
        <f t="shared" si="24"/>
        <v>-1.5999999999993571E-3</v>
      </c>
      <c r="D421" s="12">
        <f t="shared" si="25"/>
        <v>1.0152399999999731</v>
      </c>
      <c r="E421" s="18">
        <v>41.8</v>
      </c>
      <c r="F421" s="27">
        <v>0.94921</v>
      </c>
      <c r="G421" s="11">
        <f t="shared" si="26"/>
        <v>-1.6000000000004669E-3</v>
      </c>
      <c r="H421" s="12">
        <f t="shared" si="27"/>
        <v>1.0160900000000195</v>
      </c>
    </row>
    <row r="422" spans="1:8" ht="14.25" thickBot="1">
      <c r="A422" s="18">
        <v>41.9</v>
      </c>
      <c r="B422" s="27">
        <v>0.94820000000000004</v>
      </c>
      <c r="C422" s="11">
        <f t="shared" si="24"/>
        <v>-1.7000000000000105E-3</v>
      </c>
      <c r="D422" s="12">
        <f t="shared" si="25"/>
        <v>1.0194300000000005</v>
      </c>
      <c r="E422" s="18">
        <v>41.9</v>
      </c>
      <c r="F422" s="27">
        <v>0.94904999999999995</v>
      </c>
      <c r="G422" s="11">
        <f t="shared" si="26"/>
        <v>-1.7000000000000105E-3</v>
      </c>
      <c r="H422" s="12">
        <f t="shared" si="27"/>
        <v>1.0202800000000003</v>
      </c>
    </row>
    <row r="423" spans="1:8" ht="14.25" thickBot="1">
      <c r="A423" s="9">
        <v>42</v>
      </c>
      <c r="B423" s="19">
        <v>0.94803000000000004</v>
      </c>
      <c r="C423" s="11">
        <f t="shared" si="24"/>
        <v>-1.6000000000004669E-3</v>
      </c>
      <c r="D423" s="12">
        <f t="shared" si="25"/>
        <v>1.0152300000000196</v>
      </c>
      <c r="E423" s="9">
        <v>42</v>
      </c>
      <c r="F423" s="19">
        <v>0.94887999999999995</v>
      </c>
      <c r="G423" s="11">
        <f t="shared" si="26"/>
        <v>-1.5999999999993571E-3</v>
      </c>
      <c r="H423" s="12">
        <f t="shared" si="27"/>
        <v>1.016079999999973</v>
      </c>
    </row>
    <row r="424" spans="1:8" ht="14.25" thickBot="1">
      <c r="A424" s="18">
        <v>42.1</v>
      </c>
      <c r="B424" s="27">
        <v>0.94786999999999999</v>
      </c>
      <c r="C424" s="11">
        <f t="shared" si="24"/>
        <v>-1.5999999999993571E-3</v>
      </c>
      <c r="D424" s="12">
        <f t="shared" si="25"/>
        <v>1.015229999999973</v>
      </c>
      <c r="E424" s="18">
        <v>42.1</v>
      </c>
      <c r="F424" s="27">
        <v>0.94872000000000001</v>
      </c>
      <c r="G424" s="11">
        <f t="shared" si="26"/>
        <v>-1.6000000000004669E-3</v>
      </c>
      <c r="H424" s="12">
        <f t="shared" si="27"/>
        <v>1.0160800000000196</v>
      </c>
    </row>
    <row r="425" spans="1:8" ht="14.25" thickBot="1">
      <c r="A425" s="18">
        <v>42.2</v>
      </c>
      <c r="B425" s="27">
        <v>0.94771000000000005</v>
      </c>
      <c r="C425" s="11">
        <f t="shared" si="24"/>
        <v>-1.7000000000001315E-3</v>
      </c>
      <c r="D425" s="12">
        <f t="shared" si="25"/>
        <v>1.0194500000000055</v>
      </c>
      <c r="E425" s="18">
        <v>42.2</v>
      </c>
      <c r="F425" s="27">
        <v>0.94855999999999996</v>
      </c>
      <c r="G425" s="11">
        <f t="shared" si="26"/>
        <v>-1.7000000000001315E-3</v>
      </c>
      <c r="H425" s="12">
        <f t="shared" si="27"/>
        <v>1.0203000000000055</v>
      </c>
    </row>
    <row r="426" spans="1:8" ht="14.25" thickBot="1">
      <c r="A426" s="18">
        <v>42.3</v>
      </c>
      <c r="B426" s="27">
        <v>0.94754000000000005</v>
      </c>
      <c r="C426" s="11">
        <f t="shared" si="24"/>
        <v>-1.6000000000004669E-3</v>
      </c>
      <c r="D426" s="12">
        <f t="shared" si="25"/>
        <v>1.0152200000000198</v>
      </c>
      <c r="E426" s="18">
        <v>42.3</v>
      </c>
      <c r="F426" s="27">
        <v>0.94838999999999996</v>
      </c>
      <c r="G426" s="11">
        <f t="shared" si="26"/>
        <v>-1.5999999999993571E-3</v>
      </c>
      <c r="H426" s="12">
        <f t="shared" si="27"/>
        <v>1.0160699999999727</v>
      </c>
    </row>
    <row r="427" spans="1:8" ht="14.25" thickBot="1">
      <c r="A427" s="18">
        <v>42.4</v>
      </c>
      <c r="B427" s="27">
        <v>0.94738</v>
      </c>
      <c r="C427" s="11">
        <f t="shared" si="24"/>
        <v>-1.7000000000000105E-3</v>
      </c>
      <c r="D427" s="12">
        <f t="shared" si="25"/>
        <v>1.0194600000000005</v>
      </c>
      <c r="E427" s="18">
        <v>42.4</v>
      </c>
      <c r="F427" s="27">
        <v>0.94823000000000002</v>
      </c>
      <c r="G427" s="11">
        <f t="shared" si="26"/>
        <v>-1.7000000000000105E-3</v>
      </c>
      <c r="H427" s="12">
        <f t="shared" si="27"/>
        <v>1.0203100000000005</v>
      </c>
    </row>
    <row r="428" spans="1:8" ht="14.25" thickBot="1">
      <c r="A428" s="18">
        <v>42.5</v>
      </c>
      <c r="B428" s="27">
        <v>0.94721</v>
      </c>
      <c r="C428" s="11">
        <f t="shared" si="24"/>
        <v>-1.6000000000004669E-3</v>
      </c>
      <c r="D428" s="12">
        <f t="shared" si="25"/>
        <v>1.0152100000000199</v>
      </c>
      <c r="E428" s="18">
        <v>42.5</v>
      </c>
      <c r="F428" s="27">
        <v>0.94806000000000001</v>
      </c>
      <c r="G428" s="11">
        <f t="shared" si="26"/>
        <v>-1.6000000000004669E-3</v>
      </c>
      <c r="H428" s="12">
        <f t="shared" si="27"/>
        <v>1.0160600000000199</v>
      </c>
    </row>
    <row r="429" spans="1:8" ht="14.25" thickBot="1">
      <c r="A429" s="18">
        <v>42.6</v>
      </c>
      <c r="B429" s="27">
        <v>0.94704999999999995</v>
      </c>
      <c r="C429" s="11">
        <f t="shared" si="24"/>
        <v>-1.6999999999989005E-3</v>
      </c>
      <c r="D429" s="12">
        <f t="shared" si="25"/>
        <v>1.0194699999999532</v>
      </c>
      <c r="E429" s="18">
        <v>42.6</v>
      </c>
      <c r="F429" s="27">
        <v>0.94789999999999996</v>
      </c>
      <c r="G429" s="11">
        <f t="shared" si="26"/>
        <v>-1.7000000000000105E-3</v>
      </c>
      <c r="H429" s="12">
        <f t="shared" si="27"/>
        <v>1.0203200000000003</v>
      </c>
    </row>
    <row r="430" spans="1:8" ht="14.25" thickBot="1">
      <c r="A430" s="18">
        <v>42.7</v>
      </c>
      <c r="B430" s="27">
        <v>0.94688000000000005</v>
      </c>
      <c r="C430" s="11">
        <f t="shared" si="24"/>
        <v>-1.6000000000005808E-3</v>
      </c>
      <c r="D430" s="12">
        <f t="shared" si="25"/>
        <v>1.015200000000025</v>
      </c>
      <c r="E430" s="18">
        <v>42.7</v>
      </c>
      <c r="F430" s="27">
        <v>0.94772999999999996</v>
      </c>
      <c r="G430" s="11">
        <f t="shared" si="26"/>
        <v>-1.5999999999994706E-3</v>
      </c>
      <c r="H430" s="12">
        <f t="shared" si="27"/>
        <v>1.0160499999999772</v>
      </c>
    </row>
    <row r="431" spans="1:8" ht="14.25" thickBot="1">
      <c r="A431" s="18">
        <v>42.8</v>
      </c>
      <c r="B431" s="27">
        <v>0.94672000000000001</v>
      </c>
      <c r="C431" s="11">
        <f t="shared" si="24"/>
        <v>-1.7000000000000105E-3</v>
      </c>
      <c r="D431" s="12">
        <f t="shared" si="25"/>
        <v>1.0194800000000004</v>
      </c>
      <c r="E431" s="18">
        <v>42.8</v>
      </c>
      <c r="F431" s="27">
        <v>0.94757000000000002</v>
      </c>
      <c r="G431" s="11">
        <f t="shared" si="26"/>
        <v>-1.7000000000000105E-3</v>
      </c>
      <c r="H431" s="12">
        <f t="shared" si="27"/>
        <v>1.0203300000000004</v>
      </c>
    </row>
    <row r="432" spans="1:8" ht="14.25" thickBot="1">
      <c r="A432" s="18">
        <v>42.9</v>
      </c>
      <c r="B432" s="27">
        <v>0.94655</v>
      </c>
      <c r="C432" s="11">
        <f t="shared" si="24"/>
        <v>-1.7000000000000105E-3</v>
      </c>
      <c r="D432" s="12">
        <f t="shared" si="25"/>
        <v>1.0194800000000004</v>
      </c>
      <c r="E432" s="18">
        <v>42.9</v>
      </c>
      <c r="F432" s="27">
        <v>0.94740000000000002</v>
      </c>
      <c r="G432" s="11">
        <f t="shared" si="26"/>
        <v>-1.7000000000000105E-3</v>
      </c>
      <c r="H432" s="12">
        <f t="shared" si="27"/>
        <v>1.0203300000000004</v>
      </c>
    </row>
    <row r="433" spans="1:8" ht="14.25" thickBot="1">
      <c r="A433" s="9">
        <v>43</v>
      </c>
      <c r="B433" s="19">
        <v>0.94638</v>
      </c>
      <c r="C433" s="11">
        <f t="shared" si="24"/>
        <v>-1.6000000000004669E-3</v>
      </c>
      <c r="D433" s="12">
        <f t="shared" si="25"/>
        <v>1.01518000000002</v>
      </c>
      <c r="E433" s="9">
        <v>43</v>
      </c>
      <c r="F433" s="19">
        <v>0.94723000000000002</v>
      </c>
      <c r="G433" s="11">
        <f t="shared" si="26"/>
        <v>-1.6000000000004669E-3</v>
      </c>
      <c r="H433" s="12">
        <f t="shared" si="27"/>
        <v>1.01603000000002</v>
      </c>
    </row>
    <row r="434" spans="1:8" ht="14.25" thickBot="1">
      <c r="A434" s="18">
        <v>43.1</v>
      </c>
      <c r="B434" s="27">
        <v>0.94621999999999995</v>
      </c>
      <c r="C434" s="11">
        <f t="shared" si="24"/>
        <v>-1.7000000000000105E-3</v>
      </c>
      <c r="D434" s="12">
        <f t="shared" si="25"/>
        <v>1.0194900000000005</v>
      </c>
      <c r="E434" s="18">
        <v>43.1</v>
      </c>
      <c r="F434" s="27">
        <v>0.94706999999999997</v>
      </c>
      <c r="G434" s="11">
        <f t="shared" si="26"/>
        <v>-1.7000000000000105E-3</v>
      </c>
      <c r="H434" s="12">
        <f t="shared" si="27"/>
        <v>1.0203400000000005</v>
      </c>
    </row>
    <row r="435" spans="1:8" ht="14.25" thickBot="1">
      <c r="A435" s="18">
        <v>43.2</v>
      </c>
      <c r="B435" s="27">
        <v>0.94604999999999995</v>
      </c>
      <c r="C435" s="11">
        <f t="shared" si="24"/>
        <v>-1.6999999999990211E-3</v>
      </c>
      <c r="D435" s="12">
        <f t="shared" si="25"/>
        <v>1.0194899999999576</v>
      </c>
      <c r="E435" s="18">
        <v>43.2</v>
      </c>
      <c r="F435" s="27">
        <v>0.94689999999999996</v>
      </c>
      <c r="G435" s="11">
        <f t="shared" si="26"/>
        <v>-1.7000000000001315E-3</v>
      </c>
      <c r="H435" s="12">
        <f t="shared" si="27"/>
        <v>1.0203400000000056</v>
      </c>
    </row>
    <row r="436" spans="1:8" ht="14.25" thickBot="1">
      <c r="A436" s="18">
        <v>43.3</v>
      </c>
      <c r="B436" s="27">
        <v>0.94588000000000005</v>
      </c>
      <c r="C436" s="11">
        <f t="shared" si="24"/>
        <v>-1.7000000000000105E-3</v>
      </c>
      <c r="D436" s="12">
        <f t="shared" si="25"/>
        <v>1.0194900000000005</v>
      </c>
      <c r="E436" s="18">
        <v>43.3</v>
      </c>
      <c r="F436" s="27">
        <v>0.94672999999999996</v>
      </c>
      <c r="G436" s="11">
        <f t="shared" si="26"/>
        <v>-1.7000000000000105E-3</v>
      </c>
      <c r="H436" s="12">
        <f t="shared" si="27"/>
        <v>1.0203400000000005</v>
      </c>
    </row>
    <row r="437" spans="1:8" ht="14.25" thickBot="1">
      <c r="A437" s="18">
        <v>43.4</v>
      </c>
      <c r="B437" s="27">
        <v>0.94571000000000005</v>
      </c>
      <c r="C437" s="11">
        <f t="shared" si="24"/>
        <v>-1.7000000000000105E-3</v>
      </c>
      <c r="D437" s="12">
        <f t="shared" si="25"/>
        <v>1.0194900000000005</v>
      </c>
      <c r="E437" s="18">
        <v>43.4</v>
      </c>
      <c r="F437" s="27">
        <v>0.94655999999999996</v>
      </c>
      <c r="G437" s="11">
        <f t="shared" si="26"/>
        <v>-1.7000000000000105E-3</v>
      </c>
      <c r="H437" s="12">
        <f t="shared" si="27"/>
        <v>1.0203400000000005</v>
      </c>
    </row>
    <row r="438" spans="1:8" ht="14.25" thickBot="1">
      <c r="A438" s="18">
        <v>43.5</v>
      </c>
      <c r="B438" s="27">
        <v>0.94554000000000005</v>
      </c>
      <c r="C438" s="11">
        <f t="shared" si="24"/>
        <v>-1.6000000000004669E-3</v>
      </c>
      <c r="D438" s="12">
        <f t="shared" si="25"/>
        <v>1.0151400000000204</v>
      </c>
      <c r="E438" s="18">
        <v>43.5</v>
      </c>
      <c r="F438" s="27">
        <v>0.94638999999999995</v>
      </c>
      <c r="G438" s="11">
        <f t="shared" si="26"/>
        <v>-1.5999999999993571E-3</v>
      </c>
      <c r="H438" s="12">
        <f t="shared" si="27"/>
        <v>1.015989999999972</v>
      </c>
    </row>
    <row r="439" spans="1:8" ht="14.25" thickBot="1">
      <c r="A439" s="18">
        <v>43.6</v>
      </c>
      <c r="B439" s="27">
        <v>0.94538</v>
      </c>
      <c r="C439" s="11">
        <f t="shared" si="24"/>
        <v>-1.7000000000000105E-3</v>
      </c>
      <c r="D439" s="12">
        <f t="shared" si="25"/>
        <v>1.0195000000000005</v>
      </c>
      <c r="E439" s="18">
        <v>43.6</v>
      </c>
      <c r="F439" s="27">
        <v>0.94623000000000002</v>
      </c>
      <c r="G439" s="11">
        <f t="shared" si="26"/>
        <v>-1.7000000000000105E-3</v>
      </c>
      <c r="H439" s="12">
        <f t="shared" si="27"/>
        <v>1.0203500000000005</v>
      </c>
    </row>
    <row r="440" spans="1:8" ht="14.25" thickBot="1">
      <c r="A440" s="18">
        <v>43.7</v>
      </c>
      <c r="B440" s="27">
        <v>0.94520999999999999</v>
      </c>
      <c r="C440" s="11">
        <f t="shared" si="24"/>
        <v>-1.7000000000001315E-3</v>
      </c>
      <c r="D440" s="12">
        <f t="shared" si="25"/>
        <v>1.0195000000000058</v>
      </c>
      <c r="E440" s="18">
        <v>43.7</v>
      </c>
      <c r="F440" s="27">
        <v>0.94606000000000001</v>
      </c>
      <c r="G440" s="11">
        <f t="shared" si="26"/>
        <v>-1.7000000000001315E-3</v>
      </c>
      <c r="H440" s="12">
        <f t="shared" si="27"/>
        <v>1.0203500000000059</v>
      </c>
    </row>
    <row r="441" spans="1:8" ht="14.25" thickBot="1">
      <c r="A441" s="18">
        <v>43.8</v>
      </c>
      <c r="B441" s="27">
        <v>0.94503999999999999</v>
      </c>
      <c r="C441" s="11">
        <f t="shared" si="24"/>
        <v>-1.7000000000000105E-3</v>
      </c>
      <c r="D441" s="12">
        <f t="shared" si="25"/>
        <v>1.0195000000000005</v>
      </c>
      <c r="E441" s="18">
        <v>43.8</v>
      </c>
      <c r="F441" s="27">
        <v>0.94589000000000001</v>
      </c>
      <c r="G441" s="11">
        <f t="shared" si="26"/>
        <v>-1.7000000000000105E-3</v>
      </c>
      <c r="H441" s="12">
        <f t="shared" si="27"/>
        <v>1.0203500000000005</v>
      </c>
    </row>
    <row r="442" spans="1:8" ht="14.25" thickBot="1">
      <c r="A442" s="18">
        <v>43.9</v>
      </c>
      <c r="B442" s="27">
        <v>0.94486999999999999</v>
      </c>
      <c r="C442" s="11">
        <f t="shared" si="24"/>
        <v>-1.7999999999995541E-3</v>
      </c>
      <c r="D442" s="12">
        <f t="shared" si="25"/>
        <v>1.0238899999999804</v>
      </c>
      <c r="E442" s="18">
        <v>43.9</v>
      </c>
      <c r="F442" s="27">
        <v>0.94572000000000001</v>
      </c>
      <c r="G442" s="11">
        <f t="shared" si="26"/>
        <v>-1.7999999999995541E-3</v>
      </c>
      <c r="H442" s="12">
        <f t="shared" si="27"/>
        <v>1.0247399999999804</v>
      </c>
    </row>
    <row r="443" spans="1:8" ht="14.25" thickBot="1">
      <c r="A443" s="9">
        <v>44</v>
      </c>
      <c r="B443" s="19">
        <v>0.94469000000000003</v>
      </c>
      <c r="C443" s="11">
        <f t="shared" si="24"/>
        <v>-1.7000000000000105E-3</v>
      </c>
      <c r="D443" s="12">
        <f t="shared" si="25"/>
        <v>1.0194900000000005</v>
      </c>
      <c r="E443" s="9">
        <v>44</v>
      </c>
      <c r="F443" s="19">
        <v>0.94554000000000005</v>
      </c>
      <c r="G443" s="11">
        <f t="shared" si="26"/>
        <v>-1.7000000000000105E-3</v>
      </c>
      <c r="H443" s="12">
        <f t="shared" si="27"/>
        <v>1.0203400000000005</v>
      </c>
    </row>
    <row r="444" spans="1:8" ht="14.25" thickBot="1">
      <c r="A444" s="18">
        <v>44.1</v>
      </c>
      <c r="B444" s="27">
        <v>0.94452000000000003</v>
      </c>
      <c r="C444" s="11">
        <f t="shared" si="24"/>
        <v>-1.7000000000000105E-3</v>
      </c>
      <c r="D444" s="12">
        <f t="shared" si="25"/>
        <v>1.0194900000000005</v>
      </c>
      <c r="E444" s="18">
        <v>44.1</v>
      </c>
      <c r="F444" s="27">
        <v>0.94537000000000004</v>
      </c>
      <c r="G444" s="11">
        <f t="shared" si="26"/>
        <v>-1.7000000000000105E-3</v>
      </c>
      <c r="H444" s="12">
        <f t="shared" si="27"/>
        <v>1.0203400000000005</v>
      </c>
    </row>
    <row r="445" spans="1:8" ht="14.25" thickBot="1">
      <c r="A445" s="18">
        <v>44.2</v>
      </c>
      <c r="B445" s="27">
        <v>0.94435000000000002</v>
      </c>
      <c r="C445" s="11">
        <f t="shared" si="24"/>
        <v>-1.7000000000001315E-3</v>
      </c>
      <c r="D445" s="12">
        <f t="shared" si="25"/>
        <v>1.0194900000000058</v>
      </c>
      <c r="E445" s="18">
        <v>44.2</v>
      </c>
      <c r="F445" s="27">
        <v>0.94520000000000004</v>
      </c>
      <c r="G445" s="11">
        <f t="shared" si="26"/>
        <v>-1.7000000000001315E-3</v>
      </c>
      <c r="H445" s="12">
        <f t="shared" si="27"/>
        <v>1.0203400000000058</v>
      </c>
    </row>
    <row r="446" spans="1:8" ht="14.25" thickBot="1">
      <c r="A446" s="18">
        <v>44.3</v>
      </c>
      <c r="B446" s="27">
        <v>0.94418000000000002</v>
      </c>
      <c r="C446" s="11">
        <f t="shared" si="24"/>
        <v>-1.7000000000000105E-3</v>
      </c>
      <c r="D446" s="12">
        <f t="shared" si="25"/>
        <v>1.0194900000000005</v>
      </c>
      <c r="E446" s="18">
        <v>44.3</v>
      </c>
      <c r="F446" s="27">
        <v>0.94503000000000004</v>
      </c>
      <c r="G446" s="11">
        <f t="shared" si="26"/>
        <v>-1.7000000000000105E-3</v>
      </c>
      <c r="H446" s="12">
        <f t="shared" si="27"/>
        <v>1.0203400000000005</v>
      </c>
    </row>
    <row r="447" spans="1:8" ht="14.25" thickBot="1">
      <c r="A447" s="18">
        <v>44.4</v>
      </c>
      <c r="B447" s="27">
        <v>0.94401000000000002</v>
      </c>
      <c r="C447" s="11">
        <f t="shared" si="24"/>
        <v>-1.8000000000006641E-3</v>
      </c>
      <c r="D447" s="12">
        <f t="shared" si="25"/>
        <v>1.0239300000000295</v>
      </c>
      <c r="E447" s="18">
        <v>44.4</v>
      </c>
      <c r="F447" s="27">
        <v>0.94486000000000003</v>
      </c>
      <c r="G447" s="11">
        <f t="shared" si="26"/>
        <v>-1.8000000000006641E-3</v>
      </c>
      <c r="H447" s="12">
        <f t="shared" si="27"/>
        <v>1.0247800000000296</v>
      </c>
    </row>
    <row r="448" spans="1:8" ht="14.25" thickBot="1">
      <c r="A448" s="18">
        <v>44.5</v>
      </c>
      <c r="B448" s="27">
        <v>0.94382999999999995</v>
      </c>
      <c r="C448" s="11">
        <f t="shared" si="24"/>
        <v>-1.6999999999989005E-3</v>
      </c>
      <c r="D448" s="12">
        <f t="shared" si="25"/>
        <v>1.0194799999999511</v>
      </c>
      <c r="E448" s="18">
        <v>44.5</v>
      </c>
      <c r="F448" s="27">
        <v>0.94467999999999996</v>
      </c>
      <c r="G448" s="11">
        <f t="shared" si="26"/>
        <v>-1.7000000000000105E-3</v>
      </c>
      <c r="H448" s="12">
        <f t="shared" si="27"/>
        <v>1.0203300000000004</v>
      </c>
    </row>
    <row r="449" spans="1:8" ht="14.25" thickBot="1">
      <c r="A449" s="18">
        <v>44.6</v>
      </c>
      <c r="B449" s="27">
        <v>0.94366000000000005</v>
      </c>
      <c r="C449" s="11">
        <f t="shared" si="24"/>
        <v>-1.7000000000000105E-3</v>
      </c>
      <c r="D449" s="12">
        <f t="shared" si="25"/>
        <v>1.0194800000000006</v>
      </c>
      <c r="E449" s="18">
        <v>44.6</v>
      </c>
      <c r="F449" s="27">
        <v>0.94450999999999996</v>
      </c>
      <c r="G449" s="11">
        <f t="shared" si="26"/>
        <v>-1.7000000000000105E-3</v>
      </c>
      <c r="H449" s="12">
        <f t="shared" si="27"/>
        <v>1.0203300000000004</v>
      </c>
    </row>
    <row r="450" spans="1:8" ht="14.25" thickBot="1">
      <c r="A450" s="18">
        <v>44.7</v>
      </c>
      <c r="B450" s="27">
        <v>0.94349000000000005</v>
      </c>
      <c r="C450" s="11">
        <f t="shared" si="24"/>
        <v>-1.8000000000007921E-3</v>
      </c>
      <c r="D450" s="12">
        <f t="shared" si="25"/>
        <v>1.0239500000000354</v>
      </c>
      <c r="E450" s="18">
        <v>44.7</v>
      </c>
      <c r="F450" s="27">
        <v>0.94433999999999996</v>
      </c>
      <c r="G450" s="11">
        <f t="shared" si="26"/>
        <v>-1.7999999999996818E-3</v>
      </c>
      <c r="H450" s="12">
        <f t="shared" si="27"/>
        <v>1.0247999999999857</v>
      </c>
    </row>
    <row r="451" spans="1:8" ht="14.25" thickBot="1">
      <c r="A451" s="18">
        <v>44.8</v>
      </c>
      <c r="B451" s="27">
        <v>0.94330999999999998</v>
      </c>
      <c r="C451" s="11">
        <f t="shared" si="24"/>
        <v>-1.7000000000000105E-3</v>
      </c>
      <c r="D451" s="12">
        <f t="shared" si="25"/>
        <v>1.0194700000000005</v>
      </c>
      <c r="E451" s="18">
        <v>44.8</v>
      </c>
      <c r="F451" s="27">
        <v>0.94416</v>
      </c>
      <c r="G451" s="11">
        <f t="shared" si="26"/>
        <v>-1.7000000000000105E-3</v>
      </c>
      <c r="H451" s="12">
        <f t="shared" si="27"/>
        <v>1.0203200000000006</v>
      </c>
    </row>
    <row r="452" spans="1:8" ht="14.25" thickBot="1">
      <c r="A452" s="18">
        <v>44.9</v>
      </c>
      <c r="B452" s="27">
        <v>0.94313999999999998</v>
      </c>
      <c r="C452" s="11">
        <f t="shared" ref="C452:C515" si="28">SLOPE(B452:B453,A452:A453)</f>
        <v>-1.7999999999995541E-3</v>
      </c>
      <c r="D452" s="12">
        <f t="shared" ref="D452:D515" si="29">INTERCEPT(B452:B453,A452:A453)</f>
        <v>1.02395999999998</v>
      </c>
      <c r="E452" s="18">
        <v>44.9</v>
      </c>
      <c r="F452" s="27">
        <v>0.94399</v>
      </c>
      <c r="G452" s="11">
        <f t="shared" ref="G452:G515" si="30">SLOPE(F452:F453,E452:E453)</f>
        <v>-1.7999999999995541E-3</v>
      </c>
      <c r="H452" s="12">
        <f t="shared" ref="H452:H515" si="31">INTERCEPT(F452:F453,E452:E453)</f>
        <v>1.02480999999998</v>
      </c>
    </row>
    <row r="453" spans="1:8" ht="14.25" thickBot="1">
      <c r="A453" s="9">
        <v>45</v>
      </c>
      <c r="B453" s="19">
        <v>0.94296000000000002</v>
      </c>
      <c r="C453" s="11">
        <f t="shared" si="28"/>
        <v>-1.7000000000000105E-3</v>
      </c>
      <c r="D453" s="12">
        <f t="shared" si="29"/>
        <v>1.0194600000000005</v>
      </c>
      <c r="E453" s="9">
        <v>45</v>
      </c>
      <c r="F453" s="19">
        <v>0.94381000000000004</v>
      </c>
      <c r="G453" s="11">
        <f t="shared" si="30"/>
        <v>-1.7000000000000105E-3</v>
      </c>
      <c r="H453" s="12">
        <f t="shared" si="31"/>
        <v>1.0203100000000005</v>
      </c>
    </row>
    <row r="454" spans="1:8" ht="14.25" thickBot="1">
      <c r="A454" s="18">
        <v>45.1</v>
      </c>
      <c r="B454" s="27">
        <v>0.94279000000000002</v>
      </c>
      <c r="C454" s="11">
        <f t="shared" si="28"/>
        <v>-1.8000000000006641E-3</v>
      </c>
      <c r="D454" s="12">
        <f t="shared" si="29"/>
        <v>1.02397000000003</v>
      </c>
      <c r="E454" s="18">
        <v>45.1</v>
      </c>
      <c r="F454" s="27">
        <v>0.94364000000000003</v>
      </c>
      <c r="G454" s="11">
        <f t="shared" si="30"/>
        <v>-1.8000000000006641E-3</v>
      </c>
      <c r="H454" s="12">
        <f t="shared" si="31"/>
        <v>1.02482000000003</v>
      </c>
    </row>
    <row r="455" spans="1:8" ht="14.25" thickBot="1">
      <c r="A455" s="18">
        <v>45.2</v>
      </c>
      <c r="B455" s="27">
        <v>0.94260999999999995</v>
      </c>
      <c r="C455" s="11">
        <f t="shared" si="28"/>
        <v>-1.6999999999990211E-3</v>
      </c>
      <c r="D455" s="12">
        <f t="shared" si="29"/>
        <v>1.0194499999999558</v>
      </c>
      <c r="E455" s="18">
        <v>45.2</v>
      </c>
      <c r="F455" s="27">
        <v>0.94345999999999997</v>
      </c>
      <c r="G455" s="11">
        <f t="shared" si="30"/>
        <v>-1.7000000000001315E-3</v>
      </c>
      <c r="H455" s="12">
        <f t="shared" si="31"/>
        <v>1.020300000000006</v>
      </c>
    </row>
    <row r="456" spans="1:8" ht="14.25" thickBot="1">
      <c r="A456" s="18">
        <v>45.3</v>
      </c>
      <c r="B456" s="27">
        <v>0.94244000000000006</v>
      </c>
      <c r="C456" s="11">
        <f t="shared" si="28"/>
        <v>-1.8000000000006641E-3</v>
      </c>
      <c r="D456" s="12">
        <f t="shared" si="29"/>
        <v>1.0239800000000301</v>
      </c>
      <c r="E456" s="18">
        <v>45.3</v>
      </c>
      <c r="F456" s="27">
        <v>0.94328999999999996</v>
      </c>
      <c r="G456" s="11">
        <f t="shared" si="30"/>
        <v>-1.7999999999995541E-3</v>
      </c>
      <c r="H456" s="12">
        <f t="shared" si="31"/>
        <v>1.0248299999999797</v>
      </c>
    </row>
    <row r="457" spans="1:8" ht="14.25" thickBot="1">
      <c r="A457" s="18">
        <v>45.4</v>
      </c>
      <c r="B457" s="27">
        <v>0.94225999999999999</v>
      </c>
      <c r="C457" s="11">
        <f t="shared" si="28"/>
        <v>-1.7000000000000105E-3</v>
      </c>
      <c r="D457" s="12">
        <f t="shared" si="29"/>
        <v>1.0194400000000006</v>
      </c>
      <c r="E457" s="18">
        <v>45.4</v>
      </c>
      <c r="F457" s="27">
        <v>0.94311</v>
      </c>
      <c r="G457" s="11">
        <f t="shared" si="30"/>
        <v>-1.7000000000000105E-3</v>
      </c>
      <c r="H457" s="12">
        <f t="shared" si="31"/>
        <v>1.0202900000000006</v>
      </c>
    </row>
    <row r="458" spans="1:8" ht="14.25" thickBot="1">
      <c r="A458" s="18">
        <v>45.5</v>
      </c>
      <c r="B458" s="27">
        <v>0.94208999999999998</v>
      </c>
      <c r="C458" s="11">
        <f t="shared" si="28"/>
        <v>-1.7999999999995541E-3</v>
      </c>
      <c r="D458" s="12">
        <f t="shared" si="29"/>
        <v>1.0239899999999795</v>
      </c>
      <c r="E458" s="18">
        <v>45.5</v>
      </c>
      <c r="F458" s="27">
        <v>0.94294</v>
      </c>
      <c r="G458" s="11">
        <f t="shared" si="30"/>
        <v>-1.7999999999995541E-3</v>
      </c>
      <c r="H458" s="12">
        <f t="shared" si="31"/>
        <v>1.0248399999999798</v>
      </c>
    </row>
    <row r="459" spans="1:8" ht="14.25" thickBot="1">
      <c r="A459" s="18">
        <v>45.6</v>
      </c>
      <c r="B459" s="27">
        <v>0.94191000000000003</v>
      </c>
      <c r="C459" s="11">
        <f t="shared" si="28"/>
        <v>-1.8000000000006641E-3</v>
      </c>
      <c r="D459" s="12">
        <f t="shared" si="29"/>
        <v>1.0239900000000304</v>
      </c>
      <c r="E459" s="18">
        <v>45.6</v>
      </c>
      <c r="F459" s="27">
        <v>0.94276000000000004</v>
      </c>
      <c r="G459" s="11">
        <f t="shared" si="30"/>
        <v>-1.8000000000006641E-3</v>
      </c>
      <c r="H459" s="12">
        <f t="shared" si="31"/>
        <v>1.0248400000000304</v>
      </c>
    </row>
    <row r="460" spans="1:8" ht="14.25" thickBot="1">
      <c r="A460" s="18">
        <v>45.7</v>
      </c>
      <c r="B460" s="27">
        <v>0.94172999999999996</v>
      </c>
      <c r="C460" s="11">
        <f t="shared" si="28"/>
        <v>-1.7999999999996818E-3</v>
      </c>
      <c r="D460" s="12">
        <f t="shared" si="29"/>
        <v>1.0239899999999855</v>
      </c>
      <c r="E460" s="18">
        <v>45.7</v>
      </c>
      <c r="F460" s="27">
        <v>0.94257999999999997</v>
      </c>
      <c r="G460" s="11">
        <f t="shared" si="30"/>
        <v>-1.7999999999996818E-3</v>
      </c>
      <c r="H460" s="12">
        <f t="shared" si="31"/>
        <v>1.0248399999999855</v>
      </c>
    </row>
    <row r="461" spans="1:8" ht="14.25" thickBot="1">
      <c r="A461" s="18">
        <v>45.8</v>
      </c>
      <c r="B461" s="27">
        <v>0.94155</v>
      </c>
      <c r="C461" s="11">
        <f t="shared" si="28"/>
        <v>-1.7999999999995541E-3</v>
      </c>
      <c r="D461" s="12">
        <f t="shared" si="29"/>
        <v>1.0239899999999795</v>
      </c>
      <c r="E461" s="18">
        <v>45.8</v>
      </c>
      <c r="F461" s="27">
        <v>0.94240000000000002</v>
      </c>
      <c r="G461" s="11">
        <f t="shared" si="30"/>
        <v>-1.8000000000006641E-3</v>
      </c>
      <c r="H461" s="12">
        <f t="shared" si="31"/>
        <v>1.0248400000000304</v>
      </c>
    </row>
    <row r="462" spans="1:8" ht="14.25" thickBot="1">
      <c r="A462" s="18">
        <v>45.9</v>
      </c>
      <c r="B462" s="27">
        <v>0.94137000000000004</v>
      </c>
      <c r="C462" s="11">
        <f t="shared" si="28"/>
        <v>-1.7000000000000105E-3</v>
      </c>
      <c r="D462" s="12">
        <f t="shared" si="29"/>
        <v>1.0194000000000005</v>
      </c>
      <c r="E462" s="18">
        <v>45.9</v>
      </c>
      <c r="F462" s="27">
        <v>0.94221999999999995</v>
      </c>
      <c r="G462" s="11">
        <f t="shared" si="30"/>
        <v>-1.6999999999989005E-3</v>
      </c>
      <c r="H462" s="12">
        <f t="shared" si="31"/>
        <v>1.0202499999999495</v>
      </c>
    </row>
    <row r="463" spans="1:8" ht="14.25" thickBot="1">
      <c r="A463" s="9">
        <v>46</v>
      </c>
      <c r="B463" s="19">
        <v>0.94120000000000004</v>
      </c>
      <c r="C463" s="11">
        <f t="shared" si="28"/>
        <v>-1.8000000000006641E-3</v>
      </c>
      <c r="D463" s="12">
        <f t="shared" si="29"/>
        <v>1.0240000000000307</v>
      </c>
      <c r="E463" s="9">
        <v>46</v>
      </c>
      <c r="F463" s="19">
        <v>0.94205000000000005</v>
      </c>
      <c r="G463" s="11">
        <f t="shared" si="30"/>
        <v>-1.8000000000006641E-3</v>
      </c>
      <c r="H463" s="12">
        <f t="shared" si="31"/>
        <v>1.0248500000000307</v>
      </c>
    </row>
    <row r="464" spans="1:8" ht="14.25" thickBot="1">
      <c r="A464" s="18">
        <v>46.1</v>
      </c>
      <c r="B464" s="27">
        <v>0.94101999999999997</v>
      </c>
      <c r="C464" s="11">
        <f t="shared" si="28"/>
        <v>-1.7999999999995541E-3</v>
      </c>
      <c r="D464" s="12">
        <f t="shared" si="29"/>
        <v>1.0239999999999796</v>
      </c>
      <c r="E464" s="18">
        <v>46.1</v>
      </c>
      <c r="F464" s="27">
        <v>0.94186999999999999</v>
      </c>
      <c r="G464" s="11">
        <f t="shared" si="30"/>
        <v>-1.7999999999995541E-3</v>
      </c>
      <c r="H464" s="12">
        <f t="shared" si="31"/>
        <v>1.0248499999999794</v>
      </c>
    </row>
    <row r="465" spans="1:8" ht="14.25" thickBot="1">
      <c r="A465" s="18">
        <v>46.2</v>
      </c>
      <c r="B465" s="27">
        <v>0.94084000000000001</v>
      </c>
      <c r="C465" s="11">
        <f t="shared" si="28"/>
        <v>-1.7999999999996818E-3</v>
      </c>
      <c r="D465" s="12">
        <f t="shared" si="29"/>
        <v>1.0239999999999854</v>
      </c>
      <c r="E465" s="18">
        <v>46.2</v>
      </c>
      <c r="F465" s="27">
        <v>0.94169000000000003</v>
      </c>
      <c r="G465" s="11">
        <f t="shared" si="30"/>
        <v>-1.8000000000007921E-3</v>
      </c>
      <c r="H465" s="12">
        <f t="shared" si="31"/>
        <v>1.0248500000000367</v>
      </c>
    </row>
    <row r="466" spans="1:8" ht="14.25" thickBot="1">
      <c r="A466" s="18">
        <v>46.3</v>
      </c>
      <c r="B466" s="27">
        <v>0.94066000000000005</v>
      </c>
      <c r="C466" s="11">
        <f t="shared" si="28"/>
        <v>-1.8000000000006641E-3</v>
      </c>
      <c r="D466" s="12">
        <f t="shared" si="29"/>
        <v>1.0240000000000309</v>
      </c>
      <c r="E466" s="18">
        <v>46.3</v>
      </c>
      <c r="F466" s="27">
        <v>0.94150999999999996</v>
      </c>
      <c r="G466" s="11">
        <f t="shared" si="30"/>
        <v>-1.7999999999995541E-3</v>
      </c>
      <c r="H466" s="12">
        <f t="shared" si="31"/>
        <v>1.0248499999999792</v>
      </c>
    </row>
    <row r="467" spans="1:8" ht="14.25" thickBot="1">
      <c r="A467" s="18">
        <v>46.4</v>
      </c>
      <c r="B467" s="27">
        <v>0.94047999999999998</v>
      </c>
      <c r="C467" s="11">
        <f t="shared" si="28"/>
        <v>-1.7999999999995541E-3</v>
      </c>
      <c r="D467" s="12">
        <f t="shared" si="29"/>
        <v>1.0239999999999794</v>
      </c>
      <c r="E467" s="18">
        <v>46.4</v>
      </c>
      <c r="F467" s="27">
        <v>0.94133</v>
      </c>
      <c r="G467" s="11">
        <f t="shared" si="30"/>
        <v>-1.7999999999995541E-3</v>
      </c>
      <c r="H467" s="12">
        <f t="shared" si="31"/>
        <v>1.0248499999999794</v>
      </c>
    </row>
    <row r="468" spans="1:8" ht="14.25" thickBot="1">
      <c r="A468" s="18">
        <v>46.5</v>
      </c>
      <c r="B468" s="27">
        <v>0.94030000000000002</v>
      </c>
      <c r="C468" s="11">
        <f t="shared" si="28"/>
        <v>-1.8000000000006641E-3</v>
      </c>
      <c r="D468" s="12">
        <f t="shared" si="29"/>
        <v>1.0240000000000309</v>
      </c>
      <c r="E468" s="18">
        <v>46.5</v>
      </c>
      <c r="F468" s="27">
        <v>0.94115000000000004</v>
      </c>
      <c r="G468" s="11">
        <f t="shared" si="30"/>
        <v>-1.8000000000006641E-3</v>
      </c>
      <c r="H468" s="12">
        <f t="shared" si="31"/>
        <v>1.0248500000000309</v>
      </c>
    </row>
    <row r="469" spans="1:8" ht="14.25" thickBot="1">
      <c r="A469" s="18">
        <v>46.6</v>
      </c>
      <c r="B469" s="27">
        <v>0.94011999999999996</v>
      </c>
      <c r="C469" s="11">
        <f t="shared" si="28"/>
        <v>-1.7999999999995541E-3</v>
      </c>
      <c r="D469" s="12">
        <f t="shared" si="29"/>
        <v>1.0239999999999791</v>
      </c>
      <c r="E469" s="18">
        <v>46.6</v>
      </c>
      <c r="F469" s="27">
        <v>0.94096999999999997</v>
      </c>
      <c r="G469" s="11">
        <f t="shared" si="30"/>
        <v>-1.7999999999995541E-3</v>
      </c>
      <c r="H469" s="12">
        <f t="shared" si="31"/>
        <v>1.0248499999999792</v>
      </c>
    </row>
    <row r="470" spans="1:8" ht="14.25" thickBot="1">
      <c r="A470" s="18">
        <v>46.7</v>
      </c>
      <c r="B470" s="27">
        <v>0.93994</v>
      </c>
      <c r="C470" s="11">
        <f t="shared" si="28"/>
        <v>-1.9000000000003426E-3</v>
      </c>
      <c r="D470" s="12">
        <f t="shared" si="29"/>
        <v>1.028670000000016</v>
      </c>
      <c r="E470" s="18">
        <v>46.7</v>
      </c>
      <c r="F470" s="27">
        <v>0.94079000000000002</v>
      </c>
      <c r="G470" s="11">
        <f t="shared" si="30"/>
        <v>-1.9000000000003426E-3</v>
      </c>
      <c r="H470" s="12">
        <f t="shared" si="31"/>
        <v>1.029520000000016</v>
      </c>
    </row>
    <row r="471" spans="1:8" ht="14.25" thickBot="1">
      <c r="A471" s="18">
        <v>46.8</v>
      </c>
      <c r="B471" s="27">
        <v>0.93974999999999997</v>
      </c>
      <c r="C471" s="11">
        <f t="shared" si="28"/>
        <v>-1.7999999999995541E-3</v>
      </c>
      <c r="D471" s="12">
        <f t="shared" si="29"/>
        <v>1.0239899999999791</v>
      </c>
      <c r="E471" s="18">
        <v>46.8</v>
      </c>
      <c r="F471" s="27">
        <v>0.94059999999999999</v>
      </c>
      <c r="G471" s="11">
        <f t="shared" si="30"/>
        <v>-1.7999999999995541E-3</v>
      </c>
      <c r="H471" s="12">
        <f t="shared" si="31"/>
        <v>1.0248399999999791</v>
      </c>
    </row>
    <row r="472" spans="1:8" ht="14.25" thickBot="1">
      <c r="A472" s="18">
        <v>46.9</v>
      </c>
      <c r="B472" s="27">
        <v>0.93957000000000002</v>
      </c>
      <c r="C472" s="11">
        <f t="shared" si="28"/>
        <v>-1.8000000000006641E-3</v>
      </c>
      <c r="D472" s="12">
        <f t="shared" si="29"/>
        <v>1.0239900000000313</v>
      </c>
      <c r="E472" s="18">
        <v>46.9</v>
      </c>
      <c r="F472" s="27">
        <v>0.94042000000000003</v>
      </c>
      <c r="G472" s="11">
        <f t="shared" si="30"/>
        <v>-1.8000000000006641E-3</v>
      </c>
      <c r="H472" s="12">
        <f t="shared" si="31"/>
        <v>1.0248400000000313</v>
      </c>
    </row>
    <row r="473" spans="1:8" ht="14.25" thickBot="1">
      <c r="A473" s="9">
        <v>47</v>
      </c>
      <c r="B473" s="19">
        <v>0.93938999999999995</v>
      </c>
      <c r="C473" s="11">
        <f t="shared" si="28"/>
        <v>-1.7999999999995541E-3</v>
      </c>
      <c r="D473" s="12">
        <f t="shared" si="29"/>
        <v>1.0239899999999791</v>
      </c>
      <c r="E473" s="9">
        <v>47</v>
      </c>
      <c r="F473" s="19">
        <v>0.94023999999999996</v>
      </c>
      <c r="G473" s="11">
        <f t="shared" si="30"/>
        <v>-1.7999999999995541E-3</v>
      </c>
      <c r="H473" s="12">
        <f t="shared" si="31"/>
        <v>1.0248399999999791</v>
      </c>
    </row>
    <row r="474" spans="1:8" ht="14.25" thickBot="1">
      <c r="A474" s="18">
        <v>47.1</v>
      </c>
      <c r="B474" s="27">
        <v>0.93920999999999999</v>
      </c>
      <c r="C474" s="11">
        <f t="shared" si="28"/>
        <v>-1.9000000000002075E-3</v>
      </c>
      <c r="D474" s="12">
        <f t="shared" si="29"/>
        <v>1.0287000000000097</v>
      </c>
      <c r="E474" s="18">
        <v>47.1</v>
      </c>
      <c r="F474" s="27">
        <v>0.94006000000000001</v>
      </c>
      <c r="G474" s="11">
        <f t="shared" si="30"/>
        <v>-1.9000000000002075E-3</v>
      </c>
      <c r="H474" s="12">
        <f t="shared" si="31"/>
        <v>1.0295500000000097</v>
      </c>
    </row>
    <row r="475" spans="1:8" ht="14.25" thickBot="1">
      <c r="A475" s="18">
        <v>47.2</v>
      </c>
      <c r="B475" s="27">
        <v>0.93901999999999997</v>
      </c>
      <c r="C475" s="11">
        <f t="shared" si="28"/>
        <v>-1.7999999999996818E-3</v>
      </c>
      <c r="D475" s="12">
        <f t="shared" si="29"/>
        <v>1.023979999999985</v>
      </c>
      <c r="E475" s="18">
        <v>47.2</v>
      </c>
      <c r="F475" s="27">
        <v>0.93986999999999998</v>
      </c>
      <c r="G475" s="11">
        <f t="shared" si="30"/>
        <v>-1.7999999999996818E-3</v>
      </c>
      <c r="H475" s="12">
        <f t="shared" si="31"/>
        <v>1.024829999999985</v>
      </c>
    </row>
    <row r="476" spans="1:8" ht="14.25" thickBot="1">
      <c r="A476" s="18">
        <v>47.3</v>
      </c>
      <c r="B476" s="27">
        <v>0.93884000000000001</v>
      </c>
      <c r="C476" s="11">
        <f t="shared" si="28"/>
        <v>-1.7999999999995541E-3</v>
      </c>
      <c r="D476" s="12">
        <f t="shared" si="29"/>
        <v>1.0239799999999788</v>
      </c>
      <c r="E476" s="18">
        <v>47.3</v>
      </c>
      <c r="F476" s="27">
        <v>0.93969000000000003</v>
      </c>
      <c r="G476" s="11">
        <f t="shared" si="30"/>
        <v>-1.8000000000006641E-3</v>
      </c>
      <c r="H476" s="12">
        <f t="shared" si="31"/>
        <v>1.0248300000000314</v>
      </c>
    </row>
    <row r="477" spans="1:8" ht="14.25" thickBot="1">
      <c r="A477" s="18">
        <v>47.4</v>
      </c>
      <c r="B477" s="27">
        <v>0.93866000000000005</v>
      </c>
      <c r="C477" s="11">
        <f t="shared" si="28"/>
        <v>-1.9000000000002075E-3</v>
      </c>
      <c r="D477" s="12">
        <f t="shared" si="29"/>
        <v>1.0287200000000098</v>
      </c>
      <c r="E477" s="18">
        <v>47.4</v>
      </c>
      <c r="F477" s="27">
        <v>0.93950999999999996</v>
      </c>
      <c r="G477" s="11">
        <f t="shared" si="30"/>
        <v>-1.8999999999990977E-3</v>
      </c>
      <c r="H477" s="12">
        <f t="shared" si="31"/>
        <v>1.0295699999999572</v>
      </c>
    </row>
    <row r="478" spans="1:8" ht="14.25" thickBot="1">
      <c r="A478" s="18">
        <v>47.5</v>
      </c>
      <c r="B478" s="27">
        <v>0.93847000000000003</v>
      </c>
      <c r="C478" s="11">
        <f t="shared" si="28"/>
        <v>-1.8000000000006641E-3</v>
      </c>
      <c r="D478" s="12">
        <f t="shared" si="29"/>
        <v>1.0239700000000316</v>
      </c>
      <c r="E478" s="18">
        <v>47.5</v>
      </c>
      <c r="F478" s="27">
        <v>0.93932000000000004</v>
      </c>
      <c r="G478" s="11">
        <f t="shared" si="30"/>
        <v>-1.8000000000006641E-3</v>
      </c>
      <c r="H478" s="12">
        <f t="shared" si="31"/>
        <v>1.0248200000000316</v>
      </c>
    </row>
    <row r="479" spans="1:8" ht="14.25" thickBot="1">
      <c r="A479" s="18">
        <v>47.6</v>
      </c>
      <c r="B479" s="27">
        <v>0.93828999999999996</v>
      </c>
      <c r="C479" s="11">
        <f t="shared" si="28"/>
        <v>-1.8999999999990977E-3</v>
      </c>
      <c r="D479" s="12">
        <f t="shared" si="29"/>
        <v>1.0287299999999571</v>
      </c>
      <c r="E479" s="18">
        <v>47.6</v>
      </c>
      <c r="F479" s="27">
        <v>0.93913999999999997</v>
      </c>
      <c r="G479" s="11">
        <f t="shared" si="30"/>
        <v>-1.9000000000002075E-3</v>
      </c>
      <c r="H479" s="12">
        <f t="shared" si="31"/>
        <v>1.0295800000000097</v>
      </c>
    </row>
    <row r="480" spans="1:8" ht="14.25" thickBot="1">
      <c r="A480" s="18">
        <v>47.7</v>
      </c>
      <c r="B480" s="27">
        <v>0.93810000000000004</v>
      </c>
      <c r="C480" s="11">
        <f t="shared" si="28"/>
        <v>-1.8000000000007921E-3</v>
      </c>
      <c r="D480" s="12">
        <f t="shared" si="29"/>
        <v>1.0239600000000377</v>
      </c>
      <c r="E480" s="18">
        <v>47.7</v>
      </c>
      <c r="F480" s="27">
        <v>0.93894999999999995</v>
      </c>
      <c r="G480" s="11">
        <f t="shared" si="30"/>
        <v>-1.8999999999992324E-3</v>
      </c>
      <c r="H480" s="12">
        <f t="shared" si="31"/>
        <v>1.0295799999999633</v>
      </c>
    </row>
    <row r="481" spans="1:8" ht="14.25" thickBot="1">
      <c r="A481" s="18">
        <v>47.8</v>
      </c>
      <c r="B481" s="27">
        <v>0.93791999999999998</v>
      </c>
      <c r="C481" s="11">
        <f t="shared" si="28"/>
        <v>-1.9000000000002075E-3</v>
      </c>
      <c r="D481" s="12">
        <f t="shared" si="29"/>
        <v>1.0287400000000098</v>
      </c>
      <c r="E481" s="18">
        <v>47.8</v>
      </c>
      <c r="F481" s="27">
        <v>0.93876000000000004</v>
      </c>
      <c r="G481" s="11">
        <f t="shared" si="30"/>
        <v>-1.9000000000002075E-3</v>
      </c>
      <c r="H481" s="12">
        <f t="shared" si="31"/>
        <v>1.0295800000000099</v>
      </c>
    </row>
    <row r="482" spans="1:8" ht="14.25" thickBot="1">
      <c r="A482" s="18">
        <v>47.9</v>
      </c>
      <c r="B482" s="27">
        <v>0.93772999999999995</v>
      </c>
      <c r="C482" s="11">
        <f t="shared" si="28"/>
        <v>-1.7999999999995541E-3</v>
      </c>
      <c r="D482" s="12">
        <f t="shared" si="29"/>
        <v>1.0239499999999786</v>
      </c>
      <c r="E482" s="18">
        <v>47.9</v>
      </c>
      <c r="F482" s="27">
        <v>0.93857000000000002</v>
      </c>
      <c r="G482" s="11">
        <f t="shared" si="30"/>
        <v>-1.8000000000006641E-3</v>
      </c>
      <c r="H482" s="12">
        <f t="shared" si="31"/>
        <v>1.0247900000000318</v>
      </c>
    </row>
    <row r="483" spans="1:8" ht="14.25" thickBot="1">
      <c r="A483" s="9">
        <v>48</v>
      </c>
      <c r="B483" s="19">
        <v>0.93754999999999999</v>
      </c>
      <c r="C483" s="11">
        <f t="shared" si="28"/>
        <v>-1.9000000000002075E-3</v>
      </c>
      <c r="D483" s="12">
        <f t="shared" si="29"/>
        <v>1.0287500000000098</v>
      </c>
      <c r="E483" s="9">
        <v>48</v>
      </c>
      <c r="F483" s="19">
        <v>0.93838999999999995</v>
      </c>
      <c r="G483" s="11">
        <f t="shared" si="30"/>
        <v>-1.8999999999990977E-3</v>
      </c>
      <c r="H483" s="12">
        <f t="shared" si="31"/>
        <v>1.0295899999999567</v>
      </c>
    </row>
    <row r="484" spans="1:8" ht="14.25" thickBot="1">
      <c r="A484" s="18">
        <v>48.1</v>
      </c>
      <c r="B484" s="27">
        <v>0.93735999999999997</v>
      </c>
      <c r="C484" s="11">
        <f t="shared" si="28"/>
        <v>-1.9000000000002075E-3</v>
      </c>
      <c r="D484" s="12">
        <f t="shared" si="29"/>
        <v>1.02875000000001</v>
      </c>
      <c r="E484" s="18">
        <v>48.1</v>
      </c>
      <c r="F484" s="27">
        <v>0.93820000000000003</v>
      </c>
      <c r="G484" s="11">
        <f t="shared" si="30"/>
        <v>-1.9000000000002075E-3</v>
      </c>
      <c r="H484" s="12">
        <f t="shared" si="31"/>
        <v>1.02959000000001</v>
      </c>
    </row>
    <row r="485" spans="1:8" ht="14.25" thickBot="1">
      <c r="A485" s="18">
        <v>48.2</v>
      </c>
      <c r="B485" s="27">
        <v>0.93716999999999995</v>
      </c>
      <c r="C485" s="11">
        <f t="shared" si="28"/>
        <v>-1.7999999999996818E-3</v>
      </c>
      <c r="D485" s="12">
        <f t="shared" si="29"/>
        <v>1.0239299999999845</v>
      </c>
      <c r="E485" s="18">
        <v>48.2</v>
      </c>
      <c r="F485" s="27">
        <v>0.93801000000000001</v>
      </c>
      <c r="G485" s="11">
        <f t="shared" si="30"/>
        <v>-1.7999999999996818E-3</v>
      </c>
      <c r="H485" s="12">
        <f t="shared" si="31"/>
        <v>1.0247699999999846</v>
      </c>
    </row>
    <row r="486" spans="1:8" ht="14.25" thickBot="1">
      <c r="A486" s="18">
        <v>48.3</v>
      </c>
      <c r="B486" s="27">
        <v>0.93698999999999999</v>
      </c>
      <c r="C486" s="11">
        <f t="shared" si="28"/>
        <v>-1.9000000000002075E-3</v>
      </c>
      <c r="D486" s="12">
        <f t="shared" si="29"/>
        <v>1.0287600000000101</v>
      </c>
      <c r="E486" s="18">
        <v>48.3</v>
      </c>
      <c r="F486" s="27">
        <v>0.93783000000000005</v>
      </c>
      <c r="G486" s="11">
        <f t="shared" si="30"/>
        <v>-1.9000000000002075E-3</v>
      </c>
      <c r="H486" s="12">
        <f t="shared" si="31"/>
        <v>1.0296000000000101</v>
      </c>
    </row>
    <row r="487" spans="1:8" ht="14.25" thickBot="1">
      <c r="A487" s="18">
        <v>48.4</v>
      </c>
      <c r="B487" s="27">
        <v>0.93679999999999997</v>
      </c>
      <c r="C487" s="11">
        <f t="shared" si="28"/>
        <v>-1.8999999999990977E-3</v>
      </c>
      <c r="D487" s="12">
        <f t="shared" si="29"/>
        <v>1.0287599999999564</v>
      </c>
      <c r="E487" s="18">
        <v>48.4</v>
      </c>
      <c r="F487" s="27">
        <v>0.93764000000000003</v>
      </c>
      <c r="G487" s="11">
        <f t="shared" si="30"/>
        <v>-1.9000000000002075E-3</v>
      </c>
      <c r="H487" s="12">
        <f t="shared" si="31"/>
        <v>1.0296000000000101</v>
      </c>
    </row>
    <row r="488" spans="1:8" ht="14.25" thickBot="1">
      <c r="A488" s="18">
        <v>48.5</v>
      </c>
      <c r="B488" s="27">
        <v>0.93661000000000005</v>
      </c>
      <c r="C488" s="11">
        <f t="shared" si="28"/>
        <v>-1.9000000000002075E-3</v>
      </c>
      <c r="D488" s="12">
        <f t="shared" si="29"/>
        <v>1.0287600000000101</v>
      </c>
      <c r="E488" s="18">
        <v>48.5</v>
      </c>
      <c r="F488" s="27">
        <v>0.93745000000000001</v>
      </c>
      <c r="G488" s="11">
        <f t="shared" si="30"/>
        <v>-1.9000000000002075E-3</v>
      </c>
      <c r="H488" s="12">
        <f t="shared" si="31"/>
        <v>1.0296000000000101</v>
      </c>
    </row>
    <row r="489" spans="1:8" ht="14.25" thickBot="1">
      <c r="A489" s="18">
        <v>48.6</v>
      </c>
      <c r="B489" s="27">
        <v>0.93642000000000003</v>
      </c>
      <c r="C489" s="11">
        <f t="shared" si="28"/>
        <v>-1.9000000000002075E-3</v>
      </c>
      <c r="D489" s="12">
        <f t="shared" si="29"/>
        <v>1.0287600000000101</v>
      </c>
      <c r="E489" s="18">
        <v>48.6</v>
      </c>
      <c r="F489" s="27">
        <v>0.93725999999999998</v>
      </c>
      <c r="G489" s="11">
        <f t="shared" si="30"/>
        <v>-1.9000000000002075E-3</v>
      </c>
      <c r="H489" s="12">
        <f t="shared" si="31"/>
        <v>1.0296000000000101</v>
      </c>
    </row>
    <row r="490" spans="1:8" ht="14.25" thickBot="1">
      <c r="A490" s="18">
        <v>48.7</v>
      </c>
      <c r="B490" s="27">
        <v>0.93623000000000001</v>
      </c>
      <c r="C490" s="11">
        <f t="shared" si="28"/>
        <v>-1.7999999999996818E-3</v>
      </c>
      <c r="D490" s="12">
        <f t="shared" si="29"/>
        <v>1.0238899999999844</v>
      </c>
      <c r="E490" s="18">
        <v>48.7</v>
      </c>
      <c r="F490" s="27">
        <v>0.93706999999999996</v>
      </c>
      <c r="G490" s="11">
        <f t="shared" si="30"/>
        <v>-1.7999999999996818E-3</v>
      </c>
      <c r="H490" s="12">
        <f t="shared" si="31"/>
        <v>1.0247299999999844</v>
      </c>
    </row>
    <row r="491" spans="1:8" ht="14.25" thickBot="1">
      <c r="A491" s="18">
        <v>48.8</v>
      </c>
      <c r="B491" s="27">
        <v>0.93605000000000005</v>
      </c>
      <c r="C491" s="11">
        <f t="shared" si="28"/>
        <v>-1.9000000000002075E-3</v>
      </c>
      <c r="D491" s="12">
        <f t="shared" si="29"/>
        <v>1.0287700000000102</v>
      </c>
      <c r="E491" s="18">
        <v>48.8</v>
      </c>
      <c r="F491" s="27">
        <v>0.93689</v>
      </c>
      <c r="G491" s="11">
        <f t="shared" si="30"/>
        <v>-1.9000000000002075E-3</v>
      </c>
      <c r="H491" s="12">
        <f t="shared" si="31"/>
        <v>1.0296100000000101</v>
      </c>
    </row>
    <row r="492" spans="1:8" ht="14.25" thickBot="1">
      <c r="A492" s="18">
        <v>48.9</v>
      </c>
      <c r="B492" s="27">
        <v>0.93586000000000003</v>
      </c>
      <c r="C492" s="11">
        <f t="shared" si="28"/>
        <v>-1.9000000000002075E-3</v>
      </c>
      <c r="D492" s="12">
        <f t="shared" si="29"/>
        <v>1.0287700000000102</v>
      </c>
      <c r="E492" s="18">
        <v>48.9</v>
      </c>
      <c r="F492" s="27">
        <v>0.93669999999999998</v>
      </c>
      <c r="G492" s="11">
        <f t="shared" si="30"/>
        <v>-1.9000000000002075E-3</v>
      </c>
      <c r="H492" s="12">
        <f t="shared" si="31"/>
        <v>1.0296100000000101</v>
      </c>
    </row>
    <row r="493" spans="1:8" ht="14.25" thickBot="1">
      <c r="A493" s="9">
        <v>49</v>
      </c>
      <c r="B493" s="19">
        <v>0.93567</v>
      </c>
      <c r="C493" s="11">
        <f t="shared" si="28"/>
        <v>-1.9000000000002075E-3</v>
      </c>
      <c r="D493" s="12">
        <f t="shared" si="29"/>
        <v>1.0287700000000102</v>
      </c>
      <c r="E493" s="9">
        <v>49</v>
      </c>
      <c r="F493" s="19">
        <v>0.93650999999999995</v>
      </c>
      <c r="G493" s="11">
        <f t="shared" si="30"/>
        <v>-1.8999999999990977E-3</v>
      </c>
      <c r="H493" s="12">
        <f t="shared" si="31"/>
        <v>1.0296099999999557</v>
      </c>
    </row>
    <row r="494" spans="1:8" ht="14.25" thickBot="1">
      <c r="A494" s="18">
        <v>49.1</v>
      </c>
      <c r="B494" s="27">
        <v>0.93547999999999998</v>
      </c>
      <c r="C494" s="11">
        <f t="shared" si="28"/>
        <v>-1.9000000000002075E-3</v>
      </c>
      <c r="D494" s="12">
        <f t="shared" si="29"/>
        <v>1.0287700000000102</v>
      </c>
      <c r="E494" s="18">
        <v>49.1</v>
      </c>
      <c r="F494" s="27">
        <v>0.93632000000000004</v>
      </c>
      <c r="G494" s="11">
        <f t="shared" si="30"/>
        <v>-1.9000000000002075E-3</v>
      </c>
      <c r="H494" s="12">
        <f t="shared" si="31"/>
        <v>1.0296100000000104</v>
      </c>
    </row>
    <row r="495" spans="1:8" ht="14.25" thickBot="1">
      <c r="A495" s="18">
        <v>49.2</v>
      </c>
      <c r="B495" s="27">
        <v>0.93528999999999995</v>
      </c>
      <c r="C495" s="11">
        <f t="shared" si="28"/>
        <v>-1.8999999999992324E-3</v>
      </c>
      <c r="D495" s="12">
        <f t="shared" si="29"/>
        <v>1.0287699999999622</v>
      </c>
      <c r="E495" s="18">
        <v>49.2</v>
      </c>
      <c r="F495" s="27">
        <v>0.93613000000000002</v>
      </c>
      <c r="G495" s="11">
        <f t="shared" si="30"/>
        <v>-1.9000000000003426E-3</v>
      </c>
      <c r="H495" s="12">
        <f t="shared" si="31"/>
        <v>1.0296100000000168</v>
      </c>
    </row>
    <row r="496" spans="1:8" ht="14.25" thickBot="1">
      <c r="A496" s="18">
        <v>49.3</v>
      </c>
      <c r="B496" s="27">
        <v>0.93510000000000004</v>
      </c>
      <c r="C496" s="11">
        <f t="shared" si="28"/>
        <v>-2.0000000000008613E-3</v>
      </c>
      <c r="D496" s="12">
        <f t="shared" si="29"/>
        <v>1.0337000000000425</v>
      </c>
      <c r="E496" s="18">
        <v>49.3</v>
      </c>
      <c r="F496" s="27">
        <v>0.93593999999999999</v>
      </c>
      <c r="G496" s="11">
        <f t="shared" si="30"/>
        <v>-1.9999999999997511E-3</v>
      </c>
      <c r="H496" s="12">
        <f t="shared" si="31"/>
        <v>1.0345399999999878</v>
      </c>
    </row>
    <row r="497" spans="1:8" ht="14.25" thickBot="1">
      <c r="A497" s="18">
        <v>49.4</v>
      </c>
      <c r="B497" s="27">
        <v>0.93489999999999995</v>
      </c>
      <c r="C497" s="11">
        <f t="shared" si="28"/>
        <v>-1.8999999999990977E-3</v>
      </c>
      <c r="D497" s="12">
        <f t="shared" si="29"/>
        <v>1.0287599999999555</v>
      </c>
      <c r="E497" s="18">
        <v>49.4</v>
      </c>
      <c r="F497" s="27">
        <v>0.93574000000000002</v>
      </c>
      <c r="G497" s="11">
        <f t="shared" si="30"/>
        <v>-1.9000000000002075E-3</v>
      </c>
      <c r="H497" s="12">
        <f t="shared" si="31"/>
        <v>1.0296000000000103</v>
      </c>
    </row>
    <row r="498" spans="1:8" ht="14.25" thickBot="1">
      <c r="A498" s="18">
        <v>49.5</v>
      </c>
      <c r="B498" s="27">
        <v>0.93471000000000004</v>
      </c>
      <c r="C498" s="11">
        <f t="shared" si="28"/>
        <v>-1.9000000000002075E-3</v>
      </c>
      <c r="D498" s="12">
        <f t="shared" si="29"/>
        <v>1.0287600000000103</v>
      </c>
      <c r="E498" s="18">
        <v>49.5</v>
      </c>
      <c r="F498" s="27">
        <v>0.93554999999999999</v>
      </c>
      <c r="G498" s="11">
        <f t="shared" si="30"/>
        <v>-1.9000000000002075E-3</v>
      </c>
      <c r="H498" s="12">
        <f t="shared" si="31"/>
        <v>1.0296000000000103</v>
      </c>
    </row>
    <row r="499" spans="1:8" ht="14.25" thickBot="1">
      <c r="A499" s="18">
        <v>49.6</v>
      </c>
      <c r="B499" s="27">
        <v>0.93452000000000002</v>
      </c>
      <c r="C499" s="11">
        <f t="shared" si="28"/>
        <v>-1.9000000000002075E-3</v>
      </c>
      <c r="D499" s="12">
        <f t="shared" si="29"/>
        <v>1.0287600000000103</v>
      </c>
      <c r="E499" s="18">
        <v>49.6</v>
      </c>
      <c r="F499" s="27">
        <v>0.93535999999999997</v>
      </c>
      <c r="G499" s="11">
        <f t="shared" si="30"/>
        <v>-1.9000000000002075E-3</v>
      </c>
      <c r="H499" s="12">
        <f t="shared" si="31"/>
        <v>1.0296000000000103</v>
      </c>
    </row>
    <row r="500" spans="1:8" ht="14.25" thickBot="1">
      <c r="A500" s="18">
        <v>49.7</v>
      </c>
      <c r="B500" s="27">
        <v>0.93432999999999999</v>
      </c>
      <c r="C500" s="11">
        <f t="shared" si="28"/>
        <v>-1.9000000000003426E-3</v>
      </c>
      <c r="D500" s="12">
        <f t="shared" si="29"/>
        <v>1.028760000000017</v>
      </c>
      <c r="E500" s="18">
        <v>49.7</v>
      </c>
      <c r="F500" s="27">
        <v>0.93516999999999995</v>
      </c>
      <c r="G500" s="11">
        <f t="shared" si="30"/>
        <v>-1.8999999999992324E-3</v>
      </c>
      <c r="H500" s="12">
        <f t="shared" si="31"/>
        <v>1.0295999999999619</v>
      </c>
    </row>
    <row r="501" spans="1:8" ht="14.25" thickBot="1">
      <c r="A501" s="18">
        <v>49.8</v>
      </c>
      <c r="B501" s="27">
        <v>0.93413999999999997</v>
      </c>
      <c r="C501" s="11">
        <f t="shared" si="28"/>
        <v>-1.9000000000002075E-3</v>
      </c>
      <c r="D501" s="12">
        <f t="shared" si="29"/>
        <v>1.0287600000000103</v>
      </c>
      <c r="E501" s="18">
        <v>49.8</v>
      </c>
      <c r="F501" s="27">
        <v>0.93498000000000003</v>
      </c>
      <c r="G501" s="11">
        <f t="shared" si="30"/>
        <v>-1.9000000000002075E-3</v>
      </c>
      <c r="H501" s="12">
        <f t="shared" si="31"/>
        <v>1.0296000000000103</v>
      </c>
    </row>
    <row r="502" spans="1:8" ht="14.25" thickBot="1">
      <c r="A502" s="18">
        <v>49.9</v>
      </c>
      <c r="B502" s="27">
        <v>0.93394999999999995</v>
      </c>
      <c r="C502" s="11">
        <f t="shared" si="28"/>
        <v>-1.9999999999997511E-3</v>
      </c>
      <c r="D502" s="12">
        <f t="shared" si="29"/>
        <v>1.0337499999999875</v>
      </c>
      <c r="E502" s="18">
        <v>49.9</v>
      </c>
      <c r="F502" s="27">
        <v>0.93479000000000001</v>
      </c>
      <c r="G502" s="11">
        <f t="shared" si="30"/>
        <v>-1.9999999999997511E-3</v>
      </c>
      <c r="H502" s="12">
        <f t="shared" si="31"/>
        <v>1.0345899999999877</v>
      </c>
    </row>
    <row r="503" spans="1:8" ht="14.25" thickBot="1">
      <c r="A503" s="9">
        <v>50</v>
      </c>
      <c r="B503" s="19">
        <v>0.93374999999999997</v>
      </c>
      <c r="C503" s="11">
        <f t="shared" si="28"/>
        <v>-1.9000000000002075E-3</v>
      </c>
      <c r="D503" s="12">
        <f t="shared" si="29"/>
        <v>1.0287500000000103</v>
      </c>
      <c r="E503" s="9">
        <v>50</v>
      </c>
      <c r="F503" s="19">
        <v>0.93459000000000003</v>
      </c>
      <c r="G503" s="11">
        <f t="shared" si="30"/>
        <v>-1.9000000000002075E-3</v>
      </c>
      <c r="H503" s="12">
        <f t="shared" si="31"/>
        <v>1.0295900000000104</v>
      </c>
    </row>
    <row r="504" spans="1:8" ht="14.25" thickBot="1">
      <c r="A504" s="14">
        <v>50.1</v>
      </c>
      <c r="B504" s="15">
        <v>0.93355999999999995</v>
      </c>
      <c r="C504" s="11">
        <f t="shared" si="28"/>
        <v>-1.8999999999990977E-3</v>
      </c>
      <c r="D504" s="12">
        <f t="shared" si="29"/>
        <v>1.0287499999999548</v>
      </c>
      <c r="E504" s="14">
        <v>50.1</v>
      </c>
      <c r="F504" s="15">
        <v>0.93440000000000001</v>
      </c>
      <c r="G504" s="11">
        <f t="shared" si="30"/>
        <v>-1.9000000000002075E-3</v>
      </c>
      <c r="H504" s="12">
        <f t="shared" si="31"/>
        <v>1.0295900000000104</v>
      </c>
    </row>
    <row r="505" spans="1:8" ht="14.25" thickBot="1">
      <c r="A505" s="14">
        <v>50.2</v>
      </c>
      <c r="B505" s="15">
        <v>0.93337000000000003</v>
      </c>
      <c r="C505" s="11">
        <f t="shared" si="28"/>
        <v>-1.9999999999998934E-3</v>
      </c>
      <c r="D505" s="12">
        <f t="shared" si="29"/>
        <v>1.0337699999999947</v>
      </c>
      <c r="E505" s="14">
        <v>50.2</v>
      </c>
      <c r="F505" s="15">
        <v>0.93420999999999998</v>
      </c>
      <c r="G505" s="11">
        <f t="shared" si="30"/>
        <v>-1.9999999999998934E-3</v>
      </c>
      <c r="H505" s="12">
        <f t="shared" si="31"/>
        <v>1.0346099999999947</v>
      </c>
    </row>
    <row r="506" spans="1:8" ht="14.25" thickBot="1">
      <c r="A506" s="14">
        <v>50.3</v>
      </c>
      <c r="B506" s="15">
        <v>0.93317000000000005</v>
      </c>
      <c r="C506" s="11">
        <f t="shared" si="28"/>
        <v>-1.9000000000002075E-3</v>
      </c>
      <c r="D506" s="12">
        <f t="shared" si="29"/>
        <v>1.0287400000000106</v>
      </c>
      <c r="E506" s="14">
        <v>50.3</v>
      </c>
      <c r="F506" s="15">
        <v>0.93401000000000001</v>
      </c>
      <c r="G506" s="11">
        <f t="shared" si="30"/>
        <v>-1.9000000000002075E-3</v>
      </c>
      <c r="H506" s="12">
        <f t="shared" si="31"/>
        <v>1.0295800000000104</v>
      </c>
    </row>
    <row r="507" spans="1:8" ht="14.25" thickBot="1">
      <c r="A507" s="14">
        <v>50.4</v>
      </c>
      <c r="B507" s="15">
        <v>0.93298000000000003</v>
      </c>
      <c r="C507" s="11">
        <f t="shared" si="28"/>
        <v>-1.9999999999997511E-3</v>
      </c>
      <c r="D507" s="12">
        <f t="shared" si="29"/>
        <v>1.0337799999999875</v>
      </c>
      <c r="E507" s="14">
        <v>50.4</v>
      </c>
      <c r="F507" s="15">
        <v>0.93381999999999998</v>
      </c>
      <c r="G507" s="11">
        <f t="shared" si="30"/>
        <v>-1.9999999999997511E-3</v>
      </c>
      <c r="H507" s="12">
        <f t="shared" si="31"/>
        <v>1.0346199999999874</v>
      </c>
    </row>
    <row r="508" spans="1:8" ht="14.25" thickBot="1">
      <c r="A508" s="14">
        <v>50.5</v>
      </c>
      <c r="B508" s="15">
        <v>0.93278000000000005</v>
      </c>
      <c r="C508" s="11">
        <f t="shared" si="28"/>
        <v>-1.9000000000002075E-3</v>
      </c>
      <c r="D508" s="12">
        <f t="shared" si="29"/>
        <v>1.0287300000000106</v>
      </c>
      <c r="E508" s="14">
        <v>50.5</v>
      </c>
      <c r="F508" s="15">
        <v>0.93362000000000001</v>
      </c>
      <c r="G508" s="11">
        <f t="shared" si="30"/>
        <v>-1.9000000000002075E-3</v>
      </c>
      <c r="H508" s="12">
        <f t="shared" si="31"/>
        <v>1.0295700000000103</v>
      </c>
    </row>
    <row r="509" spans="1:8" ht="14.25" thickBot="1">
      <c r="A509" s="14">
        <v>50.6</v>
      </c>
      <c r="B509" s="15">
        <v>0.93259000000000003</v>
      </c>
      <c r="C509" s="11">
        <f t="shared" si="28"/>
        <v>-1.9999999999997511E-3</v>
      </c>
      <c r="D509" s="12">
        <f t="shared" si="29"/>
        <v>1.0337899999999873</v>
      </c>
      <c r="E509" s="14">
        <v>50.6</v>
      </c>
      <c r="F509" s="15">
        <v>0.93342999999999998</v>
      </c>
      <c r="G509" s="11">
        <f t="shared" si="30"/>
        <v>-1.9999999999997511E-3</v>
      </c>
      <c r="H509" s="12">
        <f t="shared" si="31"/>
        <v>1.0346299999999875</v>
      </c>
    </row>
    <row r="510" spans="1:8" ht="14.25" thickBot="1">
      <c r="A510" s="14">
        <v>50.7</v>
      </c>
      <c r="B510" s="15">
        <v>0.93239000000000005</v>
      </c>
      <c r="C510" s="11">
        <f t="shared" si="28"/>
        <v>-1.9000000000003426E-3</v>
      </c>
      <c r="D510" s="12">
        <f t="shared" si="29"/>
        <v>1.0287200000000174</v>
      </c>
      <c r="E510" s="14">
        <v>50.7</v>
      </c>
      <c r="F510" s="15">
        <v>0.93323</v>
      </c>
      <c r="G510" s="11">
        <f t="shared" si="30"/>
        <v>-1.9000000000003426E-3</v>
      </c>
      <c r="H510" s="12">
        <f t="shared" si="31"/>
        <v>1.0295600000000174</v>
      </c>
    </row>
    <row r="511" spans="1:8" ht="14.25" thickBot="1">
      <c r="A511" s="14">
        <v>50.8</v>
      </c>
      <c r="B511" s="15">
        <v>0.93220000000000003</v>
      </c>
      <c r="C511" s="11">
        <f t="shared" si="28"/>
        <v>-1.9999999999997511E-3</v>
      </c>
      <c r="D511" s="12">
        <f t="shared" si="29"/>
        <v>1.0337999999999874</v>
      </c>
      <c r="E511" s="14">
        <v>50.8</v>
      </c>
      <c r="F511" s="15">
        <v>0.93303999999999998</v>
      </c>
      <c r="G511" s="11">
        <f t="shared" si="30"/>
        <v>-1.9999999999997511E-3</v>
      </c>
      <c r="H511" s="12">
        <f t="shared" si="31"/>
        <v>1.0346399999999873</v>
      </c>
    </row>
    <row r="512" spans="1:8" ht="14.25" thickBot="1">
      <c r="A512" s="14">
        <v>50.9</v>
      </c>
      <c r="B512" s="15">
        <v>0.93200000000000005</v>
      </c>
      <c r="C512" s="11">
        <f t="shared" si="28"/>
        <v>-1.9000000000002075E-3</v>
      </c>
      <c r="D512" s="12">
        <f t="shared" si="29"/>
        <v>1.0287100000000104</v>
      </c>
      <c r="E512" s="14">
        <v>50.9</v>
      </c>
      <c r="F512" s="15">
        <v>0.93284</v>
      </c>
      <c r="G512" s="11">
        <f t="shared" si="30"/>
        <v>-1.9000000000002075E-3</v>
      </c>
      <c r="H512" s="12">
        <f t="shared" si="31"/>
        <v>1.0295500000000106</v>
      </c>
    </row>
    <row r="513" spans="1:8" ht="14.25" thickBot="1">
      <c r="A513" s="9">
        <v>51</v>
      </c>
      <c r="B513" s="19">
        <v>0.93181000000000003</v>
      </c>
      <c r="C513" s="11">
        <f t="shared" si="28"/>
        <v>-1.9999999999997511E-3</v>
      </c>
      <c r="D513" s="12">
        <f t="shared" si="29"/>
        <v>1.0338099999999872</v>
      </c>
      <c r="E513" s="9">
        <v>51</v>
      </c>
      <c r="F513" s="19">
        <v>0.93264999999999998</v>
      </c>
      <c r="G513" s="11">
        <f t="shared" si="30"/>
        <v>-1.9999999999997511E-3</v>
      </c>
      <c r="H513" s="12">
        <f t="shared" si="31"/>
        <v>1.0346499999999872</v>
      </c>
    </row>
    <row r="514" spans="1:8" ht="14.25" thickBot="1">
      <c r="A514" s="18">
        <v>51.1</v>
      </c>
      <c r="B514" s="27">
        <v>0.93161000000000005</v>
      </c>
      <c r="C514" s="11">
        <f t="shared" si="28"/>
        <v>-2.0000000000008613E-3</v>
      </c>
      <c r="D514" s="12">
        <f t="shared" si="29"/>
        <v>1.0338100000000441</v>
      </c>
      <c r="E514" s="18">
        <v>51.1</v>
      </c>
      <c r="F514" s="27">
        <v>0.93245</v>
      </c>
      <c r="G514" s="11">
        <f t="shared" si="30"/>
        <v>-1.9999999999997511E-3</v>
      </c>
      <c r="H514" s="12">
        <f t="shared" si="31"/>
        <v>1.0346499999999872</v>
      </c>
    </row>
    <row r="515" spans="1:8" ht="14.25" thickBot="1">
      <c r="A515" s="18">
        <v>51.2</v>
      </c>
      <c r="B515" s="27">
        <v>0.93140999999999996</v>
      </c>
      <c r="C515" s="11">
        <f t="shared" si="28"/>
        <v>-1.9999999999998934E-3</v>
      </c>
      <c r="D515" s="12">
        <f t="shared" si="29"/>
        <v>1.0338099999999946</v>
      </c>
      <c r="E515" s="18">
        <v>51.2</v>
      </c>
      <c r="F515" s="27">
        <v>0.93225000000000002</v>
      </c>
      <c r="G515" s="11">
        <f t="shared" si="30"/>
        <v>-1.9999999999998934E-3</v>
      </c>
      <c r="H515" s="12">
        <f t="shared" si="31"/>
        <v>1.0346499999999945</v>
      </c>
    </row>
    <row r="516" spans="1:8" ht="14.25" thickBot="1">
      <c r="A516" s="18">
        <v>51.3</v>
      </c>
      <c r="B516" s="27">
        <v>0.93120999999999998</v>
      </c>
      <c r="C516" s="11">
        <f t="shared" ref="C516:C579" si="32">SLOPE(B516:B517,A516:A517)</f>
        <v>-1.9000000000002075E-3</v>
      </c>
      <c r="D516" s="12">
        <f t="shared" ref="D516:D579" si="33">INTERCEPT(B516:B517,A516:A517)</f>
        <v>1.0286800000000105</v>
      </c>
      <c r="E516" s="18">
        <v>51.3</v>
      </c>
      <c r="F516" s="27">
        <v>0.93205000000000005</v>
      </c>
      <c r="G516" s="11">
        <f t="shared" ref="G516:G579" si="34">SLOPE(F516:F517,E516:E517)</f>
        <v>-1.9000000000002075E-3</v>
      </c>
      <c r="H516" s="12">
        <f t="shared" ref="H516:H579" si="35">INTERCEPT(F516:F517,E516:E517)</f>
        <v>1.0295200000000106</v>
      </c>
    </row>
    <row r="517" spans="1:8" ht="14.25" thickBot="1">
      <c r="A517" s="18">
        <v>51.4</v>
      </c>
      <c r="B517" s="27">
        <v>0.93101999999999996</v>
      </c>
      <c r="C517" s="11">
        <f t="shared" si="32"/>
        <v>-1.9999999999997511E-3</v>
      </c>
      <c r="D517" s="12">
        <f t="shared" si="33"/>
        <v>1.0338199999999871</v>
      </c>
      <c r="E517" s="18">
        <v>51.4</v>
      </c>
      <c r="F517" s="27">
        <v>0.93186000000000002</v>
      </c>
      <c r="G517" s="11">
        <f t="shared" si="34"/>
        <v>-1.9999999999997511E-3</v>
      </c>
      <c r="H517" s="12">
        <f t="shared" si="35"/>
        <v>1.0346599999999873</v>
      </c>
    </row>
    <row r="518" spans="1:8" ht="14.25" thickBot="1">
      <c r="A518" s="18">
        <v>51.5</v>
      </c>
      <c r="B518" s="27">
        <v>0.93081999999999998</v>
      </c>
      <c r="C518" s="11">
        <f t="shared" si="32"/>
        <v>-1.9999999999997511E-3</v>
      </c>
      <c r="D518" s="12">
        <f t="shared" si="33"/>
        <v>1.0338199999999871</v>
      </c>
      <c r="E518" s="18">
        <v>51.5</v>
      </c>
      <c r="F518" s="27">
        <v>0.93166000000000004</v>
      </c>
      <c r="G518" s="11">
        <f t="shared" si="34"/>
        <v>-2.0000000000008613E-3</v>
      </c>
      <c r="H518" s="12">
        <f t="shared" si="35"/>
        <v>1.0346600000000443</v>
      </c>
    </row>
    <row r="519" spans="1:8" ht="14.25" thickBot="1">
      <c r="A519" s="18">
        <v>51.6</v>
      </c>
      <c r="B519" s="27">
        <v>0.93062</v>
      </c>
      <c r="C519" s="11">
        <f t="shared" si="32"/>
        <v>-1.9999999999997511E-3</v>
      </c>
      <c r="D519" s="12">
        <f t="shared" si="33"/>
        <v>1.0338199999999871</v>
      </c>
      <c r="E519" s="18">
        <v>51.6</v>
      </c>
      <c r="F519" s="27">
        <v>0.93145999999999995</v>
      </c>
      <c r="G519" s="11">
        <f t="shared" si="34"/>
        <v>-1.9999999999997511E-3</v>
      </c>
      <c r="H519" s="12">
        <f t="shared" si="35"/>
        <v>1.034659999999987</v>
      </c>
    </row>
    <row r="520" spans="1:8" ht="14.25" thickBot="1">
      <c r="A520" s="18">
        <v>51.7</v>
      </c>
      <c r="B520" s="27">
        <v>0.93042000000000002</v>
      </c>
      <c r="C520" s="11">
        <f t="shared" si="32"/>
        <v>-1.9999999999998934E-3</v>
      </c>
      <c r="D520" s="12">
        <f t="shared" si="33"/>
        <v>1.0338199999999946</v>
      </c>
      <c r="E520" s="18">
        <v>51.7</v>
      </c>
      <c r="F520" s="27">
        <v>0.93125999999999998</v>
      </c>
      <c r="G520" s="11">
        <f t="shared" si="34"/>
        <v>-1.9999999999998934E-3</v>
      </c>
      <c r="H520" s="12">
        <f t="shared" si="35"/>
        <v>1.0346599999999944</v>
      </c>
    </row>
    <row r="521" spans="1:8" ht="14.25" thickBot="1">
      <c r="A521" s="18">
        <v>51.8</v>
      </c>
      <c r="B521" s="27">
        <v>0.93022000000000005</v>
      </c>
      <c r="C521" s="11">
        <f t="shared" si="32"/>
        <v>-1.9000000000002075E-3</v>
      </c>
      <c r="D521" s="12">
        <f t="shared" si="33"/>
        <v>1.0286400000000109</v>
      </c>
      <c r="E521" s="18">
        <v>51.8</v>
      </c>
      <c r="F521" s="27">
        <v>0.93106</v>
      </c>
      <c r="G521" s="11">
        <f t="shared" si="34"/>
        <v>-1.9000000000002075E-3</v>
      </c>
      <c r="H521" s="12">
        <f t="shared" si="35"/>
        <v>1.0294800000000108</v>
      </c>
    </row>
    <row r="522" spans="1:8" ht="14.25" thickBot="1">
      <c r="A522" s="18">
        <v>51.9</v>
      </c>
      <c r="B522" s="27">
        <v>0.93003000000000002</v>
      </c>
      <c r="C522" s="11">
        <f t="shared" si="32"/>
        <v>-1.9999999999997511E-3</v>
      </c>
      <c r="D522" s="12">
        <f t="shared" si="33"/>
        <v>1.0338299999999871</v>
      </c>
      <c r="E522" s="18">
        <v>51.9</v>
      </c>
      <c r="F522" s="27">
        <v>0.93086999999999998</v>
      </c>
      <c r="G522" s="11">
        <f t="shared" si="34"/>
        <v>-1.9999999999997511E-3</v>
      </c>
      <c r="H522" s="12">
        <f t="shared" si="35"/>
        <v>1.0346699999999871</v>
      </c>
    </row>
    <row r="523" spans="1:8" ht="14.25" thickBot="1">
      <c r="A523" s="9">
        <v>52</v>
      </c>
      <c r="B523" s="19">
        <v>0.92983000000000005</v>
      </c>
      <c r="C523" s="11">
        <f t="shared" si="32"/>
        <v>-2.0000000000008613E-3</v>
      </c>
      <c r="D523" s="12">
        <f t="shared" si="33"/>
        <v>1.0338300000000449</v>
      </c>
      <c r="E523" s="9">
        <v>52</v>
      </c>
      <c r="F523" s="19">
        <v>0.93067</v>
      </c>
      <c r="G523" s="11">
        <f t="shared" si="34"/>
        <v>-1.9999999999997511E-3</v>
      </c>
      <c r="H523" s="12">
        <f t="shared" si="35"/>
        <v>1.0346699999999871</v>
      </c>
    </row>
    <row r="524" spans="1:8" ht="14.25" thickBot="1">
      <c r="A524" s="18">
        <v>52.1</v>
      </c>
      <c r="B524" s="27">
        <v>0.92962999999999996</v>
      </c>
      <c r="C524" s="11">
        <f t="shared" si="32"/>
        <v>-1.9999999999997511E-3</v>
      </c>
      <c r="D524" s="12">
        <f t="shared" si="33"/>
        <v>1.0338299999999869</v>
      </c>
      <c r="E524" s="18">
        <v>52.1</v>
      </c>
      <c r="F524" s="27">
        <v>0.93047000000000002</v>
      </c>
      <c r="G524" s="11">
        <f t="shared" si="34"/>
        <v>-1.9999999999997511E-3</v>
      </c>
      <c r="H524" s="12">
        <f t="shared" si="35"/>
        <v>1.0346699999999871</v>
      </c>
    </row>
    <row r="525" spans="1:8" ht="14.25" thickBot="1">
      <c r="A525" s="18">
        <v>52.2</v>
      </c>
      <c r="B525" s="27">
        <v>0.92942999999999998</v>
      </c>
      <c r="C525" s="11">
        <f t="shared" si="32"/>
        <v>-1.9999999999998934E-3</v>
      </c>
      <c r="D525" s="12">
        <f t="shared" si="33"/>
        <v>1.0338299999999945</v>
      </c>
      <c r="E525" s="18">
        <v>52.2</v>
      </c>
      <c r="F525" s="27">
        <v>0.93027000000000004</v>
      </c>
      <c r="G525" s="11">
        <f t="shared" si="34"/>
        <v>-2.0000000000010036E-3</v>
      </c>
      <c r="H525" s="12">
        <f t="shared" si="35"/>
        <v>1.0346700000000524</v>
      </c>
    </row>
    <row r="526" spans="1:8" ht="14.25" thickBot="1">
      <c r="A526" s="18">
        <v>52.3</v>
      </c>
      <c r="B526" s="27">
        <v>0.92923</v>
      </c>
      <c r="C526" s="11">
        <f t="shared" si="32"/>
        <v>-1.9999999999997511E-3</v>
      </c>
      <c r="D526" s="12">
        <f t="shared" si="33"/>
        <v>1.0338299999999869</v>
      </c>
      <c r="E526" s="18">
        <v>52.3</v>
      </c>
      <c r="F526" s="27">
        <v>0.93006999999999995</v>
      </c>
      <c r="G526" s="11">
        <f t="shared" si="34"/>
        <v>-1.9999999999997511E-3</v>
      </c>
      <c r="H526" s="12">
        <f t="shared" si="35"/>
        <v>1.0346699999999869</v>
      </c>
    </row>
    <row r="527" spans="1:8" ht="14.25" thickBot="1">
      <c r="A527" s="18">
        <v>52.4</v>
      </c>
      <c r="B527" s="27">
        <v>0.92903000000000002</v>
      </c>
      <c r="C527" s="11">
        <f t="shared" si="32"/>
        <v>-2.1000000000004045E-3</v>
      </c>
      <c r="D527" s="12">
        <f t="shared" si="33"/>
        <v>1.0390700000000213</v>
      </c>
      <c r="E527" s="18">
        <v>52.4</v>
      </c>
      <c r="F527" s="27">
        <v>0.92986999999999997</v>
      </c>
      <c r="G527" s="11">
        <f t="shared" si="34"/>
        <v>-2.0999999999992947E-3</v>
      </c>
      <c r="H527" s="12">
        <f t="shared" si="35"/>
        <v>1.039909999999963</v>
      </c>
    </row>
    <row r="528" spans="1:8" ht="14.25" thickBot="1">
      <c r="A528" s="18">
        <v>52.5</v>
      </c>
      <c r="B528" s="27">
        <v>0.92881999999999998</v>
      </c>
      <c r="C528" s="11">
        <f t="shared" si="32"/>
        <v>-1.9999999999997511E-3</v>
      </c>
      <c r="D528" s="12">
        <f t="shared" si="33"/>
        <v>1.0338199999999869</v>
      </c>
      <c r="E528" s="18">
        <v>52.5</v>
      </c>
      <c r="F528" s="27">
        <v>0.92966000000000004</v>
      </c>
      <c r="G528" s="11">
        <f t="shared" si="34"/>
        <v>-2.0000000000008613E-3</v>
      </c>
      <c r="H528" s="12">
        <f t="shared" si="35"/>
        <v>1.0346600000000452</v>
      </c>
    </row>
    <row r="529" spans="1:8" ht="14.25" thickBot="1">
      <c r="A529" s="18">
        <v>52.6</v>
      </c>
      <c r="B529" s="27">
        <v>0.92862</v>
      </c>
      <c r="C529" s="11">
        <f t="shared" si="32"/>
        <v>-1.9999999999997511E-3</v>
      </c>
      <c r="D529" s="12">
        <f t="shared" si="33"/>
        <v>1.0338199999999869</v>
      </c>
      <c r="E529" s="18">
        <v>52.6</v>
      </c>
      <c r="F529" s="27">
        <v>0.92945999999999995</v>
      </c>
      <c r="G529" s="11">
        <f t="shared" si="34"/>
        <v>-1.9999999999997511E-3</v>
      </c>
      <c r="H529" s="12">
        <f t="shared" si="35"/>
        <v>1.0346599999999868</v>
      </c>
    </row>
    <row r="530" spans="1:8" ht="14.25" thickBot="1">
      <c r="A530" s="18">
        <v>52.7</v>
      </c>
      <c r="B530" s="27">
        <v>0.92842000000000002</v>
      </c>
      <c r="C530" s="11">
        <f t="shared" si="32"/>
        <v>-1.9999999999998934E-3</v>
      </c>
      <c r="D530" s="12">
        <f t="shared" si="33"/>
        <v>1.0338199999999944</v>
      </c>
      <c r="E530" s="18">
        <v>52.7</v>
      </c>
      <c r="F530" s="27">
        <v>0.92925999999999997</v>
      </c>
      <c r="G530" s="11">
        <f t="shared" si="34"/>
        <v>-1.9999999999998934E-3</v>
      </c>
      <c r="H530" s="12">
        <f t="shared" si="35"/>
        <v>1.0346599999999944</v>
      </c>
    </row>
    <row r="531" spans="1:8" ht="14.25" thickBot="1">
      <c r="A531" s="18">
        <v>52.8</v>
      </c>
      <c r="B531" s="27">
        <v>0.92822000000000005</v>
      </c>
      <c r="C531" s="11">
        <f t="shared" si="32"/>
        <v>-2.0000000000008613E-3</v>
      </c>
      <c r="D531" s="12">
        <f t="shared" si="33"/>
        <v>1.0338200000000455</v>
      </c>
      <c r="E531" s="18">
        <v>52.8</v>
      </c>
      <c r="F531" s="27">
        <v>0.92906</v>
      </c>
      <c r="G531" s="11">
        <f t="shared" si="34"/>
        <v>-1.9999999999997511E-3</v>
      </c>
      <c r="H531" s="12">
        <f t="shared" si="35"/>
        <v>1.0346599999999868</v>
      </c>
    </row>
    <row r="532" spans="1:8" ht="14.25" thickBot="1">
      <c r="A532" s="18">
        <v>52.9</v>
      </c>
      <c r="B532" s="27">
        <v>0.92801999999999996</v>
      </c>
      <c r="C532" s="11">
        <f t="shared" si="32"/>
        <v>-1.9999999999997511E-3</v>
      </c>
      <c r="D532" s="12">
        <f t="shared" si="33"/>
        <v>1.0338199999999869</v>
      </c>
      <c r="E532" s="18">
        <v>52.9</v>
      </c>
      <c r="F532" s="27">
        <v>0.92886000000000002</v>
      </c>
      <c r="G532" s="11">
        <f t="shared" si="34"/>
        <v>-1.9999999999997511E-3</v>
      </c>
      <c r="H532" s="12">
        <f t="shared" si="35"/>
        <v>1.0346599999999868</v>
      </c>
    </row>
    <row r="533" spans="1:8" ht="14.25" thickBot="1">
      <c r="A533" s="9">
        <v>53</v>
      </c>
      <c r="B533" s="19">
        <v>0.92781999999999998</v>
      </c>
      <c r="C533" s="11">
        <f t="shared" si="32"/>
        <v>-2.0999999999992947E-3</v>
      </c>
      <c r="D533" s="12">
        <f t="shared" si="33"/>
        <v>1.0391199999999627</v>
      </c>
      <c r="E533" s="9">
        <v>53</v>
      </c>
      <c r="F533" s="19">
        <v>0.92866000000000004</v>
      </c>
      <c r="G533" s="11">
        <f t="shared" si="34"/>
        <v>-2.1000000000004045E-3</v>
      </c>
      <c r="H533" s="12">
        <f t="shared" si="35"/>
        <v>1.0399600000000215</v>
      </c>
    </row>
    <row r="534" spans="1:8" ht="14.25" thickBot="1">
      <c r="A534" s="18">
        <v>53.1</v>
      </c>
      <c r="B534" s="27">
        <v>0.92761000000000005</v>
      </c>
      <c r="C534" s="11">
        <f t="shared" si="32"/>
        <v>-2.0000000000008613E-3</v>
      </c>
      <c r="D534" s="12">
        <f t="shared" si="33"/>
        <v>1.0338100000000459</v>
      </c>
      <c r="E534" s="18">
        <v>53.1</v>
      </c>
      <c r="F534" s="27">
        <v>0.92845</v>
      </c>
      <c r="G534" s="11">
        <f t="shared" si="34"/>
        <v>-1.9999999999997511E-3</v>
      </c>
      <c r="H534" s="12">
        <f t="shared" si="35"/>
        <v>1.0346499999999867</v>
      </c>
    </row>
    <row r="535" spans="1:8" ht="14.25" thickBot="1">
      <c r="A535" s="18">
        <v>53.2</v>
      </c>
      <c r="B535" s="27">
        <v>0.92740999999999996</v>
      </c>
      <c r="C535" s="11">
        <f t="shared" si="32"/>
        <v>-1.9999999999998934E-3</v>
      </c>
      <c r="D535" s="12">
        <f t="shared" si="33"/>
        <v>1.0338099999999943</v>
      </c>
      <c r="E535" s="18">
        <v>53.2</v>
      </c>
      <c r="F535" s="27">
        <v>0.92825000000000002</v>
      </c>
      <c r="G535" s="11">
        <f t="shared" si="34"/>
        <v>-1.9999999999998934E-3</v>
      </c>
      <c r="H535" s="12">
        <f t="shared" si="35"/>
        <v>1.0346499999999943</v>
      </c>
    </row>
    <row r="536" spans="1:8" ht="14.25" thickBot="1">
      <c r="A536" s="18">
        <v>53.3</v>
      </c>
      <c r="B536" s="27">
        <v>0.92720999999999998</v>
      </c>
      <c r="C536" s="11">
        <f t="shared" si="32"/>
        <v>-2.0999999999992947E-3</v>
      </c>
      <c r="D536" s="12">
        <f t="shared" si="33"/>
        <v>1.0391399999999624</v>
      </c>
      <c r="E536" s="18">
        <v>53.3</v>
      </c>
      <c r="F536" s="27">
        <v>0.92805000000000004</v>
      </c>
      <c r="G536" s="11">
        <f t="shared" si="34"/>
        <v>-2.1000000000004045E-3</v>
      </c>
      <c r="H536" s="12">
        <f t="shared" si="35"/>
        <v>1.0399800000000217</v>
      </c>
    </row>
    <row r="537" spans="1:8" ht="14.25" thickBot="1">
      <c r="A537" s="18">
        <v>53.4</v>
      </c>
      <c r="B537" s="27">
        <v>0.92700000000000005</v>
      </c>
      <c r="C537" s="11">
        <f t="shared" si="32"/>
        <v>-2.0000000000008613E-3</v>
      </c>
      <c r="D537" s="12">
        <f t="shared" si="33"/>
        <v>1.033800000000046</v>
      </c>
      <c r="E537" s="18">
        <v>53.4</v>
      </c>
      <c r="F537" s="27">
        <v>0.92784</v>
      </c>
      <c r="G537" s="11">
        <f t="shared" si="34"/>
        <v>-2.1000000000004045E-3</v>
      </c>
      <c r="H537" s="12">
        <f t="shared" si="35"/>
        <v>1.0399800000000217</v>
      </c>
    </row>
    <row r="538" spans="1:8" ht="14.25" thickBot="1">
      <c r="A538" s="18">
        <v>53.5</v>
      </c>
      <c r="B538" s="27">
        <v>0.92679999999999996</v>
      </c>
      <c r="C538" s="11">
        <f t="shared" si="32"/>
        <v>-1.9999999999997511E-3</v>
      </c>
      <c r="D538" s="12">
        <f t="shared" si="33"/>
        <v>1.0337999999999867</v>
      </c>
      <c r="E538" s="18">
        <v>53.5</v>
      </c>
      <c r="F538" s="27">
        <v>0.92762999999999995</v>
      </c>
      <c r="G538" s="11">
        <f t="shared" si="34"/>
        <v>-1.9999999999997511E-3</v>
      </c>
      <c r="H538" s="12">
        <f t="shared" si="35"/>
        <v>1.0346299999999866</v>
      </c>
    </row>
    <row r="539" spans="1:8" ht="14.25" thickBot="1">
      <c r="A539" s="18">
        <v>53.6</v>
      </c>
      <c r="B539" s="27">
        <v>0.92659999999999998</v>
      </c>
      <c r="C539" s="11">
        <f t="shared" si="32"/>
        <v>-2.0999999999992947E-3</v>
      </c>
      <c r="D539" s="12">
        <f t="shared" si="33"/>
        <v>1.0391599999999623</v>
      </c>
      <c r="E539" s="18">
        <v>53.6</v>
      </c>
      <c r="F539" s="27">
        <v>0.92742999999999998</v>
      </c>
      <c r="G539" s="11">
        <f t="shared" si="34"/>
        <v>-2.0999999999992947E-3</v>
      </c>
      <c r="H539" s="12">
        <f t="shared" si="35"/>
        <v>1.0399899999999622</v>
      </c>
    </row>
    <row r="540" spans="1:8" ht="14.25" thickBot="1">
      <c r="A540" s="18">
        <v>53.7</v>
      </c>
      <c r="B540" s="27">
        <v>0.92639000000000005</v>
      </c>
      <c r="C540" s="11">
        <f t="shared" si="32"/>
        <v>-2.0000000000010036E-3</v>
      </c>
      <c r="D540" s="12">
        <f t="shared" si="33"/>
        <v>1.0337900000000539</v>
      </c>
      <c r="E540" s="18">
        <v>53.7</v>
      </c>
      <c r="F540" s="27">
        <v>0.92722000000000004</v>
      </c>
      <c r="G540" s="11">
        <f t="shared" si="34"/>
        <v>-2.0000000000010036E-3</v>
      </c>
      <c r="H540" s="12">
        <f t="shared" si="35"/>
        <v>1.0346200000000538</v>
      </c>
    </row>
    <row r="541" spans="1:8" ht="14.25" thickBot="1">
      <c r="A541" s="18">
        <v>53.8</v>
      </c>
      <c r="B541" s="27">
        <v>0.92618999999999996</v>
      </c>
      <c r="C541" s="11">
        <f t="shared" si="32"/>
        <v>-2.0999999999992947E-3</v>
      </c>
      <c r="D541" s="12">
        <f t="shared" si="33"/>
        <v>1.039169999999962</v>
      </c>
      <c r="E541" s="18">
        <v>53.8</v>
      </c>
      <c r="F541" s="27">
        <v>0.92701999999999996</v>
      </c>
      <c r="G541" s="11">
        <f t="shared" si="34"/>
        <v>-2.0999999999992947E-3</v>
      </c>
      <c r="H541" s="12">
        <f t="shared" si="35"/>
        <v>1.0399999999999618</v>
      </c>
    </row>
    <row r="542" spans="1:8" ht="14.25" thickBot="1">
      <c r="A542" s="18">
        <v>53.9</v>
      </c>
      <c r="B542" s="27">
        <v>0.92598000000000003</v>
      </c>
      <c r="C542" s="11">
        <f t="shared" si="32"/>
        <v>-1.9999999999997511E-3</v>
      </c>
      <c r="D542" s="12">
        <f t="shared" si="33"/>
        <v>1.0337799999999866</v>
      </c>
      <c r="E542" s="18">
        <v>53.9</v>
      </c>
      <c r="F542" s="27">
        <v>0.92681000000000002</v>
      </c>
      <c r="G542" s="11">
        <f t="shared" si="34"/>
        <v>-1.9999999999997511E-3</v>
      </c>
      <c r="H542" s="12">
        <f t="shared" si="35"/>
        <v>1.0346099999999867</v>
      </c>
    </row>
    <row r="543" spans="1:8" ht="14.25" thickBot="1">
      <c r="A543" s="9">
        <v>54</v>
      </c>
      <c r="B543" s="19">
        <v>0.92578000000000005</v>
      </c>
      <c r="C543" s="11">
        <f t="shared" si="32"/>
        <v>-2.1000000000004045E-3</v>
      </c>
      <c r="D543" s="12">
        <f t="shared" si="33"/>
        <v>1.039180000000022</v>
      </c>
      <c r="E543" s="9">
        <v>54</v>
      </c>
      <c r="F543" s="19">
        <v>0.92661000000000004</v>
      </c>
      <c r="G543" s="11">
        <f t="shared" si="34"/>
        <v>-2.1000000000004045E-3</v>
      </c>
      <c r="H543" s="12">
        <f t="shared" si="35"/>
        <v>1.0400100000000219</v>
      </c>
    </row>
    <row r="544" spans="1:8" ht="14.25" thickBot="1">
      <c r="A544" s="18">
        <v>54.1</v>
      </c>
      <c r="B544" s="27">
        <v>0.92557</v>
      </c>
      <c r="C544" s="11">
        <f t="shared" si="32"/>
        <v>-2.1000000000004045E-3</v>
      </c>
      <c r="D544" s="12">
        <f t="shared" si="33"/>
        <v>1.039180000000022</v>
      </c>
      <c r="E544" s="18">
        <v>54.1</v>
      </c>
      <c r="F544" s="27">
        <v>0.9264</v>
      </c>
      <c r="G544" s="11">
        <f t="shared" si="34"/>
        <v>-2.1000000000004045E-3</v>
      </c>
      <c r="H544" s="12">
        <f t="shared" si="35"/>
        <v>1.0400100000000219</v>
      </c>
    </row>
    <row r="545" spans="1:8" ht="14.25" thickBot="1">
      <c r="A545" s="18">
        <v>54.2</v>
      </c>
      <c r="B545" s="27">
        <v>0.92535999999999996</v>
      </c>
      <c r="C545" s="11">
        <f t="shared" si="32"/>
        <v>-1.9999999999998934E-3</v>
      </c>
      <c r="D545" s="12">
        <f t="shared" si="33"/>
        <v>1.0337599999999942</v>
      </c>
      <c r="E545" s="18">
        <v>54.2</v>
      </c>
      <c r="F545" s="27">
        <v>0.92618999999999996</v>
      </c>
      <c r="G545" s="11">
        <f t="shared" si="34"/>
        <v>-1.9999999999998934E-3</v>
      </c>
      <c r="H545" s="12">
        <f t="shared" si="35"/>
        <v>1.0345899999999941</v>
      </c>
    </row>
    <row r="546" spans="1:8" ht="14.25" thickBot="1">
      <c r="A546" s="18">
        <v>54.3</v>
      </c>
      <c r="B546" s="27">
        <v>0.92515999999999998</v>
      </c>
      <c r="C546" s="11">
        <f t="shared" si="32"/>
        <v>-2.0999999999992947E-3</v>
      </c>
      <c r="D546" s="12">
        <f t="shared" si="33"/>
        <v>1.0391899999999616</v>
      </c>
      <c r="E546" s="18">
        <v>54.3</v>
      </c>
      <c r="F546" s="27">
        <v>0.92598999999999998</v>
      </c>
      <c r="G546" s="11">
        <f t="shared" si="34"/>
        <v>-2.0999999999992947E-3</v>
      </c>
      <c r="H546" s="12">
        <f t="shared" si="35"/>
        <v>1.0400199999999618</v>
      </c>
    </row>
    <row r="547" spans="1:8" ht="14.25" thickBot="1">
      <c r="A547" s="18">
        <v>54.4</v>
      </c>
      <c r="B547" s="27">
        <v>0.92495000000000005</v>
      </c>
      <c r="C547" s="11">
        <f t="shared" si="32"/>
        <v>-2.1000000000004045E-3</v>
      </c>
      <c r="D547" s="12">
        <f t="shared" si="33"/>
        <v>1.039190000000022</v>
      </c>
      <c r="E547" s="18">
        <v>54.4</v>
      </c>
      <c r="F547" s="27">
        <v>0.92578000000000005</v>
      </c>
      <c r="G547" s="11">
        <f t="shared" si="34"/>
        <v>-2.1000000000004045E-3</v>
      </c>
      <c r="H547" s="12">
        <f t="shared" si="35"/>
        <v>1.0400200000000221</v>
      </c>
    </row>
    <row r="548" spans="1:8" ht="14.25" thickBot="1">
      <c r="A548" s="18">
        <v>54.5</v>
      </c>
      <c r="B548" s="27">
        <v>0.92474000000000001</v>
      </c>
      <c r="C548" s="11">
        <f t="shared" si="32"/>
        <v>-1.9999999999997511E-3</v>
      </c>
      <c r="D548" s="12">
        <f t="shared" si="33"/>
        <v>1.0337399999999863</v>
      </c>
      <c r="E548" s="18">
        <v>54.5</v>
      </c>
      <c r="F548" s="27">
        <v>0.92557</v>
      </c>
      <c r="G548" s="11">
        <f t="shared" si="34"/>
        <v>-1.9999999999997511E-3</v>
      </c>
      <c r="H548" s="12">
        <f t="shared" si="35"/>
        <v>1.0345699999999864</v>
      </c>
    </row>
    <row r="549" spans="1:8" ht="14.25" thickBot="1">
      <c r="A549" s="18">
        <v>54.6</v>
      </c>
      <c r="B549" s="27">
        <v>0.92454000000000003</v>
      </c>
      <c r="C549" s="11">
        <f t="shared" si="32"/>
        <v>-2.1000000000004045E-3</v>
      </c>
      <c r="D549" s="12">
        <f t="shared" si="33"/>
        <v>1.0392000000000221</v>
      </c>
      <c r="E549" s="18">
        <v>54.6</v>
      </c>
      <c r="F549" s="27">
        <v>0.92537000000000003</v>
      </c>
      <c r="G549" s="11">
        <f t="shared" si="34"/>
        <v>-2.1000000000004045E-3</v>
      </c>
      <c r="H549" s="12">
        <f t="shared" si="35"/>
        <v>1.0400300000000222</v>
      </c>
    </row>
    <row r="550" spans="1:8" ht="14.25" thickBot="1">
      <c r="A550" s="18">
        <v>54.7</v>
      </c>
      <c r="B550" s="27">
        <v>0.92432999999999998</v>
      </c>
      <c r="C550" s="11">
        <f t="shared" si="32"/>
        <v>-2.0999999999994439E-3</v>
      </c>
      <c r="D550" s="12">
        <f t="shared" si="33"/>
        <v>1.0391999999999697</v>
      </c>
      <c r="E550" s="18">
        <v>54.7</v>
      </c>
      <c r="F550" s="27">
        <v>0.92515999999999998</v>
      </c>
      <c r="G550" s="11">
        <f t="shared" si="34"/>
        <v>-2.0999999999994439E-3</v>
      </c>
      <c r="H550" s="12">
        <f t="shared" si="35"/>
        <v>1.0400299999999696</v>
      </c>
    </row>
    <row r="551" spans="1:8" ht="14.25" thickBot="1">
      <c r="A551" s="18">
        <v>54.8</v>
      </c>
      <c r="B551" s="27">
        <v>0.92412000000000005</v>
      </c>
      <c r="C551" s="11">
        <f t="shared" si="32"/>
        <v>-2.1000000000004045E-3</v>
      </c>
      <c r="D551" s="12">
        <f t="shared" si="33"/>
        <v>1.0392000000000221</v>
      </c>
      <c r="E551" s="18">
        <v>54.8</v>
      </c>
      <c r="F551" s="27">
        <v>0.92495000000000005</v>
      </c>
      <c r="G551" s="11">
        <f t="shared" si="34"/>
        <v>-2.1000000000004045E-3</v>
      </c>
      <c r="H551" s="12">
        <f t="shared" si="35"/>
        <v>1.0400300000000222</v>
      </c>
    </row>
    <row r="552" spans="1:8" ht="14.25" thickBot="1">
      <c r="A552" s="18">
        <v>54.9</v>
      </c>
      <c r="B552" s="27">
        <v>0.92391000000000001</v>
      </c>
      <c r="C552" s="11">
        <f t="shared" si="32"/>
        <v>-1.9999999999997511E-3</v>
      </c>
      <c r="D552" s="12">
        <f t="shared" si="33"/>
        <v>1.0337099999999864</v>
      </c>
      <c r="E552" s="18">
        <v>54.9</v>
      </c>
      <c r="F552" s="27">
        <v>0.92474000000000001</v>
      </c>
      <c r="G552" s="11">
        <f t="shared" si="34"/>
        <v>-1.9999999999997511E-3</v>
      </c>
      <c r="H552" s="12">
        <f t="shared" si="35"/>
        <v>1.0345399999999862</v>
      </c>
    </row>
    <row r="553" spans="1:8" ht="14.25" thickBot="1">
      <c r="A553" s="9">
        <v>55</v>
      </c>
      <c r="B553" s="19">
        <v>0.92371000000000003</v>
      </c>
      <c r="C553" s="11">
        <f t="shared" si="32"/>
        <v>-2.1000000000004045E-3</v>
      </c>
      <c r="D553" s="12">
        <f t="shared" si="33"/>
        <v>1.0392100000000222</v>
      </c>
      <c r="E553" s="9">
        <v>55</v>
      </c>
      <c r="F553" s="19">
        <v>0.92454000000000003</v>
      </c>
      <c r="G553" s="11">
        <f t="shared" si="34"/>
        <v>-2.1000000000004045E-3</v>
      </c>
      <c r="H553" s="12">
        <f t="shared" si="35"/>
        <v>1.0400400000000223</v>
      </c>
    </row>
    <row r="554" spans="1:8" ht="14.25" thickBot="1">
      <c r="A554" s="18">
        <v>55.1</v>
      </c>
      <c r="B554" s="27">
        <v>0.92349999999999999</v>
      </c>
      <c r="C554" s="11">
        <f t="shared" si="32"/>
        <v>-2.0999999999992947E-3</v>
      </c>
      <c r="D554" s="12">
        <f t="shared" si="33"/>
        <v>1.0392099999999611</v>
      </c>
      <c r="E554" s="18">
        <v>55.1</v>
      </c>
      <c r="F554" s="27">
        <v>0.92432999999999998</v>
      </c>
      <c r="G554" s="11">
        <f t="shared" si="34"/>
        <v>-2.0999999999992947E-3</v>
      </c>
      <c r="H554" s="12">
        <f t="shared" si="35"/>
        <v>1.0400399999999612</v>
      </c>
    </row>
    <row r="555" spans="1:8" ht="14.25" thickBot="1">
      <c r="A555" s="18">
        <v>55.2</v>
      </c>
      <c r="B555" s="27">
        <v>0.92329000000000006</v>
      </c>
      <c r="C555" s="11">
        <f t="shared" si="32"/>
        <v>-2.1000000000005537E-3</v>
      </c>
      <c r="D555" s="12">
        <f t="shared" si="33"/>
        <v>1.0392100000000306</v>
      </c>
      <c r="E555" s="18">
        <v>55.2</v>
      </c>
      <c r="F555" s="27">
        <v>0.92412000000000005</v>
      </c>
      <c r="G555" s="11">
        <f t="shared" si="34"/>
        <v>-2.1000000000005537E-3</v>
      </c>
      <c r="H555" s="12">
        <f t="shared" si="35"/>
        <v>1.0400400000000307</v>
      </c>
    </row>
    <row r="556" spans="1:8" ht="14.25" thickBot="1">
      <c r="A556" s="18">
        <v>55.3</v>
      </c>
      <c r="B556" s="27">
        <v>0.92308000000000001</v>
      </c>
      <c r="C556" s="11">
        <f t="shared" si="32"/>
        <v>-2.1000000000004045E-3</v>
      </c>
      <c r="D556" s="12">
        <f t="shared" si="33"/>
        <v>1.0392100000000224</v>
      </c>
      <c r="E556" s="18">
        <v>55.3</v>
      </c>
      <c r="F556" s="27">
        <v>0.92391000000000001</v>
      </c>
      <c r="G556" s="11">
        <f t="shared" si="34"/>
        <v>-2.1000000000004045E-3</v>
      </c>
      <c r="H556" s="12">
        <f t="shared" si="35"/>
        <v>1.0400400000000223</v>
      </c>
    </row>
    <row r="557" spans="1:8" ht="14.25" thickBot="1">
      <c r="A557" s="18">
        <v>55.4</v>
      </c>
      <c r="B557" s="27">
        <v>0.92286999999999997</v>
      </c>
      <c r="C557" s="11">
        <f t="shared" si="32"/>
        <v>-2.0999999999992947E-3</v>
      </c>
      <c r="D557" s="12">
        <f t="shared" si="33"/>
        <v>1.0392099999999609</v>
      </c>
      <c r="E557" s="18">
        <v>55.4</v>
      </c>
      <c r="F557" s="27">
        <v>0.92369999999999997</v>
      </c>
      <c r="G557" s="11">
        <f t="shared" si="34"/>
        <v>-2.0999999999992947E-3</v>
      </c>
      <c r="H557" s="12">
        <f t="shared" si="35"/>
        <v>1.0400399999999608</v>
      </c>
    </row>
    <row r="558" spans="1:8" ht="14.25" thickBot="1">
      <c r="A558" s="18">
        <v>55.5</v>
      </c>
      <c r="B558" s="27">
        <v>0.92266000000000004</v>
      </c>
      <c r="C558" s="11">
        <f t="shared" si="32"/>
        <v>-2.1000000000004045E-3</v>
      </c>
      <c r="D558" s="12">
        <f t="shared" si="33"/>
        <v>1.0392100000000224</v>
      </c>
      <c r="E558" s="18">
        <v>55.5</v>
      </c>
      <c r="F558" s="27">
        <v>0.92349000000000003</v>
      </c>
      <c r="G558" s="11">
        <f t="shared" si="34"/>
        <v>-2.1000000000004045E-3</v>
      </c>
      <c r="H558" s="12">
        <f t="shared" si="35"/>
        <v>1.0400400000000225</v>
      </c>
    </row>
    <row r="559" spans="1:8" ht="14.25" thickBot="1">
      <c r="A559" s="18">
        <v>55.6</v>
      </c>
      <c r="B559" s="27">
        <v>0.92244999999999999</v>
      </c>
      <c r="C559" s="11">
        <f t="shared" si="32"/>
        <v>-2.1000000000004045E-3</v>
      </c>
      <c r="D559" s="12">
        <f t="shared" si="33"/>
        <v>1.0392100000000224</v>
      </c>
      <c r="E559" s="18">
        <v>55.6</v>
      </c>
      <c r="F559" s="27">
        <v>0.92327999999999999</v>
      </c>
      <c r="G559" s="11">
        <f t="shared" si="34"/>
        <v>-2.1000000000004045E-3</v>
      </c>
      <c r="H559" s="12">
        <f t="shared" si="35"/>
        <v>1.0400400000000225</v>
      </c>
    </row>
    <row r="560" spans="1:8" ht="14.25" thickBot="1">
      <c r="A560" s="18">
        <v>55.7</v>
      </c>
      <c r="B560" s="27">
        <v>0.92223999999999995</v>
      </c>
      <c r="C560" s="11">
        <f t="shared" si="32"/>
        <v>-2.0999999999994439E-3</v>
      </c>
      <c r="D560" s="12">
        <f t="shared" si="33"/>
        <v>1.0392099999999689</v>
      </c>
      <c r="E560" s="18">
        <v>55.7</v>
      </c>
      <c r="F560" s="27">
        <v>0.92306999999999995</v>
      </c>
      <c r="G560" s="11">
        <f t="shared" si="34"/>
        <v>-2.0999999999994439E-3</v>
      </c>
      <c r="H560" s="12">
        <f t="shared" si="35"/>
        <v>1.040039999999969</v>
      </c>
    </row>
    <row r="561" spans="1:8" ht="14.25" thickBot="1">
      <c r="A561" s="18">
        <v>55.8</v>
      </c>
      <c r="B561" s="27">
        <v>0.92203000000000002</v>
      </c>
      <c r="C561" s="11">
        <f t="shared" si="32"/>
        <v>-2.1000000000004045E-3</v>
      </c>
      <c r="D561" s="12">
        <f t="shared" si="33"/>
        <v>1.0392100000000226</v>
      </c>
      <c r="E561" s="18">
        <v>55.8</v>
      </c>
      <c r="F561" s="27">
        <v>0.92286000000000001</v>
      </c>
      <c r="G561" s="11">
        <f t="shared" si="34"/>
        <v>-2.1000000000004045E-3</v>
      </c>
      <c r="H561" s="12">
        <f t="shared" si="35"/>
        <v>1.0400400000000225</v>
      </c>
    </row>
    <row r="562" spans="1:8" ht="14.25" thickBot="1">
      <c r="A562" s="18">
        <v>55.9</v>
      </c>
      <c r="B562" s="27">
        <v>0.92181999999999997</v>
      </c>
      <c r="C562" s="11">
        <f t="shared" si="32"/>
        <v>-2.0999999999992947E-3</v>
      </c>
      <c r="D562" s="12">
        <f t="shared" si="33"/>
        <v>1.0392099999999607</v>
      </c>
      <c r="E562" s="18">
        <v>55.9</v>
      </c>
      <c r="F562" s="27">
        <v>0.92264999999999997</v>
      </c>
      <c r="G562" s="11">
        <f t="shared" si="34"/>
        <v>-2.0999999999992947E-3</v>
      </c>
      <c r="H562" s="12">
        <f t="shared" si="35"/>
        <v>1.0400399999999606</v>
      </c>
    </row>
    <row r="563" spans="1:8" ht="14.25" thickBot="1">
      <c r="A563" s="9">
        <v>56</v>
      </c>
      <c r="B563" s="19">
        <v>0.92161000000000004</v>
      </c>
      <c r="C563" s="11">
        <f t="shared" si="32"/>
        <v>-2.1000000000004045E-3</v>
      </c>
      <c r="D563" s="12">
        <f t="shared" si="33"/>
        <v>1.0392100000000226</v>
      </c>
      <c r="E563" s="9">
        <v>56</v>
      </c>
      <c r="F563" s="19">
        <v>0.92244000000000004</v>
      </c>
      <c r="G563" s="11">
        <f t="shared" si="34"/>
        <v>-2.1000000000004045E-3</v>
      </c>
      <c r="H563" s="12">
        <f t="shared" si="35"/>
        <v>1.0400400000000227</v>
      </c>
    </row>
    <row r="564" spans="1:8" ht="14.25" thickBot="1">
      <c r="A564" s="18">
        <v>56.1</v>
      </c>
      <c r="B564" s="27">
        <v>0.9214</v>
      </c>
      <c r="C564" s="11">
        <f t="shared" si="32"/>
        <v>-2.1000000000004045E-3</v>
      </c>
      <c r="D564" s="12">
        <f t="shared" si="33"/>
        <v>1.0392100000000226</v>
      </c>
      <c r="E564" s="18">
        <v>56.1</v>
      </c>
      <c r="F564" s="27">
        <v>0.92222999999999999</v>
      </c>
      <c r="G564" s="11">
        <f t="shared" si="34"/>
        <v>-2.1000000000004045E-3</v>
      </c>
      <c r="H564" s="12">
        <f t="shared" si="35"/>
        <v>1.0400400000000227</v>
      </c>
    </row>
    <row r="565" spans="1:8" ht="14.25" thickBot="1">
      <c r="A565" s="18">
        <v>56.2</v>
      </c>
      <c r="B565" s="27">
        <v>0.92118999999999995</v>
      </c>
      <c r="C565" s="11">
        <f t="shared" si="32"/>
        <v>-2.2000000000001046E-3</v>
      </c>
      <c r="D565" s="12">
        <f t="shared" si="33"/>
        <v>1.0448300000000057</v>
      </c>
      <c r="E565" s="18">
        <v>56.2</v>
      </c>
      <c r="F565" s="27">
        <v>0.92201999999999995</v>
      </c>
      <c r="G565" s="11">
        <f t="shared" si="34"/>
        <v>-2.2000000000001046E-3</v>
      </c>
      <c r="H565" s="12">
        <f t="shared" si="35"/>
        <v>1.0456600000000058</v>
      </c>
    </row>
    <row r="566" spans="1:8" ht="14.25" thickBot="1">
      <c r="A566" s="18">
        <v>56.3</v>
      </c>
      <c r="B566" s="27">
        <v>0.92096999999999996</v>
      </c>
      <c r="C566" s="11">
        <f t="shared" si="32"/>
        <v>-2.0999999999992947E-3</v>
      </c>
      <c r="D566" s="12">
        <f t="shared" si="33"/>
        <v>1.0391999999999604</v>
      </c>
      <c r="E566" s="18">
        <v>56.3</v>
      </c>
      <c r="F566" s="27">
        <v>0.92179999999999995</v>
      </c>
      <c r="G566" s="11">
        <f t="shared" si="34"/>
        <v>-2.0999999999992947E-3</v>
      </c>
      <c r="H566" s="12">
        <f t="shared" si="35"/>
        <v>1.0400299999999603</v>
      </c>
    </row>
    <row r="567" spans="1:8" ht="14.25" thickBot="1">
      <c r="A567" s="18">
        <v>56.4</v>
      </c>
      <c r="B567" s="27">
        <v>0.92076000000000002</v>
      </c>
      <c r="C567" s="11">
        <f t="shared" si="32"/>
        <v>-2.1000000000004045E-3</v>
      </c>
      <c r="D567" s="12">
        <f t="shared" si="33"/>
        <v>1.0392000000000228</v>
      </c>
      <c r="E567" s="18">
        <v>56.4</v>
      </c>
      <c r="F567" s="27">
        <v>0.92159000000000002</v>
      </c>
      <c r="G567" s="11">
        <f t="shared" si="34"/>
        <v>-2.1000000000004045E-3</v>
      </c>
      <c r="H567" s="12">
        <f t="shared" si="35"/>
        <v>1.0400300000000229</v>
      </c>
    </row>
    <row r="568" spans="1:8" ht="14.25" thickBot="1">
      <c r="A568" s="18">
        <v>56.5</v>
      </c>
      <c r="B568" s="27">
        <v>0.92054999999999998</v>
      </c>
      <c r="C568" s="11">
        <f t="shared" si="32"/>
        <v>-2.0999999999992947E-3</v>
      </c>
      <c r="D568" s="12">
        <f t="shared" si="33"/>
        <v>1.0391999999999602</v>
      </c>
      <c r="E568" s="18">
        <v>56.5</v>
      </c>
      <c r="F568" s="27">
        <v>0.92137999999999998</v>
      </c>
      <c r="G568" s="11">
        <f t="shared" si="34"/>
        <v>-2.0999999999992947E-3</v>
      </c>
      <c r="H568" s="12">
        <f t="shared" si="35"/>
        <v>1.0400299999999603</v>
      </c>
    </row>
    <row r="569" spans="1:8" ht="14.25" thickBot="1">
      <c r="A569" s="18">
        <v>56.6</v>
      </c>
      <c r="B569" s="27">
        <v>0.92034000000000005</v>
      </c>
      <c r="C569" s="11">
        <f t="shared" si="32"/>
        <v>-2.1000000000004045E-3</v>
      </c>
      <c r="D569" s="12">
        <f t="shared" si="33"/>
        <v>1.039200000000023</v>
      </c>
      <c r="E569" s="18">
        <v>56.6</v>
      </c>
      <c r="F569" s="27">
        <v>0.92117000000000004</v>
      </c>
      <c r="G569" s="11">
        <f t="shared" si="34"/>
        <v>-2.1000000000004045E-3</v>
      </c>
      <c r="H569" s="12">
        <f t="shared" si="35"/>
        <v>1.0400300000000229</v>
      </c>
    </row>
    <row r="570" spans="1:8" ht="14.25" thickBot="1">
      <c r="A570" s="18">
        <v>56.7</v>
      </c>
      <c r="B570" s="27">
        <v>0.92013</v>
      </c>
      <c r="C570" s="11">
        <f t="shared" si="32"/>
        <v>-2.2000000000001046E-3</v>
      </c>
      <c r="D570" s="12">
        <f t="shared" si="33"/>
        <v>1.044870000000006</v>
      </c>
      <c r="E570" s="18">
        <v>56.7</v>
      </c>
      <c r="F570" s="27">
        <v>0.92096</v>
      </c>
      <c r="G570" s="11">
        <f t="shared" si="34"/>
        <v>-2.2000000000001046E-3</v>
      </c>
      <c r="H570" s="12">
        <f t="shared" si="35"/>
        <v>1.0457000000000058</v>
      </c>
    </row>
    <row r="571" spans="1:8" ht="14.25" thickBot="1">
      <c r="A571" s="18">
        <v>56.8</v>
      </c>
      <c r="B571" s="27">
        <v>0.91991000000000001</v>
      </c>
      <c r="C571" s="11">
        <f t="shared" si="32"/>
        <v>-2.1000000000004045E-3</v>
      </c>
      <c r="D571" s="12">
        <f t="shared" si="33"/>
        <v>1.0391900000000229</v>
      </c>
      <c r="E571" s="18">
        <v>56.8</v>
      </c>
      <c r="F571" s="27">
        <v>0.92074</v>
      </c>
      <c r="G571" s="11">
        <f t="shared" si="34"/>
        <v>-2.1000000000004045E-3</v>
      </c>
      <c r="H571" s="12">
        <f t="shared" si="35"/>
        <v>1.040020000000023</v>
      </c>
    </row>
    <row r="572" spans="1:8" ht="14.25" thickBot="1">
      <c r="A572" s="18">
        <v>56.9</v>
      </c>
      <c r="B572" s="27">
        <v>0.91969999999999996</v>
      </c>
      <c r="C572" s="11">
        <f t="shared" si="32"/>
        <v>-2.0999999999992947E-3</v>
      </c>
      <c r="D572" s="12">
        <f t="shared" si="33"/>
        <v>1.0391899999999599</v>
      </c>
      <c r="E572" s="18">
        <v>56.9</v>
      </c>
      <c r="F572" s="27">
        <v>0.92052999999999996</v>
      </c>
      <c r="G572" s="11">
        <f t="shared" si="34"/>
        <v>-2.0999999999992947E-3</v>
      </c>
      <c r="H572" s="12">
        <f t="shared" si="35"/>
        <v>1.04001999999996</v>
      </c>
    </row>
    <row r="573" spans="1:8" ht="14.25" thickBot="1">
      <c r="A573" s="9">
        <v>57</v>
      </c>
      <c r="B573" s="19">
        <v>0.91949000000000003</v>
      </c>
      <c r="C573" s="11">
        <f t="shared" si="32"/>
        <v>-2.1999999999999485E-3</v>
      </c>
      <c r="D573" s="12">
        <f t="shared" si="33"/>
        <v>1.0448899999999972</v>
      </c>
      <c r="E573" s="9">
        <v>57</v>
      </c>
      <c r="F573" s="19">
        <v>0.92032000000000003</v>
      </c>
      <c r="G573" s="11">
        <f t="shared" si="34"/>
        <v>-2.1999999999999481E-3</v>
      </c>
      <c r="H573" s="12">
        <f t="shared" si="35"/>
        <v>1.0457199999999971</v>
      </c>
    </row>
    <row r="574" spans="1:8" ht="14.25" thickBot="1">
      <c r="A574" s="18">
        <v>57.1</v>
      </c>
      <c r="B574" s="27">
        <v>0.91927000000000003</v>
      </c>
      <c r="C574" s="11">
        <f t="shared" si="32"/>
        <v>-2.1000000000004045E-3</v>
      </c>
      <c r="D574" s="12">
        <f t="shared" si="33"/>
        <v>1.0391800000000231</v>
      </c>
      <c r="E574" s="18">
        <v>57.1</v>
      </c>
      <c r="F574" s="27">
        <v>0.92010000000000003</v>
      </c>
      <c r="G574" s="11">
        <f t="shared" si="34"/>
        <v>-2.1000000000004045E-3</v>
      </c>
      <c r="H574" s="12">
        <f t="shared" si="35"/>
        <v>1.0400100000000232</v>
      </c>
    </row>
    <row r="575" spans="1:8" ht="14.25" thickBot="1">
      <c r="A575" s="18">
        <v>57.2</v>
      </c>
      <c r="B575" s="27">
        <v>0.91905999999999999</v>
      </c>
      <c r="C575" s="11">
        <f t="shared" si="32"/>
        <v>-2.2000000000001046E-3</v>
      </c>
      <c r="D575" s="12">
        <f t="shared" si="33"/>
        <v>1.0449000000000059</v>
      </c>
      <c r="E575" s="18">
        <v>57.2</v>
      </c>
      <c r="F575" s="27">
        <v>0.91988999999999999</v>
      </c>
      <c r="G575" s="11">
        <f t="shared" si="34"/>
        <v>-2.2000000000001046E-3</v>
      </c>
      <c r="H575" s="12">
        <f t="shared" si="35"/>
        <v>1.045730000000006</v>
      </c>
    </row>
    <row r="576" spans="1:8" ht="14.25" thickBot="1">
      <c r="A576" s="18">
        <v>57.3</v>
      </c>
      <c r="B576" s="27">
        <v>0.91883999999999999</v>
      </c>
      <c r="C576" s="11">
        <f t="shared" si="32"/>
        <v>-2.1000000000004045E-3</v>
      </c>
      <c r="D576" s="12">
        <f t="shared" si="33"/>
        <v>1.0391700000000232</v>
      </c>
      <c r="E576" s="18">
        <v>57.3</v>
      </c>
      <c r="F576" s="27">
        <v>0.91966999999999999</v>
      </c>
      <c r="G576" s="11">
        <f t="shared" si="34"/>
        <v>-2.0999999999992947E-3</v>
      </c>
      <c r="H576" s="12">
        <f t="shared" si="35"/>
        <v>1.0399999999999594</v>
      </c>
    </row>
    <row r="577" spans="1:8" ht="14.25" thickBot="1">
      <c r="A577" s="18">
        <v>57.4</v>
      </c>
      <c r="B577" s="27">
        <v>0.91862999999999995</v>
      </c>
      <c r="C577" s="11">
        <f t="shared" si="32"/>
        <v>-2.1999999999999481E-3</v>
      </c>
      <c r="D577" s="12">
        <f t="shared" si="33"/>
        <v>1.0449099999999971</v>
      </c>
      <c r="E577" s="18">
        <v>57.4</v>
      </c>
      <c r="F577" s="27">
        <v>0.91946000000000006</v>
      </c>
      <c r="G577" s="11">
        <f t="shared" si="34"/>
        <v>-2.2000000000010587E-3</v>
      </c>
      <c r="H577" s="12">
        <f t="shared" si="35"/>
        <v>1.0457400000000607</v>
      </c>
    </row>
    <row r="578" spans="1:8" ht="14.25" thickBot="1">
      <c r="A578" s="18">
        <v>57.5</v>
      </c>
      <c r="B578" s="27">
        <v>0.91840999999999995</v>
      </c>
      <c r="C578" s="11">
        <f t="shared" si="32"/>
        <v>-2.0999999999992947E-3</v>
      </c>
      <c r="D578" s="12">
        <f t="shared" si="33"/>
        <v>1.0391599999999592</v>
      </c>
      <c r="E578" s="18">
        <v>57.5</v>
      </c>
      <c r="F578" s="27">
        <v>0.91923999999999995</v>
      </c>
      <c r="G578" s="11">
        <f t="shared" si="34"/>
        <v>-2.0999999999992947E-3</v>
      </c>
      <c r="H578" s="12">
        <f t="shared" si="35"/>
        <v>1.0399899999999593</v>
      </c>
    </row>
    <row r="579" spans="1:8" ht="14.25" thickBot="1">
      <c r="A579" s="18">
        <v>57.6</v>
      </c>
      <c r="B579" s="27">
        <v>0.91820000000000002</v>
      </c>
      <c r="C579" s="11">
        <f t="shared" si="32"/>
        <v>-2.1999999999999481E-3</v>
      </c>
      <c r="D579" s="12">
        <f t="shared" si="33"/>
        <v>1.0449199999999972</v>
      </c>
      <c r="E579" s="18">
        <v>57.6</v>
      </c>
      <c r="F579" s="27">
        <v>0.91903000000000001</v>
      </c>
      <c r="G579" s="11">
        <f t="shared" si="34"/>
        <v>-2.1999999999999485E-3</v>
      </c>
      <c r="H579" s="12">
        <f t="shared" si="35"/>
        <v>1.0457499999999971</v>
      </c>
    </row>
    <row r="580" spans="1:8" ht="14.25" thickBot="1">
      <c r="A580" s="18">
        <v>57.7</v>
      </c>
      <c r="B580" s="27">
        <v>0.91798000000000002</v>
      </c>
      <c r="C580" s="11">
        <f t="shared" ref="C580:C643" si="36">SLOPE(B580:B581,A580:A581)</f>
        <v>-2.1000000000005537E-3</v>
      </c>
      <c r="D580" s="12">
        <f t="shared" ref="D580:D643" si="37">INTERCEPT(B580:B581,A580:A581)</f>
        <v>1.039150000000032</v>
      </c>
      <c r="E580" s="18">
        <v>57.7</v>
      </c>
      <c r="F580" s="27">
        <v>0.91881000000000002</v>
      </c>
      <c r="G580" s="11">
        <f t="shared" ref="G580:G643" si="38">SLOPE(F580:F581,E580:E581)</f>
        <v>-2.1000000000005537E-3</v>
      </c>
      <c r="H580" s="12">
        <f t="shared" ref="H580:H643" si="39">INTERCEPT(F580:F581,E580:E581)</f>
        <v>1.0399800000000319</v>
      </c>
    </row>
    <row r="581" spans="1:8" ht="14.25" thickBot="1">
      <c r="A581" s="18">
        <v>57.8</v>
      </c>
      <c r="B581" s="27">
        <v>0.91776999999999997</v>
      </c>
      <c r="C581" s="11">
        <f t="shared" si="36"/>
        <v>-2.1999999999999481E-3</v>
      </c>
      <c r="D581" s="12">
        <f t="shared" si="37"/>
        <v>1.0449299999999968</v>
      </c>
      <c r="E581" s="18">
        <v>57.8</v>
      </c>
      <c r="F581" s="27">
        <v>0.91859999999999997</v>
      </c>
      <c r="G581" s="11">
        <f t="shared" si="38"/>
        <v>-2.1999999999999485E-3</v>
      </c>
      <c r="H581" s="12">
        <f t="shared" si="39"/>
        <v>1.0457599999999969</v>
      </c>
    </row>
    <row r="582" spans="1:8" ht="14.25" thickBot="1">
      <c r="A582" s="18">
        <v>57.9</v>
      </c>
      <c r="B582" s="27">
        <v>0.91754999999999998</v>
      </c>
      <c r="C582" s="11">
        <f t="shared" si="36"/>
        <v>-2.1999999999999481E-3</v>
      </c>
      <c r="D582" s="12">
        <f t="shared" si="37"/>
        <v>1.044929999999997</v>
      </c>
      <c r="E582" s="18">
        <v>57.9</v>
      </c>
      <c r="F582" s="27">
        <v>0.91837999999999997</v>
      </c>
      <c r="G582" s="11">
        <f t="shared" si="38"/>
        <v>-2.1999999999999485E-3</v>
      </c>
      <c r="H582" s="12">
        <f t="shared" si="39"/>
        <v>1.0457599999999969</v>
      </c>
    </row>
    <row r="583" spans="1:8" ht="14.25" thickBot="1">
      <c r="A583" s="9">
        <v>58</v>
      </c>
      <c r="B583" s="19">
        <v>0.91732999999999998</v>
      </c>
      <c r="C583" s="11">
        <f t="shared" si="36"/>
        <v>-2.0999999999992947E-3</v>
      </c>
      <c r="D583" s="12">
        <f t="shared" si="37"/>
        <v>1.039129999999959</v>
      </c>
      <c r="E583" s="9">
        <v>58</v>
      </c>
      <c r="F583" s="19">
        <v>0.91815999999999998</v>
      </c>
      <c r="G583" s="11">
        <f t="shared" si="38"/>
        <v>-2.0999999999992947E-3</v>
      </c>
      <c r="H583" s="12">
        <f t="shared" si="39"/>
        <v>1.0399599999999591</v>
      </c>
    </row>
    <row r="584" spans="1:8" ht="14.25" thickBot="1">
      <c r="A584" s="18">
        <v>58.1</v>
      </c>
      <c r="B584" s="27">
        <v>0.91712000000000005</v>
      </c>
      <c r="C584" s="11">
        <f t="shared" si="36"/>
        <v>-2.1999999999999481E-3</v>
      </c>
      <c r="D584" s="12">
        <f t="shared" si="37"/>
        <v>1.0449399999999971</v>
      </c>
      <c r="E584" s="18">
        <v>58.1</v>
      </c>
      <c r="F584" s="27">
        <v>0.91795000000000004</v>
      </c>
      <c r="G584" s="11">
        <f t="shared" si="38"/>
        <v>-2.1999999999999485E-3</v>
      </c>
      <c r="H584" s="12">
        <f t="shared" si="39"/>
        <v>1.045769999999997</v>
      </c>
    </row>
    <row r="585" spans="1:8" ht="14.25" thickBot="1">
      <c r="A585" s="18">
        <v>58.2</v>
      </c>
      <c r="B585" s="27">
        <v>0.91690000000000005</v>
      </c>
      <c r="C585" s="11">
        <f t="shared" si="36"/>
        <v>-2.2000000000001046E-3</v>
      </c>
      <c r="D585" s="12">
        <f t="shared" si="37"/>
        <v>1.0449400000000062</v>
      </c>
      <c r="E585" s="18">
        <v>58.2</v>
      </c>
      <c r="F585" s="27">
        <v>0.91773000000000005</v>
      </c>
      <c r="G585" s="11">
        <f t="shared" si="38"/>
        <v>-2.2000000000001046E-3</v>
      </c>
      <c r="H585" s="12">
        <f t="shared" si="39"/>
        <v>1.0457700000000063</v>
      </c>
    </row>
    <row r="586" spans="1:8" ht="14.25" thickBot="1">
      <c r="A586" s="18">
        <v>58.3</v>
      </c>
      <c r="B586" s="27">
        <v>0.91668000000000005</v>
      </c>
      <c r="C586" s="11">
        <f t="shared" si="36"/>
        <v>-2.1000000000004045E-3</v>
      </c>
      <c r="D586" s="12">
        <f t="shared" si="37"/>
        <v>1.0391100000000235</v>
      </c>
      <c r="E586" s="18">
        <v>58.3</v>
      </c>
      <c r="F586" s="27">
        <v>0.91751000000000005</v>
      </c>
      <c r="G586" s="11">
        <f t="shared" si="38"/>
        <v>-2.1000000000004045E-3</v>
      </c>
      <c r="H586" s="12">
        <f t="shared" si="39"/>
        <v>1.0399400000000236</v>
      </c>
    </row>
    <row r="587" spans="1:8" ht="14.25" thickBot="1">
      <c r="A587" s="18">
        <v>58.4</v>
      </c>
      <c r="B587" s="27">
        <v>0.91647000000000001</v>
      </c>
      <c r="C587" s="11">
        <f t="shared" si="36"/>
        <v>-2.1999999999999481E-3</v>
      </c>
      <c r="D587" s="12">
        <f t="shared" si="37"/>
        <v>1.0449499999999969</v>
      </c>
      <c r="E587" s="18">
        <v>58.4</v>
      </c>
      <c r="F587" s="27">
        <v>0.9173</v>
      </c>
      <c r="G587" s="11">
        <f t="shared" si="38"/>
        <v>-2.1999999999999485E-3</v>
      </c>
      <c r="H587" s="12">
        <f t="shared" si="39"/>
        <v>1.045779999999997</v>
      </c>
    </row>
    <row r="588" spans="1:8" ht="14.25" thickBot="1">
      <c r="A588" s="18">
        <v>58.5</v>
      </c>
      <c r="B588" s="27">
        <v>0.91625000000000001</v>
      </c>
      <c r="C588" s="11">
        <f t="shared" si="36"/>
        <v>-2.1999999999999481E-3</v>
      </c>
      <c r="D588" s="12">
        <f t="shared" si="37"/>
        <v>1.0449499999999969</v>
      </c>
      <c r="E588" s="18">
        <v>58.5</v>
      </c>
      <c r="F588" s="27">
        <v>0.91708000000000001</v>
      </c>
      <c r="G588" s="11">
        <f t="shared" si="38"/>
        <v>-2.1999999999999485E-3</v>
      </c>
      <c r="H588" s="12">
        <f t="shared" si="39"/>
        <v>1.045779999999997</v>
      </c>
    </row>
    <row r="589" spans="1:8" ht="14.25" thickBot="1">
      <c r="A589" s="18">
        <v>58.6</v>
      </c>
      <c r="B589" s="27">
        <v>0.91603000000000001</v>
      </c>
      <c r="C589" s="11">
        <f t="shared" si="36"/>
        <v>-2.1999999999999481E-3</v>
      </c>
      <c r="D589" s="12">
        <f t="shared" si="37"/>
        <v>1.0449499999999969</v>
      </c>
      <c r="E589" s="18">
        <v>58.6</v>
      </c>
      <c r="F589" s="27">
        <v>0.91686000000000001</v>
      </c>
      <c r="G589" s="11">
        <f t="shared" si="38"/>
        <v>-2.3000000000006019E-3</v>
      </c>
      <c r="H589" s="12">
        <f t="shared" si="39"/>
        <v>1.0516400000000352</v>
      </c>
    </row>
    <row r="590" spans="1:8" ht="14.25" thickBot="1">
      <c r="A590" s="18">
        <v>58.7</v>
      </c>
      <c r="B590" s="27">
        <v>0.91581000000000001</v>
      </c>
      <c r="C590" s="11">
        <f t="shared" si="36"/>
        <v>-2.1000000000005537E-3</v>
      </c>
      <c r="D590" s="12">
        <f t="shared" si="37"/>
        <v>1.0390800000000324</v>
      </c>
      <c r="E590" s="18">
        <v>58.7</v>
      </c>
      <c r="F590" s="27">
        <v>0.91662999999999994</v>
      </c>
      <c r="G590" s="11">
        <f t="shared" si="38"/>
        <v>-2.0999999999994439E-3</v>
      </c>
      <c r="H590" s="12">
        <f t="shared" si="39"/>
        <v>1.0398999999999674</v>
      </c>
    </row>
    <row r="591" spans="1:8" ht="14.25" thickBot="1">
      <c r="A591" s="18">
        <v>58.8</v>
      </c>
      <c r="B591" s="27">
        <v>0.91559999999999997</v>
      </c>
      <c r="C591" s="11">
        <f t="shared" si="36"/>
        <v>-2.1999999999999481E-3</v>
      </c>
      <c r="D591" s="12">
        <f t="shared" si="37"/>
        <v>1.0449599999999968</v>
      </c>
      <c r="E591" s="18">
        <v>58.8</v>
      </c>
      <c r="F591" s="27">
        <v>0.91642000000000001</v>
      </c>
      <c r="G591" s="11">
        <f t="shared" si="38"/>
        <v>-2.1999999999999481E-3</v>
      </c>
      <c r="H591" s="12">
        <f t="shared" si="39"/>
        <v>1.0457799999999968</v>
      </c>
    </row>
    <row r="592" spans="1:8" ht="14.25" thickBot="1">
      <c r="A592" s="18">
        <v>58.9</v>
      </c>
      <c r="B592" s="27">
        <v>0.91537999999999997</v>
      </c>
      <c r="C592" s="11">
        <f t="shared" si="36"/>
        <v>-2.1999999999999481E-3</v>
      </c>
      <c r="D592" s="12">
        <f t="shared" si="37"/>
        <v>1.044959999999997</v>
      </c>
      <c r="E592" s="18">
        <v>58.9</v>
      </c>
      <c r="F592" s="27">
        <v>0.91620000000000001</v>
      </c>
      <c r="G592" s="11">
        <f t="shared" si="38"/>
        <v>-2.1999999999999481E-3</v>
      </c>
      <c r="H592" s="12">
        <f t="shared" si="39"/>
        <v>1.045779999999997</v>
      </c>
    </row>
    <row r="593" spans="1:8" ht="14.25" thickBot="1">
      <c r="A593" s="9">
        <v>59</v>
      </c>
      <c r="B593" s="19">
        <v>0.91515999999999997</v>
      </c>
      <c r="C593" s="11">
        <f t="shared" si="36"/>
        <v>-2.1999999999999481E-3</v>
      </c>
      <c r="D593" s="12">
        <f t="shared" si="37"/>
        <v>1.0449599999999968</v>
      </c>
      <c r="E593" s="9">
        <v>59</v>
      </c>
      <c r="F593" s="19">
        <v>0.91598000000000002</v>
      </c>
      <c r="G593" s="11">
        <f t="shared" si="38"/>
        <v>-2.1999999999999481E-3</v>
      </c>
      <c r="H593" s="12">
        <f t="shared" si="39"/>
        <v>1.0457799999999968</v>
      </c>
    </row>
    <row r="594" spans="1:8" ht="14.25" thickBot="1">
      <c r="A594" s="18">
        <v>59.1</v>
      </c>
      <c r="B594" s="27">
        <v>0.91493999999999998</v>
      </c>
      <c r="C594" s="11">
        <f t="shared" si="36"/>
        <v>-2.1999999999999481E-3</v>
      </c>
      <c r="D594" s="12">
        <f t="shared" si="37"/>
        <v>1.044959999999997</v>
      </c>
      <c r="E594" s="18">
        <v>59.1</v>
      </c>
      <c r="F594" s="27">
        <v>0.91576000000000002</v>
      </c>
      <c r="G594" s="11">
        <f t="shared" si="38"/>
        <v>-2.1999999999999481E-3</v>
      </c>
      <c r="H594" s="12">
        <f t="shared" si="39"/>
        <v>1.045779999999997</v>
      </c>
    </row>
    <row r="595" spans="1:8" ht="14.25" thickBot="1">
      <c r="A595" s="18">
        <v>59.2</v>
      </c>
      <c r="B595" s="27">
        <v>0.91471999999999998</v>
      </c>
      <c r="C595" s="11">
        <f t="shared" si="36"/>
        <v>-2.2000000000001046E-3</v>
      </c>
      <c r="D595" s="12">
        <f t="shared" si="37"/>
        <v>1.0449600000000061</v>
      </c>
      <c r="E595" s="18">
        <v>59.2</v>
      </c>
      <c r="F595" s="27">
        <v>0.91554000000000002</v>
      </c>
      <c r="G595" s="11">
        <f t="shared" si="38"/>
        <v>-2.2000000000001046E-3</v>
      </c>
      <c r="H595" s="12">
        <f t="shared" si="39"/>
        <v>1.0457800000000061</v>
      </c>
    </row>
    <row r="596" spans="1:8" ht="14.25" thickBot="1">
      <c r="A596" s="18">
        <v>59.3</v>
      </c>
      <c r="B596" s="27">
        <v>0.91449999999999998</v>
      </c>
      <c r="C596" s="11">
        <f t="shared" si="36"/>
        <v>-2.1999999999999485E-3</v>
      </c>
      <c r="D596" s="12">
        <f t="shared" si="37"/>
        <v>1.044959999999997</v>
      </c>
      <c r="E596" s="18">
        <v>59.3</v>
      </c>
      <c r="F596" s="27">
        <v>0.91532000000000002</v>
      </c>
      <c r="G596" s="11">
        <f t="shared" si="38"/>
        <v>-2.1999999999999485E-3</v>
      </c>
      <c r="H596" s="12">
        <f t="shared" si="39"/>
        <v>1.045779999999997</v>
      </c>
    </row>
    <row r="597" spans="1:8" ht="14.25" thickBot="1">
      <c r="A597" s="18">
        <v>59.4</v>
      </c>
      <c r="B597" s="27">
        <v>0.91427999999999998</v>
      </c>
      <c r="C597" s="11">
        <f t="shared" si="36"/>
        <v>-2.1999999999999485E-3</v>
      </c>
      <c r="D597" s="12">
        <f t="shared" si="37"/>
        <v>1.0449599999999968</v>
      </c>
      <c r="E597" s="18">
        <v>59.4</v>
      </c>
      <c r="F597" s="27">
        <v>0.91510000000000002</v>
      </c>
      <c r="G597" s="11">
        <f t="shared" si="38"/>
        <v>-2.1999999999999485E-3</v>
      </c>
      <c r="H597" s="12">
        <f t="shared" si="39"/>
        <v>1.0457799999999968</v>
      </c>
    </row>
    <row r="598" spans="1:8" ht="14.25" thickBot="1">
      <c r="A598" s="18">
        <v>59.5</v>
      </c>
      <c r="B598" s="27">
        <v>0.91405999999999998</v>
      </c>
      <c r="C598" s="11">
        <f t="shared" si="36"/>
        <v>-2.1999999999999485E-3</v>
      </c>
      <c r="D598" s="12">
        <f t="shared" si="37"/>
        <v>1.044959999999997</v>
      </c>
      <c r="E598" s="18">
        <v>59.5</v>
      </c>
      <c r="F598" s="27">
        <v>0.91488000000000003</v>
      </c>
      <c r="G598" s="11">
        <f t="shared" si="38"/>
        <v>-2.1999999999999485E-3</v>
      </c>
      <c r="H598" s="12">
        <f t="shared" si="39"/>
        <v>1.045779999999997</v>
      </c>
    </row>
    <row r="599" spans="1:8" ht="14.25" thickBot="1">
      <c r="A599" s="18">
        <v>59.6</v>
      </c>
      <c r="B599" s="27">
        <v>0.91383999999999999</v>
      </c>
      <c r="C599" s="11">
        <f t="shared" si="36"/>
        <v>-2.1999999999999485E-3</v>
      </c>
      <c r="D599" s="12">
        <f t="shared" si="37"/>
        <v>1.0449599999999968</v>
      </c>
      <c r="E599" s="18">
        <v>59.6</v>
      </c>
      <c r="F599" s="27">
        <v>0.91466000000000003</v>
      </c>
      <c r="G599" s="11">
        <f t="shared" si="38"/>
        <v>-2.1999999999999485E-3</v>
      </c>
      <c r="H599" s="12">
        <f t="shared" si="39"/>
        <v>1.0457799999999968</v>
      </c>
    </row>
    <row r="600" spans="1:8" ht="14.25" thickBot="1">
      <c r="A600" s="18">
        <v>59.7</v>
      </c>
      <c r="B600" s="27">
        <v>0.91361999999999999</v>
      </c>
      <c r="C600" s="11">
        <f t="shared" si="36"/>
        <v>-2.2000000000001046E-3</v>
      </c>
      <c r="D600" s="12">
        <f t="shared" si="37"/>
        <v>1.0449600000000063</v>
      </c>
      <c r="E600" s="18">
        <v>59.7</v>
      </c>
      <c r="F600" s="27">
        <v>0.91444000000000003</v>
      </c>
      <c r="G600" s="11">
        <f t="shared" si="38"/>
        <v>-2.2000000000001046E-3</v>
      </c>
      <c r="H600" s="12">
        <f t="shared" si="39"/>
        <v>1.0457800000000064</v>
      </c>
    </row>
    <row r="601" spans="1:8" ht="14.25" thickBot="1">
      <c r="A601" s="18">
        <v>59.8</v>
      </c>
      <c r="B601" s="27">
        <v>0.91339999999999999</v>
      </c>
      <c r="C601" s="11">
        <f t="shared" si="36"/>
        <v>-2.1999999999999481E-3</v>
      </c>
      <c r="D601" s="12">
        <f t="shared" si="37"/>
        <v>1.0449599999999968</v>
      </c>
      <c r="E601" s="18">
        <v>59.8</v>
      </c>
      <c r="F601" s="27">
        <v>0.91422000000000003</v>
      </c>
      <c r="G601" s="11">
        <f t="shared" si="38"/>
        <v>-2.1999999999999481E-3</v>
      </c>
      <c r="H601" s="12">
        <f t="shared" si="39"/>
        <v>1.0457799999999968</v>
      </c>
    </row>
    <row r="602" spans="1:8" ht="14.25" thickBot="1">
      <c r="A602" s="18">
        <v>59.9</v>
      </c>
      <c r="B602" s="27">
        <v>0.91317999999999999</v>
      </c>
      <c r="C602" s="11">
        <f t="shared" si="36"/>
        <v>-2.1999999999999481E-3</v>
      </c>
      <c r="D602" s="12">
        <f t="shared" si="37"/>
        <v>1.044959999999997</v>
      </c>
      <c r="E602" s="18">
        <v>59.9</v>
      </c>
      <c r="F602" s="27">
        <v>0.91400000000000003</v>
      </c>
      <c r="G602" s="11">
        <f t="shared" si="38"/>
        <v>-2.1999999999999481E-3</v>
      </c>
      <c r="H602" s="12">
        <f t="shared" si="39"/>
        <v>1.045779999999997</v>
      </c>
    </row>
    <row r="603" spans="1:8" ht="14.25" thickBot="1">
      <c r="A603" s="9">
        <v>60</v>
      </c>
      <c r="B603" s="19">
        <v>0.91295999999999999</v>
      </c>
      <c r="C603" s="11">
        <f t="shared" si="36"/>
        <v>-2.2999999999994917E-3</v>
      </c>
      <c r="D603" s="12">
        <f t="shared" si="37"/>
        <v>1.0509599999999695</v>
      </c>
      <c r="E603" s="9">
        <v>60</v>
      </c>
      <c r="F603" s="19">
        <v>0.91378000000000004</v>
      </c>
      <c r="G603" s="11">
        <f t="shared" si="38"/>
        <v>-2.3000000000006023E-3</v>
      </c>
      <c r="H603" s="12">
        <f t="shared" si="39"/>
        <v>1.0517800000000361</v>
      </c>
    </row>
    <row r="604" spans="1:8" ht="14.25" thickBot="1">
      <c r="A604" s="18">
        <v>60.1</v>
      </c>
      <c r="B604" s="27">
        <v>0.91273000000000004</v>
      </c>
      <c r="C604" s="11">
        <f t="shared" si="36"/>
        <v>-2.1999999999999485E-3</v>
      </c>
      <c r="D604" s="12">
        <f t="shared" si="37"/>
        <v>1.0449499999999969</v>
      </c>
      <c r="E604" s="18">
        <v>60.1</v>
      </c>
      <c r="F604" s="27">
        <v>0.91354999999999997</v>
      </c>
      <c r="G604" s="11">
        <f t="shared" si="38"/>
        <v>-2.1999999999999481E-3</v>
      </c>
      <c r="H604" s="12">
        <f t="shared" si="39"/>
        <v>1.045769999999997</v>
      </c>
    </row>
    <row r="605" spans="1:8" ht="14.25" thickBot="1">
      <c r="A605" s="18">
        <v>60.2</v>
      </c>
      <c r="B605" s="27">
        <v>0.91251000000000004</v>
      </c>
      <c r="C605" s="11">
        <f t="shared" si="36"/>
        <v>-2.2000000000001046E-3</v>
      </c>
      <c r="D605" s="12">
        <f t="shared" si="37"/>
        <v>1.0449500000000065</v>
      </c>
      <c r="E605" s="18">
        <v>60.2</v>
      </c>
      <c r="F605" s="27">
        <v>0.91332999999999998</v>
      </c>
      <c r="G605" s="11">
        <f t="shared" si="38"/>
        <v>-2.2000000000001046E-3</v>
      </c>
      <c r="H605" s="12">
        <f t="shared" si="39"/>
        <v>1.0457700000000063</v>
      </c>
    </row>
    <row r="606" spans="1:8" ht="14.25" thickBot="1">
      <c r="A606" s="18">
        <v>60.3</v>
      </c>
      <c r="B606" s="27">
        <v>0.91229000000000005</v>
      </c>
      <c r="C606" s="11">
        <f t="shared" si="36"/>
        <v>-2.1999999999999481E-3</v>
      </c>
      <c r="D606" s="12">
        <f t="shared" si="37"/>
        <v>1.0449499999999969</v>
      </c>
      <c r="E606" s="18">
        <v>60.3</v>
      </c>
      <c r="F606" s="27">
        <v>0.91310999999999998</v>
      </c>
      <c r="G606" s="11">
        <f t="shared" si="38"/>
        <v>-2.1999999999999485E-3</v>
      </c>
      <c r="H606" s="12">
        <f t="shared" si="39"/>
        <v>1.045769999999997</v>
      </c>
    </row>
    <row r="607" spans="1:8" ht="14.25" thickBot="1">
      <c r="A607" s="18">
        <v>60.4</v>
      </c>
      <c r="B607" s="27">
        <v>0.91207000000000005</v>
      </c>
      <c r="C607" s="11">
        <f t="shared" si="36"/>
        <v>-2.1999999999999481E-3</v>
      </c>
      <c r="D607" s="12">
        <f t="shared" si="37"/>
        <v>1.0449499999999969</v>
      </c>
      <c r="E607" s="18">
        <v>60.4</v>
      </c>
      <c r="F607" s="27">
        <v>0.91288999999999998</v>
      </c>
      <c r="G607" s="11">
        <f t="shared" si="38"/>
        <v>-2.1999999999999485E-3</v>
      </c>
      <c r="H607" s="12">
        <f t="shared" si="39"/>
        <v>1.0457699999999968</v>
      </c>
    </row>
    <row r="608" spans="1:8" ht="14.25" thickBot="1">
      <c r="A608" s="18">
        <v>60.5</v>
      </c>
      <c r="B608" s="27">
        <v>0.91185000000000005</v>
      </c>
      <c r="C608" s="11">
        <f t="shared" si="36"/>
        <v>-2.3000000000006023E-3</v>
      </c>
      <c r="D608" s="12">
        <f t="shared" si="37"/>
        <v>1.0510000000000363</v>
      </c>
      <c r="E608" s="18">
        <v>60.5</v>
      </c>
      <c r="F608" s="27">
        <v>0.91266999999999998</v>
      </c>
      <c r="G608" s="11">
        <f t="shared" si="38"/>
        <v>-2.2999999999994917E-3</v>
      </c>
      <c r="H608" s="12">
        <f t="shared" si="39"/>
        <v>1.0518199999999691</v>
      </c>
    </row>
    <row r="609" spans="1:8" ht="14.25" thickBot="1">
      <c r="A609" s="18">
        <v>60.6</v>
      </c>
      <c r="B609" s="27">
        <v>0.91161999999999999</v>
      </c>
      <c r="C609" s="11">
        <f t="shared" si="36"/>
        <v>-2.1999999999999481E-3</v>
      </c>
      <c r="D609" s="12">
        <f t="shared" si="37"/>
        <v>1.0449399999999969</v>
      </c>
      <c r="E609" s="18">
        <v>60.6</v>
      </c>
      <c r="F609" s="27">
        <v>0.91244000000000003</v>
      </c>
      <c r="G609" s="11">
        <f t="shared" si="38"/>
        <v>-2.1999999999999481E-3</v>
      </c>
      <c r="H609" s="12">
        <f t="shared" si="39"/>
        <v>1.0457599999999969</v>
      </c>
    </row>
    <row r="610" spans="1:8" ht="14.25" thickBot="1">
      <c r="A610" s="18">
        <v>60.7</v>
      </c>
      <c r="B610" s="27">
        <v>0.91139999999999999</v>
      </c>
      <c r="C610" s="11">
        <f t="shared" si="36"/>
        <v>-2.2000000000001046E-3</v>
      </c>
      <c r="D610" s="12">
        <f t="shared" si="37"/>
        <v>1.0449400000000062</v>
      </c>
      <c r="E610" s="18">
        <v>60.7</v>
      </c>
      <c r="F610" s="27">
        <v>0.91222000000000003</v>
      </c>
      <c r="G610" s="11">
        <f t="shared" si="38"/>
        <v>-2.2000000000001046E-3</v>
      </c>
      <c r="H610" s="12">
        <f t="shared" si="39"/>
        <v>1.0457600000000062</v>
      </c>
    </row>
    <row r="611" spans="1:8" ht="14.25" thickBot="1">
      <c r="A611" s="18">
        <v>60.8</v>
      </c>
      <c r="B611" s="27">
        <v>0.91117999999999999</v>
      </c>
      <c r="C611" s="11">
        <f t="shared" si="36"/>
        <v>-2.2999999999994917E-3</v>
      </c>
      <c r="D611" s="12">
        <f t="shared" si="37"/>
        <v>1.051019999999969</v>
      </c>
      <c r="E611" s="18">
        <v>60.8</v>
      </c>
      <c r="F611" s="27">
        <v>0.91200000000000003</v>
      </c>
      <c r="G611" s="11">
        <f t="shared" si="38"/>
        <v>-2.3000000000006019E-3</v>
      </c>
      <c r="H611" s="12">
        <f t="shared" si="39"/>
        <v>1.0518400000000367</v>
      </c>
    </row>
    <row r="612" spans="1:8" ht="14.25" thickBot="1">
      <c r="A612" s="28">
        <v>60.9</v>
      </c>
      <c r="B612" s="29">
        <v>0.91095000000000004</v>
      </c>
      <c r="C612" s="11">
        <f t="shared" si="36"/>
        <v>-2.1999999999999481E-3</v>
      </c>
      <c r="D612" s="12">
        <f t="shared" si="37"/>
        <v>1.044929999999997</v>
      </c>
      <c r="E612" s="28">
        <v>60.9</v>
      </c>
      <c r="F612" s="29">
        <v>0.91176999999999997</v>
      </c>
      <c r="G612" s="11">
        <f t="shared" si="38"/>
        <v>-2.1999999999999485E-3</v>
      </c>
      <c r="H612" s="12">
        <f t="shared" si="39"/>
        <v>1.0457499999999968</v>
      </c>
    </row>
    <row r="613" spans="1:8" ht="14.25" thickBot="1">
      <c r="A613" s="16">
        <v>61</v>
      </c>
      <c r="B613" s="17">
        <v>0.91073000000000004</v>
      </c>
      <c r="C613" s="11">
        <f t="shared" si="36"/>
        <v>-2.1999999999999481E-3</v>
      </c>
      <c r="D613" s="12">
        <f t="shared" si="37"/>
        <v>1.0449299999999968</v>
      </c>
      <c r="E613" s="16">
        <v>61</v>
      </c>
      <c r="F613" s="17">
        <v>0.91154999999999997</v>
      </c>
      <c r="G613" s="11">
        <f t="shared" si="38"/>
        <v>-2.1999999999999485E-3</v>
      </c>
      <c r="H613" s="12">
        <f t="shared" si="39"/>
        <v>1.0457499999999968</v>
      </c>
    </row>
    <row r="614" spans="1:8" ht="14.25" thickBot="1">
      <c r="A614" s="18">
        <v>61.1</v>
      </c>
      <c r="B614" s="27">
        <v>0.91051000000000004</v>
      </c>
      <c r="C614" s="11">
        <f t="shared" si="36"/>
        <v>-2.3000000000006023E-3</v>
      </c>
      <c r="D614" s="12">
        <f t="shared" si="37"/>
        <v>1.0510400000000368</v>
      </c>
      <c r="E614" s="18">
        <v>61.1</v>
      </c>
      <c r="F614" s="27">
        <v>0.91132999999999997</v>
      </c>
      <c r="G614" s="11">
        <f t="shared" si="38"/>
        <v>-2.2999999999994917E-3</v>
      </c>
      <c r="H614" s="12">
        <f t="shared" si="39"/>
        <v>1.0518599999999689</v>
      </c>
    </row>
    <row r="615" spans="1:8" ht="14.25" thickBot="1">
      <c r="A615" s="18">
        <v>61.2</v>
      </c>
      <c r="B615" s="27">
        <v>0.91027999999999998</v>
      </c>
      <c r="C615" s="11">
        <f t="shared" si="36"/>
        <v>-2.2000000000001046E-3</v>
      </c>
      <c r="D615" s="12">
        <f t="shared" si="37"/>
        <v>1.0449200000000063</v>
      </c>
      <c r="E615" s="18">
        <v>61.2</v>
      </c>
      <c r="F615" s="27">
        <v>0.91110000000000002</v>
      </c>
      <c r="G615" s="11">
        <f t="shared" si="38"/>
        <v>-2.2000000000001046E-3</v>
      </c>
      <c r="H615" s="12">
        <f t="shared" si="39"/>
        <v>1.0457400000000063</v>
      </c>
    </row>
    <row r="616" spans="1:8" ht="14.25" thickBot="1">
      <c r="A616" s="18">
        <v>61.3</v>
      </c>
      <c r="B616" s="27">
        <v>0.91005999999999998</v>
      </c>
      <c r="C616" s="11">
        <f t="shared" si="36"/>
        <v>-2.2999999999994917E-3</v>
      </c>
      <c r="D616" s="12">
        <f t="shared" si="37"/>
        <v>1.0510499999999687</v>
      </c>
      <c r="E616" s="18">
        <v>61.3</v>
      </c>
      <c r="F616" s="27">
        <v>0.91088000000000002</v>
      </c>
      <c r="G616" s="11">
        <f t="shared" si="38"/>
        <v>-2.3000000000006019E-3</v>
      </c>
      <c r="H616" s="12">
        <f t="shared" si="39"/>
        <v>1.0518700000000369</v>
      </c>
    </row>
    <row r="617" spans="1:8" ht="14.25" thickBot="1">
      <c r="A617" s="18">
        <v>61.4</v>
      </c>
      <c r="B617" s="27">
        <v>0.90983000000000003</v>
      </c>
      <c r="C617" s="11">
        <f t="shared" si="36"/>
        <v>-2.1999999999999481E-3</v>
      </c>
      <c r="D617" s="12">
        <f t="shared" si="37"/>
        <v>1.0449099999999969</v>
      </c>
      <c r="E617" s="18">
        <v>61.4</v>
      </c>
      <c r="F617" s="27">
        <v>0.91064999999999996</v>
      </c>
      <c r="G617" s="11">
        <f t="shared" si="38"/>
        <v>-2.1999999999999485E-3</v>
      </c>
      <c r="H617" s="12">
        <f t="shared" si="39"/>
        <v>1.0457299999999967</v>
      </c>
    </row>
    <row r="618" spans="1:8" ht="14.25" thickBot="1">
      <c r="A618" s="18">
        <v>61.5</v>
      </c>
      <c r="B618" s="27">
        <v>0.90961000000000003</v>
      </c>
      <c r="C618" s="11">
        <f t="shared" si="36"/>
        <v>-2.3000000000006023E-3</v>
      </c>
      <c r="D618" s="12">
        <f t="shared" si="37"/>
        <v>1.051060000000037</v>
      </c>
      <c r="E618" s="18">
        <v>61.5</v>
      </c>
      <c r="F618" s="27">
        <v>0.91042999999999996</v>
      </c>
      <c r="G618" s="11">
        <f t="shared" si="38"/>
        <v>-2.2999999999994917E-3</v>
      </c>
      <c r="H618" s="12">
        <f t="shared" si="39"/>
        <v>1.0518799999999686</v>
      </c>
    </row>
    <row r="619" spans="1:8" ht="14.25" thickBot="1">
      <c r="A619" s="18">
        <v>61.6</v>
      </c>
      <c r="B619" s="27">
        <v>0.90937999999999997</v>
      </c>
      <c r="C619" s="11">
        <f t="shared" si="36"/>
        <v>-2.1999999999999481E-3</v>
      </c>
      <c r="D619" s="12">
        <f t="shared" si="37"/>
        <v>1.0448999999999968</v>
      </c>
      <c r="E619" s="18">
        <v>61.6</v>
      </c>
      <c r="F619" s="27">
        <v>0.91020000000000001</v>
      </c>
      <c r="G619" s="11">
        <f t="shared" si="38"/>
        <v>-2.1999999999999481E-3</v>
      </c>
      <c r="H619" s="12">
        <f t="shared" si="39"/>
        <v>1.0457199999999969</v>
      </c>
    </row>
    <row r="620" spans="1:8" ht="14.25" thickBot="1">
      <c r="A620" s="18">
        <v>61.7</v>
      </c>
      <c r="B620" s="27">
        <v>0.90915999999999997</v>
      </c>
      <c r="C620" s="11">
        <f t="shared" si="36"/>
        <v>-2.2999999999996552E-3</v>
      </c>
      <c r="D620" s="12">
        <f t="shared" si="37"/>
        <v>1.0510699999999786</v>
      </c>
      <c r="E620" s="18">
        <v>61.7</v>
      </c>
      <c r="F620" s="27">
        <v>0.90998000000000001</v>
      </c>
      <c r="G620" s="11">
        <f t="shared" si="38"/>
        <v>-2.3000000000007654E-3</v>
      </c>
      <c r="H620" s="12">
        <f t="shared" si="39"/>
        <v>1.0518900000000473</v>
      </c>
    </row>
    <row r="621" spans="1:8" ht="14.25" thickBot="1">
      <c r="A621" s="18">
        <v>61.8</v>
      </c>
      <c r="B621" s="27">
        <v>0.90893000000000002</v>
      </c>
      <c r="C621" s="11">
        <f t="shared" si="36"/>
        <v>-2.3000000000006023E-3</v>
      </c>
      <c r="D621" s="12">
        <f t="shared" si="37"/>
        <v>1.0510700000000373</v>
      </c>
      <c r="E621" s="18">
        <v>61.8</v>
      </c>
      <c r="F621" s="27">
        <v>0.90974999999999995</v>
      </c>
      <c r="G621" s="11">
        <f t="shared" si="38"/>
        <v>-2.2999999999994917E-3</v>
      </c>
      <c r="H621" s="12">
        <f t="shared" si="39"/>
        <v>1.0518899999999685</v>
      </c>
    </row>
    <row r="622" spans="1:8" ht="14.25" thickBot="1">
      <c r="A622" s="18">
        <v>61.9</v>
      </c>
      <c r="B622" s="27">
        <v>0.90869999999999995</v>
      </c>
      <c r="C622" s="11">
        <f t="shared" si="36"/>
        <v>-2.1999999999999481E-3</v>
      </c>
      <c r="D622" s="12">
        <f t="shared" si="37"/>
        <v>1.0448799999999969</v>
      </c>
      <c r="E622" s="18">
        <v>61.9</v>
      </c>
      <c r="F622" s="27">
        <v>0.90952</v>
      </c>
      <c r="G622" s="11">
        <f t="shared" si="38"/>
        <v>-2.1999999999999481E-3</v>
      </c>
      <c r="H622" s="12">
        <f t="shared" si="39"/>
        <v>1.045699999999997</v>
      </c>
    </row>
    <row r="623" spans="1:8" ht="14.25" thickBot="1">
      <c r="A623" s="9">
        <v>62</v>
      </c>
      <c r="B623" s="19">
        <v>0.90847999999999995</v>
      </c>
      <c r="C623" s="11">
        <f t="shared" si="36"/>
        <v>-2.2999999999994917E-3</v>
      </c>
      <c r="D623" s="12">
        <f t="shared" si="37"/>
        <v>1.0510799999999685</v>
      </c>
      <c r="E623" s="9">
        <v>62</v>
      </c>
      <c r="F623" s="19">
        <v>0.9093</v>
      </c>
      <c r="G623" s="11">
        <f t="shared" si="38"/>
        <v>-2.2999999999994917E-3</v>
      </c>
      <c r="H623" s="12">
        <f t="shared" si="39"/>
        <v>1.0518999999999685</v>
      </c>
    </row>
    <row r="624" spans="1:8" ht="14.25" thickBot="1">
      <c r="A624" s="18">
        <v>62.1</v>
      </c>
      <c r="B624" s="27">
        <v>0.90825</v>
      </c>
      <c r="C624" s="11">
        <f t="shared" si="36"/>
        <v>-2.2999999999994917E-3</v>
      </c>
      <c r="D624" s="12">
        <f t="shared" si="37"/>
        <v>1.0510799999999685</v>
      </c>
      <c r="E624" s="18">
        <v>62.1</v>
      </c>
      <c r="F624" s="27">
        <v>0.90907000000000004</v>
      </c>
      <c r="G624" s="11">
        <f t="shared" si="38"/>
        <v>-2.3000000000006019E-3</v>
      </c>
      <c r="H624" s="12">
        <f t="shared" si="39"/>
        <v>1.0519000000000374</v>
      </c>
    </row>
    <row r="625" spans="1:8" ht="14.25" thickBot="1">
      <c r="A625" s="18">
        <v>62.2</v>
      </c>
      <c r="B625" s="27">
        <v>0.90802000000000005</v>
      </c>
      <c r="C625" s="11">
        <f t="shared" si="36"/>
        <v>-2.2000000000001046E-3</v>
      </c>
      <c r="D625" s="12">
        <f t="shared" si="37"/>
        <v>1.0448600000000066</v>
      </c>
      <c r="E625" s="18">
        <v>62.2</v>
      </c>
      <c r="F625" s="27">
        <v>0.90883999999999998</v>
      </c>
      <c r="G625" s="11">
        <f t="shared" si="38"/>
        <v>-2.2000000000001046E-3</v>
      </c>
      <c r="H625" s="12">
        <f t="shared" si="39"/>
        <v>1.0456800000000066</v>
      </c>
    </row>
    <row r="626" spans="1:8" ht="14.25" thickBot="1">
      <c r="A626" s="18">
        <v>62.3</v>
      </c>
      <c r="B626" s="27">
        <v>0.90780000000000005</v>
      </c>
      <c r="C626" s="11">
        <f t="shared" si="36"/>
        <v>-2.3000000000006019E-3</v>
      </c>
      <c r="D626" s="12">
        <f t="shared" si="37"/>
        <v>1.0510900000000376</v>
      </c>
      <c r="E626" s="18">
        <v>62.3</v>
      </c>
      <c r="F626" s="27">
        <v>0.90861999999999998</v>
      </c>
      <c r="G626" s="11">
        <f t="shared" si="38"/>
        <v>-2.2999999999994917E-3</v>
      </c>
      <c r="H626" s="12">
        <f t="shared" si="39"/>
        <v>1.0519099999999684</v>
      </c>
    </row>
    <row r="627" spans="1:8" ht="14.25" thickBot="1">
      <c r="A627" s="18">
        <v>62.4</v>
      </c>
      <c r="B627" s="27">
        <v>0.90756999999999999</v>
      </c>
      <c r="C627" s="11">
        <f t="shared" si="36"/>
        <v>-2.2999999999994917E-3</v>
      </c>
      <c r="D627" s="12">
        <f t="shared" si="37"/>
        <v>1.0510899999999683</v>
      </c>
      <c r="E627" s="18">
        <v>62.4</v>
      </c>
      <c r="F627" s="27">
        <v>0.90839000000000003</v>
      </c>
      <c r="G627" s="11">
        <f t="shared" si="38"/>
        <v>-2.3000000000006019E-3</v>
      </c>
      <c r="H627" s="12">
        <f t="shared" si="39"/>
        <v>1.0519100000000376</v>
      </c>
    </row>
    <row r="628" spans="1:8" ht="14.25" thickBot="1">
      <c r="A628" s="18">
        <v>62.5</v>
      </c>
      <c r="B628" s="27">
        <v>0.90734000000000004</v>
      </c>
      <c r="C628" s="11">
        <f t="shared" si="36"/>
        <v>-2.1999999999999481E-3</v>
      </c>
      <c r="D628" s="12">
        <f t="shared" si="37"/>
        <v>1.0448399999999967</v>
      </c>
      <c r="E628" s="18">
        <v>62.5</v>
      </c>
      <c r="F628" s="27">
        <v>0.90815999999999997</v>
      </c>
      <c r="G628" s="11">
        <f t="shared" si="38"/>
        <v>-2.1999999999999485E-3</v>
      </c>
      <c r="H628" s="12">
        <f t="shared" si="39"/>
        <v>1.0456599999999967</v>
      </c>
    </row>
    <row r="629" spans="1:8" ht="14.25" thickBot="1">
      <c r="A629" s="18">
        <v>62.6</v>
      </c>
      <c r="B629" s="27">
        <v>0.90712000000000004</v>
      </c>
      <c r="C629" s="11">
        <f t="shared" si="36"/>
        <v>-2.3000000000006023E-3</v>
      </c>
      <c r="D629" s="12">
        <f t="shared" si="37"/>
        <v>1.0511000000000379</v>
      </c>
      <c r="E629" s="18">
        <v>62.6</v>
      </c>
      <c r="F629" s="27">
        <v>0.90793999999999997</v>
      </c>
      <c r="G629" s="11">
        <f t="shared" si="38"/>
        <v>-2.2999999999994917E-3</v>
      </c>
      <c r="H629" s="12">
        <f t="shared" si="39"/>
        <v>1.0519199999999682</v>
      </c>
    </row>
    <row r="630" spans="1:8" ht="14.25" thickBot="1">
      <c r="A630" s="18">
        <v>62.7</v>
      </c>
      <c r="B630" s="27">
        <v>0.90688999999999997</v>
      </c>
      <c r="C630" s="11">
        <f t="shared" si="36"/>
        <v>-2.2999999999996552E-3</v>
      </c>
      <c r="D630" s="12">
        <f t="shared" si="37"/>
        <v>1.0510999999999784</v>
      </c>
      <c r="E630" s="18">
        <v>62.7</v>
      </c>
      <c r="F630" s="27">
        <v>0.90771000000000002</v>
      </c>
      <c r="G630" s="11">
        <f t="shared" si="38"/>
        <v>-2.3000000000007654E-3</v>
      </c>
      <c r="H630" s="12">
        <f t="shared" si="39"/>
        <v>1.0519200000000479</v>
      </c>
    </row>
    <row r="631" spans="1:8" ht="14.25" thickBot="1">
      <c r="A631" s="18">
        <v>62.8</v>
      </c>
      <c r="B631" s="27">
        <v>0.90666000000000002</v>
      </c>
      <c r="C631" s="11">
        <f t="shared" si="36"/>
        <v>-2.3000000000006023E-3</v>
      </c>
      <c r="D631" s="12">
        <f t="shared" si="37"/>
        <v>1.0511000000000377</v>
      </c>
      <c r="E631" s="18">
        <v>62.8</v>
      </c>
      <c r="F631" s="27">
        <v>0.90747999999999995</v>
      </c>
      <c r="G631" s="11">
        <f t="shared" si="38"/>
        <v>-2.2999999999994917E-3</v>
      </c>
      <c r="H631" s="12">
        <f t="shared" si="39"/>
        <v>1.051919999999968</v>
      </c>
    </row>
    <row r="632" spans="1:8" ht="14.25" thickBot="1">
      <c r="A632" s="18">
        <v>62.9</v>
      </c>
      <c r="B632" s="27">
        <v>0.90642999999999996</v>
      </c>
      <c r="C632" s="11">
        <f t="shared" si="36"/>
        <v>-2.2999999999994917E-3</v>
      </c>
      <c r="D632" s="12">
        <f t="shared" si="37"/>
        <v>1.0510999999999679</v>
      </c>
      <c r="E632" s="18">
        <v>62.9</v>
      </c>
      <c r="F632" s="27">
        <v>0.90725</v>
      </c>
      <c r="G632" s="11">
        <f t="shared" si="38"/>
        <v>-2.2999999999994917E-3</v>
      </c>
      <c r="H632" s="12">
        <f t="shared" si="39"/>
        <v>1.051919999999968</v>
      </c>
    </row>
    <row r="633" spans="1:8" ht="14.25" thickBot="1">
      <c r="A633" s="9">
        <v>63</v>
      </c>
      <c r="B633" s="19">
        <v>0.90620000000000001</v>
      </c>
      <c r="C633" s="11">
        <f t="shared" si="36"/>
        <v>-2.2999999999994917E-3</v>
      </c>
      <c r="D633" s="12">
        <f t="shared" si="37"/>
        <v>1.0510999999999679</v>
      </c>
      <c r="E633" s="9">
        <v>63</v>
      </c>
      <c r="F633" s="19">
        <v>0.90702000000000005</v>
      </c>
      <c r="G633" s="11">
        <f t="shared" si="38"/>
        <v>-2.3000000000006019E-3</v>
      </c>
      <c r="H633" s="12">
        <f t="shared" si="39"/>
        <v>1.0519200000000379</v>
      </c>
    </row>
    <row r="634" spans="1:8" ht="14.25" thickBot="1">
      <c r="A634" s="18">
        <v>63.1</v>
      </c>
      <c r="B634" s="27">
        <v>0.90597000000000005</v>
      </c>
      <c r="C634" s="11">
        <f t="shared" si="36"/>
        <v>-2.3000000000006023E-3</v>
      </c>
      <c r="D634" s="12">
        <f t="shared" si="37"/>
        <v>1.0511000000000381</v>
      </c>
      <c r="E634" s="18">
        <v>63.1</v>
      </c>
      <c r="F634" s="27">
        <v>0.90678999999999998</v>
      </c>
      <c r="G634" s="11">
        <f t="shared" si="38"/>
        <v>-2.2999999999994917E-3</v>
      </c>
      <c r="H634" s="12">
        <f t="shared" si="39"/>
        <v>1.051919999999968</v>
      </c>
    </row>
    <row r="635" spans="1:8" ht="14.25" thickBot="1">
      <c r="A635" s="18">
        <v>63.2</v>
      </c>
      <c r="B635" s="27">
        <v>0.90573999999999999</v>
      </c>
      <c r="C635" s="11">
        <f t="shared" si="36"/>
        <v>-2.2999999999996552E-3</v>
      </c>
      <c r="D635" s="12">
        <f t="shared" si="37"/>
        <v>1.0510999999999782</v>
      </c>
      <c r="E635" s="18">
        <v>63.2</v>
      </c>
      <c r="F635" s="27">
        <v>0.90656000000000003</v>
      </c>
      <c r="G635" s="11">
        <f t="shared" si="38"/>
        <v>-2.3000000000007654E-3</v>
      </c>
      <c r="H635" s="12">
        <f t="shared" si="39"/>
        <v>1.0519200000000484</v>
      </c>
    </row>
    <row r="636" spans="1:8" ht="14.25" thickBot="1">
      <c r="A636" s="18">
        <v>63.3</v>
      </c>
      <c r="B636" s="27">
        <v>0.90551000000000004</v>
      </c>
      <c r="C636" s="11">
        <f t="shared" si="36"/>
        <v>-2.3000000000006023E-3</v>
      </c>
      <c r="D636" s="12">
        <f t="shared" si="37"/>
        <v>1.0511000000000381</v>
      </c>
      <c r="E636" s="18">
        <v>63.3</v>
      </c>
      <c r="F636" s="27">
        <v>0.90632999999999997</v>
      </c>
      <c r="G636" s="11">
        <f t="shared" si="38"/>
        <v>-2.2999999999994917E-3</v>
      </c>
      <c r="H636" s="12">
        <f t="shared" si="39"/>
        <v>1.0519199999999678</v>
      </c>
    </row>
    <row r="637" spans="1:8" ht="14.25" thickBot="1">
      <c r="A637" s="18">
        <v>63.4</v>
      </c>
      <c r="B637" s="27">
        <v>0.90527999999999997</v>
      </c>
      <c r="C637" s="11">
        <f t="shared" si="36"/>
        <v>-2.2999999999994917E-3</v>
      </c>
      <c r="D637" s="12">
        <f t="shared" si="37"/>
        <v>1.0510999999999677</v>
      </c>
      <c r="E637" s="18">
        <v>63.4</v>
      </c>
      <c r="F637" s="27">
        <v>0.90610000000000002</v>
      </c>
      <c r="G637" s="11">
        <f t="shared" si="38"/>
        <v>-2.3000000000006023E-3</v>
      </c>
      <c r="H637" s="12">
        <f t="shared" si="39"/>
        <v>1.0519200000000382</v>
      </c>
    </row>
    <row r="638" spans="1:8" ht="14.25" thickBot="1">
      <c r="A638" s="18">
        <v>63.5</v>
      </c>
      <c r="B638" s="27">
        <v>0.90505000000000002</v>
      </c>
      <c r="C638" s="11">
        <f t="shared" si="36"/>
        <v>-2.3000000000006019E-3</v>
      </c>
      <c r="D638" s="12">
        <f t="shared" si="37"/>
        <v>1.0511000000000383</v>
      </c>
      <c r="E638" s="18">
        <v>63.5</v>
      </c>
      <c r="F638" s="27">
        <v>0.90586999999999995</v>
      </c>
      <c r="G638" s="11">
        <f t="shared" si="38"/>
        <v>-2.2999999999994917E-3</v>
      </c>
      <c r="H638" s="12">
        <f t="shared" si="39"/>
        <v>1.0519199999999675</v>
      </c>
    </row>
    <row r="639" spans="1:8" ht="14.25" thickBot="1">
      <c r="A639" s="18">
        <v>63.6</v>
      </c>
      <c r="B639" s="27">
        <v>0.90481999999999996</v>
      </c>
      <c r="C639" s="11">
        <f t="shared" si="36"/>
        <v>-2.2999999999994917E-3</v>
      </c>
      <c r="D639" s="12">
        <f t="shared" si="37"/>
        <v>1.0510999999999677</v>
      </c>
      <c r="E639" s="18">
        <v>63.6</v>
      </c>
      <c r="F639" s="27">
        <v>0.90564</v>
      </c>
      <c r="G639" s="11">
        <f t="shared" si="38"/>
        <v>-2.4000000000001455E-3</v>
      </c>
      <c r="H639" s="12">
        <f t="shared" si="39"/>
        <v>1.0582800000000092</v>
      </c>
    </row>
    <row r="640" spans="1:8" ht="14.25" thickBot="1">
      <c r="A640" s="18">
        <v>63.7</v>
      </c>
      <c r="B640" s="27">
        <v>0.90459000000000001</v>
      </c>
      <c r="C640" s="11">
        <f t="shared" si="36"/>
        <v>-2.2999999999996552E-3</v>
      </c>
      <c r="D640" s="12">
        <f t="shared" si="37"/>
        <v>1.0510999999999782</v>
      </c>
      <c r="E640" s="18">
        <v>63.7</v>
      </c>
      <c r="F640" s="27">
        <v>0.90539999999999998</v>
      </c>
      <c r="G640" s="11">
        <f t="shared" si="38"/>
        <v>-2.2999999999996552E-3</v>
      </c>
      <c r="H640" s="12">
        <f t="shared" si="39"/>
        <v>1.0519099999999781</v>
      </c>
    </row>
    <row r="641" spans="1:8" ht="14.25" thickBot="1">
      <c r="A641" s="18">
        <v>63.8</v>
      </c>
      <c r="B641" s="27">
        <v>0.90436000000000005</v>
      </c>
      <c r="C641" s="11">
        <f t="shared" si="36"/>
        <v>-2.3000000000006023E-3</v>
      </c>
      <c r="D641" s="12">
        <f t="shared" si="37"/>
        <v>1.0511000000000383</v>
      </c>
      <c r="E641" s="18">
        <v>63.8</v>
      </c>
      <c r="F641" s="27">
        <v>0.90517000000000003</v>
      </c>
      <c r="G641" s="11">
        <f t="shared" si="38"/>
        <v>-2.3000000000006023E-3</v>
      </c>
      <c r="H641" s="12">
        <f t="shared" si="39"/>
        <v>1.0519100000000383</v>
      </c>
    </row>
    <row r="642" spans="1:8" ht="14.25" thickBot="1">
      <c r="A642" s="18">
        <v>63.9</v>
      </c>
      <c r="B642" s="27">
        <v>0.90412999999999999</v>
      </c>
      <c r="C642" s="11">
        <f t="shared" si="36"/>
        <v>-2.2999999999994917E-3</v>
      </c>
      <c r="D642" s="12">
        <f t="shared" si="37"/>
        <v>1.0510999999999675</v>
      </c>
      <c r="E642" s="18">
        <v>63.9</v>
      </c>
      <c r="F642" s="27">
        <v>0.90493999999999997</v>
      </c>
      <c r="G642" s="11">
        <f t="shared" si="38"/>
        <v>-2.2999999999994917E-3</v>
      </c>
      <c r="H642" s="12">
        <f t="shared" si="39"/>
        <v>1.0519099999999675</v>
      </c>
    </row>
    <row r="643" spans="1:8" ht="14.25" thickBot="1">
      <c r="A643" s="9">
        <v>64</v>
      </c>
      <c r="B643" s="19">
        <v>0.90390000000000004</v>
      </c>
      <c r="C643" s="11">
        <f t="shared" si="36"/>
        <v>-2.3000000000007654E-3</v>
      </c>
      <c r="D643" s="12">
        <f t="shared" si="37"/>
        <v>1.051100000000049</v>
      </c>
      <c r="E643" s="9">
        <v>64</v>
      </c>
      <c r="F643" s="19">
        <v>0.90471000000000001</v>
      </c>
      <c r="G643" s="11">
        <f t="shared" si="38"/>
        <v>-2.3000000000007654E-3</v>
      </c>
      <c r="H643" s="12">
        <f t="shared" si="39"/>
        <v>1.051910000000049</v>
      </c>
    </row>
    <row r="644" spans="1:8" ht="14.25" thickBot="1">
      <c r="A644" s="18">
        <v>64.099999999999994</v>
      </c>
      <c r="B644" s="27">
        <v>0.90366999999999997</v>
      </c>
      <c r="C644" s="11">
        <f t="shared" ref="C644:C707" si="40">SLOPE(B644:B645,A644:A645)</f>
        <v>-2.2999999999993286E-3</v>
      </c>
      <c r="D644" s="12">
        <f t="shared" ref="D644:D707" si="41">INTERCEPT(B644:B645,A644:A645)</f>
        <v>1.0510999999999568</v>
      </c>
      <c r="E644" s="18">
        <v>64.099999999999994</v>
      </c>
      <c r="F644" s="27">
        <v>0.90447999999999995</v>
      </c>
      <c r="G644" s="11">
        <f t="shared" ref="G644:G707" si="42">SLOPE(F644:F645,E644:E645)</f>
        <v>-2.2999999999993286E-3</v>
      </c>
      <c r="H644" s="12">
        <f t="shared" ref="H644:H707" si="43">INTERCEPT(F644:F645,E644:E645)</f>
        <v>1.0519099999999568</v>
      </c>
    </row>
    <row r="645" spans="1:8" ht="14.25" thickBot="1">
      <c r="A645" s="18">
        <v>64.2</v>
      </c>
      <c r="B645" s="27">
        <v>0.90344000000000002</v>
      </c>
      <c r="C645" s="11">
        <f t="shared" si="40"/>
        <v>-2.3000000000007654E-3</v>
      </c>
      <c r="D645" s="12">
        <f t="shared" si="41"/>
        <v>1.0511000000000492</v>
      </c>
      <c r="E645" s="18">
        <v>64.2</v>
      </c>
      <c r="F645" s="27">
        <v>0.90425</v>
      </c>
      <c r="G645" s="11">
        <f t="shared" si="42"/>
        <v>-2.2999999999996552E-3</v>
      </c>
      <c r="H645" s="12">
        <f t="shared" si="43"/>
        <v>1.0519099999999779</v>
      </c>
    </row>
    <row r="646" spans="1:8" ht="14.25" thickBot="1">
      <c r="A646" s="18">
        <v>64.3</v>
      </c>
      <c r="B646" s="27">
        <v>0.90320999999999996</v>
      </c>
      <c r="C646" s="11">
        <f t="shared" si="40"/>
        <v>-2.3999999999988648E-3</v>
      </c>
      <c r="D646" s="12">
        <f t="shared" si="41"/>
        <v>1.0575299999999268</v>
      </c>
      <c r="E646" s="18">
        <v>64.3</v>
      </c>
      <c r="F646" s="27">
        <v>0.90402000000000005</v>
      </c>
      <c r="G646" s="11">
        <f t="shared" si="42"/>
        <v>-2.3999999999999751E-3</v>
      </c>
      <c r="H646" s="12">
        <f t="shared" si="43"/>
        <v>1.0583399999999985</v>
      </c>
    </row>
    <row r="647" spans="1:8" ht="14.25" thickBot="1">
      <c r="A647" s="18">
        <v>64.400000000000006</v>
      </c>
      <c r="B647" s="27">
        <v>0.90297000000000005</v>
      </c>
      <c r="C647" s="11">
        <f t="shared" si="40"/>
        <v>-2.3000000000007654E-3</v>
      </c>
      <c r="D647" s="12">
        <f t="shared" si="41"/>
        <v>1.0510900000000494</v>
      </c>
      <c r="E647" s="18">
        <v>64.400000000000006</v>
      </c>
      <c r="F647" s="27">
        <v>0.90378000000000003</v>
      </c>
      <c r="G647" s="11">
        <f t="shared" si="42"/>
        <v>-2.3000000000007654E-3</v>
      </c>
      <c r="H647" s="12">
        <f t="shared" si="43"/>
        <v>1.0519000000000494</v>
      </c>
    </row>
    <row r="648" spans="1:8" ht="14.25" thickBot="1">
      <c r="A648" s="18">
        <v>64.5</v>
      </c>
      <c r="B648" s="27">
        <v>0.90273999999999999</v>
      </c>
      <c r="C648" s="11">
        <f t="shared" si="40"/>
        <v>-2.2999999999996552E-3</v>
      </c>
      <c r="D648" s="12">
        <f t="shared" si="41"/>
        <v>1.0510899999999777</v>
      </c>
      <c r="E648" s="18">
        <v>64.5</v>
      </c>
      <c r="F648" s="27">
        <v>0.90354999999999996</v>
      </c>
      <c r="G648" s="11">
        <f t="shared" si="42"/>
        <v>-2.2999999999996552E-3</v>
      </c>
      <c r="H648" s="12">
        <f t="shared" si="43"/>
        <v>1.0518999999999776</v>
      </c>
    </row>
    <row r="649" spans="1:8" ht="14.25" thickBot="1">
      <c r="A649" s="18">
        <v>64.599999999999994</v>
      </c>
      <c r="B649" s="27">
        <v>0.90251000000000003</v>
      </c>
      <c r="C649" s="11">
        <f t="shared" si="40"/>
        <v>-2.3000000000004388E-3</v>
      </c>
      <c r="D649" s="12">
        <f t="shared" si="41"/>
        <v>1.0510900000000285</v>
      </c>
      <c r="E649" s="18">
        <v>64.599999999999994</v>
      </c>
      <c r="F649" s="27">
        <v>0.90332000000000001</v>
      </c>
      <c r="G649" s="11">
        <f t="shared" si="42"/>
        <v>-2.3000000000004388E-3</v>
      </c>
      <c r="H649" s="12">
        <f t="shared" si="43"/>
        <v>1.0519000000000285</v>
      </c>
    </row>
    <row r="650" spans="1:8" ht="14.25" thickBot="1">
      <c r="A650" s="18">
        <v>64.7</v>
      </c>
      <c r="B650" s="27">
        <v>0.90227999999999997</v>
      </c>
      <c r="C650" s="11">
        <f t="shared" si="40"/>
        <v>-2.4000000000003159E-3</v>
      </c>
      <c r="D650" s="12">
        <f t="shared" si="41"/>
        <v>1.0575600000000205</v>
      </c>
      <c r="E650" s="18">
        <v>64.7</v>
      </c>
      <c r="F650" s="27">
        <v>0.90308999999999995</v>
      </c>
      <c r="G650" s="11">
        <f t="shared" si="42"/>
        <v>-2.3999999999992057E-3</v>
      </c>
      <c r="H650" s="12">
        <f t="shared" si="43"/>
        <v>1.0583699999999485</v>
      </c>
    </row>
    <row r="651" spans="1:8" ht="14.25" thickBot="1">
      <c r="A651" s="18">
        <v>64.8</v>
      </c>
      <c r="B651" s="27">
        <v>0.90203999999999995</v>
      </c>
      <c r="C651" s="11">
        <f t="shared" si="40"/>
        <v>-2.2999999999993286E-3</v>
      </c>
      <c r="D651" s="12">
        <f t="shared" si="41"/>
        <v>1.0510799999999565</v>
      </c>
      <c r="E651" s="18">
        <v>64.8</v>
      </c>
      <c r="F651" s="27">
        <v>0.90285000000000004</v>
      </c>
      <c r="G651" s="11">
        <f t="shared" si="42"/>
        <v>-2.3000000000004388E-3</v>
      </c>
      <c r="H651" s="12">
        <f t="shared" si="43"/>
        <v>1.0518900000000286</v>
      </c>
    </row>
    <row r="652" spans="1:8" ht="14.25" thickBot="1">
      <c r="A652" s="18">
        <v>64.900000000000006</v>
      </c>
      <c r="B652" s="27">
        <v>0.90181</v>
      </c>
      <c r="C652" s="11">
        <f t="shared" si="40"/>
        <v>-2.4000000000003159E-3</v>
      </c>
      <c r="D652" s="12">
        <f t="shared" si="41"/>
        <v>1.0575700000000205</v>
      </c>
      <c r="E652" s="18">
        <v>64.900000000000006</v>
      </c>
      <c r="F652" s="27">
        <v>0.90261999999999998</v>
      </c>
      <c r="G652" s="11">
        <f t="shared" si="42"/>
        <v>-2.4000000000003159E-3</v>
      </c>
      <c r="H652" s="12">
        <f t="shared" si="43"/>
        <v>1.0583800000000205</v>
      </c>
    </row>
    <row r="653" spans="1:8" ht="14.25" thickBot="1">
      <c r="A653" s="9">
        <v>65</v>
      </c>
      <c r="B653" s="19">
        <v>0.90156999999999998</v>
      </c>
      <c r="C653" s="11">
        <f t="shared" si="40"/>
        <v>-2.2999999999996552E-3</v>
      </c>
      <c r="D653" s="12">
        <f t="shared" si="41"/>
        <v>1.0510699999999775</v>
      </c>
      <c r="E653" s="9">
        <v>65</v>
      </c>
      <c r="F653" s="19">
        <v>0.90237999999999996</v>
      </c>
      <c r="G653" s="11">
        <f t="shared" si="42"/>
        <v>-2.2999999999996552E-3</v>
      </c>
      <c r="H653" s="12">
        <f t="shared" si="43"/>
        <v>1.0518799999999775</v>
      </c>
    </row>
    <row r="654" spans="1:8" ht="14.25" thickBot="1">
      <c r="A654" s="18">
        <v>65.099999999999994</v>
      </c>
      <c r="B654" s="27">
        <v>0.90134000000000003</v>
      </c>
      <c r="C654" s="11">
        <f t="shared" si="40"/>
        <v>-2.3000000000004388E-3</v>
      </c>
      <c r="D654" s="12">
        <f t="shared" si="41"/>
        <v>1.0510700000000286</v>
      </c>
      <c r="E654" s="18">
        <v>65.099999999999994</v>
      </c>
      <c r="F654" s="27">
        <v>0.90215000000000001</v>
      </c>
      <c r="G654" s="11">
        <f t="shared" si="42"/>
        <v>-2.2999999999993286E-3</v>
      </c>
      <c r="H654" s="12">
        <f t="shared" si="43"/>
        <v>1.0518799999999562</v>
      </c>
    </row>
    <row r="655" spans="1:8" ht="14.25" thickBot="1">
      <c r="A655" s="18">
        <v>65.2</v>
      </c>
      <c r="B655" s="27">
        <v>0.90110999999999997</v>
      </c>
      <c r="C655" s="11">
        <f t="shared" si="40"/>
        <v>-2.4000000000003159E-3</v>
      </c>
      <c r="D655" s="12">
        <f t="shared" si="41"/>
        <v>1.0575900000000207</v>
      </c>
      <c r="E655" s="18">
        <v>65.2</v>
      </c>
      <c r="F655" s="27">
        <v>0.90192000000000005</v>
      </c>
      <c r="G655" s="11">
        <f t="shared" si="42"/>
        <v>-2.4000000000003159E-3</v>
      </c>
      <c r="H655" s="12">
        <f t="shared" si="43"/>
        <v>1.0584000000000207</v>
      </c>
    </row>
    <row r="656" spans="1:8" ht="14.25" thickBot="1">
      <c r="A656" s="18">
        <v>65.3</v>
      </c>
      <c r="B656" s="27">
        <v>0.90086999999999995</v>
      </c>
      <c r="C656" s="11">
        <f t="shared" si="40"/>
        <v>-2.2999999999993286E-3</v>
      </c>
      <c r="D656" s="12">
        <f t="shared" si="41"/>
        <v>1.0510599999999561</v>
      </c>
      <c r="E656" s="18">
        <v>65.3</v>
      </c>
      <c r="F656" s="27">
        <v>0.90168000000000004</v>
      </c>
      <c r="G656" s="11">
        <f t="shared" si="42"/>
        <v>-2.3000000000004388E-3</v>
      </c>
      <c r="H656" s="12">
        <f t="shared" si="43"/>
        <v>1.0518700000000285</v>
      </c>
    </row>
    <row r="657" spans="1:8" ht="14.25" thickBot="1">
      <c r="A657" s="18">
        <v>65.400000000000006</v>
      </c>
      <c r="B657" s="27">
        <v>0.90064</v>
      </c>
      <c r="C657" s="11">
        <f t="shared" si="40"/>
        <v>-2.4000000000003159E-3</v>
      </c>
      <c r="D657" s="12">
        <f t="shared" si="41"/>
        <v>1.0576000000000207</v>
      </c>
      <c r="E657" s="18">
        <v>65.400000000000006</v>
      </c>
      <c r="F657" s="27">
        <v>0.90144999999999997</v>
      </c>
      <c r="G657" s="11">
        <f t="shared" si="42"/>
        <v>-2.4000000000003159E-3</v>
      </c>
      <c r="H657" s="12">
        <f t="shared" si="43"/>
        <v>1.0584100000000207</v>
      </c>
    </row>
    <row r="658" spans="1:8" ht="14.25" thickBot="1">
      <c r="A658" s="18">
        <v>65.5</v>
      </c>
      <c r="B658" s="27">
        <v>0.90039999999999998</v>
      </c>
      <c r="C658" s="11">
        <f t="shared" si="40"/>
        <v>-2.2999999999996552E-3</v>
      </c>
      <c r="D658" s="12">
        <f t="shared" si="41"/>
        <v>1.0510499999999774</v>
      </c>
      <c r="E658" s="18">
        <v>65.5</v>
      </c>
      <c r="F658" s="27">
        <v>0.90120999999999996</v>
      </c>
      <c r="G658" s="11">
        <f t="shared" si="42"/>
        <v>-2.2999999999996552E-3</v>
      </c>
      <c r="H658" s="12">
        <f t="shared" si="43"/>
        <v>1.0518599999999774</v>
      </c>
    </row>
    <row r="659" spans="1:8" ht="14.25" thickBot="1">
      <c r="A659" s="18">
        <v>65.599999999999994</v>
      </c>
      <c r="B659" s="27">
        <v>0.90017000000000003</v>
      </c>
      <c r="C659" s="11">
        <f t="shared" si="40"/>
        <v>-2.3999999999999751E-3</v>
      </c>
      <c r="D659" s="12">
        <f t="shared" si="41"/>
        <v>1.0576099999999984</v>
      </c>
      <c r="E659" s="18">
        <v>65.599999999999994</v>
      </c>
      <c r="F659" s="27">
        <v>0.90098</v>
      </c>
      <c r="G659" s="11">
        <f t="shared" si="42"/>
        <v>-2.3999999999999751E-3</v>
      </c>
      <c r="H659" s="12">
        <f t="shared" si="43"/>
        <v>1.0584199999999984</v>
      </c>
    </row>
    <row r="660" spans="1:8" ht="14.25" thickBot="1">
      <c r="A660" s="18">
        <v>65.7</v>
      </c>
      <c r="B660" s="27">
        <v>0.89993000000000001</v>
      </c>
      <c r="C660" s="11">
        <f t="shared" si="40"/>
        <v>-2.2999999999996552E-3</v>
      </c>
      <c r="D660" s="12">
        <f t="shared" si="41"/>
        <v>1.0510399999999773</v>
      </c>
      <c r="E660" s="18">
        <v>65.7</v>
      </c>
      <c r="F660" s="27">
        <v>0.90073999999999999</v>
      </c>
      <c r="G660" s="11">
        <f t="shared" si="42"/>
        <v>-2.2999999999996552E-3</v>
      </c>
      <c r="H660" s="12">
        <f t="shared" si="43"/>
        <v>1.0518499999999773</v>
      </c>
    </row>
    <row r="661" spans="1:8" ht="14.25" thickBot="1">
      <c r="A661" s="18">
        <v>65.8</v>
      </c>
      <c r="B661" s="27">
        <v>0.89970000000000006</v>
      </c>
      <c r="C661" s="11">
        <f t="shared" si="40"/>
        <v>-2.3999999999999751E-3</v>
      </c>
      <c r="D661" s="12">
        <f t="shared" si="41"/>
        <v>1.0576199999999985</v>
      </c>
      <c r="E661" s="18">
        <v>65.8</v>
      </c>
      <c r="F661" s="27">
        <v>0.90051000000000003</v>
      </c>
      <c r="G661" s="11">
        <f t="shared" si="42"/>
        <v>-2.3999999999999751E-3</v>
      </c>
      <c r="H661" s="12">
        <f t="shared" si="43"/>
        <v>1.0584299999999984</v>
      </c>
    </row>
    <row r="662" spans="1:8" ht="14.25" thickBot="1">
      <c r="A662" s="18">
        <v>65.900000000000006</v>
      </c>
      <c r="B662" s="27">
        <v>0.89946000000000004</v>
      </c>
      <c r="C662" s="11">
        <f t="shared" si="40"/>
        <v>-2.4000000000003159E-3</v>
      </c>
      <c r="D662" s="12">
        <f t="shared" si="41"/>
        <v>1.0576200000000209</v>
      </c>
      <c r="E662" s="18">
        <v>65.900000000000006</v>
      </c>
      <c r="F662" s="27">
        <v>0.90027000000000001</v>
      </c>
      <c r="G662" s="11">
        <f t="shared" si="42"/>
        <v>-2.4000000000003159E-3</v>
      </c>
      <c r="H662" s="12">
        <f t="shared" si="43"/>
        <v>1.0584300000000209</v>
      </c>
    </row>
    <row r="663" spans="1:8" ht="14.25" thickBot="1">
      <c r="A663" s="9">
        <v>66</v>
      </c>
      <c r="B663" s="19">
        <v>0.89922000000000002</v>
      </c>
      <c r="C663" s="11">
        <f t="shared" si="40"/>
        <v>-2.3000000000007654E-3</v>
      </c>
      <c r="D663" s="12">
        <f t="shared" si="41"/>
        <v>1.0510200000000505</v>
      </c>
      <c r="E663" s="9">
        <v>66</v>
      </c>
      <c r="F663" s="19">
        <v>0.90003</v>
      </c>
      <c r="G663" s="11">
        <f t="shared" si="42"/>
        <v>-2.2999999999996552E-3</v>
      </c>
      <c r="H663" s="12">
        <f t="shared" si="43"/>
        <v>1.0518299999999772</v>
      </c>
    </row>
    <row r="664" spans="1:8" ht="14.25" thickBot="1">
      <c r="A664" s="18">
        <v>66.099999999999994</v>
      </c>
      <c r="B664" s="27">
        <v>0.89898999999999996</v>
      </c>
      <c r="C664" s="11">
        <f t="shared" si="40"/>
        <v>-2.3999999999988648E-3</v>
      </c>
      <c r="D664" s="12">
        <f t="shared" si="41"/>
        <v>1.057629999999925</v>
      </c>
      <c r="E664" s="18">
        <v>66.099999999999994</v>
      </c>
      <c r="F664" s="27">
        <v>0.89980000000000004</v>
      </c>
      <c r="G664" s="11">
        <f t="shared" si="42"/>
        <v>-2.3999999999999751E-3</v>
      </c>
      <c r="H664" s="12">
        <f t="shared" si="43"/>
        <v>1.0584399999999985</v>
      </c>
    </row>
    <row r="665" spans="1:8" ht="14.25" thickBot="1">
      <c r="A665" s="18">
        <v>66.2</v>
      </c>
      <c r="B665" s="27">
        <v>0.89875000000000005</v>
      </c>
      <c r="C665" s="11">
        <f t="shared" si="40"/>
        <v>-2.4000000000003159E-3</v>
      </c>
      <c r="D665" s="12">
        <f t="shared" si="41"/>
        <v>1.0576300000000209</v>
      </c>
      <c r="E665" s="18">
        <v>66.2</v>
      </c>
      <c r="F665" s="27">
        <v>0.89956000000000003</v>
      </c>
      <c r="G665" s="11">
        <f t="shared" si="42"/>
        <v>-2.4000000000003159E-3</v>
      </c>
      <c r="H665" s="12">
        <f t="shared" si="43"/>
        <v>1.0584400000000209</v>
      </c>
    </row>
    <row r="666" spans="1:8" ht="14.25" thickBot="1">
      <c r="A666" s="18">
        <v>66.3</v>
      </c>
      <c r="B666" s="27">
        <v>0.89851000000000003</v>
      </c>
      <c r="C666" s="11">
        <f t="shared" si="40"/>
        <v>-2.3000000000004388E-3</v>
      </c>
      <c r="D666" s="12">
        <f t="shared" si="41"/>
        <v>1.0510000000000292</v>
      </c>
      <c r="E666" s="18">
        <v>66.3</v>
      </c>
      <c r="F666" s="27">
        <v>0.89932000000000001</v>
      </c>
      <c r="G666" s="11">
        <f t="shared" si="42"/>
        <v>-2.3000000000004388E-3</v>
      </c>
      <c r="H666" s="12">
        <f t="shared" si="43"/>
        <v>1.0518100000000292</v>
      </c>
    </row>
    <row r="667" spans="1:8" ht="14.25" thickBot="1">
      <c r="A667" s="18">
        <v>66.400000000000006</v>
      </c>
      <c r="B667" s="27">
        <v>0.89827999999999997</v>
      </c>
      <c r="C667" s="11">
        <f t="shared" si="40"/>
        <v>-2.4000000000003159E-3</v>
      </c>
      <c r="D667" s="12">
        <f t="shared" si="41"/>
        <v>1.057640000000021</v>
      </c>
      <c r="E667" s="18">
        <v>66.400000000000006</v>
      </c>
      <c r="F667" s="27">
        <v>0.89908999999999994</v>
      </c>
      <c r="G667" s="11">
        <f t="shared" si="42"/>
        <v>-2.3999999999992057E-3</v>
      </c>
      <c r="H667" s="12">
        <f t="shared" si="43"/>
        <v>1.0584499999999473</v>
      </c>
    </row>
    <row r="668" spans="1:8" ht="14.25" thickBot="1">
      <c r="A668" s="18">
        <v>66.5</v>
      </c>
      <c r="B668" s="27">
        <v>0.89803999999999995</v>
      </c>
      <c r="C668" s="11">
        <f t="shared" si="40"/>
        <v>-2.3999999999992057E-3</v>
      </c>
      <c r="D668" s="12">
        <f t="shared" si="41"/>
        <v>1.0576399999999473</v>
      </c>
      <c r="E668" s="18">
        <v>66.5</v>
      </c>
      <c r="F668" s="27">
        <v>0.89885000000000004</v>
      </c>
      <c r="G668" s="11">
        <f t="shared" si="42"/>
        <v>-2.4000000000003159E-3</v>
      </c>
      <c r="H668" s="12">
        <f t="shared" si="43"/>
        <v>1.058450000000021</v>
      </c>
    </row>
    <row r="669" spans="1:8" ht="14.25" thickBot="1">
      <c r="A669" s="18">
        <v>66.599999999999994</v>
      </c>
      <c r="B669" s="27">
        <v>0.89780000000000004</v>
      </c>
      <c r="C669" s="11">
        <f t="shared" si="40"/>
        <v>-2.3999999999999751E-3</v>
      </c>
      <c r="D669" s="12">
        <f t="shared" si="41"/>
        <v>1.0576399999999984</v>
      </c>
      <c r="E669" s="18">
        <v>66.599999999999994</v>
      </c>
      <c r="F669" s="27">
        <v>0.89861000000000002</v>
      </c>
      <c r="G669" s="11">
        <f t="shared" si="42"/>
        <v>-2.3999999999999751E-3</v>
      </c>
      <c r="H669" s="12">
        <f t="shared" si="43"/>
        <v>1.0584499999999983</v>
      </c>
    </row>
    <row r="670" spans="1:8" ht="14.25" thickBot="1">
      <c r="A670" s="18">
        <v>66.7</v>
      </c>
      <c r="B670" s="27">
        <v>0.89756000000000002</v>
      </c>
      <c r="C670" s="11">
        <f t="shared" si="40"/>
        <v>-2.4000000000003159E-3</v>
      </c>
      <c r="D670" s="12">
        <f t="shared" si="41"/>
        <v>1.057640000000021</v>
      </c>
      <c r="E670" s="18">
        <v>66.7</v>
      </c>
      <c r="F670" s="27">
        <v>0.89837</v>
      </c>
      <c r="G670" s="11">
        <f t="shared" si="42"/>
        <v>-2.4000000000003159E-3</v>
      </c>
      <c r="H670" s="12">
        <f t="shared" si="43"/>
        <v>1.058450000000021</v>
      </c>
    </row>
    <row r="671" spans="1:8" ht="14.25" thickBot="1">
      <c r="A671" s="18">
        <v>66.8</v>
      </c>
      <c r="B671" s="27">
        <v>0.89732000000000001</v>
      </c>
      <c r="C671" s="11">
        <f t="shared" si="40"/>
        <v>-2.2999999999993286E-3</v>
      </c>
      <c r="D671" s="12">
        <f t="shared" si="41"/>
        <v>1.050959999999955</v>
      </c>
      <c r="E671" s="18">
        <v>66.8</v>
      </c>
      <c r="F671" s="27">
        <v>0.89812999999999998</v>
      </c>
      <c r="G671" s="11">
        <f t="shared" si="42"/>
        <v>-2.2999999999993286E-3</v>
      </c>
      <c r="H671" s="12">
        <f t="shared" si="43"/>
        <v>1.051769999999955</v>
      </c>
    </row>
    <row r="672" spans="1:8" ht="14.25" thickBot="1">
      <c r="A672" s="18">
        <v>66.900000000000006</v>
      </c>
      <c r="B672" s="27">
        <v>0.89709000000000005</v>
      </c>
      <c r="C672" s="11">
        <f t="shared" si="40"/>
        <v>-2.4000000000003159E-3</v>
      </c>
      <c r="D672" s="12">
        <f t="shared" si="41"/>
        <v>1.0576500000000213</v>
      </c>
      <c r="E672" s="18">
        <v>66.900000000000006</v>
      </c>
      <c r="F672" s="27">
        <v>0.89790000000000003</v>
      </c>
      <c r="G672" s="11">
        <f t="shared" si="42"/>
        <v>-2.4000000000003159E-3</v>
      </c>
      <c r="H672" s="12">
        <f t="shared" si="43"/>
        <v>1.0584600000000213</v>
      </c>
    </row>
    <row r="673" spans="1:8" ht="14.25" thickBot="1">
      <c r="A673" s="9">
        <v>67</v>
      </c>
      <c r="B673" s="19">
        <v>0.89685000000000004</v>
      </c>
      <c r="C673" s="11">
        <f t="shared" si="40"/>
        <v>-2.4000000000003159E-3</v>
      </c>
      <c r="D673" s="12">
        <f t="shared" si="41"/>
        <v>1.0576500000000213</v>
      </c>
      <c r="E673" s="9">
        <v>67</v>
      </c>
      <c r="F673" s="19">
        <v>0.89766000000000001</v>
      </c>
      <c r="G673" s="11">
        <f t="shared" si="42"/>
        <v>-2.4000000000003159E-3</v>
      </c>
      <c r="H673" s="12">
        <f t="shared" si="43"/>
        <v>1.0584600000000213</v>
      </c>
    </row>
    <row r="674" spans="1:8" ht="14.25" thickBot="1">
      <c r="A674" s="18">
        <v>67.099999999999994</v>
      </c>
      <c r="B674" s="27">
        <v>0.89661000000000002</v>
      </c>
      <c r="C674" s="11">
        <f t="shared" si="40"/>
        <v>-2.3999999999999751E-3</v>
      </c>
      <c r="D674" s="12">
        <f t="shared" si="41"/>
        <v>1.0576499999999984</v>
      </c>
      <c r="E674" s="18">
        <v>67.099999999999994</v>
      </c>
      <c r="F674" s="27">
        <v>0.89742</v>
      </c>
      <c r="G674" s="11">
        <f t="shared" si="42"/>
        <v>-2.3999999999999751E-3</v>
      </c>
      <c r="H674" s="12">
        <f t="shared" si="43"/>
        <v>1.0584599999999984</v>
      </c>
    </row>
    <row r="675" spans="1:8" ht="14.25" thickBot="1">
      <c r="A675" s="18">
        <v>67.2</v>
      </c>
      <c r="B675" s="27">
        <v>0.89637</v>
      </c>
      <c r="C675" s="11">
        <f t="shared" si="40"/>
        <v>-2.4000000000003159E-3</v>
      </c>
      <c r="D675" s="12">
        <f t="shared" si="41"/>
        <v>1.0576500000000213</v>
      </c>
      <c r="E675" s="18">
        <v>67.2</v>
      </c>
      <c r="F675" s="27">
        <v>0.89717999999999998</v>
      </c>
      <c r="G675" s="11">
        <f t="shared" si="42"/>
        <v>-2.4000000000003159E-3</v>
      </c>
      <c r="H675" s="12">
        <f t="shared" si="43"/>
        <v>1.0584600000000213</v>
      </c>
    </row>
    <row r="676" spans="1:8" ht="14.25" thickBot="1">
      <c r="A676" s="18">
        <v>67.3</v>
      </c>
      <c r="B676" s="27">
        <v>0.89612999999999998</v>
      </c>
      <c r="C676" s="11">
        <f t="shared" si="40"/>
        <v>-2.3999999999999751E-3</v>
      </c>
      <c r="D676" s="12">
        <f t="shared" si="41"/>
        <v>1.0576499999999982</v>
      </c>
      <c r="E676" s="18">
        <v>67.3</v>
      </c>
      <c r="F676" s="27">
        <v>0.89693999999999996</v>
      </c>
      <c r="G676" s="11">
        <f t="shared" si="42"/>
        <v>-2.3999999999988648E-3</v>
      </c>
      <c r="H676" s="12">
        <f t="shared" si="43"/>
        <v>1.0584599999999236</v>
      </c>
    </row>
    <row r="677" spans="1:8" ht="14.25" thickBot="1">
      <c r="A677" s="18">
        <v>67.400000000000006</v>
      </c>
      <c r="B677" s="27">
        <v>0.89588999999999996</v>
      </c>
      <c r="C677" s="11">
        <f t="shared" si="40"/>
        <v>-2.4000000000003159E-3</v>
      </c>
      <c r="D677" s="12">
        <f t="shared" si="41"/>
        <v>1.0576500000000213</v>
      </c>
      <c r="E677" s="18">
        <v>67.400000000000006</v>
      </c>
      <c r="F677" s="27">
        <v>0.89670000000000005</v>
      </c>
      <c r="G677" s="11">
        <f t="shared" si="42"/>
        <v>-2.4000000000003159E-3</v>
      </c>
      <c r="H677" s="12">
        <f t="shared" si="43"/>
        <v>1.0584600000000213</v>
      </c>
    </row>
    <row r="678" spans="1:8" ht="14.25" thickBot="1">
      <c r="A678" s="18">
        <v>67.5</v>
      </c>
      <c r="B678" s="27">
        <v>0.89564999999999995</v>
      </c>
      <c r="C678" s="11">
        <f t="shared" si="40"/>
        <v>-2.3999999999992057E-3</v>
      </c>
      <c r="D678" s="12">
        <f t="shared" si="41"/>
        <v>1.0576499999999462</v>
      </c>
      <c r="E678" s="18">
        <v>67.5</v>
      </c>
      <c r="F678" s="27">
        <v>0.89646000000000003</v>
      </c>
      <c r="G678" s="11">
        <f t="shared" si="42"/>
        <v>-2.4000000000003159E-3</v>
      </c>
      <c r="H678" s="12">
        <f t="shared" si="43"/>
        <v>1.0584600000000213</v>
      </c>
    </row>
    <row r="679" spans="1:8" ht="14.25" thickBot="1">
      <c r="A679" s="18">
        <v>67.599999999999994</v>
      </c>
      <c r="B679" s="27">
        <v>0.89541000000000004</v>
      </c>
      <c r="C679" s="11">
        <f t="shared" si="40"/>
        <v>-2.3999999999999751E-3</v>
      </c>
      <c r="D679" s="12">
        <f t="shared" si="41"/>
        <v>1.0576499999999984</v>
      </c>
      <c r="E679" s="18">
        <v>67.599999999999994</v>
      </c>
      <c r="F679" s="27">
        <v>0.89622000000000002</v>
      </c>
      <c r="G679" s="11">
        <f t="shared" si="42"/>
        <v>-2.3999999999999751E-3</v>
      </c>
      <c r="H679" s="12">
        <f t="shared" si="43"/>
        <v>1.0584599999999984</v>
      </c>
    </row>
    <row r="680" spans="1:8" ht="14.25" thickBot="1">
      <c r="A680" s="18">
        <v>67.7</v>
      </c>
      <c r="B680" s="27">
        <v>0.89517000000000002</v>
      </c>
      <c r="C680" s="11">
        <f t="shared" si="40"/>
        <v>-2.4000000000003159E-3</v>
      </c>
      <c r="D680" s="12">
        <f t="shared" si="41"/>
        <v>1.0576500000000215</v>
      </c>
      <c r="E680" s="18">
        <v>67.7</v>
      </c>
      <c r="F680" s="27">
        <v>0.89598</v>
      </c>
      <c r="G680" s="11">
        <f t="shared" si="42"/>
        <v>-2.4000000000003159E-3</v>
      </c>
      <c r="H680" s="12">
        <f t="shared" si="43"/>
        <v>1.0584600000000215</v>
      </c>
    </row>
    <row r="681" spans="1:8" ht="14.25" thickBot="1">
      <c r="A681" s="18">
        <v>67.8</v>
      </c>
      <c r="B681" s="27">
        <v>0.89493</v>
      </c>
      <c r="C681" s="11">
        <f t="shared" si="40"/>
        <v>-2.3999999999999751E-3</v>
      </c>
      <c r="D681" s="12">
        <f t="shared" si="41"/>
        <v>1.0576499999999982</v>
      </c>
      <c r="E681" s="18">
        <v>67.8</v>
      </c>
      <c r="F681" s="27">
        <v>0.89573999999999998</v>
      </c>
      <c r="G681" s="11">
        <f t="shared" si="42"/>
        <v>-2.3999999999999751E-3</v>
      </c>
      <c r="H681" s="12">
        <f t="shared" si="43"/>
        <v>1.0584599999999982</v>
      </c>
    </row>
    <row r="682" spans="1:8" ht="14.25" thickBot="1">
      <c r="A682" s="18">
        <v>67.900000000000006</v>
      </c>
      <c r="B682" s="27">
        <v>0.89468999999999999</v>
      </c>
      <c r="C682" s="11">
        <f t="shared" si="40"/>
        <v>-2.4000000000003159E-3</v>
      </c>
      <c r="D682" s="12">
        <f t="shared" si="41"/>
        <v>1.0576500000000215</v>
      </c>
      <c r="E682" s="18">
        <v>67.900000000000006</v>
      </c>
      <c r="F682" s="27">
        <v>0.89549999999999996</v>
      </c>
      <c r="G682" s="11">
        <f t="shared" si="42"/>
        <v>-2.4000000000003159E-3</v>
      </c>
      <c r="H682" s="12">
        <f t="shared" si="43"/>
        <v>1.0584600000000215</v>
      </c>
    </row>
    <row r="683" spans="1:8" ht="14.25" thickBot="1">
      <c r="A683" s="9">
        <v>68</v>
      </c>
      <c r="B683" s="19">
        <v>0.89444999999999997</v>
      </c>
      <c r="C683" s="11">
        <f t="shared" si="40"/>
        <v>-2.4999999999998665E-3</v>
      </c>
      <c r="D683" s="12">
        <f t="shared" si="41"/>
        <v>1.064449999999991</v>
      </c>
      <c r="E683" s="9">
        <v>68</v>
      </c>
      <c r="F683" s="19">
        <v>0.89525999999999994</v>
      </c>
      <c r="G683" s="11">
        <f t="shared" si="42"/>
        <v>-2.4999999999998665E-3</v>
      </c>
      <c r="H683" s="12">
        <f t="shared" si="43"/>
        <v>1.065259999999991</v>
      </c>
    </row>
    <row r="684" spans="1:8" ht="14.25" thickBot="1">
      <c r="A684" s="18">
        <v>68.099999999999994</v>
      </c>
      <c r="B684" s="27">
        <v>0.89419999999999999</v>
      </c>
      <c r="C684" s="11">
        <f t="shared" si="40"/>
        <v>-2.3999999999999751E-3</v>
      </c>
      <c r="D684" s="12">
        <f t="shared" si="41"/>
        <v>1.0576399999999984</v>
      </c>
      <c r="E684" s="18">
        <v>68.099999999999994</v>
      </c>
      <c r="F684" s="27">
        <v>0.89500999999999997</v>
      </c>
      <c r="G684" s="11">
        <f t="shared" si="42"/>
        <v>-2.3999999999999751E-3</v>
      </c>
      <c r="H684" s="12">
        <f t="shared" si="43"/>
        <v>1.0584499999999983</v>
      </c>
    </row>
    <row r="685" spans="1:8" ht="14.25" thickBot="1">
      <c r="A685" s="18">
        <v>68.2</v>
      </c>
      <c r="B685" s="27">
        <v>0.89395999999999998</v>
      </c>
      <c r="C685" s="11">
        <f t="shared" si="40"/>
        <v>-2.4000000000003159E-3</v>
      </c>
      <c r="D685" s="12">
        <f t="shared" si="41"/>
        <v>1.0576400000000215</v>
      </c>
      <c r="E685" s="18">
        <v>68.2</v>
      </c>
      <c r="F685" s="27">
        <v>0.89476999999999995</v>
      </c>
      <c r="G685" s="11">
        <f t="shared" si="42"/>
        <v>-2.3999999999992057E-3</v>
      </c>
      <c r="H685" s="12">
        <f t="shared" si="43"/>
        <v>1.0584499999999457</v>
      </c>
    </row>
    <row r="686" spans="1:8" ht="14.25" thickBot="1">
      <c r="A686" s="18">
        <v>68.3</v>
      </c>
      <c r="B686" s="27">
        <v>0.89371999999999996</v>
      </c>
      <c r="C686" s="11">
        <f t="shared" si="40"/>
        <v>-2.3999999999988648E-3</v>
      </c>
      <c r="D686" s="12">
        <f t="shared" si="41"/>
        <v>1.0576399999999224</v>
      </c>
      <c r="E686" s="18">
        <v>68.3</v>
      </c>
      <c r="F686" s="27">
        <v>0.89453000000000005</v>
      </c>
      <c r="G686" s="11">
        <f t="shared" si="42"/>
        <v>-2.5000000000006215E-3</v>
      </c>
      <c r="H686" s="12">
        <f t="shared" si="43"/>
        <v>1.0652800000000424</v>
      </c>
    </row>
    <row r="687" spans="1:8" ht="14.25" thickBot="1">
      <c r="A687" s="18">
        <v>68.400000000000006</v>
      </c>
      <c r="B687" s="27">
        <v>0.89348000000000005</v>
      </c>
      <c r="C687" s="11">
        <f t="shared" si="40"/>
        <v>-2.5000000000009767E-3</v>
      </c>
      <c r="D687" s="12">
        <f t="shared" si="41"/>
        <v>1.0644800000000669</v>
      </c>
      <c r="E687" s="18">
        <v>68.400000000000006</v>
      </c>
      <c r="F687" s="27">
        <v>0.89427999999999996</v>
      </c>
      <c r="G687" s="11">
        <f t="shared" si="42"/>
        <v>-2.4999999999998665E-3</v>
      </c>
      <c r="H687" s="12">
        <f t="shared" si="43"/>
        <v>1.0652799999999909</v>
      </c>
    </row>
    <row r="688" spans="1:8" ht="14.25" thickBot="1">
      <c r="A688" s="18">
        <v>68.5</v>
      </c>
      <c r="B688" s="27">
        <v>0.89322999999999997</v>
      </c>
      <c r="C688" s="11">
        <f t="shared" si="40"/>
        <v>-2.4000000000003159E-3</v>
      </c>
      <c r="D688" s="12">
        <f t="shared" si="41"/>
        <v>1.0576300000000216</v>
      </c>
      <c r="E688" s="18">
        <v>68.5</v>
      </c>
      <c r="F688" s="27">
        <v>0.89402999999999999</v>
      </c>
      <c r="G688" s="11">
        <f t="shared" si="42"/>
        <v>-2.4000000000003159E-3</v>
      </c>
      <c r="H688" s="12">
        <f t="shared" si="43"/>
        <v>1.0584300000000217</v>
      </c>
    </row>
    <row r="689" spans="1:8" ht="14.25" thickBot="1">
      <c r="A689" s="18">
        <v>68.599999999999994</v>
      </c>
      <c r="B689" s="27">
        <v>0.89298999999999995</v>
      </c>
      <c r="C689" s="11">
        <f t="shared" si="40"/>
        <v>-2.3999999999988648E-3</v>
      </c>
      <c r="D689" s="12">
        <f t="shared" si="41"/>
        <v>1.0576299999999221</v>
      </c>
      <c r="E689" s="18">
        <v>68.599999999999994</v>
      </c>
      <c r="F689" s="27">
        <v>0.89378999999999997</v>
      </c>
      <c r="G689" s="11">
        <f t="shared" si="42"/>
        <v>-2.3999999999999751E-3</v>
      </c>
      <c r="H689" s="12">
        <f t="shared" si="43"/>
        <v>1.0584299999999982</v>
      </c>
    </row>
    <row r="690" spans="1:8" ht="14.25" thickBot="1">
      <c r="A690" s="18">
        <v>68.7</v>
      </c>
      <c r="B690" s="27">
        <v>0.89275000000000004</v>
      </c>
      <c r="C690" s="11">
        <f t="shared" si="40"/>
        <v>-2.5000000000009767E-3</v>
      </c>
      <c r="D690" s="12">
        <f t="shared" si="41"/>
        <v>1.0645000000000671</v>
      </c>
      <c r="E690" s="18">
        <v>68.7</v>
      </c>
      <c r="F690" s="27">
        <v>0.89354999999999996</v>
      </c>
      <c r="G690" s="11">
        <f t="shared" si="42"/>
        <v>-2.4999999999998665E-3</v>
      </c>
      <c r="H690" s="12">
        <f t="shared" si="43"/>
        <v>1.0652999999999908</v>
      </c>
    </row>
    <row r="691" spans="1:8" ht="14.25" thickBot="1">
      <c r="A691" s="18">
        <v>68.8</v>
      </c>
      <c r="B691" s="27">
        <v>0.89249999999999996</v>
      </c>
      <c r="C691" s="11">
        <f t="shared" si="40"/>
        <v>-2.3999999999988648E-3</v>
      </c>
      <c r="D691" s="12">
        <f t="shared" si="41"/>
        <v>1.0576199999999218</v>
      </c>
      <c r="E691" s="18">
        <v>68.8</v>
      </c>
      <c r="F691" s="27">
        <v>0.89329999999999998</v>
      </c>
      <c r="G691" s="11">
        <f t="shared" si="42"/>
        <v>-2.3999999999999751E-3</v>
      </c>
      <c r="H691" s="12">
        <f t="shared" si="43"/>
        <v>1.0584199999999981</v>
      </c>
    </row>
    <row r="692" spans="1:8" ht="14.25" thickBot="1">
      <c r="A692" s="18">
        <v>68.900000000000006</v>
      </c>
      <c r="B692" s="27">
        <v>0.89226000000000005</v>
      </c>
      <c r="C692" s="11">
        <f t="shared" si="40"/>
        <v>-2.4000000000003159E-3</v>
      </c>
      <c r="D692" s="12">
        <f t="shared" si="41"/>
        <v>1.0576200000000218</v>
      </c>
      <c r="E692" s="18">
        <v>68.900000000000006</v>
      </c>
      <c r="F692" s="27">
        <v>0.89305999999999996</v>
      </c>
      <c r="G692" s="11">
        <f t="shared" si="42"/>
        <v>-2.4000000000003159E-3</v>
      </c>
      <c r="H692" s="12">
        <f t="shared" si="43"/>
        <v>1.0584200000000217</v>
      </c>
    </row>
    <row r="693" spans="1:8" ht="14.25" thickBot="1">
      <c r="A693" s="9">
        <v>69</v>
      </c>
      <c r="B693" s="19">
        <v>0.89202000000000004</v>
      </c>
      <c r="C693" s="11">
        <f t="shared" si="40"/>
        <v>-2.5000000000009767E-3</v>
      </c>
      <c r="D693" s="12">
        <f t="shared" si="41"/>
        <v>1.0645200000000674</v>
      </c>
      <c r="E693" s="9">
        <v>69</v>
      </c>
      <c r="F693" s="19">
        <v>0.89281999999999995</v>
      </c>
      <c r="G693" s="11">
        <f t="shared" si="42"/>
        <v>-2.4999999999998665E-3</v>
      </c>
      <c r="H693" s="12">
        <f t="shared" si="43"/>
        <v>1.0653199999999907</v>
      </c>
    </row>
    <row r="694" spans="1:8" ht="14.25" thickBot="1">
      <c r="A694" s="18">
        <v>69.099999999999994</v>
      </c>
      <c r="B694" s="27">
        <v>0.89176999999999995</v>
      </c>
      <c r="C694" s="11">
        <f t="shared" si="40"/>
        <v>-2.3999999999988648E-3</v>
      </c>
      <c r="D694" s="12">
        <f t="shared" si="41"/>
        <v>1.0576099999999216</v>
      </c>
      <c r="E694" s="18">
        <v>69.099999999999994</v>
      </c>
      <c r="F694" s="27">
        <v>0.89256999999999997</v>
      </c>
      <c r="G694" s="11">
        <f t="shared" si="42"/>
        <v>-2.3999999999999751E-3</v>
      </c>
      <c r="H694" s="12">
        <f t="shared" si="43"/>
        <v>1.0584099999999983</v>
      </c>
    </row>
    <row r="695" spans="1:8" ht="14.25" thickBot="1">
      <c r="A695" s="18">
        <v>69.2</v>
      </c>
      <c r="B695" s="27">
        <v>0.89153000000000004</v>
      </c>
      <c r="C695" s="11">
        <f t="shared" si="40"/>
        <v>-2.5000000000009767E-3</v>
      </c>
      <c r="D695" s="12">
        <f t="shared" si="41"/>
        <v>1.0645300000000677</v>
      </c>
      <c r="E695" s="18">
        <v>69.2</v>
      </c>
      <c r="F695" s="27">
        <v>0.89232999999999996</v>
      </c>
      <c r="G695" s="11">
        <f t="shared" si="42"/>
        <v>-2.4999999999998665E-3</v>
      </c>
      <c r="H695" s="12">
        <f t="shared" si="43"/>
        <v>1.0653299999999906</v>
      </c>
    </row>
    <row r="696" spans="1:8" ht="14.25" thickBot="1">
      <c r="A696" s="18">
        <v>69.3</v>
      </c>
      <c r="B696" s="27">
        <v>0.89127999999999996</v>
      </c>
      <c r="C696" s="11">
        <f t="shared" si="40"/>
        <v>-2.3999999999988648E-3</v>
      </c>
      <c r="D696" s="12">
        <f t="shared" si="41"/>
        <v>1.0575999999999213</v>
      </c>
      <c r="E696" s="18">
        <v>69.3</v>
      </c>
      <c r="F696" s="27">
        <v>0.89207999999999998</v>
      </c>
      <c r="G696" s="11">
        <f t="shared" si="42"/>
        <v>-2.3999999999999751E-3</v>
      </c>
      <c r="H696" s="12">
        <f t="shared" si="43"/>
        <v>1.0583999999999982</v>
      </c>
    </row>
    <row r="697" spans="1:8" ht="14.25" thickBot="1">
      <c r="A697" s="18">
        <v>69.400000000000006</v>
      </c>
      <c r="B697" s="27">
        <v>0.89104000000000005</v>
      </c>
      <c r="C697" s="11">
        <f t="shared" si="40"/>
        <v>-2.5000000000009767E-3</v>
      </c>
      <c r="D697" s="12">
        <f t="shared" si="41"/>
        <v>1.0645400000000678</v>
      </c>
      <c r="E697" s="18">
        <v>69.400000000000006</v>
      </c>
      <c r="F697" s="27">
        <v>0.89183999999999997</v>
      </c>
      <c r="G697" s="11">
        <f t="shared" si="42"/>
        <v>-2.4999999999998665E-3</v>
      </c>
      <c r="H697" s="12">
        <f t="shared" si="43"/>
        <v>1.0653399999999908</v>
      </c>
    </row>
    <row r="698" spans="1:8" ht="14.25" thickBot="1">
      <c r="A698" s="18">
        <v>69.5</v>
      </c>
      <c r="B698" s="27">
        <v>0.89078999999999997</v>
      </c>
      <c r="C698" s="11">
        <f t="shared" si="40"/>
        <v>-2.4000000000003159E-3</v>
      </c>
      <c r="D698" s="12">
        <f t="shared" si="41"/>
        <v>1.057590000000022</v>
      </c>
      <c r="E698" s="18">
        <v>69.5</v>
      </c>
      <c r="F698" s="27">
        <v>0.89158999999999999</v>
      </c>
      <c r="G698" s="11">
        <f t="shared" si="42"/>
        <v>-2.4000000000003159E-3</v>
      </c>
      <c r="H698" s="12">
        <f t="shared" si="43"/>
        <v>1.0583900000000219</v>
      </c>
    </row>
    <row r="699" spans="1:8" ht="14.25" thickBot="1">
      <c r="A699" s="18">
        <v>69.599999999999994</v>
      </c>
      <c r="B699" s="27">
        <v>0.89054999999999995</v>
      </c>
      <c r="C699" s="11">
        <f t="shared" si="40"/>
        <v>-2.4999999999995113E-3</v>
      </c>
      <c r="D699" s="12">
        <f t="shared" si="41"/>
        <v>1.0645499999999659</v>
      </c>
      <c r="E699" s="18">
        <v>69.599999999999994</v>
      </c>
      <c r="F699" s="27">
        <v>0.89134999999999998</v>
      </c>
      <c r="G699" s="11">
        <f t="shared" si="42"/>
        <v>-2.4999999999995117E-3</v>
      </c>
      <c r="H699" s="12">
        <f t="shared" si="43"/>
        <v>1.0653499999999658</v>
      </c>
    </row>
    <row r="700" spans="1:8" ht="14.25" thickBot="1">
      <c r="A700" s="18">
        <v>69.7</v>
      </c>
      <c r="B700" s="27">
        <v>0.89029999999999998</v>
      </c>
      <c r="C700" s="11">
        <f t="shared" si="40"/>
        <v>-2.4999999999998665E-3</v>
      </c>
      <c r="D700" s="12">
        <f t="shared" si="41"/>
        <v>1.0645499999999906</v>
      </c>
      <c r="E700" s="18">
        <v>69.7</v>
      </c>
      <c r="F700" s="27">
        <v>0.8911</v>
      </c>
      <c r="G700" s="11">
        <f t="shared" si="42"/>
        <v>-2.4999999999998665E-3</v>
      </c>
      <c r="H700" s="12">
        <f t="shared" si="43"/>
        <v>1.0653499999999907</v>
      </c>
    </row>
    <row r="701" spans="1:8" ht="14.25" thickBot="1">
      <c r="A701" s="18">
        <v>69.8</v>
      </c>
      <c r="B701" s="27">
        <v>0.89005000000000001</v>
      </c>
      <c r="C701" s="11">
        <f t="shared" si="40"/>
        <v>-2.3999999999999751E-3</v>
      </c>
      <c r="D701" s="12">
        <f t="shared" si="41"/>
        <v>1.0575699999999983</v>
      </c>
      <c r="E701" s="18">
        <v>69.8</v>
      </c>
      <c r="F701" s="27">
        <v>0.89085000000000003</v>
      </c>
      <c r="G701" s="11">
        <f t="shared" si="42"/>
        <v>-2.3999999999999751E-3</v>
      </c>
      <c r="H701" s="12">
        <f t="shared" si="43"/>
        <v>1.0583699999999983</v>
      </c>
    </row>
    <row r="702" spans="1:8" ht="14.25" thickBot="1">
      <c r="A702" s="18">
        <v>69.900000000000006</v>
      </c>
      <c r="B702" s="27">
        <v>0.88980999999999999</v>
      </c>
      <c r="C702" s="11">
        <f t="shared" si="40"/>
        <v>-2.4999999999998665E-3</v>
      </c>
      <c r="D702" s="12">
        <f t="shared" si="41"/>
        <v>1.0645599999999908</v>
      </c>
      <c r="E702" s="18">
        <v>69.900000000000006</v>
      </c>
      <c r="F702" s="27">
        <v>0.89061000000000001</v>
      </c>
      <c r="G702" s="11">
        <f t="shared" si="42"/>
        <v>-2.4999999999998665E-3</v>
      </c>
      <c r="H702" s="12">
        <f t="shared" si="43"/>
        <v>1.0653599999999908</v>
      </c>
    </row>
    <row r="703" spans="1:8" ht="14.25" thickBot="1">
      <c r="A703" s="9">
        <v>70</v>
      </c>
      <c r="B703" s="19">
        <v>0.88956000000000002</v>
      </c>
      <c r="C703" s="11">
        <f t="shared" si="40"/>
        <v>-2.4999999999998665E-3</v>
      </c>
      <c r="D703" s="12">
        <f t="shared" si="41"/>
        <v>1.0645599999999906</v>
      </c>
      <c r="E703" s="9">
        <v>70</v>
      </c>
      <c r="F703" s="19">
        <v>0.89036000000000004</v>
      </c>
      <c r="G703" s="11">
        <f t="shared" si="42"/>
        <v>-2.5000000000009767E-3</v>
      </c>
      <c r="H703" s="12">
        <f t="shared" si="43"/>
        <v>1.0653600000000685</v>
      </c>
    </row>
    <row r="704" spans="1:8" ht="14.25" thickBot="1">
      <c r="A704" s="18">
        <v>70.099999999999994</v>
      </c>
      <c r="B704" s="27">
        <v>0.88931000000000004</v>
      </c>
      <c r="C704" s="11">
        <f t="shared" si="40"/>
        <v>-2.3999999999999751E-3</v>
      </c>
      <c r="D704" s="12">
        <f t="shared" si="41"/>
        <v>1.0575499999999982</v>
      </c>
      <c r="E704" s="18">
        <v>70.099999999999994</v>
      </c>
      <c r="F704" s="27">
        <v>0.89010999999999996</v>
      </c>
      <c r="G704" s="11">
        <f t="shared" si="42"/>
        <v>-2.3999999999988648E-3</v>
      </c>
      <c r="H704" s="12">
        <f t="shared" si="43"/>
        <v>1.0583499999999204</v>
      </c>
    </row>
    <row r="705" spans="1:8" ht="14.25" thickBot="1">
      <c r="A705" s="18">
        <v>70.2</v>
      </c>
      <c r="B705" s="27">
        <v>0.88907000000000003</v>
      </c>
      <c r="C705" s="11">
        <f t="shared" si="40"/>
        <v>-2.4999999999998665E-3</v>
      </c>
      <c r="D705" s="12">
        <f t="shared" si="41"/>
        <v>1.0645699999999907</v>
      </c>
      <c r="E705" s="18">
        <v>70.2</v>
      </c>
      <c r="F705" s="27">
        <v>0.88987000000000005</v>
      </c>
      <c r="G705" s="11">
        <f t="shared" si="42"/>
        <v>-2.5000000000009767E-3</v>
      </c>
      <c r="H705" s="12">
        <f t="shared" si="43"/>
        <v>1.0653700000000685</v>
      </c>
    </row>
    <row r="706" spans="1:8" ht="14.25" thickBot="1">
      <c r="A706" s="18">
        <v>70.3</v>
      </c>
      <c r="B706" s="27">
        <v>0.88882000000000005</v>
      </c>
      <c r="C706" s="11">
        <f t="shared" si="40"/>
        <v>-2.5000000000006215E-3</v>
      </c>
      <c r="D706" s="12">
        <f t="shared" si="41"/>
        <v>1.0645700000000438</v>
      </c>
      <c r="E706" s="18">
        <v>70.3</v>
      </c>
      <c r="F706" s="27">
        <v>0.88961999999999997</v>
      </c>
      <c r="G706" s="11">
        <f t="shared" si="42"/>
        <v>-2.4999999999995113E-3</v>
      </c>
      <c r="H706" s="12">
        <f t="shared" si="43"/>
        <v>1.0653699999999655</v>
      </c>
    </row>
    <row r="707" spans="1:8" ht="14.25" thickBot="1">
      <c r="A707" s="18">
        <v>70.400000000000006</v>
      </c>
      <c r="B707" s="27">
        <v>0.88856999999999997</v>
      </c>
      <c r="C707" s="11">
        <f t="shared" si="40"/>
        <v>-2.4999999999998665E-3</v>
      </c>
      <c r="D707" s="12">
        <f t="shared" si="41"/>
        <v>1.0645699999999905</v>
      </c>
      <c r="E707" s="18">
        <v>70.400000000000006</v>
      </c>
      <c r="F707" s="27">
        <v>0.88936999999999999</v>
      </c>
      <c r="G707" s="11">
        <f t="shared" si="42"/>
        <v>-2.4999999999998665E-3</v>
      </c>
      <c r="H707" s="12">
        <f t="shared" si="43"/>
        <v>1.0653699999999906</v>
      </c>
    </row>
    <row r="708" spans="1:8" ht="14.25" thickBot="1">
      <c r="A708" s="18">
        <v>70.5</v>
      </c>
      <c r="B708" s="27">
        <v>0.88832</v>
      </c>
      <c r="C708" s="11">
        <f t="shared" ref="C708:C771" si="44">SLOPE(B708:B709,A708:A709)</f>
        <v>-2.4000000000003159E-3</v>
      </c>
      <c r="D708" s="12">
        <f t="shared" ref="D708:D771" si="45">INTERCEPT(B708:B709,A708:A709)</f>
        <v>1.0575200000000222</v>
      </c>
      <c r="E708" s="18">
        <v>70.5</v>
      </c>
      <c r="F708" s="27">
        <v>0.88912000000000002</v>
      </c>
      <c r="G708" s="11">
        <f t="shared" ref="G708:G771" si="46">SLOPE(F708:F709,E708:E709)</f>
        <v>-2.4000000000003159E-3</v>
      </c>
      <c r="H708" s="12">
        <f t="shared" ref="H708:H771" si="47">INTERCEPT(F708:F709,E708:E709)</f>
        <v>1.0583200000000224</v>
      </c>
    </row>
    <row r="709" spans="1:8" ht="14.25" thickBot="1">
      <c r="A709" s="18">
        <v>70.599999999999994</v>
      </c>
      <c r="B709" s="27">
        <v>0.88807999999999998</v>
      </c>
      <c r="C709" s="11">
        <f t="shared" si="44"/>
        <v>-2.4999999999995113E-3</v>
      </c>
      <c r="D709" s="12">
        <f t="shared" si="45"/>
        <v>1.0645799999999654</v>
      </c>
      <c r="E709" s="18">
        <v>70.599999999999994</v>
      </c>
      <c r="F709" s="27">
        <v>0.88888</v>
      </c>
      <c r="G709" s="11">
        <f t="shared" si="46"/>
        <v>-2.4999999999995117E-3</v>
      </c>
      <c r="H709" s="12">
        <f t="shared" si="47"/>
        <v>1.0653799999999656</v>
      </c>
    </row>
    <row r="710" spans="1:8" ht="14.25" thickBot="1">
      <c r="A710" s="18">
        <v>70.7</v>
      </c>
      <c r="B710" s="27">
        <v>0.88783000000000001</v>
      </c>
      <c r="C710" s="11">
        <f t="shared" si="44"/>
        <v>-2.4999999999998665E-3</v>
      </c>
      <c r="D710" s="12">
        <f t="shared" si="45"/>
        <v>1.0645799999999905</v>
      </c>
      <c r="E710" s="18">
        <v>70.7</v>
      </c>
      <c r="F710" s="27">
        <v>0.88863000000000003</v>
      </c>
      <c r="G710" s="11">
        <f t="shared" si="46"/>
        <v>-2.5000000000009767E-3</v>
      </c>
      <c r="H710" s="12">
        <f t="shared" si="47"/>
        <v>1.065380000000069</v>
      </c>
    </row>
    <row r="711" spans="1:8" ht="14.25" thickBot="1">
      <c r="A711" s="18">
        <v>70.8</v>
      </c>
      <c r="B711" s="27">
        <v>0.88758000000000004</v>
      </c>
      <c r="C711" s="11">
        <f t="shared" si="44"/>
        <v>-2.5000000000006215E-3</v>
      </c>
      <c r="D711" s="12">
        <f t="shared" si="45"/>
        <v>1.064580000000044</v>
      </c>
      <c r="E711" s="18">
        <v>70.8</v>
      </c>
      <c r="F711" s="27">
        <v>0.88837999999999995</v>
      </c>
      <c r="G711" s="11">
        <f t="shared" si="46"/>
        <v>-2.4999999999995117E-3</v>
      </c>
      <c r="H711" s="12">
        <f t="shared" si="47"/>
        <v>1.0653799999999654</v>
      </c>
    </row>
    <row r="712" spans="1:8" ht="14.25" thickBot="1">
      <c r="A712" s="18">
        <v>70.900000000000006</v>
      </c>
      <c r="B712" s="27">
        <v>0.88732999999999995</v>
      </c>
      <c r="C712" s="11">
        <f t="shared" si="44"/>
        <v>-2.4999999999998665E-3</v>
      </c>
      <c r="D712" s="12">
        <f t="shared" si="45"/>
        <v>1.0645799999999905</v>
      </c>
      <c r="E712" s="18">
        <v>70.900000000000006</v>
      </c>
      <c r="F712" s="27">
        <v>0.88812999999999998</v>
      </c>
      <c r="G712" s="11">
        <f t="shared" si="46"/>
        <v>-2.4999999999998665E-3</v>
      </c>
      <c r="H712" s="12">
        <f t="shared" si="47"/>
        <v>1.0653799999999904</v>
      </c>
    </row>
    <row r="713" spans="1:8" ht="14.25" thickBot="1">
      <c r="A713" s="9">
        <v>71</v>
      </c>
      <c r="B713" s="19">
        <v>0.88707999999999998</v>
      </c>
      <c r="C713" s="11">
        <f t="shared" si="44"/>
        <v>-2.4999999999998665E-3</v>
      </c>
      <c r="D713" s="12">
        <f t="shared" si="45"/>
        <v>1.0645799999999905</v>
      </c>
      <c r="E713" s="9">
        <v>71</v>
      </c>
      <c r="F713" s="19">
        <v>0.88788</v>
      </c>
      <c r="G713" s="11">
        <f t="shared" si="46"/>
        <v>-2.4999999999998665E-3</v>
      </c>
      <c r="H713" s="12">
        <f t="shared" si="47"/>
        <v>1.0653799999999907</v>
      </c>
    </row>
    <row r="714" spans="1:8" ht="14.25" thickBot="1">
      <c r="A714" s="18">
        <v>71.099999999999994</v>
      </c>
      <c r="B714" s="27">
        <v>0.88683000000000001</v>
      </c>
      <c r="C714" s="11">
        <f t="shared" si="44"/>
        <v>-2.4999999999995113E-3</v>
      </c>
      <c r="D714" s="12">
        <f t="shared" si="45"/>
        <v>1.0645799999999652</v>
      </c>
      <c r="E714" s="18">
        <v>71.099999999999994</v>
      </c>
      <c r="F714" s="27">
        <v>0.88763000000000003</v>
      </c>
      <c r="G714" s="11">
        <f t="shared" si="46"/>
        <v>-2.5000000000006215E-3</v>
      </c>
      <c r="H714" s="12">
        <f t="shared" si="47"/>
        <v>1.0653800000000442</v>
      </c>
    </row>
    <row r="715" spans="1:8" ht="14.25" thickBot="1">
      <c r="A715" s="18">
        <v>71.2</v>
      </c>
      <c r="B715" s="27">
        <v>0.88658000000000003</v>
      </c>
      <c r="C715" s="11">
        <f t="shared" si="44"/>
        <v>-2.5000000000009767E-3</v>
      </c>
      <c r="D715" s="12">
        <f t="shared" si="45"/>
        <v>1.0645800000000696</v>
      </c>
      <c r="E715" s="18">
        <v>71.2</v>
      </c>
      <c r="F715" s="27">
        <v>0.88737999999999995</v>
      </c>
      <c r="G715" s="11">
        <f t="shared" si="46"/>
        <v>-2.4999999999998665E-3</v>
      </c>
      <c r="H715" s="12">
        <f t="shared" si="47"/>
        <v>1.0653799999999904</v>
      </c>
    </row>
    <row r="716" spans="1:8" ht="14.25" thickBot="1">
      <c r="A716" s="18">
        <v>71.3</v>
      </c>
      <c r="B716" s="27">
        <v>0.88632999999999995</v>
      </c>
      <c r="C716" s="11">
        <f t="shared" si="44"/>
        <v>-2.4999999999995113E-3</v>
      </c>
      <c r="D716" s="12">
        <f t="shared" si="45"/>
        <v>1.064579999999965</v>
      </c>
      <c r="E716" s="18">
        <v>71.3</v>
      </c>
      <c r="F716" s="27">
        <v>0.88712999999999997</v>
      </c>
      <c r="G716" s="11">
        <f t="shared" si="46"/>
        <v>-2.4999999999995117E-3</v>
      </c>
      <c r="H716" s="12">
        <f t="shared" si="47"/>
        <v>1.0653799999999651</v>
      </c>
    </row>
    <row r="717" spans="1:8" ht="14.25" thickBot="1">
      <c r="A717" s="18">
        <v>71.400000000000006</v>
      </c>
      <c r="B717" s="27">
        <v>0.88607999999999998</v>
      </c>
      <c r="C717" s="11">
        <f t="shared" si="44"/>
        <v>-2.4999999999998665E-3</v>
      </c>
      <c r="D717" s="12">
        <f t="shared" si="45"/>
        <v>1.0645799999999905</v>
      </c>
      <c r="E717" s="18">
        <v>71.400000000000006</v>
      </c>
      <c r="F717" s="27">
        <v>0.88688</v>
      </c>
      <c r="G717" s="11">
        <f t="shared" si="46"/>
        <v>-2.4999999999998665E-3</v>
      </c>
      <c r="H717" s="12">
        <f t="shared" si="47"/>
        <v>1.0653799999999904</v>
      </c>
    </row>
    <row r="718" spans="1:8" ht="14.25" thickBot="1">
      <c r="A718" s="18">
        <v>71.5</v>
      </c>
      <c r="B718" s="27">
        <v>0.88583000000000001</v>
      </c>
      <c r="C718" s="11">
        <f t="shared" si="44"/>
        <v>-2.4999999999998665E-3</v>
      </c>
      <c r="D718" s="12">
        <f t="shared" si="45"/>
        <v>1.0645799999999903</v>
      </c>
      <c r="E718" s="18">
        <v>71.5</v>
      </c>
      <c r="F718" s="27">
        <v>0.88663000000000003</v>
      </c>
      <c r="G718" s="11">
        <f t="shared" si="46"/>
        <v>-2.5000000000009767E-3</v>
      </c>
      <c r="H718" s="12">
        <f t="shared" si="47"/>
        <v>1.0653800000000699</v>
      </c>
    </row>
    <row r="719" spans="1:8" ht="14.25" thickBot="1">
      <c r="A719" s="18">
        <v>71.599999999999994</v>
      </c>
      <c r="B719" s="27">
        <v>0.88558000000000003</v>
      </c>
      <c r="C719" s="11">
        <f t="shared" si="44"/>
        <v>-2.5000000000006215E-3</v>
      </c>
      <c r="D719" s="12">
        <f t="shared" si="45"/>
        <v>1.0645800000000445</v>
      </c>
      <c r="E719" s="18">
        <v>71.599999999999994</v>
      </c>
      <c r="F719" s="27">
        <v>0.88637999999999995</v>
      </c>
      <c r="G719" s="11">
        <f t="shared" si="46"/>
        <v>-2.4999999999995113E-3</v>
      </c>
      <c r="H719" s="12">
        <f t="shared" si="47"/>
        <v>1.0653799999999651</v>
      </c>
    </row>
    <row r="720" spans="1:8" ht="14.25" thickBot="1">
      <c r="A720" s="18">
        <v>71.7</v>
      </c>
      <c r="B720" s="27">
        <v>0.88532999999999995</v>
      </c>
      <c r="C720" s="11">
        <f t="shared" si="44"/>
        <v>-2.599999999999417E-3</v>
      </c>
      <c r="D720" s="12">
        <f t="shared" si="45"/>
        <v>1.0717499999999582</v>
      </c>
      <c r="E720" s="18">
        <v>71.7</v>
      </c>
      <c r="F720" s="27">
        <v>0.88612999999999997</v>
      </c>
      <c r="G720" s="11">
        <f t="shared" si="46"/>
        <v>-2.599999999999417E-3</v>
      </c>
      <c r="H720" s="12">
        <f t="shared" si="47"/>
        <v>1.0725499999999581</v>
      </c>
    </row>
    <row r="721" spans="1:8" ht="14.25" thickBot="1">
      <c r="A721" s="18">
        <v>71.8</v>
      </c>
      <c r="B721" s="27">
        <v>0.88507000000000002</v>
      </c>
      <c r="C721" s="11">
        <f t="shared" si="44"/>
        <v>-2.4999999999995117E-3</v>
      </c>
      <c r="D721" s="12">
        <f t="shared" si="45"/>
        <v>1.0645699999999649</v>
      </c>
      <c r="E721" s="18">
        <v>71.8</v>
      </c>
      <c r="F721" s="27">
        <v>0.88587000000000005</v>
      </c>
      <c r="G721" s="11">
        <f t="shared" si="46"/>
        <v>-2.5000000000006215E-3</v>
      </c>
      <c r="H721" s="12">
        <f t="shared" si="47"/>
        <v>1.0653700000000446</v>
      </c>
    </row>
    <row r="722" spans="1:8" ht="14.25" thickBot="1">
      <c r="A722" s="18">
        <v>71.900000000000006</v>
      </c>
      <c r="B722" s="27">
        <v>0.88482000000000005</v>
      </c>
      <c r="C722" s="11">
        <f t="shared" si="44"/>
        <v>-2.5000000000009767E-3</v>
      </c>
      <c r="D722" s="12">
        <f t="shared" si="45"/>
        <v>1.0645700000000704</v>
      </c>
      <c r="E722" s="18">
        <v>71.900000000000006</v>
      </c>
      <c r="F722" s="27">
        <v>0.88561999999999996</v>
      </c>
      <c r="G722" s="11">
        <f t="shared" si="46"/>
        <v>-2.4999999999998665E-3</v>
      </c>
      <c r="H722" s="12">
        <f t="shared" si="47"/>
        <v>1.0653699999999904</v>
      </c>
    </row>
    <row r="723" spans="1:8" ht="14.25" thickBot="1">
      <c r="A723" s="9">
        <v>72</v>
      </c>
      <c r="B723" s="19">
        <v>0.88456999999999997</v>
      </c>
      <c r="C723" s="11">
        <f t="shared" si="44"/>
        <v>-2.4999999999998665E-3</v>
      </c>
      <c r="D723" s="12">
        <f t="shared" si="45"/>
        <v>1.0645699999999902</v>
      </c>
      <c r="E723" s="9">
        <v>72</v>
      </c>
      <c r="F723" s="19">
        <v>0.88536999999999999</v>
      </c>
      <c r="G723" s="11">
        <f t="shared" si="46"/>
        <v>-2.4999999999998665E-3</v>
      </c>
      <c r="H723" s="12">
        <f t="shared" si="47"/>
        <v>1.0653699999999904</v>
      </c>
    </row>
    <row r="724" spans="1:8" ht="14.25" thickBot="1">
      <c r="A724" s="18">
        <v>72.099999999999994</v>
      </c>
      <c r="B724" s="27">
        <v>0.88431999999999999</v>
      </c>
      <c r="C724" s="11">
        <f t="shared" si="44"/>
        <v>-2.6000000000001577E-3</v>
      </c>
      <c r="D724" s="12">
        <f t="shared" si="45"/>
        <v>1.0717800000000115</v>
      </c>
      <c r="E724" s="18">
        <v>72.099999999999994</v>
      </c>
      <c r="F724" s="27">
        <v>0.88512000000000002</v>
      </c>
      <c r="G724" s="11">
        <f t="shared" si="46"/>
        <v>-2.6000000000001577E-3</v>
      </c>
      <c r="H724" s="12">
        <f t="shared" si="47"/>
        <v>1.0725800000000114</v>
      </c>
    </row>
    <row r="725" spans="1:8" ht="14.25" thickBot="1">
      <c r="A725" s="18">
        <v>72.2</v>
      </c>
      <c r="B725" s="27">
        <v>0.88405999999999996</v>
      </c>
      <c r="C725" s="11">
        <f t="shared" si="44"/>
        <v>-2.4999999999998665E-3</v>
      </c>
      <c r="D725" s="12">
        <f t="shared" si="45"/>
        <v>1.0645599999999902</v>
      </c>
      <c r="E725" s="18">
        <v>72.2</v>
      </c>
      <c r="F725" s="27">
        <v>0.88485999999999998</v>
      </c>
      <c r="G725" s="11">
        <f t="shared" si="46"/>
        <v>-2.4999999999998665E-3</v>
      </c>
      <c r="H725" s="12">
        <f t="shared" si="47"/>
        <v>1.0653599999999903</v>
      </c>
    </row>
    <row r="726" spans="1:8" ht="14.25" thickBot="1">
      <c r="A726" s="18">
        <v>72.3</v>
      </c>
      <c r="B726" s="27">
        <v>0.88380999999999998</v>
      </c>
      <c r="C726" s="11">
        <f t="shared" si="44"/>
        <v>-2.4999999999995117E-3</v>
      </c>
      <c r="D726" s="12">
        <f t="shared" si="45"/>
        <v>1.0645599999999646</v>
      </c>
      <c r="E726" s="18">
        <v>72.3</v>
      </c>
      <c r="F726" s="27">
        <v>0.88461000000000001</v>
      </c>
      <c r="G726" s="11">
        <f t="shared" si="46"/>
        <v>-2.4999999999995113E-3</v>
      </c>
      <c r="H726" s="12">
        <f t="shared" si="47"/>
        <v>1.0653599999999646</v>
      </c>
    </row>
    <row r="727" spans="1:8" ht="14.25" thickBot="1">
      <c r="A727" s="18">
        <v>72.400000000000006</v>
      </c>
      <c r="B727" s="27">
        <v>0.88356000000000001</v>
      </c>
      <c r="C727" s="11">
        <f t="shared" si="44"/>
        <v>-2.6000000000005272E-3</v>
      </c>
      <c r="D727" s="12">
        <f t="shared" si="45"/>
        <v>1.0718000000000381</v>
      </c>
      <c r="E727" s="18">
        <v>72.400000000000006</v>
      </c>
      <c r="F727" s="27">
        <v>0.88436000000000003</v>
      </c>
      <c r="G727" s="11">
        <f t="shared" si="46"/>
        <v>-2.6000000000005272E-3</v>
      </c>
      <c r="H727" s="12">
        <f t="shared" si="47"/>
        <v>1.0726000000000382</v>
      </c>
    </row>
    <row r="728" spans="1:8" ht="14.25" thickBot="1">
      <c r="A728" s="18">
        <v>72.5</v>
      </c>
      <c r="B728" s="27">
        <v>0.88329999999999997</v>
      </c>
      <c r="C728" s="11">
        <f t="shared" si="44"/>
        <v>-2.4999999999998665E-3</v>
      </c>
      <c r="D728" s="12">
        <f t="shared" si="45"/>
        <v>1.0645499999999903</v>
      </c>
      <c r="E728" s="18">
        <v>72.5</v>
      </c>
      <c r="F728" s="27">
        <v>0.8841</v>
      </c>
      <c r="G728" s="11">
        <f t="shared" si="46"/>
        <v>-2.4999999999998665E-3</v>
      </c>
      <c r="H728" s="12">
        <f t="shared" si="47"/>
        <v>1.0653499999999902</v>
      </c>
    </row>
    <row r="729" spans="1:8" ht="14.25" thickBot="1">
      <c r="A729" s="18">
        <v>72.599999999999994</v>
      </c>
      <c r="B729" s="27">
        <v>0.88305</v>
      </c>
      <c r="C729" s="11">
        <f t="shared" si="44"/>
        <v>-2.4999999999995117E-3</v>
      </c>
      <c r="D729" s="12">
        <f t="shared" si="45"/>
        <v>1.0645499999999646</v>
      </c>
      <c r="E729" s="18">
        <v>72.599999999999994</v>
      </c>
      <c r="F729" s="27">
        <v>0.88385000000000002</v>
      </c>
      <c r="G729" s="11">
        <f t="shared" si="46"/>
        <v>-2.4999999999995113E-3</v>
      </c>
      <c r="H729" s="12">
        <f t="shared" si="47"/>
        <v>1.0653499999999645</v>
      </c>
    </row>
    <row r="730" spans="1:8" ht="14.25" thickBot="1">
      <c r="A730" s="18">
        <v>72.7</v>
      </c>
      <c r="B730" s="27">
        <v>0.88280000000000003</v>
      </c>
      <c r="C730" s="11">
        <f t="shared" si="44"/>
        <v>-2.6000000000005272E-3</v>
      </c>
      <c r="D730" s="12">
        <f t="shared" si="45"/>
        <v>1.0718200000000384</v>
      </c>
      <c r="E730" s="18">
        <v>72.7</v>
      </c>
      <c r="F730" s="27">
        <v>0.88360000000000005</v>
      </c>
      <c r="G730" s="11">
        <f t="shared" si="46"/>
        <v>-2.6000000000005272E-3</v>
      </c>
      <c r="H730" s="12">
        <f t="shared" si="47"/>
        <v>1.0726200000000383</v>
      </c>
    </row>
    <row r="731" spans="1:8" ht="14.25" thickBot="1">
      <c r="A731" s="18">
        <v>72.8</v>
      </c>
      <c r="B731" s="27">
        <v>0.88253999999999999</v>
      </c>
      <c r="C731" s="11">
        <f t="shared" si="44"/>
        <v>-2.4999999999995113E-3</v>
      </c>
      <c r="D731" s="12">
        <f t="shared" si="45"/>
        <v>1.0645399999999643</v>
      </c>
      <c r="E731" s="18">
        <v>72.8</v>
      </c>
      <c r="F731" s="27">
        <v>0.88334000000000001</v>
      </c>
      <c r="G731" s="11">
        <f t="shared" si="46"/>
        <v>-2.6000000000001577E-3</v>
      </c>
      <c r="H731" s="12">
        <f t="shared" si="47"/>
        <v>1.0726200000000115</v>
      </c>
    </row>
    <row r="732" spans="1:8" ht="14.25" thickBot="1">
      <c r="A732" s="18">
        <v>72.900000000000006</v>
      </c>
      <c r="B732" s="27">
        <v>0.88229000000000002</v>
      </c>
      <c r="C732" s="11">
        <f t="shared" si="44"/>
        <v>-2.6000000000005272E-3</v>
      </c>
      <c r="D732" s="12">
        <f t="shared" si="45"/>
        <v>1.0718300000000385</v>
      </c>
      <c r="E732" s="18">
        <v>72.900000000000006</v>
      </c>
      <c r="F732" s="27">
        <v>0.88307999999999998</v>
      </c>
      <c r="G732" s="11">
        <f t="shared" si="46"/>
        <v>-2.599999999999417E-3</v>
      </c>
      <c r="H732" s="12">
        <f t="shared" si="47"/>
        <v>1.0726199999999575</v>
      </c>
    </row>
    <row r="733" spans="1:8" ht="14.25" thickBot="1">
      <c r="A733" s="9">
        <v>73</v>
      </c>
      <c r="B733" s="19">
        <v>0.88202999999999998</v>
      </c>
      <c r="C733" s="11">
        <f t="shared" si="44"/>
        <v>-2.4999999999998665E-3</v>
      </c>
      <c r="D733" s="12">
        <f t="shared" si="45"/>
        <v>1.0645299999999902</v>
      </c>
      <c r="E733" s="9">
        <v>73</v>
      </c>
      <c r="F733" s="19">
        <v>0.88282000000000005</v>
      </c>
      <c r="G733" s="11">
        <f t="shared" si="46"/>
        <v>-2.5000000000009767E-3</v>
      </c>
      <c r="H733" s="12">
        <f t="shared" si="47"/>
        <v>1.0653200000000713</v>
      </c>
    </row>
    <row r="734" spans="1:8" ht="14.25" thickBot="1">
      <c r="A734" s="18">
        <v>73.099999999999994</v>
      </c>
      <c r="B734" s="27">
        <v>0.88178000000000001</v>
      </c>
      <c r="C734" s="11">
        <f t="shared" si="44"/>
        <v>-2.6000000000001577E-3</v>
      </c>
      <c r="D734" s="12">
        <f t="shared" si="45"/>
        <v>1.0718400000000117</v>
      </c>
      <c r="E734" s="18">
        <v>73.099999999999994</v>
      </c>
      <c r="F734" s="27">
        <v>0.88256999999999997</v>
      </c>
      <c r="G734" s="11">
        <f t="shared" si="46"/>
        <v>-2.599999999999048E-3</v>
      </c>
      <c r="H734" s="12">
        <f t="shared" si="47"/>
        <v>1.0726299999999305</v>
      </c>
    </row>
    <row r="735" spans="1:8" ht="14.25" thickBot="1">
      <c r="A735" s="18">
        <v>73.2</v>
      </c>
      <c r="B735" s="27">
        <v>0.88151999999999997</v>
      </c>
      <c r="C735" s="11">
        <f t="shared" si="44"/>
        <v>-2.599999999999417E-3</v>
      </c>
      <c r="D735" s="12">
        <f t="shared" si="45"/>
        <v>1.0718399999999573</v>
      </c>
      <c r="E735" s="18">
        <v>73.2</v>
      </c>
      <c r="F735" s="27">
        <v>0.88231000000000004</v>
      </c>
      <c r="G735" s="11">
        <f t="shared" si="46"/>
        <v>-2.6000000000005272E-3</v>
      </c>
      <c r="H735" s="12">
        <f t="shared" si="47"/>
        <v>1.0726300000000386</v>
      </c>
    </row>
    <row r="736" spans="1:8" ht="14.25" thickBot="1">
      <c r="A736" s="18">
        <v>73.3</v>
      </c>
      <c r="B736" s="27">
        <v>0.88126000000000004</v>
      </c>
      <c r="C736" s="11">
        <f t="shared" si="44"/>
        <v>-2.5000000000006215E-3</v>
      </c>
      <c r="D736" s="12">
        <f t="shared" si="45"/>
        <v>1.0645100000000456</v>
      </c>
      <c r="E736" s="18">
        <v>73.3</v>
      </c>
      <c r="F736" s="27">
        <v>0.88205</v>
      </c>
      <c r="G736" s="11">
        <f t="shared" si="46"/>
        <v>-2.4999999999995117E-3</v>
      </c>
      <c r="H736" s="12">
        <f t="shared" si="47"/>
        <v>1.0652999999999642</v>
      </c>
    </row>
    <row r="737" spans="1:8" ht="14.25" thickBot="1">
      <c r="A737" s="18">
        <v>73.400000000000006</v>
      </c>
      <c r="B737" s="27">
        <v>0.88100999999999996</v>
      </c>
      <c r="C737" s="11">
        <f t="shared" si="44"/>
        <v>-2.599999999999417E-3</v>
      </c>
      <c r="D737" s="12">
        <f t="shared" si="45"/>
        <v>1.0718499999999571</v>
      </c>
      <c r="E737" s="18">
        <v>73.400000000000006</v>
      </c>
      <c r="F737" s="27">
        <v>0.88180000000000003</v>
      </c>
      <c r="G737" s="11">
        <f t="shared" si="46"/>
        <v>-2.6000000000005272E-3</v>
      </c>
      <c r="H737" s="12">
        <f t="shared" si="47"/>
        <v>1.0726400000000387</v>
      </c>
    </row>
    <row r="738" spans="1:8" ht="14.25" thickBot="1">
      <c r="A738" s="18">
        <v>73.5</v>
      </c>
      <c r="B738" s="27">
        <v>0.88075000000000003</v>
      </c>
      <c r="C738" s="11">
        <f t="shared" si="44"/>
        <v>-2.6000000000005272E-3</v>
      </c>
      <c r="D738" s="12">
        <f t="shared" si="45"/>
        <v>1.0718500000000386</v>
      </c>
      <c r="E738" s="18">
        <v>73.5</v>
      </c>
      <c r="F738" s="27">
        <v>0.88153999999999999</v>
      </c>
      <c r="G738" s="11">
        <f t="shared" si="46"/>
        <v>-2.6000000000005272E-3</v>
      </c>
      <c r="H738" s="12">
        <f t="shared" si="47"/>
        <v>1.0726400000000389</v>
      </c>
    </row>
    <row r="739" spans="1:8" ht="14.25" thickBot="1">
      <c r="A739" s="18">
        <v>73.599999999999994</v>
      </c>
      <c r="B739" s="27">
        <v>0.88048999999999999</v>
      </c>
      <c r="C739" s="11">
        <f t="shared" si="44"/>
        <v>-2.4999999999995113E-3</v>
      </c>
      <c r="D739" s="12">
        <f t="shared" si="45"/>
        <v>1.0644899999999642</v>
      </c>
      <c r="E739" s="18">
        <v>73.599999999999994</v>
      </c>
      <c r="F739" s="27">
        <v>0.88127999999999995</v>
      </c>
      <c r="G739" s="11">
        <f t="shared" si="46"/>
        <v>-2.4999999999995117E-3</v>
      </c>
      <c r="H739" s="12">
        <f t="shared" si="47"/>
        <v>1.065279999999964</v>
      </c>
    </row>
    <row r="740" spans="1:8" ht="14.25" thickBot="1">
      <c r="A740" s="18">
        <v>73.7</v>
      </c>
      <c r="B740" s="27">
        <v>0.88024000000000002</v>
      </c>
      <c r="C740" s="11">
        <f t="shared" si="44"/>
        <v>-2.6000000000005272E-3</v>
      </c>
      <c r="D740" s="12">
        <f t="shared" si="45"/>
        <v>1.0718600000000389</v>
      </c>
      <c r="E740" s="18">
        <v>73.7</v>
      </c>
      <c r="F740" s="27">
        <v>0.88102999999999998</v>
      </c>
      <c r="G740" s="11">
        <f t="shared" si="46"/>
        <v>-2.599999999999417E-3</v>
      </c>
      <c r="H740" s="12">
        <f t="shared" si="47"/>
        <v>1.072649999999957</v>
      </c>
    </row>
    <row r="741" spans="1:8" ht="14.25" thickBot="1">
      <c r="A741" s="18">
        <v>73.8</v>
      </c>
      <c r="B741" s="27">
        <v>0.87997999999999998</v>
      </c>
      <c r="C741" s="11">
        <f t="shared" si="44"/>
        <v>-2.6000000000001577E-3</v>
      </c>
      <c r="D741" s="12">
        <f t="shared" si="45"/>
        <v>1.0718600000000116</v>
      </c>
      <c r="E741" s="18">
        <v>73.8</v>
      </c>
      <c r="F741" s="27">
        <v>0.88077000000000005</v>
      </c>
      <c r="G741" s="11">
        <f t="shared" si="46"/>
        <v>-2.6000000000001577E-3</v>
      </c>
      <c r="H741" s="12">
        <f t="shared" si="47"/>
        <v>1.0726500000000116</v>
      </c>
    </row>
    <row r="742" spans="1:8" ht="14.25" thickBot="1">
      <c r="A742" s="18">
        <v>73.900000000000006</v>
      </c>
      <c r="B742" s="27">
        <v>0.87971999999999995</v>
      </c>
      <c r="C742" s="11">
        <f t="shared" si="44"/>
        <v>-2.599999999999417E-3</v>
      </c>
      <c r="D742" s="12">
        <f t="shared" si="45"/>
        <v>1.071859999999957</v>
      </c>
      <c r="E742" s="18">
        <v>73.900000000000006</v>
      </c>
      <c r="F742" s="27">
        <v>0.88051000000000001</v>
      </c>
      <c r="G742" s="11">
        <f t="shared" si="46"/>
        <v>-2.6000000000005272E-3</v>
      </c>
      <c r="H742" s="12">
        <f t="shared" si="47"/>
        <v>1.072650000000039</v>
      </c>
    </row>
    <row r="743" spans="1:8" ht="14.25" thickBot="1">
      <c r="A743" s="9">
        <v>74</v>
      </c>
      <c r="B743" s="19">
        <v>0.87946000000000002</v>
      </c>
      <c r="C743" s="11">
        <f t="shared" si="44"/>
        <v>-2.4999999999998665E-3</v>
      </c>
      <c r="D743" s="12">
        <f t="shared" si="45"/>
        <v>1.0644599999999902</v>
      </c>
      <c r="E743" s="9">
        <v>74</v>
      </c>
      <c r="F743" s="19">
        <v>0.88024999999999998</v>
      </c>
      <c r="G743" s="11">
        <f t="shared" si="46"/>
        <v>-2.4999999999998665E-3</v>
      </c>
      <c r="H743" s="12">
        <f t="shared" si="47"/>
        <v>1.06524999999999</v>
      </c>
    </row>
    <row r="744" spans="1:8" ht="14.25" thickBot="1">
      <c r="A744" s="18">
        <v>74.099999999999994</v>
      </c>
      <c r="B744" s="27">
        <v>0.87921000000000005</v>
      </c>
      <c r="C744" s="11">
        <f t="shared" si="44"/>
        <v>-2.6000000000001577E-3</v>
      </c>
      <c r="D744" s="12">
        <f t="shared" si="45"/>
        <v>1.0718700000000119</v>
      </c>
      <c r="E744" s="18">
        <v>74.099999999999994</v>
      </c>
      <c r="F744" s="27">
        <v>0.88</v>
      </c>
      <c r="G744" s="11">
        <f t="shared" si="46"/>
        <v>-2.6000000000001577E-3</v>
      </c>
      <c r="H744" s="12">
        <f t="shared" si="47"/>
        <v>1.0726600000000117</v>
      </c>
    </row>
    <row r="745" spans="1:8" ht="14.25" thickBot="1">
      <c r="A745" s="18">
        <v>74.2</v>
      </c>
      <c r="B745" s="27">
        <v>0.87895000000000001</v>
      </c>
      <c r="C745" s="11">
        <f t="shared" si="44"/>
        <v>-2.6000000000005272E-3</v>
      </c>
      <c r="D745" s="12">
        <f t="shared" si="45"/>
        <v>1.0718700000000392</v>
      </c>
      <c r="E745" s="18">
        <v>74.2</v>
      </c>
      <c r="F745" s="27">
        <v>0.87973999999999997</v>
      </c>
      <c r="G745" s="11">
        <f t="shared" si="46"/>
        <v>-2.599999999999417E-3</v>
      </c>
      <c r="H745" s="12">
        <f t="shared" si="47"/>
        <v>1.0726599999999566</v>
      </c>
    </row>
    <row r="746" spans="1:8" ht="14.25" thickBot="1">
      <c r="A746" s="18">
        <v>74.3</v>
      </c>
      <c r="B746" s="27">
        <v>0.87868999999999997</v>
      </c>
      <c r="C746" s="11">
        <f t="shared" si="44"/>
        <v>-2.599999999999048E-3</v>
      </c>
      <c r="D746" s="12">
        <f t="shared" si="45"/>
        <v>1.0718699999999293</v>
      </c>
      <c r="E746" s="18">
        <v>74.3</v>
      </c>
      <c r="F746" s="27">
        <v>0.87948000000000004</v>
      </c>
      <c r="G746" s="11">
        <f t="shared" si="46"/>
        <v>-2.6000000000001577E-3</v>
      </c>
      <c r="H746" s="12">
        <f t="shared" si="47"/>
        <v>1.0726600000000117</v>
      </c>
    </row>
    <row r="747" spans="1:8" ht="14.25" thickBot="1">
      <c r="A747" s="18">
        <v>74.400000000000006</v>
      </c>
      <c r="B747" s="27">
        <v>0.87843000000000004</v>
      </c>
      <c r="C747" s="11">
        <f t="shared" si="44"/>
        <v>-2.6000000000005272E-3</v>
      </c>
      <c r="D747" s="12">
        <f t="shared" si="45"/>
        <v>1.0718700000000394</v>
      </c>
      <c r="E747" s="18">
        <v>74.400000000000006</v>
      </c>
      <c r="F747" s="27">
        <v>0.87922</v>
      </c>
      <c r="G747" s="11">
        <f t="shared" si="46"/>
        <v>-2.6000000000005272E-3</v>
      </c>
      <c r="H747" s="12">
        <f t="shared" si="47"/>
        <v>1.0726600000000392</v>
      </c>
    </row>
    <row r="748" spans="1:8" ht="14.25" thickBot="1">
      <c r="A748" s="18">
        <v>74.5</v>
      </c>
      <c r="B748" s="27">
        <v>0.87817000000000001</v>
      </c>
      <c r="C748" s="11">
        <f t="shared" si="44"/>
        <v>-2.6000000000005272E-3</v>
      </c>
      <c r="D748" s="12">
        <f t="shared" si="45"/>
        <v>1.0718700000000392</v>
      </c>
      <c r="E748" s="18">
        <v>74.5</v>
      </c>
      <c r="F748" s="27">
        <v>0.87895999999999996</v>
      </c>
      <c r="G748" s="11">
        <f t="shared" si="46"/>
        <v>-2.599999999999417E-3</v>
      </c>
      <c r="H748" s="12">
        <f t="shared" si="47"/>
        <v>1.0726599999999564</v>
      </c>
    </row>
    <row r="749" spans="1:8" ht="14.25" thickBot="1">
      <c r="A749" s="18">
        <v>74.599999999999994</v>
      </c>
      <c r="B749" s="27">
        <v>0.87790999999999997</v>
      </c>
      <c r="C749" s="11">
        <f t="shared" si="44"/>
        <v>-2.599999999999048E-3</v>
      </c>
      <c r="D749" s="12">
        <f t="shared" si="45"/>
        <v>1.071869999999929</v>
      </c>
      <c r="E749" s="18">
        <v>74.599999999999994</v>
      </c>
      <c r="F749" s="27">
        <v>0.87870000000000004</v>
      </c>
      <c r="G749" s="11">
        <f t="shared" si="46"/>
        <v>-2.6000000000001577E-3</v>
      </c>
      <c r="H749" s="12">
        <f t="shared" si="47"/>
        <v>1.0726600000000119</v>
      </c>
    </row>
    <row r="750" spans="1:8" ht="14.25" thickBot="1">
      <c r="A750" s="18">
        <v>74.7</v>
      </c>
      <c r="B750" s="27">
        <v>0.87765000000000004</v>
      </c>
      <c r="C750" s="11">
        <f t="shared" si="44"/>
        <v>-2.6000000000005272E-3</v>
      </c>
      <c r="D750" s="12">
        <f t="shared" si="45"/>
        <v>1.0718700000000394</v>
      </c>
      <c r="E750" s="18">
        <v>74.7</v>
      </c>
      <c r="F750" s="27">
        <v>0.87844</v>
      </c>
      <c r="G750" s="11">
        <f t="shared" si="46"/>
        <v>-2.6000000000005272E-3</v>
      </c>
      <c r="H750" s="12">
        <f t="shared" si="47"/>
        <v>1.0726600000000392</v>
      </c>
    </row>
    <row r="751" spans="1:8" ht="14.25" thickBot="1">
      <c r="A751" s="18">
        <v>74.8</v>
      </c>
      <c r="B751" s="27">
        <v>0.87739</v>
      </c>
      <c r="C751" s="11">
        <f t="shared" si="44"/>
        <v>-2.6000000000001577E-3</v>
      </c>
      <c r="D751" s="12">
        <f t="shared" si="45"/>
        <v>1.0718700000000116</v>
      </c>
      <c r="E751" s="18">
        <v>74.8</v>
      </c>
      <c r="F751" s="27">
        <v>0.87817999999999996</v>
      </c>
      <c r="G751" s="11">
        <f t="shared" si="46"/>
        <v>-2.599999999999048E-3</v>
      </c>
      <c r="H751" s="12">
        <f t="shared" si="47"/>
        <v>1.0726599999999287</v>
      </c>
    </row>
    <row r="752" spans="1:8" ht="14.25" thickBot="1">
      <c r="A752" s="18">
        <v>74.900000000000006</v>
      </c>
      <c r="B752" s="27">
        <v>0.87712999999999997</v>
      </c>
      <c r="C752" s="11">
        <f t="shared" si="44"/>
        <v>-2.599999999999417E-3</v>
      </c>
      <c r="D752" s="12">
        <f t="shared" si="45"/>
        <v>1.0718699999999564</v>
      </c>
      <c r="E752" s="18">
        <v>74.900000000000006</v>
      </c>
      <c r="F752" s="27">
        <v>0.87792000000000003</v>
      </c>
      <c r="G752" s="11">
        <f t="shared" si="46"/>
        <v>-2.6000000000005272E-3</v>
      </c>
      <c r="H752" s="12">
        <f t="shared" si="47"/>
        <v>1.0726600000000395</v>
      </c>
    </row>
    <row r="753" spans="1:8" ht="14.25" thickBot="1">
      <c r="A753" s="9">
        <v>75</v>
      </c>
      <c r="B753" s="19">
        <v>0.87687000000000004</v>
      </c>
      <c r="C753" s="11">
        <f t="shared" si="44"/>
        <v>-2.6000000000005272E-3</v>
      </c>
      <c r="D753" s="12">
        <f t="shared" si="45"/>
        <v>1.0718700000000396</v>
      </c>
      <c r="E753" s="9">
        <v>75</v>
      </c>
      <c r="F753" s="19">
        <v>0.87766</v>
      </c>
      <c r="G753" s="11">
        <f t="shared" si="46"/>
        <v>-2.6000000000005272E-3</v>
      </c>
      <c r="H753" s="12">
        <f t="shared" si="47"/>
        <v>1.0726600000000395</v>
      </c>
    </row>
    <row r="754" spans="1:8" ht="14.25" thickBot="1">
      <c r="A754" s="14">
        <v>75.099999999999994</v>
      </c>
      <c r="B754" s="15">
        <v>0.87661</v>
      </c>
      <c r="C754" s="11">
        <f t="shared" si="44"/>
        <v>-2.6000000000001577E-3</v>
      </c>
      <c r="D754" s="12">
        <f t="shared" si="45"/>
        <v>1.0718700000000119</v>
      </c>
      <c r="E754" s="14">
        <v>75.099999999999994</v>
      </c>
      <c r="F754" s="15">
        <v>0.87739999999999996</v>
      </c>
      <c r="G754" s="11">
        <f t="shared" si="46"/>
        <v>-2.599999999999048E-3</v>
      </c>
      <c r="H754" s="12">
        <f t="shared" si="47"/>
        <v>1.0726599999999284</v>
      </c>
    </row>
    <row r="755" spans="1:8" ht="14.25" thickBot="1">
      <c r="A755" s="14">
        <v>75.2</v>
      </c>
      <c r="B755" s="15">
        <v>0.87634999999999996</v>
      </c>
      <c r="C755" s="11">
        <f t="shared" si="44"/>
        <v>-2.7000000000000778E-3</v>
      </c>
      <c r="D755" s="12">
        <f t="shared" si="45"/>
        <v>1.0793900000000058</v>
      </c>
      <c r="E755" s="14">
        <v>75.2</v>
      </c>
      <c r="F755" s="15">
        <v>0.87714000000000003</v>
      </c>
      <c r="G755" s="11">
        <f t="shared" si="46"/>
        <v>-2.7000000000000778E-3</v>
      </c>
      <c r="H755" s="12">
        <f t="shared" si="47"/>
        <v>1.0801800000000059</v>
      </c>
    </row>
    <row r="756" spans="1:8" ht="14.25" thickBot="1">
      <c r="A756" s="14">
        <v>75.3</v>
      </c>
      <c r="B756" s="15">
        <v>0.87607999999999997</v>
      </c>
      <c r="C756" s="11">
        <f t="shared" si="44"/>
        <v>-2.599999999999048E-3</v>
      </c>
      <c r="D756" s="12">
        <f t="shared" si="45"/>
        <v>1.0718599999999283</v>
      </c>
      <c r="E756" s="14">
        <v>75.3</v>
      </c>
      <c r="F756" s="15">
        <v>0.87687000000000004</v>
      </c>
      <c r="G756" s="11">
        <f t="shared" si="46"/>
        <v>-2.6000000000001577E-3</v>
      </c>
      <c r="H756" s="12">
        <f t="shared" si="47"/>
        <v>1.0726500000000119</v>
      </c>
    </row>
    <row r="757" spans="1:8" ht="14.25" thickBot="1">
      <c r="A757" s="14">
        <v>75.400000000000006</v>
      </c>
      <c r="B757" s="15">
        <v>0.87582000000000004</v>
      </c>
      <c r="C757" s="11">
        <f t="shared" si="44"/>
        <v>-2.6000000000005272E-3</v>
      </c>
      <c r="D757" s="12">
        <f t="shared" si="45"/>
        <v>1.0718600000000398</v>
      </c>
      <c r="E757" s="14">
        <v>75.400000000000006</v>
      </c>
      <c r="F757" s="15">
        <v>0.87661</v>
      </c>
      <c r="G757" s="11">
        <f t="shared" si="46"/>
        <v>-2.6000000000005272E-3</v>
      </c>
      <c r="H757" s="12">
        <f t="shared" si="47"/>
        <v>1.0726500000000396</v>
      </c>
    </row>
    <row r="758" spans="1:8" ht="14.25" thickBot="1">
      <c r="A758" s="14">
        <v>75.5</v>
      </c>
      <c r="B758" s="15">
        <v>0.87556</v>
      </c>
      <c r="C758" s="11">
        <f t="shared" si="44"/>
        <v>-2.6000000000005272E-3</v>
      </c>
      <c r="D758" s="12">
        <f t="shared" si="45"/>
        <v>1.0718600000000398</v>
      </c>
      <c r="E758" s="14">
        <v>75.5</v>
      </c>
      <c r="F758" s="15">
        <v>0.87634999999999996</v>
      </c>
      <c r="G758" s="11">
        <f t="shared" si="46"/>
        <v>-2.599999999999417E-3</v>
      </c>
      <c r="H758" s="12">
        <f t="shared" si="47"/>
        <v>1.0726499999999559</v>
      </c>
    </row>
    <row r="759" spans="1:8" ht="14.25" thickBot="1">
      <c r="A759" s="14">
        <v>75.599999999999994</v>
      </c>
      <c r="B759" s="15">
        <v>0.87529999999999997</v>
      </c>
      <c r="C759" s="11">
        <f t="shared" si="44"/>
        <v>-2.6999999999996944E-3</v>
      </c>
      <c r="D759" s="12">
        <f t="shared" si="45"/>
        <v>1.079419999999977</v>
      </c>
      <c r="E759" s="14">
        <v>75.599999999999994</v>
      </c>
      <c r="F759" s="15">
        <v>0.87609000000000004</v>
      </c>
      <c r="G759" s="11">
        <f t="shared" si="46"/>
        <v>-2.6999999999996944E-3</v>
      </c>
      <c r="H759" s="12">
        <f t="shared" si="47"/>
        <v>1.080209999999977</v>
      </c>
    </row>
    <row r="760" spans="1:8" ht="14.25" thickBot="1">
      <c r="A760" s="14">
        <v>75.7</v>
      </c>
      <c r="B760" s="15">
        <v>0.87502999999999997</v>
      </c>
      <c r="C760" s="11">
        <f t="shared" si="44"/>
        <v>-2.599999999999417E-3</v>
      </c>
      <c r="D760" s="12">
        <f t="shared" si="45"/>
        <v>1.0718499999999558</v>
      </c>
      <c r="E760" s="14">
        <v>75.7</v>
      </c>
      <c r="F760" s="15">
        <v>0.87582000000000004</v>
      </c>
      <c r="G760" s="11">
        <f t="shared" si="46"/>
        <v>-2.6000000000005272E-3</v>
      </c>
      <c r="H760" s="12">
        <f t="shared" si="47"/>
        <v>1.07264000000004</v>
      </c>
    </row>
    <row r="761" spans="1:8" ht="14.25" thickBot="1">
      <c r="A761" s="14">
        <v>75.8</v>
      </c>
      <c r="B761" s="15">
        <v>0.87477000000000005</v>
      </c>
      <c r="C761" s="11">
        <f t="shared" si="44"/>
        <v>-2.6000000000001577E-3</v>
      </c>
      <c r="D761" s="12">
        <f t="shared" si="45"/>
        <v>1.071850000000012</v>
      </c>
      <c r="E761" s="14">
        <v>75.8</v>
      </c>
      <c r="F761" s="15">
        <v>0.87556</v>
      </c>
      <c r="G761" s="11">
        <f t="shared" si="46"/>
        <v>-2.6000000000001577E-3</v>
      </c>
      <c r="H761" s="12">
        <f t="shared" si="47"/>
        <v>1.0726400000000118</v>
      </c>
    </row>
    <row r="762" spans="1:8" ht="14.25" thickBot="1">
      <c r="A762" s="14">
        <v>75.900000000000006</v>
      </c>
      <c r="B762" s="15">
        <v>0.87451000000000001</v>
      </c>
      <c r="C762" s="11">
        <f t="shared" si="44"/>
        <v>-2.7000000000000778E-3</v>
      </c>
      <c r="D762" s="12">
        <f t="shared" si="45"/>
        <v>1.079440000000006</v>
      </c>
      <c r="E762" s="14">
        <v>75.900000000000006</v>
      </c>
      <c r="F762" s="15">
        <v>0.87529999999999997</v>
      </c>
      <c r="G762" s="11">
        <f t="shared" si="46"/>
        <v>-2.7000000000000778E-3</v>
      </c>
      <c r="H762" s="12">
        <f t="shared" si="47"/>
        <v>1.0802300000000058</v>
      </c>
    </row>
    <row r="763" spans="1:8" ht="14.25" thickBot="1">
      <c r="A763" s="9">
        <v>76</v>
      </c>
      <c r="B763" s="19">
        <v>0.87424000000000002</v>
      </c>
      <c r="C763" s="11">
        <f t="shared" si="44"/>
        <v>-2.6000000000005272E-3</v>
      </c>
      <c r="D763" s="12">
        <f t="shared" si="45"/>
        <v>1.0718400000000401</v>
      </c>
      <c r="E763" s="9">
        <v>76</v>
      </c>
      <c r="F763" s="19">
        <v>0.87502999999999997</v>
      </c>
      <c r="G763" s="11">
        <f t="shared" si="46"/>
        <v>-2.599999999999417E-3</v>
      </c>
      <c r="H763" s="12">
        <f t="shared" si="47"/>
        <v>1.0726299999999558</v>
      </c>
    </row>
    <row r="764" spans="1:8" ht="14.25" thickBot="1">
      <c r="A764" s="18">
        <v>76.099999999999994</v>
      </c>
      <c r="B764" s="27">
        <v>0.87397999999999998</v>
      </c>
      <c r="C764" s="11">
        <f t="shared" si="44"/>
        <v>-2.6999999999996944E-3</v>
      </c>
      <c r="D764" s="12">
        <f t="shared" si="45"/>
        <v>1.0794499999999767</v>
      </c>
      <c r="E764" s="18">
        <v>76.099999999999994</v>
      </c>
      <c r="F764" s="27">
        <v>0.87477000000000005</v>
      </c>
      <c r="G764" s="11">
        <f t="shared" si="46"/>
        <v>-2.6999999999996944E-3</v>
      </c>
      <c r="H764" s="12">
        <f t="shared" si="47"/>
        <v>1.0802399999999768</v>
      </c>
    </row>
    <row r="765" spans="1:8" ht="14.25" thickBot="1">
      <c r="A765" s="18">
        <v>76.2</v>
      </c>
      <c r="B765" s="27">
        <v>0.87370999999999999</v>
      </c>
      <c r="C765" s="11">
        <f t="shared" si="44"/>
        <v>-2.6000000000005272E-3</v>
      </c>
      <c r="D765" s="12">
        <f t="shared" si="45"/>
        <v>1.0718300000000403</v>
      </c>
      <c r="E765" s="18">
        <v>76.2</v>
      </c>
      <c r="F765" s="27">
        <v>0.87450000000000006</v>
      </c>
      <c r="G765" s="11">
        <f t="shared" si="46"/>
        <v>-2.6000000000005272E-3</v>
      </c>
      <c r="H765" s="12">
        <f t="shared" si="47"/>
        <v>1.0726200000000403</v>
      </c>
    </row>
    <row r="766" spans="1:8" ht="14.25" thickBot="1">
      <c r="A766" s="18">
        <v>76.3</v>
      </c>
      <c r="B766" s="27">
        <v>0.87344999999999995</v>
      </c>
      <c r="C766" s="11">
        <f t="shared" si="44"/>
        <v>-2.6999999999996944E-3</v>
      </c>
      <c r="D766" s="12">
        <f t="shared" si="45"/>
        <v>1.0794599999999765</v>
      </c>
      <c r="E766" s="18">
        <v>76.3</v>
      </c>
      <c r="F766" s="27">
        <v>0.87424000000000002</v>
      </c>
      <c r="G766" s="11">
        <f t="shared" si="46"/>
        <v>-2.6999999999996944E-3</v>
      </c>
      <c r="H766" s="12">
        <f t="shared" si="47"/>
        <v>1.0802499999999766</v>
      </c>
    </row>
    <row r="767" spans="1:8" ht="14.25" thickBot="1">
      <c r="A767" s="18">
        <v>76.400000000000006</v>
      </c>
      <c r="B767" s="27">
        <v>0.87317999999999996</v>
      </c>
      <c r="C767" s="11">
        <f t="shared" si="44"/>
        <v>-2.599999999999417E-3</v>
      </c>
      <c r="D767" s="12">
        <f t="shared" si="45"/>
        <v>1.0718199999999554</v>
      </c>
      <c r="E767" s="18">
        <v>76.400000000000006</v>
      </c>
      <c r="F767" s="27">
        <v>0.87397000000000002</v>
      </c>
      <c r="G767" s="11">
        <f t="shared" si="46"/>
        <v>-2.6000000000005272E-3</v>
      </c>
      <c r="H767" s="12">
        <f t="shared" si="47"/>
        <v>1.0726100000000403</v>
      </c>
    </row>
    <row r="768" spans="1:8" ht="14.25" thickBot="1">
      <c r="A768" s="18">
        <v>76.5</v>
      </c>
      <c r="B768" s="27">
        <v>0.87292000000000003</v>
      </c>
      <c r="C768" s="11">
        <f t="shared" si="44"/>
        <v>-2.7000000000000778E-3</v>
      </c>
      <c r="D768" s="12">
        <f t="shared" si="45"/>
        <v>1.0794700000000059</v>
      </c>
      <c r="E768" s="18">
        <v>76.5</v>
      </c>
      <c r="F768" s="27">
        <v>0.87370999999999999</v>
      </c>
      <c r="G768" s="11">
        <f t="shared" si="46"/>
        <v>-2.7000000000000778E-3</v>
      </c>
      <c r="H768" s="12">
        <f t="shared" si="47"/>
        <v>1.080260000000006</v>
      </c>
    </row>
    <row r="769" spans="1:8" ht="14.25" thickBot="1">
      <c r="A769" s="18">
        <v>76.599999999999994</v>
      </c>
      <c r="B769" s="27">
        <v>0.87265000000000004</v>
      </c>
      <c r="C769" s="11">
        <f t="shared" si="44"/>
        <v>-2.6999999999996944E-3</v>
      </c>
      <c r="D769" s="12">
        <f t="shared" si="45"/>
        <v>1.0794699999999766</v>
      </c>
      <c r="E769" s="18">
        <v>76.599999999999994</v>
      </c>
      <c r="F769" s="27">
        <v>0.87343999999999999</v>
      </c>
      <c r="G769" s="11">
        <f t="shared" si="46"/>
        <v>-2.6999999999996944E-3</v>
      </c>
      <c r="H769" s="12">
        <f t="shared" si="47"/>
        <v>1.0802599999999767</v>
      </c>
    </row>
    <row r="770" spans="1:8" ht="14.25" thickBot="1">
      <c r="A770" s="18">
        <v>76.7</v>
      </c>
      <c r="B770" s="27">
        <v>0.87238000000000004</v>
      </c>
      <c r="C770" s="11">
        <f t="shared" si="44"/>
        <v>-2.6000000000005272E-3</v>
      </c>
      <c r="D770" s="12">
        <f t="shared" si="45"/>
        <v>1.0718000000000405</v>
      </c>
      <c r="E770" s="18">
        <v>76.7</v>
      </c>
      <c r="F770" s="27">
        <v>0.87317</v>
      </c>
      <c r="G770" s="11">
        <f t="shared" si="46"/>
        <v>-2.6000000000005272E-3</v>
      </c>
      <c r="H770" s="12">
        <f t="shared" si="47"/>
        <v>1.0725900000000406</v>
      </c>
    </row>
    <row r="771" spans="1:8" ht="14.25" thickBot="1">
      <c r="A771" s="18">
        <v>76.8</v>
      </c>
      <c r="B771" s="27">
        <v>0.87212000000000001</v>
      </c>
      <c r="C771" s="11">
        <f t="shared" si="44"/>
        <v>-2.6999999999996944E-3</v>
      </c>
      <c r="D771" s="12">
        <f t="shared" si="45"/>
        <v>1.0794799999999765</v>
      </c>
      <c r="E771" s="18">
        <v>76.8</v>
      </c>
      <c r="F771" s="27">
        <v>0.87290999999999996</v>
      </c>
      <c r="G771" s="11">
        <f t="shared" si="46"/>
        <v>-2.6999999999996944E-3</v>
      </c>
      <c r="H771" s="12">
        <f t="shared" si="47"/>
        <v>1.0802699999999765</v>
      </c>
    </row>
    <row r="772" spans="1:8" ht="14.25" thickBot="1">
      <c r="A772" s="18">
        <v>76.900000000000006</v>
      </c>
      <c r="B772" s="27">
        <v>0.87185000000000001</v>
      </c>
      <c r="C772" s="11">
        <f t="shared" ref="C772:C835" si="48">SLOPE(B772:B773,A772:A773)</f>
        <v>-2.7000000000000778E-3</v>
      </c>
      <c r="D772" s="12">
        <f t="shared" ref="D772:D835" si="49">INTERCEPT(B772:B773,A772:A773)</f>
        <v>1.079480000000006</v>
      </c>
      <c r="E772" s="18">
        <v>76.900000000000006</v>
      </c>
      <c r="F772" s="27">
        <v>0.87263999999999997</v>
      </c>
      <c r="G772" s="11">
        <f t="shared" ref="G772:G835" si="50">SLOPE(F772:F773,E772:E773)</f>
        <v>-2.7000000000000778E-3</v>
      </c>
      <c r="H772" s="12">
        <f t="shared" ref="H772:H835" si="51">INTERCEPT(F772:F773,E772:E773)</f>
        <v>1.0802700000000061</v>
      </c>
    </row>
    <row r="773" spans="1:8" ht="14.25" thickBot="1">
      <c r="A773" s="9">
        <v>77</v>
      </c>
      <c r="B773" s="19">
        <v>0.87158000000000002</v>
      </c>
      <c r="C773" s="11">
        <f t="shared" si="48"/>
        <v>-2.6000000000005272E-3</v>
      </c>
      <c r="D773" s="12">
        <f t="shared" si="49"/>
        <v>1.0717800000000406</v>
      </c>
      <c r="E773" s="9">
        <v>77</v>
      </c>
      <c r="F773" s="19">
        <v>0.87236999999999998</v>
      </c>
      <c r="G773" s="11">
        <f t="shared" si="50"/>
        <v>-2.7000000000000778E-3</v>
      </c>
      <c r="H773" s="12">
        <f t="shared" si="51"/>
        <v>1.0802700000000061</v>
      </c>
    </row>
    <row r="774" spans="1:8" ht="14.25" thickBot="1">
      <c r="A774" s="18">
        <v>77.099999999999994</v>
      </c>
      <c r="B774" s="27">
        <v>0.87131999999999998</v>
      </c>
      <c r="C774" s="11">
        <f t="shared" si="48"/>
        <v>-2.6999999999996944E-3</v>
      </c>
      <c r="D774" s="12">
        <f t="shared" si="49"/>
        <v>1.0794899999999763</v>
      </c>
      <c r="E774" s="18">
        <v>77.099999999999994</v>
      </c>
      <c r="F774" s="27">
        <v>0.87209999999999999</v>
      </c>
      <c r="G774" s="11">
        <f t="shared" si="50"/>
        <v>-2.6999999999996944E-3</v>
      </c>
      <c r="H774" s="12">
        <f t="shared" si="51"/>
        <v>1.0802699999999765</v>
      </c>
    </row>
    <row r="775" spans="1:8" ht="14.25" thickBot="1">
      <c r="A775" s="18">
        <v>77.2</v>
      </c>
      <c r="B775" s="27">
        <v>0.87104999999999999</v>
      </c>
      <c r="C775" s="11">
        <f t="shared" si="48"/>
        <v>-2.7000000000000778E-3</v>
      </c>
      <c r="D775" s="12">
        <f t="shared" si="49"/>
        <v>1.0794900000000061</v>
      </c>
      <c r="E775" s="18">
        <v>77.2</v>
      </c>
      <c r="F775" s="27">
        <v>0.87182999999999999</v>
      </c>
      <c r="G775" s="11">
        <f t="shared" si="50"/>
        <v>-2.7000000000000778E-3</v>
      </c>
      <c r="H775" s="12">
        <f t="shared" si="51"/>
        <v>1.0802700000000061</v>
      </c>
    </row>
    <row r="776" spans="1:8" ht="14.25" thickBot="1">
      <c r="A776" s="18">
        <v>77.3</v>
      </c>
      <c r="B776" s="27">
        <v>0.87078</v>
      </c>
      <c r="C776" s="11">
        <f t="shared" si="48"/>
        <v>-2.6999999999996944E-3</v>
      </c>
      <c r="D776" s="12">
        <f t="shared" si="49"/>
        <v>1.0794899999999763</v>
      </c>
      <c r="E776" s="18">
        <v>77.3</v>
      </c>
      <c r="F776" s="27">
        <v>0.87156</v>
      </c>
      <c r="G776" s="11">
        <f t="shared" si="50"/>
        <v>-2.6999999999996944E-3</v>
      </c>
      <c r="H776" s="12">
        <f t="shared" si="51"/>
        <v>1.0802699999999763</v>
      </c>
    </row>
    <row r="777" spans="1:8" ht="14.25" thickBot="1">
      <c r="A777" s="18">
        <v>77.400000000000006</v>
      </c>
      <c r="B777" s="27">
        <v>0.87051000000000001</v>
      </c>
      <c r="C777" s="11">
        <f t="shared" si="48"/>
        <v>-2.7000000000000778E-3</v>
      </c>
      <c r="D777" s="12">
        <f t="shared" si="49"/>
        <v>1.0794900000000061</v>
      </c>
      <c r="E777" s="18">
        <v>77.400000000000006</v>
      </c>
      <c r="F777" s="27">
        <v>0.87129000000000001</v>
      </c>
      <c r="G777" s="11">
        <f t="shared" si="50"/>
        <v>-2.7000000000000778E-3</v>
      </c>
      <c r="H777" s="12">
        <f t="shared" si="51"/>
        <v>1.0802700000000061</v>
      </c>
    </row>
    <row r="778" spans="1:8" ht="14.25" thickBot="1">
      <c r="A778" s="18">
        <v>77.5</v>
      </c>
      <c r="B778" s="27">
        <v>0.87024000000000001</v>
      </c>
      <c r="C778" s="11">
        <f t="shared" si="48"/>
        <v>-2.7000000000000778E-3</v>
      </c>
      <c r="D778" s="12">
        <f t="shared" si="49"/>
        <v>1.0794900000000061</v>
      </c>
      <c r="E778" s="18">
        <v>77.5</v>
      </c>
      <c r="F778" s="27">
        <v>0.87102000000000002</v>
      </c>
      <c r="G778" s="11">
        <f t="shared" si="50"/>
        <v>-2.7000000000000778E-3</v>
      </c>
      <c r="H778" s="12">
        <f t="shared" si="51"/>
        <v>1.0802700000000061</v>
      </c>
    </row>
    <row r="779" spans="1:8" ht="14.25" thickBot="1">
      <c r="A779" s="18">
        <v>77.599999999999994</v>
      </c>
      <c r="B779" s="27">
        <v>0.86997000000000002</v>
      </c>
      <c r="C779" s="11">
        <f t="shared" si="48"/>
        <v>-2.6999999999996944E-3</v>
      </c>
      <c r="D779" s="12">
        <f t="shared" si="49"/>
        <v>1.0794899999999763</v>
      </c>
      <c r="E779" s="18">
        <v>77.599999999999994</v>
      </c>
      <c r="F779" s="27">
        <v>0.87075000000000002</v>
      </c>
      <c r="G779" s="11">
        <f t="shared" si="50"/>
        <v>-2.6999999999996944E-3</v>
      </c>
      <c r="H779" s="12">
        <f t="shared" si="51"/>
        <v>1.0802699999999763</v>
      </c>
    </row>
    <row r="780" spans="1:8" ht="14.25" thickBot="1">
      <c r="A780" s="18">
        <v>77.7</v>
      </c>
      <c r="B780" s="27">
        <v>0.86970000000000003</v>
      </c>
      <c r="C780" s="11">
        <f t="shared" si="48"/>
        <v>-2.6000000000005272E-3</v>
      </c>
      <c r="D780" s="12">
        <f t="shared" si="49"/>
        <v>1.0717200000000409</v>
      </c>
      <c r="E780" s="18">
        <v>77.7</v>
      </c>
      <c r="F780" s="27">
        <v>0.87048000000000003</v>
      </c>
      <c r="G780" s="11">
        <f t="shared" si="50"/>
        <v>-2.6000000000005272E-3</v>
      </c>
      <c r="H780" s="12">
        <f t="shared" si="51"/>
        <v>1.0725000000000409</v>
      </c>
    </row>
    <row r="781" spans="1:8" ht="14.25" thickBot="1">
      <c r="A781" s="18">
        <v>77.8</v>
      </c>
      <c r="B781" s="27">
        <v>0.86943999999999999</v>
      </c>
      <c r="C781" s="11">
        <f t="shared" si="48"/>
        <v>-2.6999999999996944E-3</v>
      </c>
      <c r="D781" s="12">
        <f t="shared" si="49"/>
        <v>1.0794999999999761</v>
      </c>
      <c r="E781" s="18">
        <v>77.8</v>
      </c>
      <c r="F781" s="27">
        <v>0.87021999999999999</v>
      </c>
      <c r="G781" s="11">
        <f t="shared" si="50"/>
        <v>-2.6999999999996944E-3</v>
      </c>
      <c r="H781" s="12">
        <f t="shared" si="51"/>
        <v>1.0802799999999761</v>
      </c>
    </row>
    <row r="782" spans="1:8" ht="14.25" thickBot="1">
      <c r="A782" s="18">
        <v>77.900000000000006</v>
      </c>
      <c r="B782" s="27">
        <v>0.86917</v>
      </c>
      <c r="C782" s="11">
        <f t="shared" si="48"/>
        <v>-2.7999999999996287E-3</v>
      </c>
      <c r="D782" s="12">
        <f t="shared" si="49"/>
        <v>1.087289999999971</v>
      </c>
      <c r="E782" s="18">
        <v>77.900000000000006</v>
      </c>
      <c r="F782" s="27">
        <v>0.86995</v>
      </c>
      <c r="G782" s="11">
        <f t="shared" si="50"/>
        <v>-2.7999999999996287E-3</v>
      </c>
      <c r="H782" s="12">
        <f t="shared" si="51"/>
        <v>1.088069999999971</v>
      </c>
    </row>
    <row r="783" spans="1:8" ht="14.25" thickBot="1">
      <c r="A783" s="9">
        <v>78</v>
      </c>
      <c r="B783" s="19">
        <v>0.86889000000000005</v>
      </c>
      <c r="C783" s="11">
        <f t="shared" si="48"/>
        <v>-2.7000000000011884E-3</v>
      </c>
      <c r="D783" s="12">
        <f t="shared" si="49"/>
        <v>1.0794900000000927</v>
      </c>
      <c r="E783" s="9">
        <v>78</v>
      </c>
      <c r="F783" s="19">
        <v>0.86967000000000005</v>
      </c>
      <c r="G783" s="11">
        <f t="shared" si="50"/>
        <v>-2.7000000000011884E-3</v>
      </c>
      <c r="H783" s="12">
        <f t="shared" si="51"/>
        <v>1.0802700000000927</v>
      </c>
    </row>
    <row r="784" spans="1:8" ht="14.25" thickBot="1">
      <c r="A784" s="18">
        <v>78.099999999999994</v>
      </c>
      <c r="B784" s="27">
        <v>0.86861999999999995</v>
      </c>
      <c r="C784" s="11">
        <f t="shared" si="48"/>
        <v>-2.6999999999996944E-3</v>
      </c>
      <c r="D784" s="12">
        <f t="shared" si="49"/>
        <v>1.0794899999999761</v>
      </c>
      <c r="E784" s="18">
        <v>78.099999999999994</v>
      </c>
      <c r="F784" s="27">
        <v>0.86939999999999995</v>
      </c>
      <c r="G784" s="11">
        <f t="shared" si="50"/>
        <v>-2.6999999999996944E-3</v>
      </c>
      <c r="H784" s="12">
        <f t="shared" si="51"/>
        <v>1.0802699999999761</v>
      </c>
    </row>
    <row r="785" spans="1:8" ht="14.25" thickBot="1">
      <c r="A785" s="18">
        <v>78.2</v>
      </c>
      <c r="B785" s="27">
        <v>0.86834999999999996</v>
      </c>
      <c r="C785" s="11">
        <f t="shared" si="48"/>
        <v>-2.7000000000000778E-3</v>
      </c>
      <c r="D785" s="12">
        <f t="shared" si="49"/>
        <v>1.0794900000000061</v>
      </c>
      <c r="E785" s="18">
        <v>78.2</v>
      </c>
      <c r="F785" s="27">
        <v>0.86912999999999996</v>
      </c>
      <c r="G785" s="11">
        <f t="shared" si="50"/>
        <v>-2.7000000000000778E-3</v>
      </c>
      <c r="H785" s="12">
        <f t="shared" si="51"/>
        <v>1.0802700000000061</v>
      </c>
    </row>
    <row r="786" spans="1:8" ht="14.25" thickBot="1">
      <c r="A786" s="18">
        <v>78.3</v>
      </c>
      <c r="B786" s="27">
        <v>0.86807999999999996</v>
      </c>
      <c r="C786" s="11">
        <f t="shared" si="48"/>
        <v>-2.6999999999996944E-3</v>
      </c>
      <c r="D786" s="12">
        <f t="shared" si="49"/>
        <v>1.0794899999999761</v>
      </c>
      <c r="E786" s="18">
        <v>78.3</v>
      </c>
      <c r="F786" s="27">
        <v>0.86885999999999997</v>
      </c>
      <c r="G786" s="11">
        <f t="shared" si="50"/>
        <v>-2.6999999999996944E-3</v>
      </c>
      <c r="H786" s="12">
        <f t="shared" si="51"/>
        <v>1.0802699999999761</v>
      </c>
    </row>
    <row r="787" spans="1:8" ht="14.25" thickBot="1">
      <c r="A787" s="18">
        <v>78.400000000000006</v>
      </c>
      <c r="B787" s="27">
        <v>0.86780999999999997</v>
      </c>
      <c r="C787" s="11">
        <f t="shared" si="48"/>
        <v>-2.7000000000000778E-3</v>
      </c>
      <c r="D787" s="12">
        <f t="shared" si="49"/>
        <v>1.0794900000000061</v>
      </c>
      <c r="E787" s="18">
        <v>78.400000000000006</v>
      </c>
      <c r="F787" s="27">
        <v>0.86858999999999997</v>
      </c>
      <c r="G787" s="11">
        <f t="shared" si="50"/>
        <v>-2.7000000000000778E-3</v>
      </c>
      <c r="H787" s="12">
        <f t="shared" si="51"/>
        <v>1.0802700000000061</v>
      </c>
    </row>
    <row r="788" spans="1:8" ht="14.25" thickBot="1">
      <c r="A788" s="18">
        <v>78.5</v>
      </c>
      <c r="B788" s="27">
        <v>0.86753999999999998</v>
      </c>
      <c r="C788" s="11">
        <f t="shared" si="48"/>
        <v>-2.7000000000000778E-3</v>
      </c>
      <c r="D788" s="12">
        <f t="shared" si="49"/>
        <v>1.0794900000000061</v>
      </c>
      <c r="E788" s="18">
        <v>78.5</v>
      </c>
      <c r="F788" s="27">
        <v>0.86831999999999998</v>
      </c>
      <c r="G788" s="11">
        <f t="shared" si="50"/>
        <v>-2.7000000000000778E-3</v>
      </c>
      <c r="H788" s="12">
        <f t="shared" si="51"/>
        <v>1.0802700000000061</v>
      </c>
    </row>
    <row r="789" spans="1:8" ht="14.25" thickBot="1">
      <c r="A789" s="18">
        <v>78.599999999999994</v>
      </c>
      <c r="B789" s="27">
        <v>0.86726999999999999</v>
      </c>
      <c r="C789" s="11">
        <f t="shared" si="48"/>
        <v>-2.7999999999992306E-3</v>
      </c>
      <c r="D789" s="12">
        <f t="shared" si="49"/>
        <v>1.0873499999999394</v>
      </c>
      <c r="E789" s="18">
        <v>78.599999999999994</v>
      </c>
      <c r="F789" s="27">
        <v>0.86804999999999999</v>
      </c>
      <c r="G789" s="11">
        <f t="shared" si="50"/>
        <v>-2.7999999999992306E-3</v>
      </c>
      <c r="H789" s="12">
        <f t="shared" si="51"/>
        <v>1.0881299999999394</v>
      </c>
    </row>
    <row r="790" spans="1:8" ht="14.25" thickBot="1">
      <c r="A790" s="18">
        <v>78.7</v>
      </c>
      <c r="B790" s="27">
        <v>0.86699000000000004</v>
      </c>
      <c r="C790" s="11">
        <f t="shared" si="48"/>
        <v>-2.7000000000000778E-3</v>
      </c>
      <c r="D790" s="12">
        <f t="shared" si="49"/>
        <v>1.0794800000000062</v>
      </c>
      <c r="E790" s="18">
        <v>78.7</v>
      </c>
      <c r="F790" s="27">
        <v>0.86777000000000004</v>
      </c>
      <c r="G790" s="11">
        <f t="shared" si="50"/>
        <v>-2.7000000000000778E-3</v>
      </c>
      <c r="H790" s="12">
        <f t="shared" si="51"/>
        <v>1.0802600000000062</v>
      </c>
    </row>
    <row r="791" spans="1:8" ht="14.25" thickBot="1">
      <c r="A791" s="18">
        <v>78.8</v>
      </c>
      <c r="B791" s="27">
        <v>0.86672000000000005</v>
      </c>
      <c r="C791" s="11">
        <f t="shared" si="48"/>
        <v>-2.6999999999996944E-3</v>
      </c>
      <c r="D791" s="12">
        <f t="shared" si="49"/>
        <v>1.079479999999976</v>
      </c>
      <c r="E791" s="18">
        <v>78.8</v>
      </c>
      <c r="F791" s="27">
        <v>0.86750000000000005</v>
      </c>
      <c r="G791" s="11">
        <f t="shared" si="50"/>
        <v>-2.7000000000008046E-3</v>
      </c>
      <c r="H791" s="12">
        <f t="shared" si="51"/>
        <v>1.0802600000000633</v>
      </c>
    </row>
    <row r="792" spans="1:8" ht="14.25" thickBot="1">
      <c r="A792" s="18">
        <v>78.900000000000006</v>
      </c>
      <c r="B792" s="27">
        <v>0.86645000000000005</v>
      </c>
      <c r="C792" s="11">
        <f t="shared" si="48"/>
        <v>-2.800000000000739E-3</v>
      </c>
      <c r="D792" s="12">
        <f t="shared" si="49"/>
        <v>1.0873700000000583</v>
      </c>
      <c r="E792" s="18">
        <v>78.900000000000006</v>
      </c>
      <c r="F792" s="27">
        <v>0.86722999999999995</v>
      </c>
      <c r="G792" s="11">
        <f t="shared" si="50"/>
        <v>-2.7999999999996287E-3</v>
      </c>
      <c r="H792" s="12">
        <f t="shared" si="51"/>
        <v>1.0881499999999706</v>
      </c>
    </row>
    <row r="793" spans="1:8" ht="14.25" thickBot="1">
      <c r="A793" s="9">
        <v>79</v>
      </c>
      <c r="B793" s="19">
        <v>0.86617</v>
      </c>
      <c r="C793" s="11">
        <f t="shared" si="48"/>
        <v>-2.7000000000000778E-3</v>
      </c>
      <c r="D793" s="12">
        <f t="shared" si="49"/>
        <v>1.0794700000000061</v>
      </c>
      <c r="E793" s="9">
        <v>79</v>
      </c>
      <c r="F793" s="19">
        <v>0.86695</v>
      </c>
      <c r="G793" s="11">
        <f t="shared" si="50"/>
        <v>-2.7000000000000778E-3</v>
      </c>
      <c r="H793" s="12">
        <f t="shared" si="51"/>
        <v>1.0802500000000061</v>
      </c>
    </row>
    <row r="794" spans="1:8" ht="14.25" thickBot="1">
      <c r="A794" s="18">
        <v>79.099999999999994</v>
      </c>
      <c r="B794" s="27">
        <v>0.8659</v>
      </c>
      <c r="C794" s="11">
        <f t="shared" si="48"/>
        <v>-2.8000000000003408E-3</v>
      </c>
      <c r="D794" s="12">
        <f t="shared" si="49"/>
        <v>1.0873800000000269</v>
      </c>
      <c r="E794" s="18">
        <v>79.099999999999994</v>
      </c>
      <c r="F794" s="27">
        <v>0.86668000000000001</v>
      </c>
      <c r="G794" s="11">
        <f t="shared" si="50"/>
        <v>-2.8000000000003408E-3</v>
      </c>
      <c r="H794" s="12">
        <f t="shared" si="51"/>
        <v>1.0881600000000269</v>
      </c>
    </row>
    <row r="795" spans="1:8" ht="14.25" thickBot="1">
      <c r="A795" s="18">
        <v>79.2</v>
      </c>
      <c r="B795" s="27">
        <v>0.86561999999999995</v>
      </c>
      <c r="C795" s="11">
        <f t="shared" si="48"/>
        <v>-2.7000000000000778E-3</v>
      </c>
      <c r="D795" s="12">
        <f t="shared" si="49"/>
        <v>1.0794600000000061</v>
      </c>
      <c r="E795" s="18">
        <v>79.2</v>
      </c>
      <c r="F795" s="27">
        <v>0.86639999999999995</v>
      </c>
      <c r="G795" s="11">
        <f t="shared" si="50"/>
        <v>-2.7000000000000778E-3</v>
      </c>
      <c r="H795" s="12">
        <f t="shared" si="51"/>
        <v>1.0802400000000061</v>
      </c>
    </row>
    <row r="796" spans="1:8" ht="14.25" thickBot="1">
      <c r="A796" s="18">
        <v>79.3</v>
      </c>
      <c r="B796" s="27">
        <v>0.86534999999999995</v>
      </c>
      <c r="C796" s="11">
        <f t="shared" si="48"/>
        <v>-2.7999999999992306E-3</v>
      </c>
      <c r="D796" s="12">
        <f t="shared" si="49"/>
        <v>1.087389999999939</v>
      </c>
      <c r="E796" s="18">
        <v>79.3</v>
      </c>
      <c r="F796" s="27">
        <v>0.86612999999999996</v>
      </c>
      <c r="G796" s="11">
        <f t="shared" si="50"/>
        <v>-2.7999999999992306E-3</v>
      </c>
      <c r="H796" s="12">
        <f t="shared" si="51"/>
        <v>1.088169999999939</v>
      </c>
    </row>
    <row r="797" spans="1:8" ht="14.25" thickBot="1">
      <c r="A797" s="18">
        <v>79.400000000000006</v>
      </c>
      <c r="B797" s="27">
        <v>0.86507000000000001</v>
      </c>
      <c r="C797" s="11">
        <f t="shared" si="48"/>
        <v>-2.7000000000000778E-3</v>
      </c>
      <c r="D797" s="12">
        <f t="shared" si="49"/>
        <v>1.0794500000000062</v>
      </c>
      <c r="E797" s="18">
        <v>79.400000000000006</v>
      </c>
      <c r="F797" s="27">
        <v>0.86585000000000001</v>
      </c>
      <c r="G797" s="11">
        <f t="shared" si="50"/>
        <v>-2.7000000000000778E-3</v>
      </c>
      <c r="H797" s="12">
        <f t="shared" si="51"/>
        <v>1.0802300000000062</v>
      </c>
    </row>
    <row r="798" spans="1:8" ht="14.25" thickBot="1">
      <c r="A798" s="18">
        <v>79.5</v>
      </c>
      <c r="B798" s="27">
        <v>0.86480000000000001</v>
      </c>
      <c r="C798" s="11">
        <f t="shared" si="48"/>
        <v>-2.800000000000739E-3</v>
      </c>
      <c r="D798" s="12">
        <f t="shared" si="49"/>
        <v>1.0874000000000588</v>
      </c>
      <c r="E798" s="18">
        <v>79.5</v>
      </c>
      <c r="F798" s="27">
        <v>0.86558000000000002</v>
      </c>
      <c r="G798" s="11">
        <f t="shared" si="50"/>
        <v>-2.800000000000739E-3</v>
      </c>
      <c r="H798" s="12">
        <f t="shared" si="51"/>
        <v>1.0881800000000588</v>
      </c>
    </row>
    <row r="799" spans="1:8" ht="14.25" thickBot="1">
      <c r="A799" s="18">
        <v>79.599999999999994</v>
      </c>
      <c r="B799" s="27">
        <v>0.86451999999999996</v>
      </c>
      <c r="C799" s="11">
        <f t="shared" si="48"/>
        <v>-2.6999999999996944E-3</v>
      </c>
      <c r="D799" s="12">
        <f t="shared" si="49"/>
        <v>1.0794399999999755</v>
      </c>
      <c r="E799" s="18">
        <v>79.599999999999994</v>
      </c>
      <c r="F799" s="27">
        <v>0.86529999999999996</v>
      </c>
      <c r="G799" s="11">
        <f t="shared" si="50"/>
        <v>-2.6999999999996944E-3</v>
      </c>
      <c r="H799" s="12">
        <f t="shared" si="51"/>
        <v>1.0802199999999758</v>
      </c>
    </row>
    <row r="800" spans="1:8" ht="14.25" thickBot="1">
      <c r="A800" s="18">
        <v>79.7</v>
      </c>
      <c r="B800" s="27">
        <v>0.86424999999999996</v>
      </c>
      <c r="C800" s="11">
        <f t="shared" si="48"/>
        <v>-2.7999999999996287E-3</v>
      </c>
      <c r="D800" s="12">
        <f t="shared" si="49"/>
        <v>1.0874099999999702</v>
      </c>
      <c r="E800" s="18">
        <v>79.7</v>
      </c>
      <c r="F800" s="27">
        <v>0.86502999999999997</v>
      </c>
      <c r="G800" s="11">
        <f t="shared" si="50"/>
        <v>-2.7999999999996287E-3</v>
      </c>
      <c r="H800" s="12">
        <f t="shared" si="51"/>
        <v>1.0881899999999702</v>
      </c>
    </row>
    <row r="801" spans="1:8" ht="14.25" thickBot="1">
      <c r="A801" s="18">
        <v>79.8</v>
      </c>
      <c r="B801" s="27">
        <v>0.86397000000000002</v>
      </c>
      <c r="C801" s="11">
        <f t="shared" si="48"/>
        <v>-2.8000000000003408E-3</v>
      </c>
      <c r="D801" s="12">
        <f t="shared" si="49"/>
        <v>1.0874100000000273</v>
      </c>
      <c r="E801" s="18">
        <v>79.8</v>
      </c>
      <c r="F801" s="27">
        <v>0.86475000000000002</v>
      </c>
      <c r="G801" s="11">
        <f t="shared" si="50"/>
        <v>-2.8000000000003408E-3</v>
      </c>
      <c r="H801" s="12">
        <f t="shared" si="51"/>
        <v>1.0881900000000271</v>
      </c>
    </row>
    <row r="802" spans="1:8" ht="14.25" thickBot="1">
      <c r="A802" s="18">
        <v>79.900000000000006</v>
      </c>
      <c r="B802" s="27">
        <v>0.86368999999999996</v>
      </c>
      <c r="C802" s="11">
        <f t="shared" si="48"/>
        <v>-2.7000000000000778E-3</v>
      </c>
      <c r="D802" s="12">
        <f t="shared" si="49"/>
        <v>1.0794200000000063</v>
      </c>
      <c r="E802" s="18">
        <v>79.900000000000006</v>
      </c>
      <c r="F802" s="27">
        <v>0.86446999999999996</v>
      </c>
      <c r="G802" s="11">
        <f t="shared" si="50"/>
        <v>-2.7000000000000778E-3</v>
      </c>
      <c r="H802" s="12">
        <f t="shared" si="51"/>
        <v>1.0802000000000063</v>
      </c>
    </row>
    <row r="803" spans="1:8" ht="14.25" thickBot="1">
      <c r="A803" s="9">
        <v>80</v>
      </c>
      <c r="B803" s="19">
        <v>0.86341999999999997</v>
      </c>
      <c r="C803" s="11">
        <f t="shared" si="48"/>
        <v>-2.7999999999996287E-3</v>
      </c>
      <c r="D803" s="12">
        <f t="shared" si="49"/>
        <v>1.0874199999999703</v>
      </c>
      <c r="E803" s="9">
        <v>80</v>
      </c>
      <c r="F803" s="19">
        <v>0.86419999999999997</v>
      </c>
      <c r="G803" s="11">
        <f t="shared" si="50"/>
        <v>-2.7999999999996287E-3</v>
      </c>
      <c r="H803" s="12">
        <f t="shared" si="51"/>
        <v>1.0881999999999703</v>
      </c>
    </row>
    <row r="804" spans="1:8" ht="14.25" thickBot="1">
      <c r="A804" s="18">
        <v>80.099999999999994</v>
      </c>
      <c r="B804" s="27">
        <v>0.86314000000000002</v>
      </c>
      <c r="C804" s="11">
        <f t="shared" si="48"/>
        <v>-2.8000000000003408E-3</v>
      </c>
      <c r="D804" s="12">
        <f t="shared" si="49"/>
        <v>1.0874200000000274</v>
      </c>
      <c r="E804" s="18">
        <v>80.099999999999994</v>
      </c>
      <c r="F804" s="27">
        <v>0.86392000000000002</v>
      </c>
      <c r="G804" s="11">
        <f t="shared" si="50"/>
        <v>-2.8000000000003408E-3</v>
      </c>
      <c r="H804" s="12">
        <f t="shared" si="51"/>
        <v>1.0882000000000274</v>
      </c>
    </row>
    <row r="805" spans="1:8" ht="14.25" thickBot="1">
      <c r="A805" s="18">
        <v>80.2</v>
      </c>
      <c r="B805" s="27">
        <v>0.86285999999999996</v>
      </c>
      <c r="C805" s="11">
        <f t="shared" si="48"/>
        <v>-2.7999999999996287E-3</v>
      </c>
      <c r="D805" s="12">
        <f t="shared" si="49"/>
        <v>1.0874199999999701</v>
      </c>
      <c r="E805" s="18">
        <v>80.2</v>
      </c>
      <c r="F805" s="27">
        <v>0.86363999999999996</v>
      </c>
      <c r="G805" s="11">
        <f t="shared" si="50"/>
        <v>-2.7999999999996287E-3</v>
      </c>
      <c r="H805" s="12">
        <f t="shared" si="51"/>
        <v>1.0881999999999701</v>
      </c>
    </row>
    <row r="806" spans="1:8" ht="14.25" thickBot="1">
      <c r="A806" s="18">
        <v>80.3</v>
      </c>
      <c r="B806" s="27">
        <v>0.86258000000000001</v>
      </c>
      <c r="C806" s="11">
        <f t="shared" si="48"/>
        <v>-2.8000000000003408E-3</v>
      </c>
      <c r="D806" s="12">
        <f t="shared" si="49"/>
        <v>1.0874200000000274</v>
      </c>
      <c r="E806" s="18">
        <v>80.3</v>
      </c>
      <c r="F806" s="27">
        <v>0.86336000000000002</v>
      </c>
      <c r="G806" s="11">
        <f t="shared" si="50"/>
        <v>-2.8000000000003408E-3</v>
      </c>
      <c r="H806" s="12">
        <f t="shared" si="51"/>
        <v>1.0882000000000274</v>
      </c>
    </row>
    <row r="807" spans="1:8" ht="14.25" thickBot="1">
      <c r="A807" s="18">
        <v>80.400000000000006</v>
      </c>
      <c r="B807" s="27">
        <v>0.86229999999999996</v>
      </c>
      <c r="C807" s="11">
        <f t="shared" si="48"/>
        <v>-2.7000000000000778E-3</v>
      </c>
      <c r="D807" s="12">
        <f t="shared" si="49"/>
        <v>1.0793800000000062</v>
      </c>
      <c r="E807" s="18">
        <v>80.400000000000006</v>
      </c>
      <c r="F807" s="27">
        <v>0.86307999999999996</v>
      </c>
      <c r="G807" s="11">
        <f t="shared" si="50"/>
        <v>-2.7000000000000778E-3</v>
      </c>
      <c r="H807" s="12">
        <f t="shared" si="51"/>
        <v>1.0801600000000062</v>
      </c>
    </row>
    <row r="808" spans="1:8" ht="14.25" thickBot="1">
      <c r="A808" s="18">
        <v>80.5</v>
      </c>
      <c r="B808" s="15">
        <v>0.86202999999999996</v>
      </c>
      <c r="C808" s="11">
        <f t="shared" si="48"/>
        <v>-2.7999999999996287E-3</v>
      </c>
      <c r="D808" s="12">
        <f t="shared" si="49"/>
        <v>1.0874299999999701</v>
      </c>
      <c r="E808" s="18">
        <v>80.5</v>
      </c>
      <c r="F808" s="15">
        <v>0.86280999999999997</v>
      </c>
      <c r="G808" s="11">
        <f t="shared" si="50"/>
        <v>-2.7999999999996287E-3</v>
      </c>
      <c r="H808" s="12">
        <f t="shared" si="51"/>
        <v>1.0882099999999701</v>
      </c>
    </row>
    <row r="809" spans="1:8" ht="14.25" thickBot="1">
      <c r="A809" s="18">
        <v>80.599999999999994</v>
      </c>
      <c r="B809" s="27">
        <v>0.86175000000000002</v>
      </c>
      <c r="C809" s="11">
        <f t="shared" si="48"/>
        <v>-2.8000000000003408E-3</v>
      </c>
      <c r="D809" s="12">
        <f t="shared" si="49"/>
        <v>1.0874300000000274</v>
      </c>
      <c r="E809" s="18">
        <v>80.599999999999994</v>
      </c>
      <c r="F809" s="27">
        <v>0.86253000000000002</v>
      </c>
      <c r="G809" s="11">
        <f t="shared" si="50"/>
        <v>-2.8000000000003408E-3</v>
      </c>
      <c r="H809" s="12">
        <f t="shared" si="51"/>
        <v>1.0882100000000274</v>
      </c>
    </row>
    <row r="810" spans="1:8" ht="14.25" thickBot="1">
      <c r="A810" s="18">
        <v>80.7</v>
      </c>
      <c r="B810" s="27">
        <v>0.86146999999999996</v>
      </c>
      <c r="C810" s="11">
        <f t="shared" si="48"/>
        <v>-2.7999999999996287E-3</v>
      </c>
      <c r="D810" s="12">
        <f t="shared" si="49"/>
        <v>1.0874299999999699</v>
      </c>
      <c r="E810" s="18">
        <v>80.7</v>
      </c>
      <c r="F810" s="27">
        <v>0.86224999999999996</v>
      </c>
      <c r="G810" s="11">
        <f t="shared" si="50"/>
        <v>-2.7999999999996287E-3</v>
      </c>
      <c r="H810" s="12">
        <f t="shared" si="51"/>
        <v>1.0882099999999699</v>
      </c>
    </row>
    <row r="811" spans="1:8" ht="14.25" thickBot="1">
      <c r="A811" s="18">
        <v>80.8</v>
      </c>
      <c r="B811" s="27">
        <v>0.86119000000000001</v>
      </c>
      <c r="C811" s="11">
        <f t="shared" si="48"/>
        <v>-2.8000000000003408E-3</v>
      </c>
      <c r="D811" s="12">
        <f t="shared" si="49"/>
        <v>1.0874300000000274</v>
      </c>
      <c r="E811" s="18">
        <v>80.8</v>
      </c>
      <c r="F811" s="27">
        <v>0.86197000000000001</v>
      </c>
      <c r="G811" s="11">
        <f t="shared" si="50"/>
        <v>-2.8000000000003408E-3</v>
      </c>
      <c r="H811" s="12">
        <f t="shared" si="51"/>
        <v>1.0882100000000274</v>
      </c>
    </row>
    <row r="812" spans="1:8" ht="14.25" thickBot="1">
      <c r="A812" s="28">
        <v>80.900000000000006</v>
      </c>
      <c r="B812" s="29">
        <v>0.86090999999999995</v>
      </c>
      <c r="C812" s="11">
        <f t="shared" si="48"/>
        <v>-2.7999999999996287E-3</v>
      </c>
      <c r="D812" s="12">
        <f t="shared" si="49"/>
        <v>1.0874299999999699</v>
      </c>
      <c r="E812" s="28">
        <v>80.900000000000006</v>
      </c>
      <c r="F812" s="29">
        <v>0.86168999999999996</v>
      </c>
      <c r="G812" s="11">
        <f t="shared" si="50"/>
        <v>-2.7999999999996287E-3</v>
      </c>
      <c r="H812" s="12">
        <f t="shared" si="51"/>
        <v>1.0882099999999699</v>
      </c>
    </row>
    <row r="813" spans="1:8" ht="14.25" thickBot="1">
      <c r="A813" s="16">
        <v>81</v>
      </c>
      <c r="B813" s="17">
        <v>0.86063000000000001</v>
      </c>
      <c r="C813" s="11">
        <f t="shared" si="48"/>
        <v>-2.9000000000002895E-3</v>
      </c>
      <c r="D813" s="12">
        <f t="shared" si="49"/>
        <v>1.0955300000000234</v>
      </c>
      <c r="E813" s="16">
        <v>81</v>
      </c>
      <c r="F813" s="17">
        <v>0.86141000000000001</v>
      </c>
      <c r="G813" s="11">
        <f t="shared" si="50"/>
        <v>-2.9000000000002895E-3</v>
      </c>
      <c r="H813" s="12">
        <f t="shared" si="51"/>
        <v>1.0963100000000234</v>
      </c>
    </row>
    <row r="814" spans="1:8" ht="14.25" thickBot="1">
      <c r="A814" s="18">
        <v>81.099999999999994</v>
      </c>
      <c r="B814" s="27">
        <v>0.86033999999999999</v>
      </c>
      <c r="C814" s="11">
        <f t="shared" si="48"/>
        <v>-2.7999999999992306E-3</v>
      </c>
      <c r="D814" s="12">
        <f t="shared" si="49"/>
        <v>1.0874199999999377</v>
      </c>
      <c r="E814" s="18">
        <v>81.099999999999994</v>
      </c>
      <c r="F814" s="27">
        <v>0.86112</v>
      </c>
      <c r="G814" s="11">
        <f t="shared" si="50"/>
        <v>-2.8999999999998775E-3</v>
      </c>
      <c r="H814" s="12">
        <f t="shared" si="51"/>
        <v>1.0963099999999901</v>
      </c>
    </row>
    <row r="815" spans="1:8" ht="14.25" thickBot="1">
      <c r="A815" s="18">
        <v>81.2</v>
      </c>
      <c r="B815" s="27">
        <v>0.86006000000000005</v>
      </c>
      <c r="C815" s="11">
        <f t="shared" si="48"/>
        <v>-2.800000000000739E-3</v>
      </c>
      <c r="D815" s="12">
        <f t="shared" si="49"/>
        <v>1.08742000000006</v>
      </c>
      <c r="E815" s="18">
        <v>81.2</v>
      </c>
      <c r="F815" s="27">
        <v>0.86082999999999998</v>
      </c>
      <c r="G815" s="11">
        <f t="shared" si="50"/>
        <v>-2.7999999999996287E-3</v>
      </c>
      <c r="H815" s="12">
        <f t="shared" si="51"/>
        <v>1.0881899999999698</v>
      </c>
    </row>
    <row r="816" spans="1:8" ht="14.25" thickBot="1">
      <c r="A816" s="18">
        <v>81.3</v>
      </c>
      <c r="B816" s="27">
        <v>0.85977999999999999</v>
      </c>
      <c r="C816" s="11">
        <f t="shared" si="48"/>
        <v>-2.7999999999992306E-3</v>
      </c>
      <c r="D816" s="12">
        <f t="shared" si="49"/>
        <v>1.0874199999999374</v>
      </c>
      <c r="E816" s="18">
        <v>81.3</v>
      </c>
      <c r="F816" s="27">
        <v>0.86055000000000004</v>
      </c>
      <c r="G816" s="11">
        <f t="shared" si="50"/>
        <v>-2.8000000000003408E-3</v>
      </c>
      <c r="H816" s="12">
        <f t="shared" si="51"/>
        <v>1.0881900000000277</v>
      </c>
    </row>
    <row r="817" spans="1:8" ht="14.25" thickBot="1">
      <c r="A817" s="18">
        <v>81.400000000000006</v>
      </c>
      <c r="B817" s="27">
        <v>0.85950000000000004</v>
      </c>
      <c r="C817" s="11">
        <f t="shared" si="48"/>
        <v>-2.800000000000739E-3</v>
      </c>
      <c r="D817" s="12">
        <f t="shared" si="49"/>
        <v>1.0874200000000602</v>
      </c>
      <c r="E817" s="18">
        <v>81.400000000000006</v>
      </c>
      <c r="F817" s="27">
        <v>0.86026999999999998</v>
      </c>
      <c r="G817" s="11">
        <f t="shared" si="50"/>
        <v>-2.7999999999996287E-3</v>
      </c>
      <c r="H817" s="12">
        <f t="shared" si="51"/>
        <v>1.0881899999999698</v>
      </c>
    </row>
    <row r="818" spans="1:8" ht="14.25" thickBot="1">
      <c r="A818" s="18">
        <v>81.5</v>
      </c>
      <c r="B818" s="27">
        <v>0.85921999999999998</v>
      </c>
      <c r="C818" s="11">
        <f t="shared" si="48"/>
        <v>-2.9000000000002895E-3</v>
      </c>
      <c r="D818" s="12">
        <f t="shared" si="49"/>
        <v>1.0955700000000237</v>
      </c>
      <c r="E818" s="18">
        <v>81.5</v>
      </c>
      <c r="F818" s="27">
        <v>0.85999000000000003</v>
      </c>
      <c r="G818" s="11">
        <f t="shared" si="50"/>
        <v>-2.9000000000002895E-3</v>
      </c>
      <c r="H818" s="12">
        <f t="shared" si="51"/>
        <v>1.0963400000000236</v>
      </c>
    </row>
    <row r="819" spans="1:8" ht="14.25" thickBot="1">
      <c r="A819" s="18">
        <v>81.599999999999994</v>
      </c>
      <c r="B819" s="27">
        <v>0.85892999999999997</v>
      </c>
      <c r="C819" s="11">
        <f t="shared" si="48"/>
        <v>-2.7999999999992306E-3</v>
      </c>
      <c r="D819" s="12">
        <f t="shared" si="49"/>
        <v>1.0874099999999371</v>
      </c>
      <c r="E819" s="18">
        <v>81.599999999999994</v>
      </c>
      <c r="F819" s="27">
        <v>0.85970000000000002</v>
      </c>
      <c r="G819" s="11">
        <f t="shared" si="50"/>
        <v>-2.8000000000003408E-3</v>
      </c>
      <c r="H819" s="12">
        <f t="shared" si="51"/>
        <v>1.0881800000000279</v>
      </c>
    </row>
    <row r="820" spans="1:8" ht="14.25" thickBot="1">
      <c r="A820" s="18">
        <v>81.7</v>
      </c>
      <c r="B820" s="27">
        <v>0.85865000000000002</v>
      </c>
      <c r="C820" s="11">
        <f t="shared" si="48"/>
        <v>-2.800000000000739E-3</v>
      </c>
      <c r="D820" s="12">
        <f t="shared" si="49"/>
        <v>1.0874100000000604</v>
      </c>
      <c r="E820" s="18">
        <v>81.7</v>
      </c>
      <c r="F820" s="27">
        <v>0.85941999999999996</v>
      </c>
      <c r="G820" s="11">
        <f t="shared" si="50"/>
        <v>-2.7999999999996287E-3</v>
      </c>
      <c r="H820" s="12">
        <f t="shared" si="51"/>
        <v>1.0881799999999697</v>
      </c>
    </row>
    <row r="821" spans="1:8" ht="14.25" thickBot="1">
      <c r="A821" s="18">
        <v>81.8</v>
      </c>
      <c r="B821" s="27">
        <v>0.85836999999999997</v>
      </c>
      <c r="C821" s="11">
        <f t="shared" si="48"/>
        <v>-2.8999999999998775E-3</v>
      </c>
      <c r="D821" s="12">
        <f t="shared" si="49"/>
        <v>1.0955899999999898</v>
      </c>
      <c r="E821" s="18">
        <v>81.8</v>
      </c>
      <c r="F821" s="27">
        <v>0.85914000000000001</v>
      </c>
      <c r="G821" s="11">
        <f t="shared" si="50"/>
        <v>-2.8999999999998775E-3</v>
      </c>
      <c r="H821" s="12">
        <f t="shared" si="51"/>
        <v>1.09635999999999</v>
      </c>
    </row>
    <row r="822" spans="1:8" ht="14.25" thickBot="1">
      <c r="A822" s="18">
        <v>81.900000000000006</v>
      </c>
      <c r="B822" s="27">
        <v>0.85807999999999995</v>
      </c>
      <c r="C822" s="11">
        <f t="shared" si="48"/>
        <v>-2.7999999999996287E-3</v>
      </c>
      <c r="D822" s="12">
        <f t="shared" si="49"/>
        <v>1.0873999999999695</v>
      </c>
      <c r="E822" s="18">
        <v>81.900000000000006</v>
      </c>
      <c r="F822" s="27">
        <v>0.85885</v>
      </c>
      <c r="G822" s="11">
        <f t="shared" si="50"/>
        <v>-2.7999999999996287E-3</v>
      </c>
      <c r="H822" s="12">
        <f t="shared" si="51"/>
        <v>1.0881699999999697</v>
      </c>
    </row>
    <row r="823" spans="1:8" ht="14.25" thickBot="1">
      <c r="A823" s="9">
        <v>82</v>
      </c>
      <c r="B823" s="19">
        <v>0.85780000000000001</v>
      </c>
      <c r="C823" s="11">
        <f t="shared" si="48"/>
        <v>-2.9000000000002895E-3</v>
      </c>
      <c r="D823" s="12">
        <f t="shared" si="49"/>
        <v>1.0956000000000239</v>
      </c>
      <c r="E823" s="9">
        <v>82</v>
      </c>
      <c r="F823" s="19">
        <v>0.85857000000000006</v>
      </c>
      <c r="G823" s="11">
        <f t="shared" si="50"/>
        <v>-2.9000000000002895E-3</v>
      </c>
      <c r="H823" s="12">
        <f t="shared" si="51"/>
        <v>1.0963700000000238</v>
      </c>
    </row>
    <row r="824" spans="1:8" ht="14.25" thickBot="1">
      <c r="A824" s="18">
        <v>82.1</v>
      </c>
      <c r="B824" s="27">
        <v>0.85750999999999999</v>
      </c>
      <c r="C824" s="11">
        <f t="shared" si="48"/>
        <v>-2.7999999999992306E-3</v>
      </c>
      <c r="D824" s="12">
        <f t="shared" si="49"/>
        <v>1.0873899999999368</v>
      </c>
      <c r="E824" s="18">
        <v>82.1</v>
      </c>
      <c r="F824" s="27">
        <v>0.85828000000000004</v>
      </c>
      <c r="G824" s="11">
        <f t="shared" si="50"/>
        <v>-2.8000000000003408E-3</v>
      </c>
      <c r="H824" s="12">
        <f t="shared" si="51"/>
        <v>1.088160000000028</v>
      </c>
    </row>
    <row r="825" spans="1:8" ht="14.25" thickBot="1">
      <c r="A825" s="18">
        <v>82.2</v>
      </c>
      <c r="B825" s="27">
        <v>0.85723000000000005</v>
      </c>
      <c r="C825" s="11">
        <f t="shared" si="48"/>
        <v>-2.9000000000002895E-3</v>
      </c>
      <c r="D825" s="12">
        <f t="shared" si="49"/>
        <v>1.095610000000024</v>
      </c>
      <c r="E825" s="18">
        <v>82.2</v>
      </c>
      <c r="F825" s="27">
        <v>0.85799999999999998</v>
      </c>
      <c r="G825" s="11">
        <f t="shared" si="50"/>
        <v>-2.9000000000002895E-3</v>
      </c>
      <c r="H825" s="12">
        <f t="shared" si="51"/>
        <v>1.0963800000000239</v>
      </c>
    </row>
    <row r="826" spans="1:8" ht="14.25" thickBot="1">
      <c r="A826" s="18">
        <v>82.3</v>
      </c>
      <c r="B826" s="27">
        <v>0.85694000000000004</v>
      </c>
      <c r="C826" s="11">
        <f t="shared" si="48"/>
        <v>-2.8999999999998775E-3</v>
      </c>
      <c r="D826" s="12">
        <f t="shared" si="49"/>
        <v>1.09560999999999</v>
      </c>
      <c r="E826" s="18">
        <v>82.3</v>
      </c>
      <c r="F826" s="27">
        <v>0.85770999999999997</v>
      </c>
      <c r="G826" s="11">
        <f t="shared" si="50"/>
        <v>-2.8999999999998775E-3</v>
      </c>
      <c r="H826" s="12">
        <f t="shared" si="51"/>
        <v>1.0963799999999897</v>
      </c>
    </row>
    <row r="827" spans="1:8" ht="14.25" thickBot="1">
      <c r="A827" s="18">
        <v>82.4</v>
      </c>
      <c r="B827" s="27">
        <v>0.85665000000000002</v>
      </c>
      <c r="C827" s="11">
        <f t="shared" si="48"/>
        <v>-2.800000000000739E-3</v>
      </c>
      <c r="D827" s="12">
        <f t="shared" si="49"/>
        <v>1.087370000000061</v>
      </c>
      <c r="E827" s="18">
        <v>82.4</v>
      </c>
      <c r="F827" s="27">
        <v>0.85741999999999996</v>
      </c>
      <c r="G827" s="11">
        <f t="shared" si="50"/>
        <v>-2.7999999999996287E-3</v>
      </c>
      <c r="H827" s="12">
        <f t="shared" si="51"/>
        <v>1.0881399999999695</v>
      </c>
    </row>
    <row r="828" spans="1:8" ht="14.25" thickBot="1">
      <c r="A828" s="18">
        <v>82.5</v>
      </c>
      <c r="B828" s="27">
        <v>0.85636999999999996</v>
      </c>
      <c r="C828" s="11">
        <f t="shared" si="48"/>
        <v>-2.9000000000002895E-3</v>
      </c>
      <c r="D828" s="12">
        <f t="shared" si="49"/>
        <v>1.0956200000000238</v>
      </c>
      <c r="E828" s="18">
        <v>82.5</v>
      </c>
      <c r="F828" s="27">
        <v>0.85714000000000001</v>
      </c>
      <c r="G828" s="11">
        <f t="shared" si="50"/>
        <v>-2.9000000000002895E-3</v>
      </c>
      <c r="H828" s="12">
        <f t="shared" si="51"/>
        <v>1.096390000000024</v>
      </c>
    </row>
    <row r="829" spans="1:8" ht="14.25" thickBot="1">
      <c r="A829" s="18">
        <v>82.6</v>
      </c>
      <c r="B829" s="27">
        <v>0.85607999999999995</v>
      </c>
      <c r="C829" s="11">
        <f t="shared" si="48"/>
        <v>-2.8999999999987673E-3</v>
      </c>
      <c r="D829" s="12">
        <f t="shared" si="49"/>
        <v>1.0956199999998981</v>
      </c>
      <c r="E829" s="18">
        <v>82.6</v>
      </c>
      <c r="F829" s="27">
        <v>0.85685</v>
      </c>
      <c r="G829" s="11">
        <f t="shared" si="50"/>
        <v>-2.8999999999998775E-3</v>
      </c>
      <c r="H829" s="12">
        <f t="shared" si="51"/>
        <v>1.09638999999999</v>
      </c>
    </row>
    <row r="830" spans="1:8" ht="14.25" thickBot="1">
      <c r="A830" s="18">
        <v>82.7</v>
      </c>
      <c r="B830" s="27">
        <v>0.85579000000000005</v>
      </c>
      <c r="C830" s="11">
        <f t="shared" si="48"/>
        <v>-2.800000000000739E-3</v>
      </c>
      <c r="D830" s="12">
        <f t="shared" si="49"/>
        <v>1.0873500000000611</v>
      </c>
      <c r="E830" s="18">
        <v>82.7</v>
      </c>
      <c r="F830" s="27">
        <v>0.85655999999999999</v>
      </c>
      <c r="G830" s="11">
        <f t="shared" si="50"/>
        <v>-2.7999999999996287E-3</v>
      </c>
      <c r="H830" s="12">
        <f t="shared" si="51"/>
        <v>1.0881199999999693</v>
      </c>
    </row>
    <row r="831" spans="1:8" ht="14.25" thickBot="1">
      <c r="A831" s="18">
        <v>82.8</v>
      </c>
      <c r="B831" s="27">
        <v>0.85550999999999999</v>
      </c>
      <c r="C831" s="11">
        <f t="shared" si="48"/>
        <v>-2.8999999999998775E-3</v>
      </c>
      <c r="D831" s="12">
        <f t="shared" si="49"/>
        <v>1.0956299999999897</v>
      </c>
      <c r="E831" s="18">
        <v>82.8</v>
      </c>
      <c r="F831" s="27">
        <v>0.85628000000000004</v>
      </c>
      <c r="G831" s="11">
        <f t="shared" si="50"/>
        <v>-2.8999999999998775E-3</v>
      </c>
      <c r="H831" s="12">
        <f t="shared" si="51"/>
        <v>1.0963999999999898</v>
      </c>
    </row>
    <row r="832" spans="1:8" ht="14.25" thickBot="1">
      <c r="A832" s="18">
        <v>82.9</v>
      </c>
      <c r="B832" s="27">
        <v>0.85521999999999998</v>
      </c>
      <c r="C832" s="11">
        <f t="shared" si="48"/>
        <v>-2.9000000000002895E-3</v>
      </c>
      <c r="D832" s="12">
        <f t="shared" si="49"/>
        <v>1.0956300000000241</v>
      </c>
      <c r="E832" s="18">
        <v>82.9</v>
      </c>
      <c r="F832" s="27">
        <v>0.85599000000000003</v>
      </c>
      <c r="G832" s="11">
        <f t="shared" si="50"/>
        <v>-2.9000000000002895E-3</v>
      </c>
      <c r="H832" s="12">
        <f t="shared" si="51"/>
        <v>1.096400000000024</v>
      </c>
    </row>
    <row r="833" spans="1:8" ht="14.25" thickBot="1">
      <c r="A833" s="9">
        <v>83</v>
      </c>
      <c r="B833" s="19">
        <v>0.85492999999999997</v>
      </c>
      <c r="C833" s="11">
        <f t="shared" si="48"/>
        <v>-2.9000000000002895E-3</v>
      </c>
      <c r="D833" s="12">
        <f t="shared" si="49"/>
        <v>1.0956300000000239</v>
      </c>
      <c r="E833" s="9">
        <v>83</v>
      </c>
      <c r="F833" s="19">
        <v>0.85570000000000002</v>
      </c>
      <c r="G833" s="11">
        <f t="shared" si="50"/>
        <v>-2.9000000000002895E-3</v>
      </c>
      <c r="H833" s="12">
        <f t="shared" si="51"/>
        <v>1.096400000000024</v>
      </c>
    </row>
    <row r="834" spans="1:8" ht="14.25" thickBot="1">
      <c r="A834" s="18">
        <v>83.1</v>
      </c>
      <c r="B834" s="27">
        <v>0.85463999999999996</v>
      </c>
      <c r="C834" s="11">
        <f t="shared" si="48"/>
        <v>-2.8999999999987673E-3</v>
      </c>
      <c r="D834" s="12">
        <f t="shared" si="49"/>
        <v>1.0956299999998975</v>
      </c>
      <c r="E834" s="18">
        <v>83.1</v>
      </c>
      <c r="F834" s="27">
        <v>0.85541</v>
      </c>
      <c r="G834" s="11">
        <f t="shared" si="50"/>
        <v>-2.8999999999998775E-3</v>
      </c>
      <c r="H834" s="12">
        <f t="shared" si="51"/>
        <v>1.0963999999999898</v>
      </c>
    </row>
    <row r="835" spans="1:8" ht="14.25" thickBot="1">
      <c r="A835" s="18">
        <v>83.2</v>
      </c>
      <c r="B835" s="27">
        <v>0.85435000000000005</v>
      </c>
      <c r="C835" s="11">
        <f t="shared" si="48"/>
        <v>-2.9000000000002895E-3</v>
      </c>
      <c r="D835" s="12">
        <f t="shared" si="49"/>
        <v>1.0956300000000243</v>
      </c>
      <c r="E835" s="18">
        <v>83.2</v>
      </c>
      <c r="F835" s="27">
        <v>0.85511999999999999</v>
      </c>
      <c r="G835" s="11">
        <f t="shared" si="50"/>
        <v>-2.9000000000002895E-3</v>
      </c>
      <c r="H835" s="12">
        <f t="shared" si="51"/>
        <v>1.096400000000024</v>
      </c>
    </row>
    <row r="836" spans="1:8" ht="14.25" thickBot="1">
      <c r="A836" s="18">
        <v>83.3</v>
      </c>
      <c r="B836" s="27">
        <v>0.85406000000000004</v>
      </c>
      <c r="C836" s="11">
        <f t="shared" ref="C836:C899" si="52">SLOPE(B836:B837,A836:A837)</f>
        <v>-2.8999999999998775E-3</v>
      </c>
      <c r="D836" s="12">
        <f t="shared" ref="D836:D899" si="53">INTERCEPT(B836:B837,A836:A837)</f>
        <v>1.0956299999999897</v>
      </c>
      <c r="E836" s="18">
        <v>83.3</v>
      </c>
      <c r="F836" s="27">
        <v>0.85482999999999998</v>
      </c>
      <c r="G836" s="11">
        <f t="shared" ref="G836:G899" si="54">SLOPE(F836:F837,E836:E837)</f>
        <v>-2.8999999999998775E-3</v>
      </c>
      <c r="H836" s="12">
        <f t="shared" ref="H836:H899" si="55">INTERCEPT(F836:F837,E836:E837)</f>
        <v>1.0963999999999896</v>
      </c>
    </row>
    <row r="837" spans="1:8" ht="14.25" thickBot="1">
      <c r="A837" s="18">
        <v>83.4</v>
      </c>
      <c r="B837" s="27">
        <v>0.85377000000000003</v>
      </c>
      <c r="C837" s="11">
        <f t="shared" si="52"/>
        <v>-2.9000000000002895E-3</v>
      </c>
      <c r="D837" s="12">
        <f t="shared" si="53"/>
        <v>1.0956300000000243</v>
      </c>
      <c r="E837" s="18">
        <v>83.4</v>
      </c>
      <c r="F837" s="27">
        <v>0.85453999999999997</v>
      </c>
      <c r="G837" s="11">
        <f t="shared" si="54"/>
        <v>-2.9000000000002895E-3</v>
      </c>
      <c r="H837" s="12">
        <f t="shared" si="55"/>
        <v>1.0964000000000242</v>
      </c>
    </row>
    <row r="838" spans="1:8" ht="14.25" thickBot="1">
      <c r="A838" s="18">
        <v>83.5</v>
      </c>
      <c r="B838" s="27">
        <v>0.85348000000000002</v>
      </c>
      <c r="C838" s="11">
        <f t="shared" si="52"/>
        <v>-2.9000000000002895E-3</v>
      </c>
      <c r="D838" s="12">
        <f t="shared" si="53"/>
        <v>1.0956300000000241</v>
      </c>
      <c r="E838" s="18">
        <v>83.5</v>
      </c>
      <c r="F838" s="27">
        <v>0.85424999999999995</v>
      </c>
      <c r="G838" s="11">
        <f t="shared" si="54"/>
        <v>-2.8999999999991793E-3</v>
      </c>
      <c r="H838" s="12">
        <f t="shared" si="55"/>
        <v>1.0963999999999314</v>
      </c>
    </row>
    <row r="839" spans="1:8" ht="14.25" thickBot="1">
      <c r="A839" s="18">
        <v>83.6</v>
      </c>
      <c r="B839" s="27">
        <v>0.85319</v>
      </c>
      <c r="C839" s="11">
        <f t="shared" si="52"/>
        <v>-2.8999999999998775E-3</v>
      </c>
      <c r="D839" s="12">
        <f t="shared" si="53"/>
        <v>1.0956299999999899</v>
      </c>
      <c r="E839" s="18">
        <v>83.6</v>
      </c>
      <c r="F839" s="27">
        <v>0.85396000000000005</v>
      </c>
      <c r="G839" s="11">
        <f t="shared" si="54"/>
        <v>-2.8999999999998775E-3</v>
      </c>
      <c r="H839" s="12">
        <f t="shared" si="55"/>
        <v>1.0963999999999898</v>
      </c>
    </row>
    <row r="840" spans="1:8" ht="14.25" thickBot="1">
      <c r="A840" s="18">
        <v>83.7</v>
      </c>
      <c r="B840" s="27">
        <v>0.85289999999999999</v>
      </c>
      <c r="C840" s="11">
        <f t="shared" si="52"/>
        <v>-2.9999999999998396E-3</v>
      </c>
      <c r="D840" s="12">
        <f t="shared" si="53"/>
        <v>1.1039999999999865</v>
      </c>
      <c r="E840" s="18">
        <v>83.7</v>
      </c>
      <c r="F840" s="27">
        <v>0.85367000000000004</v>
      </c>
      <c r="G840" s="11">
        <f t="shared" si="54"/>
        <v>-3.0000000000009503E-3</v>
      </c>
      <c r="H840" s="12">
        <f t="shared" si="55"/>
        <v>1.1047700000000797</v>
      </c>
    </row>
    <row r="841" spans="1:8" ht="14.25" thickBot="1">
      <c r="A841" s="18">
        <v>83.8</v>
      </c>
      <c r="B841" s="27">
        <v>0.85260000000000002</v>
      </c>
      <c r="C841" s="11">
        <f t="shared" si="52"/>
        <v>-2.8999999999998775E-3</v>
      </c>
      <c r="D841" s="12">
        <f t="shared" si="53"/>
        <v>1.0956199999999896</v>
      </c>
      <c r="E841" s="18">
        <v>83.8</v>
      </c>
      <c r="F841" s="27">
        <v>0.85336999999999996</v>
      </c>
      <c r="G841" s="11">
        <f t="shared" si="54"/>
        <v>-2.8999999999998775E-3</v>
      </c>
      <c r="H841" s="12">
        <f t="shared" si="55"/>
        <v>1.0963899999999895</v>
      </c>
    </row>
    <row r="842" spans="1:8" ht="14.25" thickBot="1">
      <c r="A842" s="18">
        <v>83.9</v>
      </c>
      <c r="B842" s="27">
        <v>0.85231000000000001</v>
      </c>
      <c r="C842" s="11">
        <f t="shared" si="52"/>
        <v>-2.9000000000002895E-3</v>
      </c>
      <c r="D842" s="12">
        <f t="shared" si="53"/>
        <v>1.0956200000000245</v>
      </c>
      <c r="E842" s="18">
        <v>83.9</v>
      </c>
      <c r="F842" s="27">
        <v>0.85307999999999995</v>
      </c>
      <c r="G842" s="11">
        <f t="shared" si="54"/>
        <v>-2.8999999999991793E-3</v>
      </c>
      <c r="H842" s="12">
        <f t="shared" si="55"/>
        <v>1.0963899999999311</v>
      </c>
    </row>
    <row r="843" spans="1:8" ht="14.25" thickBot="1">
      <c r="A843" s="9">
        <v>84</v>
      </c>
      <c r="B843" s="19">
        <v>0.85202</v>
      </c>
      <c r="C843" s="11">
        <f t="shared" si="52"/>
        <v>-2.9000000000002895E-3</v>
      </c>
      <c r="D843" s="12">
        <f t="shared" si="53"/>
        <v>1.0956200000000242</v>
      </c>
      <c r="E843" s="9">
        <v>84</v>
      </c>
      <c r="F843" s="19">
        <v>0.85279000000000005</v>
      </c>
      <c r="G843" s="11">
        <f t="shared" si="54"/>
        <v>-2.9000000000002895E-3</v>
      </c>
      <c r="H843" s="12">
        <f t="shared" si="55"/>
        <v>1.0963900000000244</v>
      </c>
    </row>
    <row r="844" spans="1:8" ht="14.25" thickBot="1">
      <c r="A844" s="18">
        <v>84.1</v>
      </c>
      <c r="B844" s="27">
        <v>0.85172999999999999</v>
      </c>
      <c r="C844" s="11">
        <f t="shared" si="52"/>
        <v>-2.9999999999994137E-3</v>
      </c>
      <c r="D844" s="12">
        <f t="shared" si="53"/>
        <v>1.1040299999999506</v>
      </c>
      <c r="E844" s="18">
        <v>84.1</v>
      </c>
      <c r="F844" s="27">
        <v>0.85250000000000004</v>
      </c>
      <c r="G844" s="11">
        <f t="shared" si="54"/>
        <v>-3.0000000000005239E-3</v>
      </c>
      <c r="H844" s="12">
        <f t="shared" si="55"/>
        <v>1.104800000000044</v>
      </c>
    </row>
    <row r="845" spans="1:8" ht="14.25" thickBot="1">
      <c r="A845" s="18">
        <v>84.2</v>
      </c>
      <c r="B845" s="27">
        <v>0.85143000000000002</v>
      </c>
      <c r="C845" s="11">
        <f t="shared" si="52"/>
        <v>-2.9000000000002895E-3</v>
      </c>
      <c r="D845" s="12">
        <f t="shared" si="53"/>
        <v>1.0956100000000244</v>
      </c>
      <c r="E845" s="18">
        <v>84.2</v>
      </c>
      <c r="F845" s="27">
        <v>0.85219999999999996</v>
      </c>
      <c r="G845" s="11">
        <f t="shared" si="54"/>
        <v>-2.9000000000002895E-3</v>
      </c>
      <c r="H845" s="12">
        <f t="shared" si="55"/>
        <v>1.0963800000000243</v>
      </c>
    </row>
    <row r="846" spans="1:8" ht="14.25" thickBot="1">
      <c r="A846" s="18">
        <v>84.3</v>
      </c>
      <c r="B846" s="27">
        <v>0.85114000000000001</v>
      </c>
      <c r="C846" s="11">
        <f t="shared" si="52"/>
        <v>-2.9999999999994137E-3</v>
      </c>
      <c r="D846" s="12">
        <f t="shared" si="53"/>
        <v>1.1040399999999506</v>
      </c>
      <c r="E846" s="18">
        <v>84.3</v>
      </c>
      <c r="F846" s="27">
        <v>0.85190999999999995</v>
      </c>
      <c r="G846" s="11">
        <f t="shared" si="54"/>
        <v>-2.9999999999994137E-3</v>
      </c>
      <c r="H846" s="12">
        <f t="shared" si="55"/>
        <v>1.1048099999999506</v>
      </c>
    </row>
    <row r="847" spans="1:8" ht="14.25" thickBot="1">
      <c r="A847" s="18">
        <v>84.4</v>
      </c>
      <c r="B847" s="27">
        <v>0.85084000000000004</v>
      </c>
      <c r="C847" s="11">
        <f t="shared" si="52"/>
        <v>-2.9000000000002895E-3</v>
      </c>
      <c r="D847" s="12">
        <f t="shared" si="53"/>
        <v>1.0956000000000246</v>
      </c>
      <c r="E847" s="18">
        <v>84.4</v>
      </c>
      <c r="F847" s="27">
        <v>0.85160999999999998</v>
      </c>
      <c r="G847" s="11">
        <f t="shared" si="54"/>
        <v>-2.9000000000002895E-3</v>
      </c>
      <c r="H847" s="12">
        <f t="shared" si="55"/>
        <v>1.0963700000000243</v>
      </c>
    </row>
    <row r="848" spans="1:8" ht="14.25" thickBot="1">
      <c r="A848" s="18">
        <v>84.5</v>
      </c>
      <c r="B848" s="27">
        <v>0.85055000000000003</v>
      </c>
      <c r="C848" s="11">
        <f t="shared" si="52"/>
        <v>-3.0000000000009503E-3</v>
      </c>
      <c r="D848" s="12">
        <f t="shared" si="53"/>
        <v>1.1040500000000804</v>
      </c>
      <c r="E848" s="18">
        <v>84.5</v>
      </c>
      <c r="F848" s="27">
        <v>0.85131999999999997</v>
      </c>
      <c r="G848" s="11">
        <f t="shared" si="54"/>
        <v>-2.9999999999998396E-3</v>
      </c>
      <c r="H848" s="12">
        <f t="shared" si="55"/>
        <v>1.1048199999999864</v>
      </c>
    </row>
    <row r="849" spans="1:8" ht="14.25" thickBot="1">
      <c r="A849" s="18">
        <v>84.6</v>
      </c>
      <c r="B849" s="27">
        <v>0.85024999999999995</v>
      </c>
      <c r="C849" s="11">
        <f t="shared" si="52"/>
        <v>-2.8999999999987673E-3</v>
      </c>
      <c r="D849" s="12">
        <f t="shared" si="53"/>
        <v>1.0955899999998957</v>
      </c>
      <c r="E849" s="18">
        <v>84.6</v>
      </c>
      <c r="F849" s="27">
        <v>0.85102</v>
      </c>
      <c r="G849" s="11">
        <f t="shared" si="54"/>
        <v>-2.8999999999998775E-3</v>
      </c>
      <c r="H849" s="12">
        <f t="shared" si="55"/>
        <v>1.0963599999999898</v>
      </c>
    </row>
    <row r="850" spans="1:8" ht="14.25" thickBot="1">
      <c r="A850" s="18">
        <v>84.7</v>
      </c>
      <c r="B850" s="27">
        <v>0.84996000000000005</v>
      </c>
      <c r="C850" s="11">
        <f t="shared" si="52"/>
        <v>-3.0000000000009503E-3</v>
      </c>
      <c r="D850" s="12">
        <f t="shared" si="53"/>
        <v>1.1040600000000804</v>
      </c>
      <c r="E850" s="18">
        <v>84.7</v>
      </c>
      <c r="F850" s="27">
        <v>0.85072999999999999</v>
      </c>
      <c r="G850" s="11">
        <f t="shared" si="54"/>
        <v>-2.9999999999998396E-3</v>
      </c>
      <c r="H850" s="12">
        <f t="shared" si="55"/>
        <v>1.1048299999999864</v>
      </c>
    </row>
    <row r="851" spans="1:8" ht="14.25" thickBot="1">
      <c r="A851" s="18">
        <v>84.8</v>
      </c>
      <c r="B851" s="27">
        <v>0.84965999999999997</v>
      </c>
      <c r="C851" s="11">
        <f t="shared" si="52"/>
        <v>-2.9999999999994137E-3</v>
      </c>
      <c r="D851" s="12">
        <f t="shared" si="53"/>
        <v>1.1040599999999503</v>
      </c>
      <c r="E851" s="18">
        <v>84.8</v>
      </c>
      <c r="F851" s="27">
        <v>0.85043000000000002</v>
      </c>
      <c r="G851" s="11">
        <f t="shared" si="54"/>
        <v>-2.9999999999994137E-3</v>
      </c>
      <c r="H851" s="12">
        <f t="shared" si="55"/>
        <v>1.1048299999999502</v>
      </c>
    </row>
    <row r="852" spans="1:8" ht="14.25" thickBot="1">
      <c r="A852" s="18">
        <v>84.9</v>
      </c>
      <c r="B852" s="27">
        <v>0.84936</v>
      </c>
      <c r="C852" s="11">
        <f t="shared" si="52"/>
        <v>-2.9999999999998396E-3</v>
      </c>
      <c r="D852" s="12">
        <f t="shared" si="53"/>
        <v>1.1040599999999863</v>
      </c>
      <c r="E852" s="18">
        <v>84.9</v>
      </c>
      <c r="F852" s="27">
        <v>0.85013000000000005</v>
      </c>
      <c r="G852" s="11">
        <f t="shared" si="54"/>
        <v>-3.1000000000005008E-3</v>
      </c>
      <c r="H852" s="12">
        <f t="shared" si="55"/>
        <v>1.1133200000000425</v>
      </c>
    </row>
    <row r="853" spans="1:8" ht="14.25" thickBot="1">
      <c r="A853" s="9">
        <v>85</v>
      </c>
      <c r="B853" s="19">
        <v>0.84906000000000004</v>
      </c>
      <c r="C853" s="11">
        <f t="shared" si="52"/>
        <v>-2.9000000000002895E-3</v>
      </c>
      <c r="D853" s="12">
        <f t="shared" si="53"/>
        <v>1.0955600000000247</v>
      </c>
      <c r="E853" s="9">
        <v>85</v>
      </c>
      <c r="F853" s="19">
        <v>0.84982000000000002</v>
      </c>
      <c r="G853" s="11">
        <f t="shared" si="54"/>
        <v>-2.9000000000002895E-3</v>
      </c>
      <c r="H853" s="12">
        <f t="shared" si="55"/>
        <v>1.0963200000000246</v>
      </c>
    </row>
    <row r="854" spans="1:8" ht="14.25" thickBot="1">
      <c r="A854" s="18">
        <v>85.1</v>
      </c>
      <c r="B854" s="27">
        <v>0.84877000000000002</v>
      </c>
      <c r="C854" s="11">
        <f t="shared" si="52"/>
        <v>-3.0000000000005239E-3</v>
      </c>
      <c r="D854" s="12">
        <f t="shared" si="53"/>
        <v>1.1040700000000445</v>
      </c>
      <c r="E854" s="18">
        <v>85.1</v>
      </c>
      <c r="F854" s="27">
        <v>0.84953000000000001</v>
      </c>
      <c r="G854" s="11">
        <f t="shared" si="54"/>
        <v>-2.9999999999994137E-3</v>
      </c>
      <c r="H854" s="12">
        <f t="shared" si="55"/>
        <v>1.10482999999995</v>
      </c>
    </row>
    <row r="855" spans="1:8" ht="14.25" thickBot="1">
      <c r="A855" s="18">
        <v>85.2</v>
      </c>
      <c r="B855" s="27">
        <v>0.84846999999999995</v>
      </c>
      <c r="C855" s="11">
        <f t="shared" si="52"/>
        <v>-2.9999999999998396E-3</v>
      </c>
      <c r="D855" s="12">
        <f t="shared" si="53"/>
        <v>1.1040699999999863</v>
      </c>
      <c r="E855" s="18">
        <v>85.2</v>
      </c>
      <c r="F855" s="27">
        <v>0.84923000000000004</v>
      </c>
      <c r="G855" s="11">
        <f t="shared" si="54"/>
        <v>-3.0000000000009503E-3</v>
      </c>
      <c r="H855" s="12">
        <f t="shared" si="55"/>
        <v>1.104830000000081</v>
      </c>
    </row>
    <row r="856" spans="1:8" ht="14.25" thickBot="1">
      <c r="A856" s="18">
        <v>85.3</v>
      </c>
      <c r="B856" s="27">
        <v>0.84816999999999998</v>
      </c>
      <c r="C856" s="11">
        <f t="shared" si="52"/>
        <v>-2.9999999999994137E-3</v>
      </c>
      <c r="D856" s="12">
        <f t="shared" si="53"/>
        <v>1.1040699999999499</v>
      </c>
      <c r="E856" s="18">
        <v>85.3</v>
      </c>
      <c r="F856" s="27">
        <v>0.84892999999999996</v>
      </c>
      <c r="G856" s="11">
        <f t="shared" si="54"/>
        <v>-2.9999999999994137E-3</v>
      </c>
      <c r="H856" s="12">
        <f t="shared" si="55"/>
        <v>1.10482999999995</v>
      </c>
    </row>
    <row r="857" spans="1:8" ht="14.25" thickBot="1">
      <c r="A857" s="18">
        <v>85.4</v>
      </c>
      <c r="B857" s="27">
        <v>0.84787000000000001</v>
      </c>
      <c r="C857" s="11">
        <f t="shared" si="52"/>
        <v>-2.9999999999998396E-3</v>
      </c>
      <c r="D857" s="12">
        <f t="shared" si="53"/>
        <v>1.1040699999999863</v>
      </c>
      <c r="E857" s="18">
        <v>85.4</v>
      </c>
      <c r="F857" s="27">
        <v>0.84863</v>
      </c>
      <c r="G857" s="11">
        <f t="shared" si="54"/>
        <v>-2.9999999999998396E-3</v>
      </c>
      <c r="H857" s="12">
        <f t="shared" si="55"/>
        <v>1.1048299999999864</v>
      </c>
    </row>
    <row r="858" spans="1:8" ht="14.25" thickBot="1">
      <c r="A858" s="18">
        <v>85.5</v>
      </c>
      <c r="B858" s="27">
        <v>0.84757000000000005</v>
      </c>
      <c r="C858" s="11">
        <f t="shared" si="52"/>
        <v>-3.0000000000009503E-3</v>
      </c>
      <c r="D858" s="12">
        <f t="shared" si="53"/>
        <v>1.1040700000000814</v>
      </c>
      <c r="E858" s="18">
        <v>85.5</v>
      </c>
      <c r="F858" s="27">
        <v>0.84833000000000003</v>
      </c>
      <c r="G858" s="11">
        <f t="shared" si="54"/>
        <v>-3.0000000000009503E-3</v>
      </c>
      <c r="H858" s="12">
        <f t="shared" si="55"/>
        <v>1.1048300000000812</v>
      </c>
    </row>
    <row r="859" spans="1:8" ht="14.25" thickBot="1">
      <c r="A859" s="18">
        <v>85.6</v>
      </c>
      <c r="B859" s="27">
        <v>0.84726999999999997</v>
      </c>
      <c r="C859" s="11">
        <f t="shared" si="52"/>
        <v>-2.9999999999994137E-3</v>
      </c>
      <c r="D859" s="12">
        <f t="shared" si="53"/>
        <v>1.1040699999999499</v>
      </c>
      <c r="E859" s="18">
        <v>85.6</v>
      </c>
      <c r="F859" s="27">
        <v>0.84802999999999995</v>
      </c>
      <c r="G859" s="11">
        <f t="shared" si="54"/>
        <v>-2.9999999999994137E-3</v>
      </c>
      <c r="H859" s="12">
        <f t="shared" si="55"/>
        <v>1.1048299999999498</v>
      </c>
    </row>
    <row r="860" spans="1:8" ht="14.25" thickBot="1">
      <c r="A860" s="18">
        <v>85.7</v>
      </c>
      <c r="B860" s="27">
        <v>0.84697</v>
      </c>
      <c r="C860" s="11">
        <f t="shared" si="52"/>
        <v>-3.1000000000005008E-3</v>
      </c>
      <c r="D860" s="12">
        <f t="shared" si="53"/>
        <v>1.1126400000000429</v>
      </c>
      <c r="E860" s="18">
        <v>85.7</v>
      </c>
      <c r="F860" s="27">
        <v>0.84772999999999998</v>
      </c>
      <c r="G860" s="11">
        <f t="shared" si="54"/>
        <v>-3.1000000000005008E-3</v>
      </c>
      <c r="H860" s="12">
        <f t="shared" si="55"/>
        <v>1.113400000000043</v>
      </c>
    </row>
    <row r="861" spans="1:8" ht="14.25" thickBot="1">
      <c r="A861" s="18">
        <v>85.8</v>
      </c>
      <c r="B861" s="27">
        <v>0.84665999999999997</v>
      </c>
      <c r="C861" s="11">
        <f t="shared" si="52"/>
        <v>-2.9999999999994137E-3</v>
      </c>
      <c r="D861" s="12">
        <f t="shared" si="53"/>
        <v>1.1040599999999496</v>
      </c>
      <c r="E861" s="18">
        <v>85.8</v>
      </c>
      <c r="F861" s="27">
        <v>0.84741999999999995</v>
      </c>
      <c r="G861" s="11">
        <f t="shared" si="54"/>
        <v>-2.9999999999994137E-3</v>
      </c>
      <c r="H861" s="12">
        <f t="shared" si="55"/>
        <v>1.1048199999999495</v>
      </c>
    </row>
    <row r="862" spans="1:8" ht="14.25" thickBot="1">
      <c r="A862" s="18">
        <v>85.9</v>
      </c>
      <c r="B862" s="27">
        <v>0.84636</v>
      </c>
      <c r="C862" s="11">
        <f t="shared" si="52"/>
        <v>-2.9999999999998396E-3</v>
      </c>
      <c r="D862" s="12">
        <f t="shared" si="53"/>
        <v>1.1040599999999863</v>
      </c>
      <c r="E862" s="18">
        <v>85.9</v>
      </c>
      <c r="F862" s="27">
        <v>0.84711999999999998</v>
      </c>
      <c r="G862" s="11">
        <f t="shared" si="54"/>
        <v>-2.9999999999998396E-3</v>
      </c>
      <c r="H862" s="12">
        <f t="shared" si="55"/>
        <v>1.1048199999999861</v>
      </c>
    </row>
    <row r="863" spans="1:8" ht="14.25" thickBot="1">
      <c r="A863" s="9">
        <v>86</v>
      </c>
      <c r="B863" s="19">
        <v>0.84606000000000003</v>
      </c>
      <c r="C863" s="11">
        <f t="shared" si="52"/>
        <v>-3.0000000000009503E-3</v>
      </c>
      <c r="D863" s="12">
        <f t="shared" si="53"/>
        <v>1.1040600000000818</v>
      </c>
      <c r="E863" s="9">
        <v>86</v>
      </c>
      <c r="F863" s="19">
        <v>0.84682000000000002</v>
      </c>
      <c r="G863" s="11">
        <f t="shared" si="54"/>
        <v>-2.9999999999998396E-3</v>
      </c>
      <c r="H863" s="12">
        <f t="shared" si="55"/>
        <v>1.1048199999999861</v>
      </c>
    </row>
    <row r="864" spans="1:8" ht="14.25" thickBot="1">
      <c r="A864" s="18">
        <v>86.1</v>
      </c>
      <c r="B864" s="27">
        <v>0.84575999999999996</v>
      </c>
      <c r="C864" s="11">
        <f t="shared" si="52"/>
        <v>-3.0999999999989504E-3</v>
      </c>
      <c r="D864" s="12">
        <f t="shared" si="53"/>
        <v>1.1126699999999095</v>
      </c>
      <c r="E864" s="18">
        <v>86.1</v>
      </c>
      <c r="F864" s="27">
        <v>0.84652000000000005</v>
      </c>
      <c r="G864" s="11">
        <f t="shared" si="54"/>
        <v>-3.1000000000000602E-3</v>
      </c>
      <c r="H864" s="12">
        <f t="shared" si="55"/>
        <v>1.1134300000000052</v>
      </c>
    </row>
    <row r="865" spans="1:8" ht="14.25" thickBot="1">
      <c r="A865" s="18">
        <v>86.2</v>
      </c>
      <c r="B865" s="27">
        <v>0.84545000000000003</v>
      </c>
      <c r="C865" s="11">
        <f t="shared" si="52"/>
        <v>-3.0000000000009503E-3</v>
      </c>
      <c r="D865" s="12">
        <f t="shared" si="53"/>
        <v>1.1040500000000819</v>
      </c>
      <c r="E865" s="18">
        <v>86.2</v>
      </c>
      <c r="F865" s="27">
        <v>0.84621000000000002</v>
      </c>
      <c r="G865" s="11">
        <f t="shared" si="54"/>
        <v>-2.9999999999998396E-3</v>
      </c>
      <c r="H865" s="12">
        <f t="shared" si="55"/>
        <v>1.1048099999999863</v>
      </c>
    </row>
    <row r="866" spans="1:8" ht="14.25" thickBot="1">
      <c r="A866" s="18">
        <v>86.3</v>
      </c>
      <c r="B866" s="27">
        <v>0.84514999999999996</v>
      </c>
      <c r="C866" s="11">
        <f t="shared" si="52"/>
        <v>-3.0999999999989504E-3</v>
      </c>
      <c r="D866" s="12">
        <f t="shared" si="53"/>
        <v>1.1126799999999093</v>
      </c>
      <c r="E866" s="18">
        <v>86.3</v>
      </c>
      <c r="F866" s="27">
        <v>0.84591000000000005</v>
      </c>
      <c r="G866" s="11">
        <f t="shared" si="54"/>
        <v>-3.1000000000000602E-3</v>
      </c>
      <c r="H866" s="12">
        <f t="shared" si="55"/>
        <v>1.1134400000000051</v>
      </c>
    </row>
    <row r="867" spans="1:8" ht="14.25" thickBot="1">
      <c r="A867" s="18">
        <v>86.4</v>
      </c>
      <c r="B867" s="27">
        <v>0.84484000000000004</v>
      </c>
      <c r="C867" s="11">
        <f t="shared" si="52"/>
        <v>-3.0000000000009503E-3</v>
      </c>
      <c r="D867" s="12">
        <f t="shared" si="53"/>
        <v>1.1040400000000821</v>
      </c>
      <c r="E867" s="18">
        <v>86.4</v>
      </c>
      <c r="F867" s="27">
        <v>0.84560000000000002</v>
      </c>
      <c r="G867" s="11">
        <f t="shared" si="54"/>
        <v>-2.9999999999998396E-3</v>
      </c>
      <c r="H867" s="12">
        <f t="shared" si="55"/>
        <v>1.1047999999999862</v>
      </c>
    </row>
    <row r="868" spans="1:8" ht="14.25" thickBot="1">
      <c r="A868" s="18">
        <v>86.5</v>
      </c>
      <c r="B868" s="27">
        <v>0.84453999999999996</v>
      </c>
      <c r="C868" s="11">
        <f t="shared" si="52"/>
        <v>-3.0999999999993906E-3</v>
      </c>
      <c r="D868" s="12">
        <f t="shared" si="53"/>
        <v>1.1126899999999471</v>
      </c>
      <c r="E868" s="18">
        <v>86.5</v>
      </c>
      <c r="F868" s="27">
        <v>0.84530000000000005</v>
      </c>
      <c r="G868" s="11">
        <f t="shared" si="54"/>
        <v>-3.1000000000005008E-3</v>
      </c>
      <c r="H868" s="12">
        <f t="shared" si="55"/>
        <v>1.1134500000000433</v>
      </c>
    </row>
    <row r="869" spans="1:8" ht="14.25" thickBot="1">
      <c r="A869" s="18">
        <v>86.6</v>
      </c>
      <c r="B869" s="27">
        <v>0.84423000000000004</v>
      </c>
      <c r="C869" s="11">
        <f t="shared" si="52"/>
        <v>-3.1000000000000602E-3</v>
      </c>
      <c r="D869" s="12">
        <f t="shared" si="53"/>
        <v>1.1126900000000053</v>
      </c>
      <c r="E869" s="18">
        <v>86.6</v>
      </c>
      <c r="F869" s="27">
        <v>0.84499000000000002</v>
      </c>
      <c r="G869" s="11">
        <f t="shared" si="54"/>
        <v>-3.1000000000000602E-3</v>
      </c>
      <c r="H869" s="12">
        <f t="shared" si="55"/>
        <v>1.1134500000000052</v>
      </c>
    </row>
    <row r="870" spans="1:8" ht="14.25" thickBot="1">
      <c r="A870" s="18">
        <v>86.7</v>
      </c>
      <c r="B870" s="27">
        <v>0.84392</v>
      </c>
      <c r="C870" s="11">
        <f t="shared" si="52"/>
        <v>-2.9999999999998396E-3</v>
      </c>
      <c r="D870" s="12">
        <f t="shared" si="53"/>
        <v>1.104019999999986</v>
      </c>
      <c r="E870" s="18">
        <v>86.7</v>
      </c>
      <c r="F870" s="27">
        <v>0.84467999999999999</v>
      </c>
      <c r="G870" s="11">
        <f t="shared" si="54"/>
        <v>-2.9999999999998396E-3</v>
      </c>
      <c r="H870" s="12">
        <f t="shared" si="55"/>
        <v>1.1047799999999861</v>
      </c>
    </row>
    <row r="871" spans="1:8" ht="14.25" thickBot="1">
      <c r="A871" s="18">
        <v>86.8</v>
      </c>
      <c r="B871" s="27">
        <v>0.84362000000000004</v>
      </c>
      <c r="C871" s="11">
        <f t="shared" si="52"/>
        <v>-3.1000000000000602E-3</v>
      </c>
      <c r="D871" s="12">
        <f t="shared" si="53"/>
        <v>1.1127000000000051</v>
      </c>
      <c r="E871" s="18">
        <v>86.8</v>
      </c>
      <c r="F871" s="27">
        <v>0.84438000000000002</v>
      </c>
      <c r="G871" s="11">
        <f t="shared" si="54"/>
        <v>-3.1000000000000602E-3</v>
      </c>
      <c r="H871" s="12">
        <f t="shared" si="55"/>
        <v>1.1134600000000052</v>
      </c>
    </row>
    <row r="872" spans="1:8" ht="14.25" thickBot="1">
      <c r="A872" s="18">
        <v>86.9</v>
      </c>
      <c r="B872" s="27">
        <v>0.84331</v>
      </c>
      <c r="C872" s="11">
        <f t="shared" si="52"/>
        <v>-3.1000000000005008E-3</v>
      </c>
      <c r="D872" s="12">
        <f t="shared" si="53"/>
        <v>1.1127000000000435</v>
      </c>
      <c r="E872" s="18">
        <v>86.9</v>
      </c>
      <c r="F872" s="27">
        <v>0.84406999999999999</v>
      </c>
      <c r="G872" s="11">
        <f t="shared" si="54"/>
        <v>-3.1000000000005008E-3</v>
      </c>
      <c r="H872" s="12">
        <f t="shared" si="55"/>
        <v>1.1134600000000434</v>
      </c>
    </row>
    <row r="873" spans="1:8" ht="14.25" thickBot="1">
      <c r="A873" s="9">
        <v>87</v>
      </c>
      <c r="B873" s="19">
        <v>0.84299999999999997</v>
      </c>
      <c r="C873" s="11">
        <f t="shared" si="52"/>
        <v>-3.0999999999993906E-3</v>
      </c>
      <c r="D873" s="12">
        <f t="shared" si="53"/>
        <v>1.112699999999947</v>
      </c>
      <c r="E873" s="9">
        <v>87</v>
      </c>
      <c r="F873" s="19">
        <v>0.84375999999999995</v>
      </c>
      <c r="G873" s="11">
        <f t="shared" si="54"/>
        <v>-3.0999999999993906E-3</v>
      </c>
      <c r="H873" s="12">
        <f t="shared" si="55"/>
        <v>1.1134599999999468</v>
      </c>
    </row>
    <row r="874" spans="1:8" ht="14.25" thickBot="1">
      <c r="A874" s="18">
        <v>87.1</v>
      </c>
      <c r="B874" s="27">
        <v>0.84269000000000005</v>
      </c>
      <c r="C874" s="11">
        <f t="shared" si="52"/>
        <v>-3.1000000000000602E-3</v>
      </c>
      <c r="D874" s="12">
        <f t="shared" si="53"/>
        <v>1.1127000000000054</v>
      </c>
      <c r="E874" s="18">
        <v>87.1</v>
      </c>
      <c r="F874" s="27">
        <v>0.84345000000000003</v>
      </c>
      <c r="G874" s="11">
        <f t="shared" si="54"/>
        <v>-3.1000000000000602E-3</v>
      </c>
      <c r="H874" s="12">
        <f t="shared" si="55"/>
        <v>1.1134600000000052</v>
      </c>
    </row>
    <row r="875" spans="1:8" ht="14.25" thickBot="1">
      <c r="A875" s="18">
        <v>87.2</v>
      </c>
      <c r="B875" s="27">
        <v>0.84238000000000002</v>
      </c>
      <c r="C875" s="11">
        <f t="shared" si="52"/>
        <v>-3.1000000000005008E-3</v>
      </c>
      <c r="D875" s="12">
        <f t="shared" si="53"/>
        <v>1.1127000000000438</v>
      </c>
      <c r="E875" s="18">
        <v>87.2</v>
      </c>
      <c r="F875" s="27">
        <v>0.84314</v>
      </c>
      <c r="G875" s="11">
        <f t="shared" si="54"/>
        <v>-3.1000000000005008E-3</v>
      </c>
      <c r="H875" s="12">
        <f t="shared" si="55"/>
        <v>1.1134600000000436</v>
      </c>
    </row>
    <row r="876" spans="1:8" ht="14.25" thickBot="1">
      <c r="A876" s="18">
        <v>87.3</v>
      </c>
      <c r="B876" s="27">
        <v>0.84206999999999999</v>
      </c>
      <c r="C876" s="11">
        <f t="shared" si="52"/>
        <v>-3.1000000000000602E-3</v>
      </c>
      <c r="D876" s="12">
        <f t="shared" si="53"/>
        <v>1.1127000000000051</v>
      </c>
      <c r="E876" s="18">
        <v>87.3</v>
      </c>
      <c r="F876" s="27">
        <v>0.84282999999999997</v>
      </c>
      <c r="G876" s="11">
        <f t="shared" si="54"/>
        <v>-3.0999999999989504E-3</v>
      </c>
      <c r="H876" s="12">
        <f t="shared" si="55"/>
        <v>1.1134599999999084</v>
      </c>
    </row>
    <row r="877" spans="1:8" ht="14.25" thickBot="1">
      <c r="A877" s="18">
        <v>87.4</v>
      </c>
      <c r="B877" s="27">
        <v>0.84175999999999995</v>
      </c>
      <c r="C877" s="11">
        <f t="shared" si="52"/>
        <v>-3.0999999999993906E-3</v>
      </c>
      <c r="D877" s="12">
        <f t="shared" si="53"/>
        <v>1.1126999999999467</v>
      </c>
      <c r="E877" s="18">
        <v>87.4</v>
      </c>
      <c r="F877" s="27">
        <v>0.84252000000000005</v>
      </c>
      <c r="G877" s="11">
        <f t="shared" si="54"/>
        <v>-3.1000000000005008E-3</v>
      </c>
      <c r="H877" s="12">
        <f t="shared" si="55"/>
        <v>1.1134600000000439</v>
      </c>
    </row>
    <row r="878" spans="1:8" ht="14.25" thickBot="1">
      <c r="A878" s="18">
        <v>87.5</v>
      </c>
      <c r="B878" s="27">
        <v>0.84145000000000003</v>
      </c>
      <c r="C878" s="11">
        <f t="shared" si="52"/>
        <v>-3.1000000000005008E-3</v>
      </c>
      <c r="D878" s="12">
        <f t="shared" si="53"/>
        <v>1.1127000000000438</v>
      </c>
      <c r="E878" s="18">
        <v>87.5</v>
      </c>
      <c r="F878" s="27">
        <v>0.84221000000000001</v>
      </c>
      <c r="G878" s="11">
        <f t="shared" si="54"/>
        <v>-3.1000000000005008E-3</v>
      </c>
      <c r="H878" s="12">
        <f t="shared" si="55"/>
        <v>1.1134600000000439</v>
      </c>
    </row>
    <row r="879" spans="1:8" ht="14.25" thickBot="1">
      <c r="A879" s="18">
        <v>87.6</v>
      </c>
      <c r="B879" s="27">
        <v>0.84114</v>
      </c>
      <c r="C879" s="11">
        <f t="shared" si="52"/>
        <v>-3.1999999999995973E-3</v>
      </c>
      <c r="D879" s="12">
        <f t="shared" si="53"/>
        <v>1.1214599999999648</v>
      </c>
      <c r="E879" s="18">
        <v>87.6</v>
      </c>
      <c r="F879" s="27">
        <v>0.84189999999999998</v>
      </c>
      <c r="G879" s="11">
        <f t="shared" si="54"/>
        <v>-3.1999999999995973E-3</v>
      </c>
      <c r="H879" s="12">
        <f t="shared" si="55"/>
        <v>1.1222199999999647</v>
      </c>
    </row>
    <row r="880" spans="1:8" ht="14.25" thickBot="1">
      <c r="A880" s="18">
        <v>87.7</v>
      </c>
      <c r="B880" s="27">
        <v>0.84082000000000001</v>
      </c>
      <c r="C880" s="11">
        <f t="shared" si="52"/>
        <v>-3.1000000000005008E-3</v>
      </c>
      <c r="D880" s="12">
        <f t="shared" si="53"/>
        <v>1.1126900000000439</v>
      </c>
      <c r="E880" s="18">
        <v>87.7</v>
      </c>
      <c r="F880" s="27">
        <v>0.84157999999999999</v>
      </c>
      <c r="G880" s="11">
        <f t="shared" si="54"/>
        <v>-3.1000000000005008E-3</v>
      </c>
      <c r="H880" s="12">
        <f t="shared" si="55"/>
        <v>1.1134500000000438</v>
      </c>
    </row>
    <row r="881" spans="1:8" ht="14.25" thickBot="1">
      <c r="A881" s="18">
        <v>87.8</v>
      </c>
      <c r="B881" s="27">
        <v>0.84050999999999998</v>
      </c>
      <c r="C881" s="11">
        <f t="shared" si="52"/>
        <v>-3.1000000000000602E-3</v>
      </c>
      <c r="D881" s="12">
        <f t="shared" si="53"/>
        <v>1.1126900000000053</v>
      </c>
      <c r="E881" s="18">
        <v>87.8</v>
      </c>
      <c r="F881" s="27">
        <v>0.84126999999999996</v>
      </c>
      <c r="G881" s="11">
        <f t="shared" si="54"/>
        <v>-3.0999999999989504E-3</v>
      </c>
      <c r="H881" s="12">
        <f t="shared" si="55"/>
        <v>1.1134499999999079</v>
      </c>
    </row>
    <row r="882" spans="1:8" ht="14.25" thickBot="1">
      <c r="A882" s="18">
        <v>87.9</v>
      </c>
      <c r="B882" s="27">
        <v>0.84019999999999995</v>
      </c>
      <c r="C882" s="11">
        <f t="shared" si="52"/>
        <v>-3.2000000000000509E-3</v>
      </c>
      <c r="D882" s="12">
        <f t="shared" si="53"/>
        <v>1.1214800000000045</v>
      </c>
      <c r="E882" s="18">
        <v>87.9</v>
      </c>
      <c r="F882" s="27">
        <v>0.84096000000000004</v>
      </c>
      <c r="G882" s="11">
        <f t="shared" si="54"/>
        <v>-3.2000000000000509E-3</v>
      </c>
      <c r="H882" s="12">
        <f t="shared" si="55"/>
        <v>1.1222400000000046</v>
      </c>
    </row>
    <row r="883" spans="1:8" ht="14.25" thickBot="1">
      <c r="A883" s="9">
        <v>88</v>
      </c>
      <c r="B883" s="19">
        <v>0.83987999999999996</v>
      </c>
      <c r="C883" s="11">
        <f t="shared" si="52"/>
        <v>-3.0999999999993906E-3</v>
      </c>
      <c r="D883" s="12">
        <f t="shared" si="53"/>
        <v>1.1126799999999464</v>
      </c>
      <c r="E883" s="9">
        <v>88</v>
      </c>
      <c r="F883" s="19">
        <v>0.84064000000000005</v>
      </c>
      <c r="G883" s="11">
        <f t="shared" si="54"/>
        <v>-3.1000000000005008E-3</v>
      </c>
      <c r="H883" s="12">
        <f t="shared" si="55"/>
        <v>1.1134400000000442</v>
      </c>
    </row>
    <row r="884" spans="1:8" ht="14.25" thickBot="1">
      <c r="A884" s="18">
        <v>88.1</v>
      </c>
      <c r="B884" s="27">
        <v>0.83957000000000004</v>
      </c>
      <c r="C884" s="11">
        <f t="shared" si="52"/>
        <v>-3.1999999999995973E-3</v>
      </c>
      <c r="D884" s="12">
        <f t="shared" si="53"/>
        <v>1.1214899999999646</v>
      </c>
      <c r="E884" s="18">
        <v>88.1</v>
      </c>
      <c r="F884" s="27">
        <v>0.84033000000000002</v>
      </c>
      <c r="G884" s="11">
        <f t="shared" si="54"/>
        <v>-3.1999999999995973E-3</v>
      </c>
      <c r="H884" s="12">
        <f t="shared" si="55"/>
        <v>1.1222499999999647</v>
      </c>
    </row>
    <row r="885" spans="1:8" ht="14.25" thickBot="1">
      <c r="A885" s="18">
        <v>88.2</v>
      </c>
      <c r="B885" s="27">
        <v>0.83925000000000005</v>
      </c>
      <c r="C885" s="11">
        <f t="shared" si="52"/>
        <v>-3.2000000000011616E-3</v>
      </c>
      <c r="D885" s="12">
        <f t="shared" si="53"/>
        <v>1.1214900000001025</v>
      </c>
      <c r="E885" s="18">
        <v>88.2</v>
      </c>
      <c r="F885" s="27">
        <v>0.84001000000000003</v>
      </c>
      <c r="G885" s="11">
        <f t="shared" si="54"/>
        <v>-3.2000000000000509E-3</v>
      </c>
      <c r="H885" s="12">
        <f t="shared" si="55"/>
        <v>1.1222500000000044</v>
      </c>
    </row>
    <row r="886" spans="1:8" ht="14.25" thickBot="1">
      <c r="A886" s="18">
        <v>88.3</v>
      </c>
      <c r="B886" s="27">
        <v>0.83892999999999995</v>
      </c>
      <c r="C886" s="11">
        <f t="shared" si="52"/>
        <v>-3.0999999999989504E-3</v>
      </c>
      <c r="D886" s="12">
        <f t="shared" si="53"/>
        <v>1.1126599999999072</v>
      </c>
      <c r="E886" s="18">
        <v>88.3</v>
      </c>
      <c r="F886" s="27">
        <v>0.83969000000000005</v>
      </c>
      <c r="G886" s="11">
        <f t="shared" si="54"/>
        <v>-3.1000000000000602E-3</v>
      </c>
      <c r="H886" s="12">
        <f t="shared" si="55"/>
        <v>1.1134200000000054</v>
      </c>
    </row>
    <row r="887" spans="1:8" ht="14.25" thickBot="1">
      <c r="A887" s="18">
        <v>88.4</v>
      </c>
      <c r="B887" s="27">
        <v>0.83862000000000003</v>
      </c>
      <c r="C887" s="11">
        <f t="shared" si="52"/>
        <v>-3.2000000000000509E-3</v>
      </c>
      <c r="D887" s="12">
        <f t="shared" si="53"/>
        <v>1.1215000000000046</v>
      </c>
      <c r="E887" s="18">
        <v>88.4</v>
      </c>
      <c r="F887" s="27">
        <v>0.83938000000000001</v>
      </c>
      <c r="G887" s="11">
        <f t="shared" si="54"/>
        <v>-3.2000000000000509E-3</v>
      </c>
      <c r="H887" s="12">
        <f t="shared" si="55"/>
        <v>1.1222600000000047</v>
      </c>
    </row>
    <row r="888" spans="1:8" ht="14.25" thickBot="1">
      <c r="A888" s="18">
        <v>88.5</v>
      </c>
      <c r="B888" s="27">
        <v>0.83830000000000005</v>
      </c>
      <c r="C888" s="11">
        <f t="shared" si="52"/>
        <v>-3.2000000000011616E-3</v>
      </c>
      <c r="D888" s="12">
        <f t="shared" si="53"/>
        <v>1.1215000000001027</v>
      </c>
      <c r="E888" s="18">
        <v>88.5</v>
      </c>
      <c r="F888" s="27">
        <v>0.83906000000000003</v>
      </c>
      <c r="G888" s="11">
        <f t="shared" si="54"/>
        <v>-3.3000000000007125E-3</v>
      </c>
      <c r="H888" s="12">
        <f t="shared" si="55"/>
        <v>1.1311100000000631</v>
      </c>
    </row>
    <row r="889" spans="1:8" ht="14.25" thickBot="1">
      <c r="A889" s="18">
        <v>88.6</v>
      </c>
      <c r="B889" s="27">
        <v>0.83797999999999995</v>
      </c>
      <c r="C889" s="11">
        <f t="shared" si="52"/>
        <v>-3.1999999999995973E-3</v>
      </c>
      <c r="D889" s="12">
        <f t="shared" si="53"/>
        <v>1.1214999999999642</v>
      </c>
      <c r="E889" s="18">
        <v>88.6</v>
      </c>
      <c r="F889" s="27">
        <v>0.83872999999999998</v>
      </c>
      <c r="G889" s="11">
        <f t="shared" si="54"/>
        <v>-3.1999999999995973E-3</v>
      </c>
      <c r="H889" s="12">
        <f t="shared" si="55"/>
        <v>1.1222499999999642</v>
      </c>
    </row>
    <row r="890" spans="1:8" ht="14.25" thickBot="1">
      <c r="A890" s="18">
        <v>88.7</v>
      </c>
      <c r="B890" s="27">
        <v>0.83765999999999996</v>
      </c>
      <c r="C890" s="11">
        <f t="shared" si="52"/>
        <v>-3.2000000000000509E-3</v>
      </c>
      <c r="D890" s="12">
        <f t="shared" si="53"/>
        <v>1.1215000000000044</v>
      </c>
      <c r="E890" s="18">
        <v>88.7</v>
      </c>
      <c r="F890" s="27">
        <v>0.83840999999999999</v>
      </c>
      <c r="G890" s="11">
        <f t="shared" si="54"/>
        <v>-3.2000000000000509E-3</v>
      </c>
      <c r="H890" s="12">
        <f t="shared" si="55"/>
        <v>1.1222500000000044</v>
      </c>
    </row>
    <row r="891" spans="1:8" ht="14.25" thickBot="1">
      <c r="A891" s="18">
        <v>88.8</v>
      </c>
      <c r="B891" s="27">
        <v>0.83733999999999997</v>
      </c>
      <c r="C891" s="11">
        <f t="shared" si="52"/>
        <v>-3.1999999999995973E-3</v>
      </c>
      <c r="D891" s="12">
        <f t="shared" si="53"/>
        <v>1.1214999999999642</v>
      </c>
      <c r="E891" s="18">
        <v>88.8</v>
      </c>
      <c r="F891" s="27">
        <v>0.83809</v>
      </c>
      <c r="G891" s="11">
        <f t="shared" si="54"/>
        <v>-3.1999999999995973E-3</v>
      </c>
      <c r="H891" s="12">
        <f t="shared" si="55"/>
        <v>1.1222499999999642</v>
      </c>
    </row>
    <row r="892" spans="1:8" ht="14.25" thickBot="1">
      <c r="A892" s="18">
        <v>88.9</v>
      </c>
      <c r="B892" s="27">
        <v>0.83701999999999999</v>
      </c>
      <c r="C892" s="11">
        <f t="shared" si="52"/>
        <v>-3.2000000000000509E-3</v>
      </c>
      <c r="D892" s="12">
        <f t="shared" si="53"/>
        <v>1.1215000000000046</v>
      </c>
      <c r="E892" s="18">
        <v>88.9</v>
      </c>
      <c r="F892" s="27">
        <v>0.83777000000000001</v>
      </c>
      <c r="G892" s="11">
        <f t="shared" si="54"/>
        <v>-3.2000000000000509E-3</v>
      </c>
      <c r="H892" s="12">
        <f t="shared" si="55"/>
        <v>1.1222500000000046</v>
      </c>
    </row>
    <row r="893" spans="1:8" ht="14.25" thickBot="1">
      <c r="A893" s="9">
        <v>89</v>
      </c>
      <c r="B893" s="19">
        <v>0.8367</v>
      </c>
      <c r="C893" s="11">
        <f t="shared" si="52"/>
        <v>-3.2000000000000509E-3</v>
      </c>
      <c r="D893" s="12">
        <f t="shared" si="53"/>
        <v>1.1215000000000046</v>
      </c>
      <c r="E893" s="9">
        <v>89</v>
      </c>
      <c r="F893" s="19">
        <v>0.83745000000000003</v>
      </c>
      <c r="G893" s="11">
        <f t="shared" si="54"/>
        <v>-3.2000000000000509E-3</v>
      </c>
      <c r="H893" s="12">
        <f t="shared" si="55"/>
        <v>1.1222500000000046</v>
      </c>
    </row>
    <row r="894" spans="1:8" ht="14.25" thickBot="1">
      <c r="A894" s="18">
        <v>89.1</v>
      </c>
      <c r="B894" s="27">
        <v>0.83638000000000001</v>
      </c>
      <c r="C894" s="11">
        <f t="shared" si="52"/>
        <v>-3.3000000000002437E-3</v>
      </c>
      <c r="D894" s="12">
        <f t="shared" si="53"/>
        <v>1.1304100000000217</v>
      </c>
      <c r="E894" s="18">
        <v>89.1</v>
      </c>
      <c r="F894" s="27">
        <v>0.83713000000000004</v>
      </c>
      <c r="G894" s="11">
        <f t="shared" si="54"/>
        <v>-3.3000000000002437E-3</v>
      </c>
      <c r="H894" s="12">
        <f t="shared" si="55"/>
        <v>1.1311600000000217</v>
      </c>
    </row>
    <row r="895" spans="1:8" ht="14.25" thickBot="1">
      <c r="A895" s="18">
        <v>89.2</v>
      </c>
      <c r="B895" s="27">
        <v>0.83604999999999996</v>
      </c>
      <c r="C895" s="11">
        <f t="shared" si="52"/>
        <v>-3.2000000000000509E-3</v>
      </c>
      <c r="D895" s="12">
        <f t="shared" si="53"/>
        <v>1.1214900000000045</v>
      </c>
      <c r="E895" s="18">
        <v>89.2</v>
      </c>
      <c r="F895" s="27">
        <v>0.83679999999999999</v>
      </c>
      <c r="G895" s="11">
        <f t="shared" si="54"/>
        <v>-3.2000000000000509E-3</v>
      </c>
      <c r="H895" s="12">
        <f t="shared" si="55"/>
        <v>1.1222400000000046</v>
      </c>
    </row>
    <row r="896" spans="1:8" ht="14.25" thickBot="1">
      <c r="A896" s="18">
        <v>89.3</v>
      </c>
      <c r="B896" s="27">
        <v>0.83572999999999997</v>
      </c>
      <c r="C896" s="11">
        <f t="shared" si="52"/>
        <v>-3.2999999999991331E-3</v>
      </c>
      <c r="D896" s="12">
        <f t="shared" si="53"/>
        <v>1.1304199999999225</v>
      </c>
      <c r="E896" s="18">
        <v>89.3</v>
      </c>
      <c r="F896" s="27">
        <v>0.83648</v>
      </c>
      <c r="G896" s="11">
        <f t="shared" si="54"/>
        <v>-3.3000000000002437E-3</v>
      </c>
      <c r="H896" s="12">
        <f t="shared" si="55"/>
        <v>1.1311700000000218</v>
      </c>
    </row>
    <row r="897" spans="1:8" ht="14.25" thickBot="1">
      <c r="A897" s="18">
        <v>89.4</v>
      </c>
      <c r="B897" s="27">
        <v>0.83540000000000003</v>
      </c>
      <c r="C897" s="11">
        <f t="shared" si="52"/>
        <v>-3.2000000000000509E-3</v>
      </c>
      <c r="D897" s="12">
        <f t="shared" si="53"/>
        <v>1.1214800000000045</v>
      </c>
      <c r="E897" s="18">
        <v>89.4</v>
      </c>
      <c r="F897" s="27">
        <v>0.83614999999999995</v>
      </c>
      <c r="G897" s="11">
        <f t="shared" si="54"/>
        <v>-3.2000000000000509E-3</v>
      </c>
      <c r="H897" s="12">
        <f t="shared" si="55"/>
        <v>1.1222300000000045</v>
      </c>
    </row>
    <row r="898" spans="1:8" ht="14.25" thickBot="1">
      <c r="A898" s="18">
        <v>89.5</v>
      </c>
      <c r="B898" s="27">
        <v>0.83508000000000004</v>
      </c>
      <c r="C898" s="11">
        <f t="shared" si="52"/>
        <v>-3.3000000000007125E-3</v>
      </c>
      <c r="D898" s="12">
        <f t="shared" si="53"/>
        <v>1.130430000000064</v>
      </c>
      <c r="E898" s="18">
        <v>89.5</v>
      </c>
      <c r="F898" s="27">
        <v>0.83582999999999996</v>
      </c>
      <c r="G898" s="11">
        <f t="shared" si="54"/>
        <v>-3.2999999999996019E-3</v>
      </c>
      <c r="H898" s="12">
        <f t="shared" si="55"/>
        <v>1.1311799999999643</v>
      </c>
    </row>
    <row r="899" spans="1:8" ht="14.25" thickBot="1">
      <c r="A899" s="18">
        <v>89.6</v>
      </c>
      <c r="B899" s="27">
        <v>0.83474999999999999</v>
      </c>
      <c r="C899" s="11">
        <f t="shared" si="52"/>
        <v>-3.2999999999991331E-3</v>
      </c>
      <c r="D899" s="12">
        <f t="shared" si="53"/>
        <v>1.1304299999999223</v>
      </c>
      <c r="E899" s="18">
        <v>89.6</v>
      </c>
      <c r="F899" s="27">
        <v>0.83550000000000002</v>
      </c>
      <c r="G899" s="11">
        <f t="shared" si="54"/>
        <v>-3.3000000000002437E-3</v>
      </c>
      <c r="H899" s="12">
        <f t="shared" si="55"/>
        <v>1.1311800000000218</v>
      </c>
    </row>
    <row r="900" spans="1:8" ht="14.25" thickBot="1">
      <c r="A900" s="18">
        <v>89.7</v>
      </c>
      <c r="B900" s="27">
        <v>0.83442000000000005</v>
      </c>
      <c r="C900" s="11">
        <f t="shared" ref="C900:C963" si="56">SLOPE(B900:B901,A900:A901)</f>
        <v>-3.2000000000011616E-3</v>
      </c>
      <c r="D900" s="12">
        <f t="shared" ref="D900:D963" si="57">INTERCEPT(B900:B901,A900:A901)</f>
        <v>1.1214600000001043</v>
      </c>
      <c r="E900" s="18">
        <v>89.7</v>
      </c>
      <c r="F900" s="27">
        <v>0.83516999999999997</v>
      </c>
      <c r="G900" s="11">
        <f t="shared" ref="G900:G963" si="58">SLOPE(F900:F901,E900:E901)</f>
        <v>-3.2000000000000509E-3</v>
      </c>
      <c r="H900" s="12">
        <f t="shared" ref="H900:H963" si="59">INTERCEPT(F900:F901,E900:E901)</f>
        <v>1.1222100000000046</v>
      </c>
    </row>
    <row r="901" spans="1:8" ht="14.25" thickBot="1">
      <c r="A901" s="18">
        <v>89.8</v>
      </c>
      <c r="B901" s="27">
        <v>0.83409999999999995</v>
      </c>
      <c r="C901" s="11">
        <f t="shared" si="56"/>
        <v>-3.2999999999991331E-3</v>
      </c>
      <c r="D901" s="12">
        <f t="shared" si="57"/>
        <v>1.130439999999922</v>
      </c>
      <c r="E901" s="18">
        <v>89.8</v>
      </c>
      <c r="F901" s="27">
        <v>0.83484999999999998</v>
      </c>
      <c r="G901" s="11">
        <f t="shared" si="58"/>
        <v>-3.2999999999991331E-3</v>
      </c>
      <c r="H901" s="12">
        <f t="shared" si="59"/>
        <v>1.131189999999922</v>
      </c>
    </row>
    <row r="902" spans="1:8" ht="14.25" thickBot="1">
      <c r="A902" s="18">
        <v>89.9</v>
      </c>
      <c r="B902" s="27">
        <v>0.83377000000000001</v>
      </c>
      <c r="C902" s="11">
        <f t="shared" si="56"/>
        <v>-3.3000000000007125E-3</v>
      </c>
      <c r="D902" s="12">
        <f t="shared" si="57"/>
        <v>1.1304400000000641</v>
      </c>
      <c r="E902" s="18">
        <v>89.9</v>
      </c>
      <c r="F902" s="27">
        <v>0.83452000000000004</v>
      </c>
      <c r="G902" s="11">
        <f t="shared" si="58"/>
        <v>-3.3000000000007125E-3</v>
      </c>
      <c r="H902" s="12">
        <f t="shared" si="59"/>
        <v>1.1311900000000641</v>
      </c>
    </row>
    <row r="903" spans="1:8" ht="14.25" thickBot="1">
      <c r="A903" s="9">
        <v>90</v>
      </c>
      <c r="B903" s="19">
        <v>0.83343999999999996</v>
      </c>
      <c r="C903" s="11">
        <f t="shared" si="56"/>
        <v>-3.2999999999996019E-3</v>
      </c>
      <c r="D903" s="12">
        <f t="shared" si="57"/>
        <v>1.1304399999999641</v>
      </c>
      <c r="E903" s="9">
        <v>90</v>
      </c>
      <c r="F903" s="19">
        <v>0.83418999999999999</v>
      </c>
      <c r="G903" s="11">
        <f t="shared" si="58"/>
        <v>-3.2999999999996019E-3</v>
      </c>
      <c r="H903" s="12">
        <f t="shared" si="59"/>
        <v>1.1311899999999642</v>
      </c>
    </row>
    <row r="904" spans="1:8" ht="14.25" thickBot="1">
      <c r="A904" s="18">
        <v>90.1</v>
      </c>
      <c r="B904" s="27">
        <v>0.83311000000000002</v>
      </c>
      <c r="C904" s="11">
        <f t="shared" si="56"/>
        <v>-3.3000000000002437E-3</v>
      </c>
      <c r="D904" s="12">
        <f t="shared" si="57"/>
        <v>1.1304400000000221</v>
      </c>
      <c r="E904" s="18">
        <v>90.1</v>
      </c>
      <c r="F904" s="27">
        <v>0.83386000000000005</v>
      </c>
      <c r="G904" s="11">
        <f t="shared" si="58"/>
        <v>-3.3000000000002437E-3</v>
      </c>
      <c r="H904" s="12">
        <f t="shared" si="59"/>
        <v>1.1311900000000221</v>
      </c>
    </row>
    <row r="905" spans="1:8" ht="14.25" thickBot="1">
      <c r="A905" s="18">
        <v>90.2</v>
      </c>
      <c r="B905" s="27">
        <v>0.83277999999999996</v>
      </c>
      <c r="C905" s="11">
        <f t="shared" si="56"/>
        <v>-3.2999999999996019E-3</v>
      </c>
      <c r="D905" s="12">
        <f t="shared" si="57"/>
        <v>1.1304399999999641</v>
      </c>
      <c r="E905" s="18">
        <v>90.2</v>
      </c>
      <c r="F905" s="27">
        <v>0.83352999999999999</v>
      </c>
      <c r="G905" s="11">
        <f t="shared" si="58"/>
        <v>-3.2999999999996019E-3</v>
      </c>
      <c r="H905" s="12">
        <f t="shared" si="59"/>
        <v>1.1311899999999642</v>
      </c>
    </row>
    <row r="906" spans="1:8" ht="14.25" thickBot="1">
      <c r="A906" s="18">
        <v>90.3</v>
      </c>
      <c r="B906" s="27">
        <v>0.83245000000000002</v>
      </c>
      <c r="C906" s="11">
        <f t="shared" si="56"/>
        <v>-3.3999999999997799E-3</v>
      </c>
      <c r="D906" s="12">
        <f t="shared" si="57"/>
        <v>1.1394699999999802</v>
      </c>
      <c r="E906" s="18">
        <v>90.3</v>
      </c>
      <c r="F906" s="27">
        <v>0.83320000000000005</v>
      </c>
      <c r="G906" s="11">
        <f t="shared" si="58"/>
        <v>-3.3999999999997799E-3</v>
      </c>
      <c r="H906" s="12">
        <f t="shared" si="59"/>
        <v>1.1402199999999802</v>
      </c>
    </row>
    <row r="907" spans="1:8" ht="14.25" thickBot="1">
      <c r="A907" s="18">
        <v>90.4</v>
      </c>
      <c r="B907" s="27">
        <v>0.83211000000000002</v>
      </c>
      <c r="C907" s="11">
        <f t="shared" si="56"/>
        <v>-3.3000000000007125E-3</v>
      </c>
      <c r="D907" s="12">
        <f t="shared" si="57"/>
        <v>1.1304300000000644</v>
      </c>
      <c r="E907" s="18">
        <v>90.4</v>
      </c>
      <c r="F907" s="27">
        <v>0.83286000000000004</v>
      </c>
      <c r="G907" s="11">
        <f t="shared" si="58"/>
        <v>-3.3000000000007125E-3</v>
      </c>
      <c r="H907" s="12">
        <f t="shared" si="59"/>
        <v>1.1311800000000645</v>
      </c>
    </row>
    <row r="908" spans="1:8" ht="14.25" thickBot="1">
      <c r="A908" s="18">
        <v>90.5</v>
      </c>
      <c r="B908" s="27">
        <v>0.83177999999999996</v>
      </c>
      <c r="C908" s="11">
        <f t="shared" si="56"/>
        <v>-3.4000000000002631E-3</v>
      </c>
      <c r="D908" s="12">
        <f t="shared" si="57"/>
        <v>1.1394800000000238</v>
      </c>
      <c r="E908" s="18">
        <v>90.5</v>
      </c>
      <c r="F908" s="27">
        <v>0.83252999999999999</v>
      </c>
      <c r="G908" s="11">
        <f t="shared" si="58"/>
        <v>-3.4000000000002631E-3</v>
      </c>
      <c r="H908" s="12">
        <f t="shared" si="59"/>
        <v>1.1402300000000238</v>
      </c>
    </row>
    <row r="909" spans="1:8" ht="14.25" thickBot="1">
      <c r="A909" s="18">
        <v>90.6</v>
      </c>
      <c r="B909" s="27">
        <v>0.83143999999999996</v>
      </c>
      <c r="C909" s="11">
        <f t="shared" si="56"/>
        <v>-3.2999999999991331E-3</v>
      </c>
      <c r="D909" s="12">
        <f t="shared" si="57"/>
        <v>1.1304199999999214</v>
      </c>
      <c r="E909" s="18">
        <v>90.6</v>
      </c>
      <c r="F909" s="27">
        <v>0.83218999999999999</v>
      </c>
      <c r="G909" s="11">
        <f t="shared" si="58"/>
        <v>-3.2999999999991331E-3</v>
      </c>
      <c r="H909" s="12">
        <f t="shared" si="59"/>
        <v>1.1311699999999214</v>
      </c>
    </row>
    <row r="910" spans="1:8" ht="14.25" thickBot="1">
      <c r="A910" s="18">
        <v>90.7</v>
      </c>
      <c r="B910" s="27">
        <v>0.83111000000000002</v>
      </c>
      <c r="C910" s="11">
        <f t="shared" si="56"/>
        <v>-3.4000000000002631E-3</v>
      </c>
      <c r="D910" s="12">
        <f t="shared" si="57"/>
        <v>1.1394900000000239</v>
      </c>
      <c r="E910" s="18">
        <v>90.7</v>
      </c>
      <c r="F910" s="27">
        <v>0.83186000000000004</v>
      </c>
      <c r="G910" s="11">
        <f t="shared" si="58"/>
        <v>-3.4000000000002631E-3</v>
      </c>
      <c r="H910" s="12">
        <f t="shared" si="59"/>
        <v>1.1402400000000239</v>
      </c>
    </row>
    <row r="911" spans="1:8" ht="14.25" thickBot="1">
      <c r="A911" s="18">
        <v>90.8</v>
      </c>
      <c r="B911" s="27">
        <v>0.83077000000000001</v>
      </c>
      <c r="C911" s="11">
        <f t="shared" si="56"/>
        <v>-3.3000000000002437E-3</v>
      </c>
      <c r="D911" s="12">
        <f t="shared" si="57"/>
        <v>1.1304100000000221</v>
      </c>
      <c r="E911" s="18">
        <v>90.8</v>
      </c>
      <c r="F911" s="27">
        <v>0.83152000000000004</v>
      </c>
      <c r="G911" s="11">
        <f t="shared" si="58"/>
        <v>-3.3000000000002437E-3</v>
      </c>
      <c r="H911" s="12">
        <f t="shared" si="59"/>
        <v>1.1311600000000221</v>
      </c>
    </row>
    <row r="912" spans="1:8" ht="14.25" thickBot="1">
      <c r="A912" s="18">
        <v>90.9</v>
      </c>
      <c r="B912" s="27">
        <v>0.83043999999999996</v>
      </c>
      <c r="C912" s="11">
        <f t="shared" si="56"/>
        <v>-3.4000000000002631E-3</v>
      </c>
      <c r="D912" s="12">
        <f t="shared" si="57"/>
        <v>1.1395000000000239</v>
      </c>
      <c r="E912" s="18">
        <v>90.9</v>
      </c>
      <c r="F912" s="27">
        <v>0.83118999999999998</v>
      </c>
      <c r="G912" s="11">
        <f t="shared" si="58"/>
        <v>-3.4000000000002631E-3</v>
      </c>
      <c r="H912" s="12">
        <f t="shared" si="59"/>
        <v>1.140250000000024</v>
      </c>
    </row>
    <row r="913" spans="1:8" ht="14.25" thickBot="1">
      <c r="A913" s="9">
        <v>91</v>
      </c>
      <c r="B913" s="19">
        <v>0.83009999999999995</v>
      </c>
      <c r="C913" s="11">
        <f t="shared" si="56"/>
        <v>-3.3999999999991528E-3</v>
      </c>
      <c r="D913" s="12">
        <f t="shared" si="57"/>
        <v>1.1394999999999229</v>
      </c>
      <c r="E913" s="9">
        <v>91</v>
      </c>
      <c r="F913" s="19">
        <v>0.83084999999999998</v>
      </c>
      <c r="G913" s="11">
        <f t="shared" si="58"/>
        <v>-3.4000000000002631E-3</v>
      </c>
      <c r="H913" s="12">
        <f t="shared" si="59"/>
        <v>1.140250000000024</v>
      </c>
    </row>
    <row r="914" spans="1:8" ht="14.25" thickBot="1">
      <c r="A914" s="18">
        <v>91.1</v>
      </c>
      <c r="B914" s="27">
        <v>0.82976000000000005</v>
      </c>
      <c r="C914" s="11">
        <f t="shared" si="56"/>
        <v>-3.3999999999997799E-3</v>
      </c>
      <c r="D914" s="12">
        <f t="shared" si="57"/>
        <v>1.13949999999998</v>
      </c>
      <c r="E914" s="18">
        <v>91.1</v>
      </c>
      <c r="F914" s="27">
        <v>0.83050999999999997</v>
      </c>
      <c r="G914" s="11">
        <f t="shared" si="58"/>
        <v>-3.3999999999997799E-3</v>
      </c>
      <c r="H914" s="12">
        <f t="shared" si="59"/>
        <v>1.14024999999998</v>
      </c>
    </row>
    <row r="915" spans="1:8" ht="14.25" thickBot="1">
      <c r="A915" s="18">
        <v>91.2</v>
      </c>
      <c r="B915" s="27">
        <v>0.82942000000000005</v>
      </c>
      <c r="C915" s="11">
        <f t="shared" si="56"/>
        <v>-3.4000000000002631E-3</v>
      </c>
      <c r="D915" s="12">
        <f t="shared" si="57"/>
        <v>1.1395000000000239</v>
      </c>
      <c r="E915" s="18">
        <v>91.2</v>
      </c>
      <c r="F915" s="27">
        <v>0.83016999999999996</v>
      </c>
      <c r="G915" s="11">
        <f t="shared" si="58"/>
        <v>-3.4000000000002631E-3</v>
      </c>
      <c r="H915" s="12">
        <f t="shared" si="59"/>
        <v>1.140250000000024</v>
      </c>
    </row>
    <row r="916" spans="1:8" ht="14.25" thickBot="1">
      <c r="A916" s="18">
        <v>91.3</v>
      </c>
      <c r="B916" s="27">
        <v>0.82908000000000004</v>
      </c>
      <c r="C916" s="11">
        <f t="shared" si="56"/>
        <v>-3.3999999999997799E-3</v>
      </c>
      <c r="D916" s="12">
        <f t="shared" si="57"/>
        <v>1.13949999999998</v>
      </c>
      <c r="E916" s="18">
        <v>91.3</v>
      </c>
      <c r="F916" s="27">
        <v>0.82982999999999996</v>
      </c>
      <c r="G916" s="11">
        <f t="shared" si="58"/>
        <v>-3.3999999999997799E-3</v>
      </c>
      <c r="H916" s="12">
        <f t="shared" si="59"/>
        <v>1.1402499999999798</v>
      </c>
    </row>
    <row r="917" spans="1:8" ht="14.25" thickBot="1">
      <c r="A917" s="18">
        <v>91.4</v>
      </c>
      <c r="B917" s="27">
        <v>0.82874000000000003</v>
      </c>
      <c r="C917" s="11">
        <f t="shared" si="56"/>
        <v>-3.5000000000009229E-3</v>
      </c>
      <c r="D917" s="12">
        <f t="shared" si="57"/>
        <v>1.1486400000000845</v>
      </c>
      <c r="E917" s="18">
        <v>91.4</v>
      </c>
      <c r="F917" s="27">
        <v>0.82948999999999995</v>
      </c>
      <c r="G917" s="11">
        <f t="shared" si="58"/>
        <v>-3.4999999999998132E-3</v>
      </c>
      <c r="H917" s="12">
        <f t="shared" si="59"/>
        <v>1.149389999999983</v>
      </c>
    </row>
    <row r="918" spans="1:8" ht="14.25" thickBot="1">
      <c r="A918" s="18">
        <v>91.5</v>
      </c>
      <c r="B918" s="27">
        <v>0.82838999999999996</v>
      </c>
      <c r="C918" s="11">
        <f t="shared" si="56"/>
        <v>-3.4000000000002631E-3</v>
      </c>
      <c r="D918" s="12">
        <f t="shared" si="57"/>
        <v>1.1394900000000241</v>
      </c>
      <c r="E918" s="18">
        <v>91.5</v>
      </c>
      <c r="F918" s="27">
        <v>0.82913999999999999</v>
      </c>
      <c r="G918" s="11">
        <f t="shared" si="58"/>
        <v>-3.4000000000002631E-3</v>
      </c>
      <c r="H918" s="12">
        <f t="shared" si="59"/>
        <v>1.1402400000000241</v>
      </c>
    </row>
    <row r="919" spans="1:8" ht="14.25" thickBot="1">
      <c r="A919" s="18">
        <v>91.6</v>
      </c>
      <c r="B919" s="27">
        <v>0.82804999999999995</v>
      </c>
      <c r="C919" s="11">
        <f t="shared" si="56"/>
        <v>-3.4999999999993162E-3</v>
      </c>
      <c r="D919" s="12">
        <f t="shared" si="57"/>
        <v>1.1486499999999373</v>
      </c>
      <c r="E919" s="18">
        <v>91.6</v>
      </c>
      <c r="F919" s="27">
        <v>0.82879999999999998</v>
      </c>
      <c r="G919" s="11">
        <f t="shared" si="58"/>
        <v>-3.4999999999993162E-3</v>
      </c>
      <c r="H919" s="12">
        <f t="shared" si="59"/>
        <v>1.1493999999999374</v>
      </c>
    </row>
    <row r="920" spans="1:8" ht="14.25" thickBot="1">
      <c r="A920" s="18">
        <v>91.7</v>
      </c>
      <c r="B920" s="27">
        <v>0.82769999999999999</v>
      </c>
      <c r="C920" s="11">
        <f t="shared" si="56"/>
        <v>-3.4000000000002631E-3</v>
      </c>
      <c r="D920" s="12">
        <f t="shared" si="57"/>
        <v>1.1394800000000243</v>
      </c>
      <c r="E920" s="18">
        <v>91.7</v>
      </c>
      <c r="F920" s="27">
        <v>0.82845000000000002</v>
      </c>
      <c r="G920" s="11">
        <f t="shared" si="58"/>
        <v>-3.4000000000002631E-3</v>
      </c>
      <c r="H920" s="12">
        <f t="shared" si="59"/>
        <v>1.1402300000000243</v>
      </c>
    </row>
    <row r="921" spans="1:8" ht="14.25" thickBot="1">
      <c r="A921" s="18">
        <v>91.8</v>
      </c>
      <c r="B921" s="27">
        <v>0.82735999999999998</v>
      </c>
      <c r="C921" s="11">
        <f t="shared" si="56"/>
        <v>-3.4999999999993162E-3</v>
      </c>
      <c r="D921" s="12">
        <f t="shared" si="57"/>
        <v>1.1486599999999372</v>
      </c>
      <c r="E921" s="18">
        <v>91.8</v>
      </c>
      <c r="F921" s="27">
        <v>0.82811000000000001</v>
      </c>
      <c r="G921" s="11">
        <f t="shared" si="58"/>
        <v>-3.5999999999999626E-3</v>
      </c>
      <c r="H921" s="12">
        <f t="shared" si="59"/>
        <v>1.1585899999999967</v>
      </c>
    </row>
    <row r="922" spans="1:8" ht="14.25" thickBot="1">
      <c r="A922" s="18">
        <v>91.9</v>
      </c>
      <c r="B922" s="27">
        <v>0.82701000000000002</v>
      </c>
      <c r="C922" s="11">
        <f t="shared" si="56"/>
        <v>-3.5000000000009229E-3</v>
      </c>
      <c r="D922" s="12">
        <f t="shared" si="57"/>
        <v>1.1486600000000848</v>
      </c>
      <c r="E922" s="18">
        <v>91.9</v>
      </c>
      <c r="F922" s="27">
        <v>0.82774999999999999</v>
      </c>
      <c r="G922" s="11">
        <f t="shared" si="58"/>
        <v>-3.4999999999998132E-3</v>
      </c>
      <c r="H922" s="12">
        <f t="shared" si="59"/>
        <v>1.1493999999999827</v>
      </c>
    </row>
    <row r="923" spans="1:8" ht="14.25" thickBot="1">
      <c r="A923" s="9">
        <v>92</v>
      </c>
      <c r="B923" s="19">
        <v>0.82665999999999995</v>
      </c>
      <c r="C923" s="11">
        <f t="shared" si="56"/>
        <v>-3.4999999999998132E-3</v>
      </c>
      <c r="D923" s="12">
        <f t="shared" si="57"/>
        <v>1.1486599999999827</v>
      </c>
      <c r="E923" s="9">
        <v>92</v>
      </c>
      <c r="F923" s="19">
        <v>0.82740000000000002</v>
      </c>
      <c r="G923" s="11">
        <f t="shared" si="58"/>
        <v>-3.5000000000009229E-3</v>
      </c>
      <c r="H923" s="12">
        <f t="shared" si="59"/>
        <v>1.1494000000000848</v>
      </c>
    </row>
    <row r="924" spans="1:8" ht="14.25" thickBot="1">
      <c r="A924" s="18">
        <v>92.1</v>
      </c>
      <c r="B924" s="27">
        <v>0.82630999999999999</v>
      </c>
      <c r="C924" s="11">
        <f t="shared" si="56"/>
        <v>-3.4999999999993162E-3</v>
      </c>
      <c r="D924" s="12">
        <f t="shared" si="57"/>
        <v>1.148659999999937</v>
      </c>
      <c r="E924" s="18">
        <v>92.1</v>
      </c>
      <c r="F924" s="27">
        <v>0.82704999999999995</v>
      </c>
      <c r="G924" s="11">
        <f t="shared" si="58"/>
        <v>-3.4999999999993162E-3</v>
      </c>
      <c r="H924" s="12">
        <f t="shared" si="59"/>
        <v>1.1493999999999369</v>
      </c>
    </row>
    <row r="925" spans="1:8" ht="14.25" thickBot="1">
      <c r="A925" s="18">
        <v>92.2</v>
      </c>
      <c r="B925" s="27">
        <v>0.82596000000000003</v>
      </c>
      <c r="C925" s="11">
        <f t="shared" si="56"/>
        <v>-3.5000000000009229E-3</v>
      </c>
      <c r="D925" s="12">
        <f t="shared" si="57"/>
        <v>1.1486600000000851</v>
      </c>
      <c r="E925" s="18">
        <v>92.2</v>
      </c>
      <c r="F925" s="27">
        <v>0.82669999999999999</v>
      </c>
      <c r="G925" s="11">
        <f t="shared" si="58"/>
        <v>-3.4999999999998132E-3</v>
      </c>
      <c r="H925" s="12">
        <f t="shared" si="59"/>
        <v>1.1493999999999827</v>
      </c>
    </row>
    <row r="926" spans="1:8" ht="14.25" thickBot="1">
      <c r="A926" s="18">
        <v>92.3</v>
      </c>
      <c r="B926" s="27">
        <v>0.82560999999999996</v>
      </c>
      <c r="C926" s="11">
        <f t="shared" si="56"/>
        <v>-3.4999999999993162E-3</v>
      </c>
      <c r="D926" s="12">
        <f t="shared" si="57"/>
        <v>1.1486599999999367</v>
      </c>
      <c r="E926" s="18">
        <v>92.3</v>
      </c>
      <c r="F926" s="27">
        <v>0.82635000000000003</v>
      </c>
      <c r="G926" s="11">
        <f t="shared" si="58"/>
        <v>-3.5000000000004259E-3</v>
      </c>
      <c r="H926" s="12">
        <f t="shared" si="59"/>
        <v>1.1494000000000393</v>
      </c>
    </row>
    <row r="927" spans="1:8" ht="14.25" thickBot="1">
      <c r="A927" s="18">
        <v>92.4</v>
      </c>
      <c r="B927" s="27">
        <v>0.82525999999999999</v>
      </c>
      <c r="C927" s="11">
        <f t="shared" si="56"/>
        <v>-3.4999999999998132E-3</v>
      </c>
      <c r="D927" s="12">
        <f t="shared" si="57"/>
        <v>1.1486599999999827</v>
      </c>
      <c r="E927" s="18">
        <v>92.4</v>
      </c>
      <c r="F927" s="27">
        <v>0.82599999999999996</v>
      </c>
      <c r="G927" s="11">
        <f t="shared" si="58"/>
        <v>-3.4999999999998132E-3</v>
      </c>
      <c r="H927" s="12">
        <f t="shared" si="59"/>
        <v>1.1493999999999827</v>
      </c>
    </row>
    <row r="928" spans="1:8" ht="14.25" thickBot="1">
      <c r="A928" s="18">
        <v>92.5</v>
      </c>
      <c r="B928" s="27">
        <v>0.82491000000000003</v>
      </c>
      <c r="C928" s="11">
        <f t="shared" si="56"/>
        <v>-3.6000000000004735E-3</v>
      </c>
      <c r="D928" s="12">
        <f t="shared" si="57"/>
        <v>1.1579100000000437</v>
      </c>
      <c r="E928" s="18">
        <v>92.5</v>
      </c>
      <c r="F928" s="27">
        <v>0.82565</v>
      </c>
      <c r="G928" s="11">
        <f t="shared" si="58"/>
        <v>-3.6000000000004735E-3</v>
      </c>
      <c r="H928" s="12">
        <f t="shared" si="59"/>
        <v>1.1586500000000437</v>
      </c>
    </row>
    <row r="929" spans="1:8" ht="14.25" thickBot="1">
      <c r="A929" s="18">
        <v>92.6</v>
      </c>
      <c r="B929" s="27">
        <v>0.82455000000000001</v>
      </c>
      <c r="C929" s="11">
        <f t="shared" si="56"/>
        <v>-3.4999999999993162E-3</v>
      </c>
      <c r="D929" s="12">
        <f t="shared" si="57"/>
        <v>1.1486499999999367</v>
      </c>
      <c r="E929" s="18">
        <v>92.6</v>
      </c>
      <c r="F929" s="27">
        <v>0.82528999999999997</v>
      </c>
      <c r="G929" s="11">
        <f t="shared" si="58"/>
        <v>-3.4999999999993162E-3</v>
      </c>
      <c r="H929" s="12">
        <f t="shared" si="59"/>
        <v>1.1493899999999366</v>
      </c>
    </row>
    <row r="930" spans="1:8" ht="14.25" thickBot="1">
      <c r="A930" s="18">
        <v>92.7</v>
      </c>
      <c r="B930" s="27">
        <v>0.82420000000000004</v>
      </c>
      <c r="C930" s="11">
        <f t="shared" si="56"/>
        <v>-3.6000000000004735E-3</v>
      </c>
      <c r="D930" s="12">
        <f t="shared" si="57"/>
        <v>1.1579200000000438</v>
      </c>
      <c r="E930" s="18">
        <v>92.7</v>
      </c>
      <c r="F930" s="27">
        <v>0.82494000000000001</v>
      </c>
      <c r="G930" s="11">
        <f t="shared" si="58"/>
        <v>-3.6000000000004735E-3</v>
      </c>
      <c r="H930" s="12">
        <f t="shared" si="59"/>
        <v>1.1586600000000438</v>
      </c>
    </row>
    <row r="931" spans="1:8" ht="14.25" thickBot="1">
      <c r="A931" s="18">
        <v>92.8</v>
      </c>
      <c r="B931" s="15">
        <v>0.82384000000000002</v>
      </c>
      <c r="C931" s="11">
        <f t="shared" si="56"/>
        <v>-3.5999999999999626E-3</v>
      </c>
      <c r="D931" s="12">
        <f t="shared" si="57"/>
        <v>1.1579199999999965</v>
      </c>
      <c r="E931" s="18">
        <v>92.8</v>
      </c>
      <c r="F931" s="15">
        <v>0.82457999999999998</v>
      </c>
      <c r="G931" s="11">
        <f t="shared" si="58"/>
        <v>-3.5999999999999626E-3</v>
      </c>
      <c r="H931" s="12">
        <f t="shared" si="59"/>
        <v>1.1586599999999965</v>
      </c>
    </row>
    <row r="932" spans="1:8" ht="14.25" thickBot="1">
      <c r="A932" s="18">
        <v>92.9</v>
      </c>
      <c r="B932" s="27">
        <v>0.82347999999999999</v>
      </c>
      <c r="C932" s="11">
        <f t="shared" si="56"/>
        <v>-3.6000000000004735E-3</v>
      </c>
      <c r="D932" s="12">
        <f t="shared" si="57"/>
        <v>1.1579200000000438</v>
      </c>
      <c r="E932" s="18">
        <v>92.9</v>
      </c>
      <c r="F932" s="27">
        <v>0.82421999999999995</v>
      </c>
      <c r="G932" s="11">
        <f t="shared" si="58"/>
        <v>-3.5999999999993637E-3</v>
      </c>
      <c r="H932" s="12">
        <f t="shared" si="59"/>
        <v>1.1586599999999407</v>
      </c>
    </row>
    <row r="933" spans="1:8" ht="14.25" thickBot="1">
      <c r="A933" s="9">
        <v>93</v>
      </c>
      <c r="B933" s="19">
        <v>0.82311999999999996</v>
      </c>
      <c r="C933" s="11">
        <f t="shared" si="56"/>
        <v>-3.5999999999993637E-3</v>
      </c>
      <c r="D933" s="12">
        <f t="shared" si="57"/>
        <v>1.1579199999999408</v>
      </c>
      <c r="E933" s="9">
        <v>93</v>
      </c>
      <c r="F933" s="19">
        <v>0.82386000000000004</v>
      </c>
      <c r="G933" s="11">
        <f t="shared" si="58"/>
        <v>-3.6000000000004735E-3</v>
      </c>
      <c r="H933" s="12">
        <f t="shared" si="59"/>
        <v>1.158660000000044</v>
      </c>
    </row>
    <row r="934" spans="1:8" ht="14.25" thickBot="1">
      <c r="A934" s="18">
        <v>93.1</v>
      </c>
      <c r="B934" s="27">
        <v>0.82276000000000005</v>
      </c>
      <c r="C934" s="11">
        <f t="shared" si="56"/>
        <v>-3.5999999999999626E-3</v>
      </c>
      <c r="D934" s="12">
        <f t="shared" si="57"/>
        <v>1.1579199999999967</v>
      </c>
      <c r="E934" s="18">
        <v>93.1</v>
      </c>
      <c r="F934" s="27">
        <v>0.82350000000000001</v>
      </c>
      <c r="G934" s="11">
        <f t="shared" si="58"/>
        <v>-3.5999999999999626E-3</v>
      </c>
      <c r="H934" s="12">
        <f t="shared" si="59"/>
        <v>1.1586599999999967</v>
      </c>
    </row>
    <row r="935" spans="1:8" ht="14.25" thickBot="1">
      <c r="A935" s="18">
        <v>93.2</v>
      </c>
      <c r="B935" s="27">
        <v>0.82240000000000002</v>
      </c>
      <c r="C935" s="11">
        <f t="shared" si="56"/>
        <v>-3.6000000000004735E-3</v>
      </c>
      <c r="D935" s="12">
        <f t="shared" si="57"/>
        <v>1.157920000000044</v>
      </c>
      <c r="E935" s="18">
        <v>93.2</v>
      </c>
      <c r="F935" s="27">
        <v>0.82313999999999998</v>
      </c>
      <c r="G935" s="11">
        <f t="shared" si="58"/>
        <v>-3.6000000000004735E-3</v>
      </c>
      <c r="H935" s="12">
        <f t="shared" si="59"/>
        <v>1.158660000000044</v>
      </c>
    </row>
    <row r="936" spans="1:8" ht="14.25" thickBot="1">
      <c r="A936" s="18">
        <v>93.3</v>
      </c>
      <c r="B936" s="27">
        <v>0.82203999999999999</v>
      </c>
      <c r="C936" s="11">
        <f t="shared" si="56"/>
        <v>-3.6999999999994988E-3</v>
      </c>
      <c r="D936" s="12">
        <f t="shared" si="57"/>
        <v>1.1672499999999533</v>
      </c>
      <c r="E936" s="18">
        <v>93.3</v>
      </c>
      <c r="F936" s="27">
        <v>0.82277999999999996</v>
      </c>
      <c r="G936" s="11">
        <f t="shared" si="58"/>
        <v>-3.6999999999994988E-3</v>
      </c>
      <c r="H936" s="12">
        <f t="shared" si="59"/>
        <v>1.1679899999999532</v>
      </c>
    </row>
    <row r="937" spans="1:8" ht="14.25" thickBot="1">
      <c r="A937" s="18">
        <v>93.4</v>
      </c>
      <c r="B937" s="27">
        <v>0.82167000000000001</v>
      </c>
      <c r="C937" s="11">
        <f t="shared" si="56"/>
        <v>-3.6000000000004735E-3</v>
      </c>
      <c r="D937" s="12">
        <f t="shared" si="57"/>
        <v>1.1579100000000442</v>
      </c>
      <c r="E937" s="18">
        <v>93.4</v>
      </c>
      <c r="F937" s="27">
        <v>0.82240999999999997</v>
      </c>
      <c r="G937" s="11">
        <f t="shared" si="58"/>
        <v>-3.6000000000004735E-3</v>
      </c>
      <c r="H937" s="12">
        <f t="shared" si="59"/>
        <v>1.1586500000000441</v>
      </c>
    </row>
    <row r="938" spans="1:8" ht="14.25" thickBot="1">
      <c r="A938" s="18">
        <v>93.5</v>
      </c>
      <c r="B938" s="27">
        <v>0.82130999999999998</v>
      </c>
      <c r="C938" s="11">
        <f t="shared" si="56"/>
        <v>-3.7000000000000244E-3</v>
      </c>
      <c r="D938" s="12">
        <f t="shared" si="57"/>
        <v>1.1672600000000024</v>
      </c>
      <c r="E938" s="18">
        <v>93.5</v>
      </c>
      <c r="F938" s="27">
        <v>0.82204999999999995</v>
      </c>
      <c r="G938" s="11">
        <f t="shared" si="58"/>
        <v>-3.7000000000000244E-3</v>
      </c>
      <c r="H938" s="12">
        <f t="shared" si="59"/>
        <v>1.1680000000000024</v>
      </c>
    </row>
    <row r="939" spans="1:8" ht="14.25" thickBot="1">
      <c r="A939" s="18">
        <v>93.6</v>
      </c>
      <c r="B939" s="27">
        <v>0.82094</v>
      </c>
      <c r="C939" s="11">
        <f t="shared" si="56"/>
        <v>-3.6999999999994988E-3</v>
      </c>
      <c r="D939" s="12">
        <f t="shared" si="57"/>
        <v>1.1672599999999531</v>
      </c>
      <c r="E939" s="18">
        <v>93.6</v>
      </c>
      <c r="F939" s="27">
        <v>0.82167999999999997</v>
      </c>
      <c r="G939" s="11">
        <f t="shared" si="58"/>
        <v>-3.6999999999994988E-3</v>
      </c>
      <c r="H939" s="12">
        <f t="shared" si="59"/>
        <v>1.1679999999999531</v>
      </c>
    </row>
    <row r="940" spans="1:8" ht="14.25" thickBot="1">
      <c r="A940" s="18">
        <v>93.7</v>
      </c>
      <c r="B940" s="27">
        <v>0.82057000000000002</v>
      </c>
      <c r="C940" s="11">
        <f t="shared" si="56"/>
        <v>-3.7000000000000244E-3</v>
      </c>
      <c r="D940" s="12">
        <f t="shared" si="57"/>
        <v>1.1672600000000024</v>
      </c>
      <c r="E940" s="18">
        <v>93.7</v>
      </c>
      <c r="F940" s="27">
        <v>0.82130999999999998</v>
      </c>
      <c r="G940" s="11">
        <f t="shared" si="58"/>
        <v>-3.7000000000000244E-3</v>
      </c>
      <c r="H940" s="12">
        <f t="shared" si="59"/>
        <v>1.1680000000000024</v>
      </c>
    </row>
    <row r="941" spans="1:8" ht="14.25" thickBot="1">
      <c r="A941" s="18">
        <v>93.8</v>
      </c>
      <c r="B941" s="27">
        <v>0.82020000000000004</v>
      </c>
      <c r="C941" s="11">
        <f t="shared" si="56"/>
        <v>-3.7000000000006095E-3</v>
      </c>
      <c r="D941" s="12">
        <f t="shared" si="57"/>
        <v>1.167260000000057</v>
      </c>
      <c r="E941" s="18">
        <v>93.8</v>
      </c>
      <c r="F941" s="27">
        <v>0.82094</v>
      </c>
      <c r="G941" s="11">
        <f t="shared" si="58"/>
        <v>-3.6999999999994988E-3</v>
      </c>
      <c r="H941" s="12">
        <f t="shared" si="59"/>
        <v>1.1679999999999531</v>
      </c>
    </row>
    <row r="942" spans="1:8" ht="14.25" thickBot="1">
      <c r="A942" s="18">
        <v>93.9</v>
      </c>
      <c r="B942" s="27">
        <v>0.81982999999999995</v>
      </c>
      <c r="C942" s="11">
        <f t="shared" si="56"/>
        <v>-3.7000000000000244E-3</v>
      </c>
      <c r="D942" s="12">
        <f t="shared" si="57"/>
        <v>1.1672600000000022</v>
      </c>
      <c r="E942" s="18">
        <v>93.9</v>
      </c>
      <c r="F942" s="27">
        <v>0.82057000000000002</v>
      </c>
      <c r="G942" s="11">
        <f t="shared" si="58"/>
        <v>-3.7000000000000244E-3</v>
      </c>
      <c r="H942" s="12">
        <f t="shared" si="59"/>
        <v>1.1680000000000024</v>
      </c>
    </row>
    <row r="943" spans="1:8" ht="14.25" thickBot="1">
      <c r="A943" s="9">
        <v>94</v>
      </c>
      <c r="B943" s="19">
        <v>0.81945999999999997</v>
      </c>
      <c r="C943" s="11">
        <f t="shared" si="56"/>
        <v>-3.7000000000000244E-3</v>
      </c>
      <c r="D943" s="12">
        <f t="shared" si="57"/>
        <v>1.1672600000000022</v>
      </c>
      <c r="E943" s="9">
        <v>94</v>
      </c>
      <c r="F943" s="19">
        <v>0.82020000000000004</v>
      </c>
      <c r="G943" s="11">
        <f t="shared" si="58"/>
        <v>-3.7000000000011351E-3</v>
      </c>
      <c r="H943" s="12">
        <f t="shared" si="59"/>
        <v>1.1680000000001067</v>
      </c>
    </row>
    <row r="944" spans="1:8" ht="14.25" thickBot="1">
      <c r="A944" s="18">
        <v>94.1</v>
      </c>
      <c r="B944" s="27">
        <v>0.81908999999999998</v>
      </c>
      <c r="C944" s="11">
        <f t="shared" si="56"/>
        <v>-3.7999999999990351E-3</v>
      </c>
      <c r="D944" s="12">
        <f t="shared" si="57"/>
        <v>1.1766699999999091</v>
      </c>
      <c r="E944" s="18">
        <v>94.1</v>
      </c>
      <c r="F944" s="27">
        <v>0.81982999999999995</v>
      </c>
      <c r="G944" s="11">
        <f t="shared" si="58"/>
        <v>-3.7999999999990351E-3</v>
      </c>
      <c r="H944" s="12">
        <f t="shared" si="59"/>
        <v>1.177409999999909</v>
      </c>
    </row>
    <row r="945" spans="1:8" ht="14.25" thickBot="1">
      <c r="A945" s="18">
        <v>94.2</v>
      </c>
      <c r="B945" s="27">
        <v>0.81871000000000005</v>
      </c>
      <c r="C945" s="11">
        <f t="shared" si="56"/>
        <v>-3.7000000000011351E-3</v>
      </c>
      <c r="D945" s="12">
        <f t="shared" si="57"/>
        <v>1.1672500000001069</v>
      </c>
      <c r="E945" s="18">
        <v>94.2</v>
      </c>
      <c r="F945" s="27">
        <v>0.81945000000000001</v>
      </c>
      <c r="G945" s="11">
        <f t="shared" si="58"/>
        <v>-3.7000000000000244E-3</v>
      </c>
      <c r="H945" s="12">
        <f t="shared" si="59"/>
        <v>1.1679900000000023</v>
      </c>
    </row>
    <row r="946" spans="1:8" ht="14.25" thickBot="1">
      <c r="A946" s="18">
        <v>94.3</v>
      </c>
      <c r="B946" s="27">
        <v>0.81833999999999996</v>
      </c>
      <c r="C946" s="11">
        <f t="shared" si="56"/>
        <v>-3.7999999999990351E-3</v>
      </c>
      <c r="D946" s="12">
        <f t="shared" si="57"/>
        <v>1.1766799999999089</v>
      </c>
      <c r="E946" s="18">
        <v>94.3</v>
      </c>
      <c r="F946" s="27">
        <v>0.81908000000000003</v>
      </c>
      <c r="G946" s="11">
        <f t="shared" si="58"/>
        <v>-3.8000000000001457E-3</v>
      </c>
      <c r="H946" s="12">
        <f t="shared" si="59"/>
        <v>1.1774200000000137</v>
      </c>
    </row>
    <row r="947" spans="1:8" ht="14.25" thickBot="1">
      <c r="A947" s="18">
        <v>94.4</v>
      </c>
      <c r="B947" s="27">
        <v>0.81796000000000002</v>
      </c>
      <c r="C947" s="11">
        <f t="shared" si="56"/>
        <v>-3.8000000000006852E-3</v>
      </c>
      <c r="D947" s="12">
        <f t="shared" si="57"/>
        <v>1.1766800000000648</v>
      </c>
      <c r="E947" s="18">
        <v>94.4</v>
      </c>
      <c r="F947" s="27">
        <v>0.81869999999999998</v>
      </c>
      <c r="G947" s="11">
        <f t="shared" si="58"/>
        <v>-3.7999999999995754E-3</v>
      </c>
      <c r="H947" s="12">
        <f t="shared" si="59"/>
        <v>1.1774199999999599</v>
      </c>
    </row>
    <row r="948" spans="1:8" ht="14.25" thickBot="1">
      <c r="A948" s="18">
        <v>94.5</v>
      </c>
      <c r="B948" s="27">
        <v>0.81757999999999997</v>
      </c>
      <c r="C948" s="11">
        <f t="shared" si="56"/>
        <v>-3.7999999999995754E-3</v>
      </c>
      <c r="D948" s="12">
        <f t="shared" si="57"/>
        <v>1.17667999999996</v>
      </c>
      <c r="E948" s="18">
        <v>94.5</v>
      </c>
      <c r="F948" s="27">
        <v>0.81832000000000005</v>
      </c>
      <c r="G948" s="11">
        <f t="shared" si="58"/>
        <v>-3.8000000000006852E-3</v>
      </c>
      <c r="H948" s="12">
        <f t="shared" si="59"/>
        <v>1.1774200000000647</v>
      </c>
    </row>
    <row r="949" spans="1:8" ht="14.25" thickBot="1">
      <c r="A949" s="18">
        <v>94.6</v>
      </c>
      <c r="B949" s="27">
        <v>0.81720000000000004</v>
      </c>
      <c r="C949" s="11">
        <f t="shared" si="56"/>
        <v>-3.8000000000001457E-3</v>
      </c>
      <c r="D949" s="12">
        <f t="shared" si="57"/>
        <v>1.1766800000000139</v>
      </c>
      <c r="E949" s="18">
        <v>94.6</v>
      </c>
      <c r="F949" s="27">
        <v>0.81794</v>
      </c>
      <c r="G949" s="11">
        <f t="shared" si="58"/>
        <v>-3.8000000000001457E-3</v>
      </c>
      <c r="H949" s="12">
        <f t="shared" si="59"/>
        <v>1.1774200000000139</v>
      </c>
    </row>
    <row r="950" spans="1:8" ht="14.25" thickBot="1">
      <c r="A950" s="18">
        <v>94.7</v>
      </c>
      <c r="B950" s="27">
        <v>0.81681999999999999</v>
      </c>
      <c r="C950" s="11">
        <f t="shared" si="56"/>
        <v>-3.7999999999995754E-3</v>
      </c>
      <c r="D950" s="12">
        <f t="shared" si="57"/>
        <v>1.1766799999999598</v>
      </c>
      <c r="E950" s="18">
        <v>94.7</v>
      </c>
      <c r="F950" s="27">
        <v>0.81755999999999995</v>
      </c>
      <c r="G950" s="11">
        <f t="shared" si="58"/>
        <v>-3.7999999999995754E-3</v>
      </c>
      <c r="H950" s="12">
        <f t="shared" si="59"/>
        <v>1.1774199999999597</v>
      </c>
    </row>
    <row r="951" spans="1:8" ht="14.25" thickBot="1">
      <c r="A951" s="18">
        <v>94.8</v>
      </c>
      <c r="B951" s="27">
        <v>0.81644000000000005</v>
      </c>
      <c r="C951" s="11">
        <f t="shared" si="56"/>
        <v>-3.8999999999996819E-3</v>
      </c>
      <c r="D951" s="12">
        <f t="shared" si="57"/>
        <v>1.1861599999999699</v>
      </c>
      <c r="E951" s="18">
        <v>94.8</v>
      </c>
      <c r="F951" s="27">
        <v>0.81718000000000002</v>
      </c>
      <c r="G951" s="11">
        <f t="shared" si="58"/>
        <v>-3.8999999999996819E-3</v>
      </c>
      <c r="H951" s="12">
        <f t="shared" si="59"/>
        <v>1.1868999999999699</v>
      </c>
    </row>
    <row r="952" spans="1:8" ht="14.25" thickBot="1">
      <c r="A952" s="18">
        <v>94.9</v>
      </c>
      <c r="B952" s="27">
        <v>0.81605000000000005</v>
      </c>
      <c r="C952" s="11">
        <f t="shared" si="56"/>
        <v>-3.9000000000002357E-3</v>
      </c>
      <c r="D952" s="12">
        <f t="shared" si="57"/>
        <v>1.1861600000000223</v>
      </c>
      <c r="E952" s="18">
        <v>94.9</v>
      </c>
      <c r="F952" s="27">
        <v>0.81679000000000002</v>
      </c>
      <c r="G952" s="11">
        <f t="shared" si="58"/>
        <v>-4.0000000000008969E-3</v>
      </c>
      <c r="H952" s="12">
        <f t="shared" si="59"/>
        <v>1.1963900000000851</v>
      </c>
    </row>
    <row r="953" spans="1:8" ht="14.25" thickBot="1">
      <c r="A953" s="9">
        <v>95</v>
      </c>
      <c r="B953" s="19">
        <v>0.81566000000000005</v>
      </c>
      <c r="C953" s="11">
        <f t="shared" si="56"/>
        <v>-3.8000000000006852E-3</v>
      </c>
      <c r="D953" s="12">
        <f t="shared" si="57"/>
        <v>1.1766600000000651</v>
      </c>
      <c r="E953" s="9">
        <v>95</v>
      </c>
      <c r="F953" s="19">
        <v>0.81638999999999995</v>
      </c>
      <c r="G953" s="11">
        <f t="shared" si="58"/>
        <v>-3.7999999999995754E-3</v>
      </c>
      <c r="H953" s="12">
        <f t="shared" si="59"/>
        <v>1.1773899999999597</v>
      </c>
    </row>
    <row r="954" spans="1:8" ht="14.25" thickBot="1">
      <c r="A954" s="18">
        <v>95.1</v>
      </c>
      <c r="B954" s="27">
        <v>0.81528</v>
      </c>
      <c r="C954" s="11">
        <f t="shared" si="56"/>
        <v>-3.8999999999996819E-3</v>
      </c>
      <c r="D954" s="12">
        <f t="shared" si="57"/>
        <v>1.1861699999999697</v>
      </c>
      <c r="E954" s="18">
        <v>95.1</v>
      </c>
      <c r="F954" s="27">
        <v>0.81601000000000001</v>
      </c>
      <c r="G954" s="11">
        <f t="shared" si="58"/>
        <v>-3.8999999999996819E-3</v>
      </c>
      <c r="H954" s="12">
        <f t="shared" si="59"/>
        <v>1.1868999999999696</v>
      </c>
    </row>
    <row r="955" spans="1:8" ht="14.25" thickBot="1">
      <c r="A955" s="18">
        <v>95.2</v>
      </c>
      <c r="B955" s="27">
        <v>0.81489</v>
      </c>
      <c r="C955" s="11">
        <f t="shared" si="56"/>
        <v>-3.9000000000002357E-3</v>
      </c>
      <c r="D955" s="12">
        <f t="shared" si="57"/>
        <v>1.1861700000000224</v>
      </c>
      <c r="E955" s="18">
        <v>95.2</v>
      </c>
      <c r="F955" s="27">
        <v>0.81562000000000001</v>
      </c>
      <c r="G955" s="11">
        <f t="shared" si="58"/>
        <v>-3.9000000000002357E-3</v>
      </c>
      <c r="H955" s="12">
        <f t="shared" si="59"/>
        <v>1.1869000000000225</v>
      </c>
    </row>
    <row r="956" spans="1:8" ht="14.25" thickBot="1">
      <c r="A956" s="18">
        <v>95.3</v>
      </c>
      <c r="B956" s="27">
        <v>0.8145</v>
      </c>
      <c r="C956" s="11">
        <f t="shared" si="56"/>
        <v>-3.9999999999992186E-3</v>
      </c>
      <c r="D956" s="12">
        <f t="shared" si="57"/>
        <v>1.1956999999999254</v>
      </c>
      <c r="E956" s="18">
        <v>95.3</v>
      </c>
      <c r="F956" s="27">
        <v>0.81523000000000001</v>
      </c>
      <c r="G956" s="11">
        <f t="shared" si="58"/>
        <v>-3.9999999999992186E-3</v>
      </c>
      <c r="H956" s="12">
        <f t="shared" si="59"/>
        <v>1.1964299999999255</v>
      </c>
    </row>
    <row r="957" spans="1:8" ht="14.25" thickBot="1">
      <c r="A957" s="18">
        <v>95.4</v>
      </c>
      <c r="B957" s="27">
        <v>0.81410000000000005</v>
      </c>
      <c r="C957" s="11">
        <f t="shared" si="56"/>
        <v>-3.9000000000002357E-3</v>
      </c>
      <c r="D957" s="12">
        <f t="shared" si="57"/>
        <v>1.1861600000000228</v>
      </c>
      <c r="E957" s="18">
        <v>95.4</v>
      </c>
      <c r="F957" s="27">
        <v>0.81483000000000005</v>
      </c>
      <c r="G957" s="11">
        <f t="shared" si="58"/>
        <v>-3.9000000000002357E-3</v>
      </c>
      <c r="H957" s="12">
        <f t="shared" si="59"/>
        <v>1.1868900000000226</v>
      </c>
    </row>
    <row r="958" spans="1:8" ht="14.25" thickBot="1">
      <c r="A958" s="18">
        <v>95.5</v>
      </c>
      <c r="B958" s="27">
        <v>0.81371000000000004</v>
      </c>
      <c r="C958" s="11">
        <f t="shared" si="56"/>
        <v>-4.0000000000008969E-3</v>
      </c>
      <c r="D958" s="12">
        <f t="shared" si="57"/>
        <v>1.1957100000000858</v>
      </c>
      <c r="E958" s="18">
        <v>95.5</v>
      </c>
      <c r="F958" s="27">
        <v>0.81444000000000005</v>
      </c>
      <c r="G958" s="11">
        <f t="shared" si="58"/>
        <v>-4.0000000000008969E-3</v>
      </c>
      <c r="H958" s="12">
        <f t="shared" si="59"/>
        <v>1.1964400000000857</v>
      </c>
    </row>
    <row r="959" spans="1:8" ht="14.25" thickBot="1">
      <c r="A959" s="18">
        <v>95.6</v>
      </c>
      <c r="B959" s="27">
        <v>0.81330999999999998</v>
      </c>
      <c r="C959" s="11">
        <f t="shared" si="56"/>
        <v>-3.9999999999992186E-3</v>
      </c>
      <c r="D959" s="12">
        <f t="shared" si="57"/>
        <v>1.1957099999999252</v>
      </c>
      <c r="E959" s="18">
        <v>95.6</v>
      </c>
      <c r="F959" s="27">
        <v>0.81403999999999999</v>
      </c>
      <c r="G959" s="11">
        <f t="shared" si="58"/>
        <v>-3.9999999999992186E-3</v>
      </c>
      <c r="H959" s="12">
        <f t="shared" si="59"/>
        <v>1.1964399999999253</v>
      </c>
    </row>
    <row r="960" spans="1:8" ht="14.25" thickBot="1">
      <c r="A960" s="18">
        <v>95.7</v>
      </c>
      <c r="B960" s="27">
        <v>0.81291000000000002</v>
      </c>
      <c r="C960" s="11">
        <f t="shared" si="56"/>
        <v>-4.0000000000008969E-3</v>
      </c>
      <c r="D960" s="12">
        <f t="shared" si="57"/>
        <v>1.195710000000086</v>
      </c>
      <c r="E960" s="18">
        <v>95.7</v>
      </c>
      <c r="F960" s="27">
        <v>0.81364000000000003</v>
      </c>
      <c r="G960" s="11">
        <f t="shared" si="58"/>
        <v>-4.0000000000008969E-3</v>
      </c>
      <c r="H960" s="12">
        <f t="shared" si="59"/>
        <v>1.1964400000000859</v>
      </c>
    </row>
    <row r="961" spans="1:8" ht="14.25" thickBot="1">
      <c r="A961" s="18">
        <v>95.8</v>
      </c>
      <c r="B961" s="27">
        <v>0.81250999999999995</v>
      </c>
      <c r="C961" s="11">
        <f t="shared" si="56"/>
        <v>-3.9999999999992186E-3</v>
      </c>
      <c r="D961" s="12">
        <f t="shared" si="57"/>
        <v>1.195709999999925</v>
      </c>
      <c r="E961" s="18">
        <v>95.8</v>
      </c>
      <c r="F961" s="27">
        <v>0.81323999999999996</v>
      </c>
      <c r="G961" s="11">
        <f t="shared" si="58"/>
        <v>-3.9999999999992186E-3</v>
      </c>
      <c r="H961" s="12">
        <f t="shared" si="59"/>
        <v>1.1964399999999251</v>
      </c>
    </row>
    <row r="962" spans="1:8" ht="14.25" thickBot="1">
      <c r="A962" s="18">
        <v>95.9</v>
      </c>
      <c r="B962" s="27">
        <v>0.81211</v>
      </c>
      <c r="C962" s="11">
        <f t="shared" si="56"/>
        <v>-3.9999999999997867E-3</v>
      </c>
      <c r="D962" s="12">
        <f t="shared" si="57"/>
        <v>1.1957099999999796</v>
      </c>
      <c r="E962" s="18">
        <v>95.9</v>
      </c>
      <c r="F962" s="27">
        <v>0.81284000000000001</v>
      </c>
      <c r="G962" s="11">
        <f t="shared" si="58"/>
        <v>-3.9999999999997867E-3</v>
      </c>
      <c r="H962" s="12">
        <f t="shared" si="59"/>
        <v>1.1964399999999795</v>
      </c>
    </row>
    <row r="963" spans="1:8" ht="14.25" thickBot="1">
      <c r="A963" s="9">
        <v>96</v>
      </c>
      <c r="B963" s="19">
        <v>0.81171000000000004</v>
      </c>
      <c r="C963" s="11">
        <f t="shared" si="56"/>
        <v>-4.1000000000004479E-3</v>
      </c>
      <c r="D963" s="12">
        <f t="shared" si="57"/>
        <v>1.205310000000043</v>
      </c>
      <c r="E963" s="9">
        <v>96</v>
      </c>
      <c r="F963" s="19">
        <v>0.81244000000000005</v>
      </c>
      <c r="G963" s="11">
        <f t="shared" si="58"/>
        <v>-4.1000000000004479E-3</v>
      </c>
      <c r="H963" s="12">
        <f t="shared" si="59"/>
        <v>1.2060400000000431</v>
      </c>
    </row>
    <row r="964" spans="1:8" ht="14.25" thickBot="1">
      <c r="A964" s="18">
        <v>96.1</v>
      </c>
      <c r="B964" s="27">
        <v>0.81130000000000002</v>
      </c>
      <c r="C964" s="11">
        <f t="shared" ref="C964:C1002" si="60">SLOPE(B964:B965,A964:A965)</f>
        <v>-4.0000000000003288E-3</v>
      </c>
      <c r="D964" s="12">
        <f t="shared" ref="D964:D1002" si="61">INTERCEPT(B964:B965,A964:A965)</f>
        <v>1.1957000000000315</v>
      </c>
      <c r="E964" s="18">
        <v>96.1</v>
      </c>
      <c r="F964" s="27">
        <v>0.81203000000000003</v>
      </c>
      <c r="G964" s="11">
        <f t="shared" ref="G964:G1002" si="62">SLOPE(F964:F965,E964:E965)</f>
        <v>-4.0000000000003288E-3</v>
      </c>
      <c r="H964" s="12">
        <f t="shared" ref="H964:H1002" si="63">INTERCEPT(F964:F965,E964:E965)</f>
        <v>1.1964300000000316</v>
      </c>
    </row>
    <row r="965" spans="1:8" ht="14.25" thickBot="1">
      <c r="A965" s="18">
        <v>96.2</v>
      </c>
      <c r="B965" s="27">
        <v>0.81089999999999995</v>
      </c>
      <c r="C965" s="11">
        <f t="shared" si="60"/>
        <v>-4.0999999999993377E-3</v>
      </c>
      <c r="D965" s="12">
        <f t="shared" si="61"/>
        <v>1.2053199999999362</v>
      </c>
      <c r="E965" s="18">
        <v>96.2</v>
      </c>
      <c r="F965" s="27">
        <v>0.81162999999999996</v>
      </c>
      <c r="G965" s="11">
        <f t="shared" si="62"/>
        <v>-4.0999999999993377E-3</v>
      </c>
      <c r="H965" s="12">
        <f t="shared" si="63"/>
        <v>1.2060499999999363</v>
      </c>
    </row>
    <row r="966" spans="1:8" ht="14.25" thickBot="1">
      <c r="A966" s="18">
        <v>96.3</v>
      </c>
      <c r="B966" s="27">
        <v>0.81049000000000004</v>
      </c>
      <c r="C966" s="11">
        <f t="shared" si="60"/>
        <v>-4.2000000000005115E-3</v>
      </c>
      <c r="D966" s="12">
        <f t="shared" si="61"/>
        <v>1.2149500000000493</v>
      </c>
      <c r="E966" s="18">
        <v>96.3</v>
      </c>
      <c r="F966" s="27">
        <v>0.81122000000000005</v>
      </c>
      <c r="G966" s="11">
        <f t="shared" si="62"/>
        <v>-4.2000000000005115E-3</v>
      </c>
      <c r="H966" s="12">
        <f t="shared" si="63"/>
        <v>1.2156800000000492</v>
      </c>
    </row>
    <row r="967" spans="1:8" ht="14.25" thickBot="1">
      <c r="A967" s="18">
        <v>96.4</v>
      </c>
      <c r="B967" s="27">
        <v>0.81006999999999996</v>
      </c>
      <c r="C967" s="11">
        <f t="shared" si="60"/>
        <v>-4.0999999999993377E-3</v>
      </c>
      <c r="D967" s="12">
        <f t="shared" si="61"/>
        <v>1.2053099999999362</v>
      </c>
      <c r="E967" s="18">
        <v>96.4</v>
      </c>
      <c r="F967" s="27">
        <v>0.81079999999999997</v>
      </c>
      <c r="G967" s="11">
        <f t="shared" si="62"/>
        <v>-4.0999999999993377E-3</v>
      </c>
      <c r="H967" s="12">
        <f t="shared" si="63"/>
        <v>1.2060399999999361</v>
      </c>
    </row>
    <row r="968" spans="1:8" ht="14.25" thickBot="1">
      <c r="A968" s="18">
        <v>96.5</v>
      </c>
      <c r="B968" s="27">
        <v>0.80966000000000005</v>
      </c>
      <c r="C968" s="11">
        <f t="shared" si="60"/>
        <v>-4.1000000000004479E-3</v>
      </c>
      <c r="D968" s="12">
        <f t="shared" si="61"/>
        <v>1.2053100000000434</v>
      </c>
      <c r="E968" s="18">
        <v>96.5</v>
      </c>
      <c r="F968" s="27">
        <v>0.81039000000000005</v>
      </c>
      <c r="G968" s="11">
        <f t="shared" si="62"/>
        <v>-4.1000000000004479E-3</v>
      </c>
      <c r="H968" s="12">
        <f t="shared" si="63"/>
        <v>1.2060400000000433</v>
      </c>
    </row>
    <row r="969" spans="1:8" ht="14.25" thickBot="1">
      <c r="A969" s="18">
        <v>96.6</v>
      </c>
      <c r="B969" s="15">
        <v>0.80925000000000002</v>
      </c>
      <c r="C969" s="11">
        <f t="shared" si="60"/>
        <v>-4.1999999999994013E-3</v>
      </c>
      <c r="D969" s="12">
        <f t="shared" si="61"/>
        <v>1.2149699999999422</v>
      </c>
      <c r="E969" s="18">
        <v>96.6</v>
      </c>
      <c r="F969" s="15">
        <v>0.80998000000000003</v>
      </c>
      <c r="G969" s="11">
        <f t="shared" si="62"/>
        <v>-4.2000000000005115E-3</v>
      </c>
      <c r="H969" s="12">
        <f t="shared" si="63"/>
        <v>1.2157000000000495</v>
      </c>
    </row>
    <row r="970" spans="1:8" ht="14.25" thickBot="1">
      <c r="A970" s="18">
        <v>96.7</v>
      </c>
      <c r="B970" s="27">
        <v>0.80883000000000005</v>
      </c>
      <c r="C970" s="11">
        <f t="shared" si="60"/>
        <v>-4.2000000000011074E-3</v>
      </c>
      <c r="D970" s="12">
        <f t="shared" si="61"/>
        <v>1.2149700000001071</v>
      </c>
      <c r="E970" s="18">
        <v>96.7</v>
      </c>
      <c r="F970" s="27">
        <v>0.80955999999999995</v>
      </c>
      <c r="G970" s="11">
        <f t="shared" si="62"/>
        <v>-4.199999999999998E-3</v>
      </c>
      <c r="H970" s="12">
        <f t="shared" si="63"/>
        <v>1.2156999999999998</v>
      </c>
    </row>
    <row r="971" spans="1:8" ht="14.25" thickBot="1">
      <c r="A971" s="18">
        <v>96.8</v>
      </c>
      <c r="B971" s="27">
        <v>0.80840999999999996</v>
      </c>
      <c r="C971" s="11">
        <f t="shared" si="60"/>
        <v>-4.1999999999994013E-3</v>
      </c>
      <c r="D971" s="12">
        <f t="shared" si="61"/>
        <v>1.2149699999999419</v>
      </c>
      <c r="E971" s="18">
        <v>96.8</v>
      </c>
      <c r="F971" s="27">
        <v>0.80913999999999997</v>
      </c>
      <c r="G971" s="11">
        <f t="shared" si="62"/>
        <v>-4.1999999999994004E-3</v>
      </c>
      <c r="H971" s="12">
        <f t="shared" si="63"/>
        <v>1.2156999999999418</v>
      </c>
    </row>
    <row r="972" spans="1:8" ht="14.25" thickBot="1">
      <c r="A972" s="18">
        <v>96.9</v>
      </c>
      <c r="B972" s="27">
        <v>0.80798999999999999</v>
      </c>
      <c r="C972" s="11">
        <f t="shared" si="60"/>
        <v>-4.3000000000006583E-3</v>
      </c>
      <c r="D972" s="12">
        <f t="shared" si="61"/>
        <v>1.2246600000000638</v>
      </c>
      <c r="E972" s="18">
        <v>96.9</v>
      </c>
      <c r="F972" s="27">
        <v>0.80871999999999999</v>
      </c>
      <c r="G972" s="11">
        <f t="shared" si="62"/>
        <v>-4.3000000000006583E-3</v>
      </c>
      <c r="H972" s="12">
        <f t="shared" si="63"/>
        <v>1.2253900000000639</v>
      </c>
    </row>
    <row r="973" spans="1:8" ht="14.25" thickBot="1">
      <c r="A973" s="9">
        <v>97</v>
      </c>
      <c r="B973" s="19">
        <v>0.80755999999999994</v>
      </c>
      <c r="C973" s="11">
        <f t="shared" si="60"/>
        <v>-4.199999999999998E-3</v>
      </c>
      <c r="D973" s="12">
        <f t="shared" si="61"/>
        <v>1.2149599999999998</v>
      </c>
      <c r="E973" s="9">
        <v>97</v>
      </c>
      <c r="F973" s="19">
        <v>0.80828999999999995</v>
      </c>
      <c r="G973" s="11">
        <f t="shared" si="62"/>
        <v>-4.199999999999998E-3</v>
      </c>
      <c r="H973" s="12">
        <f t="shared" si="63"/>
        <v>1.2156899999999997</v>
      </c>
    </row>
    <row r="974" spans="1:8" ht="14.25" thickBot="1">
      <c r="A974" s="18">
        <v>97.1</v>
      </c>
      <c r="B974" s="27">
        <v>0.80713999999999997</v>
      </c>
      <c r="C974" s="11">
        <f t="shared" si="60"/>
        <v>-4.2999999999989375E-3</v>
      </c>
      <c r="D974" s="12">
        <f t="shared" si="61"/>
        <v>1.2246699999998967</v>
      </c>
      <c r="E974" s="18">
        <v>97.1</v>
      </c>
      <c r="F974" s="27">
        <v>0.80786999999999998</v>
      </c>
      <c r="G974" s="11">
        <f t="shared" si="62"/>
        <v>-4.2999999999989375E-3</v>
      </c>
      <c r="H974" s="12">
        <f t="shared" si="63"/>
        <v>1.2253999999998968</v>
      </c>
    </row>
    <row r="975" spans="1:8" ht="14.25" thickBot="1">
      <c r="A975" s="18">
        <v>97.2</v>
      </c>
      <c r="B975" s="27">
        <v>0.80671000000000004</v>
      </c>
      <c r="C975" s="11">
        <f t="shared" si="60"/>
        <v>-4.3000000000006583E-3</v>
      </c>
      <c r="D975" s="12">
        <f t="shared" si="61"/>
        <v>1.2246700000000641</v>
      </c>
      <c r="E975" s="18">
        <v>97.2</v>
      </c>
      <c r="F975" s="27">
        <v>0.80744000000000005</v>
      </c>
      <c r="G975" s="11">
        <f t="shared" si="62"/>
        <v>-4.3000000000006583E-3</v>
      </c>
      <c r="H975" s="12">
        <f t="shared" si="63"/>
        <v>1.225400000000064</v>
      </c>
    </row>
    <row r="976" spans="1:8" ht="14.25" thickBot="1">
      <c r="A976" s="18">
        <v>97.3</v>
      </c>
      <c r="B976" s="27">
        <v>0.80628</v>
      </c>
      <c r="C976" s="11">
        <f t="shared" si="60"/>
        <v>-4.3999999999995839E-3</v>
      </c>
      <c r="D976" s="12">
        <f t="shared" si="61"/>
        <v>1.2343999999999595</v>
      </c>
      <c r="E976" s="18">
        <v>97.3</v>
      </c>
      <c r="F976" s="27">
        <v>0.80701000000000001</v>
      </c>
      <c r="G976" s="11">
        <f t="shared" si="62"/>
        <v>-4.3999999999995839E-3</v>
      </c>
      <c r="H976" s="12">
        <f t="shared" si="63"/>
        <v>1.2351299999999594</v>
      </c>
    </row>
    <row r="977" spans="1:8" ht="14.25" thickBot="1">
      <c r="A977" s="18">
        <v>97.4</v>
      </c>
      <c r="B977" s="27">
        <v>0.80584</v>
      </c>
      <c r="C977" s="11">
        <f t="shared" si="60"/>
        <v>-4.3000000000006583E-3</v>
      </c>
      <c r="D977" s="12">
        <f t="shared" si="61"/>
        <v>1.2246600000000643</v>
      </c>
      <c r="E977" s="18">
        <v>97.4</v>
      </c>
      <c r="F977" s="27">
        <v>0.80657000000000001</v>
      </c>
      <c r="G977" s="11">
        <f t="shared" si="62"/>
        <v>-4.3000000000006583E-3</v>
      </c>
      <c r="H977" s="12">
        <f t="shared" si="63"/>
        <v>1.2253900000000642</v>
      </c>
    </row>
    <row r="978" spans="1:8" ht="14.25" thickBot="1">
      <c r="A978" s="18">
        <v>97.5</v>
      </c>
      <c r="B978" s="27">
        <v>0.80540999999999996</v>
      </c>
      <c r="C978" s="11">
        <f t="shared" si="60"/>
        <v>-4.4000000000002093E-3</v>
      </c>
      <c r="D978" s="12">
        <f t="shared" si="61"/>
        <v>1.2344100000000204</v>
      </c>
      <c r="E978" s="18">
        <v>97.5</v>
      </c>
      <c r="F978" s="27">
        <v>0.80613999999999997</v>
      </c>
      <c r="G978" s="11">
        <f t="shared" si="62"/>
        <v>-4.4000000000002093E-3</v>
      </c>
      <c r="H978" s="12">
        <f t="shared" si="63"/>
        <v>1.2351400000000203</v>
      </c>
    </row>
    <row r="979" spans="1:8" ht="14.25" thickBot="1">
      <c r="A979" s="18">
        <v>97.6</v>
      </c>
      <c r="B979" s="27">
        <v>0.80496999999999996</v>
      </c>
      <c r="C979" s="11">
        <f t="shared" si="60"/>
        <v>-4.3999999999995839E-3</v>
      </c>
      <c r="D979" s="12">
        <f t="shared" si="61"/>
        <v>1.2344099999999594</v>
      </c>
      <c r="E979" s="18">
        <v>97.6</v>
      </c>
      <c r="F979" s="27">
        <v>0.80569999999999997</v>
      </c>
      <c r="G979" s="11">
        <f t="shared" si="62"/>
        <v>-4.499999999999121E-3</v>
      </c>
      <c r="H979" s="12">
        <f t="shared" si="63"/>
        <v>1.2448999999999142</v>
      </c>
    </row>
    <row r="980" spans="1:8" ht="14.25" thickBot="1">
      <c r="A980" s="18">
        <v>97.7</v>
      </c>
      <c r="B980" s="27">
        <v>0.80452999999999997</v>
      </c>
      <c r="C980" s="11">
        <f t="shared" si="60"/>
        <v>-4.4000000000002093E-3</v>
      </c>
      <c r="D980" s="12">
        <f t="shared" si="61"/>
        <v>1.2344100000000204</v>
      </c>
      <c r="E980" s="18">
        <v>97.7</v>
      </c>
      <c r="F980" s="27">
        <v>0.80525000000000002</v>
      </c>
      <c r="G980" s="11">
        <f t="shared" si="62"/>
        <v>-4.4000000000002093E-3</v>
      </c>
      <c r="H980" s="12">
        <f t="shared" si="63"/>
        <v>1.2351300000000205</v>
      </c>
    </row>
    <row r="981" spans="1:8" ht="14.25" thickBot="1">
      <c r="A981" s="18">
        <v>97.8</v>
      </c>
      <c r="B981" s="27">
        <v>0.80408999999999997</v>
      </c>
      <c r="C981" s="11">
        <f t="shared" si="60"/>
        <v>-4.499999999999121E-3</v>
      </c>
      <c r="D981" s="12">
        <f t="shared" si="61"/>
        <v>1.244189999999914</v>
      </c>
      <c r="E981" s="18">
        <v>97.8</v>
      </c>
      <c r="F981" s="27">
        <v>0.80481000000000003</v>
      </c>
      <c r="G981" s="11">
        <f t="shared" si="62"/>
        <v>-4.5000000000002312E-3</v>
      </c>
      <c r="H981" s="12">
        <f t="shared" si="63"/>
        <v>1.2449100000000226</v>
      </c>
    </row>
    <row r="982" spans="1:8" ht="14.25" thickBot="1">
      <c r="A982" s="18">
        <v>97.9</v>
      </c>
      <c r="B982" s="27">
        <v>0.80364000000000002</v>
      </c>
      <c r="C982" s="11">
        <f t="shared" si="60"/>
        <v>-4.5000000000008696E-3</v>
      </c>
      <c r="D982" s="12">
        <f t="shared" si="61"/>
        <v>1.2441900000000852</v>
      </c>
      <c r="E982" s="18">
        <v>97.9</v>
      </c>
      <c r="F982" s="27">
        <v>0.80435999999999996</v>
      </c>
      <c r="G982" s="11">
        <f t="shared" si="62"/>
        <v>-4.4999999999997603E-3</v>
      </c>
      <c r="H982" s="12">
        <f t="shared" si="63"/>
        <v>1.2449099999999766</v>
      </c>
    </row>
    <row r="983" spans="1:8" ht="14.25" thickBot="1">
      <c r="A983" s="9">
        <v>98</v>
      </c>
      <c r="B983" s="19">
        <v>0.80318999999999996</v>
      </c>
      <c r="C983" s="11">
        <f t="shared" si="60"/>
        <v>-4.4999999999997603E-3</v>
      </c>
      <c r="D983" s="12">
        <f t="shared" si="61"/>
        <v>1.2441899999999764</v>
      </c>
      <c r="E983" s="9">
        <v>98</v>
      </c>
      <c r="F983" s="19">
        <v>0.80391000000000001</v>
      </c>
      <c r="G983" s="11">
        <f t="shared" si="62"/>
        <v>-4.5000000000008696E-3</v>
      </c>
      <c r="H983" s="12">
        <f t="shared" si="63"/>
        <v>1.2449100000000852</v>
      </c>
    </row>
    <row r="984" spans="1:8" ht="14.25" thickBot="1">
      <c r="A984" s="18">
        <v>98.1</v>
      </c>
      <c r="B984" s="27">
        <v>0.80274000000000001</v>
      </c>
      <c r="C984" s="11">
        <f t="shared" si="60"/>
        <v>-4.5000000000002312E-3</v>
      </c>
      <c r="D984" s="12">
        <f t="shared" si="61"/>
        <v>1.2441900000000228</v>
      </c>
      <c r="E984" s="18">
        <v>98.1</v>
      </c>
      <c r="F984" s="27">
        <v>0.80345999999999995</v>
      </c>
      <c r="G984" s="11">
        <f t="shared" si="62"/>
        <v>-4.499999999999121E-3</v>
      </c>
      <c r="H984" s="12">
        <f t="shared" si="63"/>
        <v>1.2449099999999138</v>
      </c>
    </row>
    <row r="985" spans="1:8" ht="14.25" thickBot="1">
      <c r="A985" s="18">
        <v>98.2</v>
      </c>
      <c r="B985" s="27">
        <v>0.80228999999999995</v>
      </c>
      <c r="C985" s="11">
        <f t="shared" si="60"/>
        <v>-4.5999999999993104E-3</v>
      </c>
      <c r="D985" s="12">
        <f t="shared" si="61"/>
        <v>1.2540099999999321</v>
      </c>
      <c r="E985" s="18">
        <v>98.2</v>
      </c>
      <c r="F985" s="27">
        <v>0.80301</v>
      </c>
      <c r="G985" s="11">
        <f t="shared" si="62"/>
        <v>-4.6000000000004206E-3</v>
      </c>
      <c r="H985" s="12">
        <f t="shared" si="63"/>
        <v>1.2547300000000414</v>
      </c>
    </row>
    <row r="986" spans="1:8" ht="14.25" thickBot="1">
      <c r="A986" s="18">
        <v>98.3</v>
      </c>
      <c r="B986" s="27">
        <v>0.80183000000000004</v>
      </c>
      <c r="C986" s="11">
        <f t="shared" si="60"/>
        <v>-4.5999999999997675E-3</v>
      </c>
      <c r="D986" s="12">
        <f t="shared" si="61"/>
        <v>1.2540099999999772</v>
      </c>
      <c r="E986" s="18">
        <v>98.3</v>
      </c>
      <c r="F986" s="27">
        <v>0.80254999999999999</v>
      </c>
      <c r="G986" s="11">
        <f t="shared" si="62"/>
        <v>-4.5999999999997675E-3</v>
      </c>
      <c r="H986" s="12">
        <f t="shared" si="63"/>
        <v>1.254729999999977</v>
      </c>
    </row>
    <row r="987" spans="1:8" ht="14.25" thickBot="1">
      <c r="A987" s="18">
        <v>98.4</v>
      </c>
      <c r="B987" s="27">
        <v>0.80137000000000003</v>
      </c>
      <c r="C987" s="11">
        <f t="shared" si="60"/>
        <v>-4.7000000000010818E-3</v>
      </c>
      <c r="D987" s="12">
        <f t="shared" si="61"/>
        <v>1.2638500000001065</v>
      </c>
      <c r="E987" s="18">
        <v>98.4</v>
      </c>
      <c r="F987" s="27">
        <v>0.80208999999999997</v>
      </c>
      <c r="G987" s="11">
        <f t="shared" si="62"/>
        <v>-4.6999999999999716E-3</v>
      </c>
      <c r="H987" s="12">
        <f t="shared" si="63"/>
        <v>1.2645699999999973</v>
      </c>
    </row>
    <row r="988" spans="1:8" ht="14.25" thickBot="1">
      <c r="A988" s="18">
        <v>98.5</v>
      </c>
      <c r="B988" s="27">
        <v>0.80089999999999995</v>
      </c>
      <c r="C988" s="11">
        <f t="shared" si="60"/>
        <v>-4.5999999999993104E-3</v>
      </c>
      <c r="D988" s="12">
        <f t="shared" si="61"/>
        <v>1.2539999999999321</v>
      </c>
      <c r="E988" s="18">
        <v>98.5</v>
      </c>
      <c r="F988" s="27">
        <v>0.80162</v>
      </c>
      <c r="G988" s="11">
        <f t="shared" si="62"/>
        <v>-4.6000000000004206E-3</v>
      </c>
      <c r="H988" s="12">
        <f t="shared" si="63"/>
        <v>1.2547200000000416</v>
      </c>
    </row>
    <row r="989" spans="1:8" ht="14.25" thickBot="1">
      <c r="A989" s="18">
        <v>98.6</v>
      </c>
      <c r="B989" s="27">
        <v>0.80044000000000004</v>
      </c>
      <c r="C989" s="11">
        <f t="shared" si="60"/>
        <v>-4.7000000000004139E-3</v>
      </c>
      <c r="D989" s="12">
        <f t="shared" si="61"/>
        <v>1.2638600000000408</v>
      </c>
      <c r="E989" s="18">
        <v>98.6</v>
      </c>
      <c r="F989" s="27">
        <v>0.80115999999999998</v>
      </c>
      <c r="G989" s="11">
        <f t="shared" si="62"/>
        <v>-4.6999999999993028E-3</v>
      </c>
      <c r="H989" s="12">
        <f t="shared" si="63"/>
        <v>1.2645799999999312</v>
      </c>
    </row>
    <row r="990" spans="1:8" ht="14.25" thickBot="1">
      <c r="A990" s="18">
        <v>98.7</v>
      </c>
      <c r="B990" s="27">
        <v>0.79996999999999996</v>
      </c>
      <c r="C990" s="11">
        <f t="shared" si="60"/>
        <v>-4.7999999999995225E-3</v>
      </c>
      <c r="D990" s="12">
        <f t="shared" si="61"/>
        <v>1.273729999999953</v>
      </c>
      <c r="E990" s="18">
        <v>98.7</v>
      </c>
      <c r="F990" s="27">
        <v>0.80069000000000001</v>
      </c>
      <c r="G990" s="11">
        <f t="shared" si="62"/>
        <v>-4.8000000000006319E-3</v>
      </c>
      <c r="H990" s="12">
        <f t="shared" si="63"/>
        <v>1.2744500000000625</v>
      </c>
    </row>
    <row r="991" spans="1:8" ht="14.25" thickBot="1">
      <c r="A991" s="18">
        <v>98.8</v>
      </c>
      <c r="B991" s="27">
        <v>0.79949000000000003</v>
      </c>
      <c r="C991" s="11">
        <f t="shared" si="60"/>
        <v>-4.7000000000004139E-3</v>
      </c>
      <c r="D991" s="12">
        <f t="shared" si="61"/>
        <v>1.263850000000041</v>
      </c>
      <c r="E991" s="18">
        <v>98.8</v>
      </c>
      <c r="F991" s="27">
        <v>0.80020999999999998</v>
      </c>
      <c r="G991" s="11">
        <f t="shared" si="62"/>
        <v>-4.6999999999993028E-3</v>
      </c>
      <c r="H991" s="12">
        <f t="shared" si="63"/>
        <v>1.2645699999999311</v>
      </c>
    </row>
    <row r="992" spans="1:8" ht="14.25" thickBot="1">
      <c r="A992" s="18">
        <v>98.9</v>
      </c>
      <c r="B992" s="27">
        <v>0.79901999999999995</v>
      </c>
      <c r="C992" s="11">
        <f t="shared" si="60"/>
        <v>-4.7999999999995225E-3</v>
      </c>
      <c r="D992" s="12">
        <f t="shared" si="61"/>
        <v>1.2737399999999528</v>
      </c>
      <c r="E992" s="18">
        <v>98.9</v>
      </c>
      <c r="F992" s="27">
        <v>0.79974000000000001</v>
      </c>
      <c r="G992" s="11">
        <f t="shared" si="62"/>
        <v>-4.8000000000006319E-3</v>
      </c>
      <c r="H992" s="12">
        <f t="shared" si="63"/>
        <v>1.2744600000000625</v>
      </c>
    </row>
    <row r="993" spans="1:8" ht="14.25" thickBot="1">
      <c r="A993" s="9">
        <v>99</v>
      </c>
      <c r="B993" s="19">
        <v>0.79854000000000003</v>
      </c>
      <c r="C993" s="11">
        <f t="shared" si="60"/>
        <v>-4.9000000000001829E-3</v>
      </c>
      <c r="D993" s="12">
        <f t="shared" si="61"/>
        <v>1.2836400000000181</v>
      </c>
      <c r="E993" s="9">
        <v>99</v>
      </c>
      <c r="F993" s="19">
        <v>0.79925999999999997</v>
      </c>
      <c r="G993" s="11">
        <f t="shared" si="62"/>
        <v>-4.9000000000001829E-3</v>
      </c>
      <c r="H993" s="12">
        <f t="shared" si="63"/>
        <v>1.2843600000000182</v>
      </c>
    </row>
    <row r="994" spans="1:8" ht="14.25" thickBot="1">
      <c r="A994" s="18">
        <v>99.1</v>
      </c>
      <c r="B994" s="27">
        <v>0.79805000000000004</v>
      </c>
      <c r="C994" s="11">
        <f t="shared" si="60"/>
        <v>-4.8999999999994864E-3</v>
      </c>
      <c r="D994" s="12">
        <f t="shared" si="61"/>
        <v>1.2836399999999493</v>
      </c>
      <c r="E994" s="18">
        <v>99.1</v>
      </c>
      <c r="F994" s="27">
        <v>0.79876999999999998</v>
      </c>
      <c r="G994" s="11">
        <f t="shared" si="62"/>
        <v>-4.8999999999994864E-3</v>
      </c>
      <c r="H994" s="12">
        <f t="shared" si="63"/>
        <v>1.2843599999999491</v>
      </c>
    </row>
    <row r="995" spans="1:8" ht="14.25" thickBot="1">
      <c r="A995" s="18">
        <v>99.2</v>
      </c>
      <c r="B995" s="27">
        <v>0.79756000000000005</v>
      </c>
      <c r="C995" s="11">
        <f t="shared" si="60"/>
        <v>-4.9000000000012931E-3</v>
      </c>
      <c r="D995" s="12">
        <f t="shared" si="61"/>
        <v>1.2836400000001285</v>
      </c>
      <c r="E995" s="18">
        <v>99.2</v>
      </c>
      <c r="F995" s="27">
        <v>0.79827999999999999</v>
      </c>
      <c r="G995" s="11">
        <f t="shared" si="62"/>
        <v>-4.9000000000001829E-3</v>
      </c>
      <c r="H995" s="12">
        <f t="shared" si="63"/>
        <v>1.2843600000000182</v>
      </c>
    </row>
    <row r="996" spans="1:8" ht="14.25" thickBot="1">
      <c r="A996" s="18">
        <v>99.3</v>
      </c>
      <c r="B996" s="27">
        <v>0.79706999999999995</v>
      </c>
      <c r="C996" s="11">
        <f t="shared" si="60"/>
        <v>-4.9999999999990235E-3</v>
      </c>
      <c r="D996" s="12">
        <f t="shared" si="61"/>
        <v>1.2935699999999029</v>
      </c>
      <c r="E996" s="18">
        <v>99.3</v>
      </c>
      <c r="F996" s="27">
        <v>0.79779</v>
      </c>
      <c r="G996" s="11">
        <f t="shared" si="62"/>
        <v>-4.9999999999990235E-3</v>
      </c>
      <c r="H996" s="12">
        <f t="shared" si="63"/>
        <v>1.2942899999999029</v>
      </c>
    </row>
    <row r="997" spans="1:8" ht="14.25" thickBot="1">
      <c r="A997" s="18">
        <v>99.4</v>
      </c>
      <c r="B997" s="27">
        <v>0.79657</v>
      </c>
      <c r="C997" s="11">
        <f t="shared" si="60"/>
        <v>-4.9999999999997338E-3</v>
      </c>
      <c r="D997" s="12">
        <f t="shared" si="61"/>
        <v>1.2935699999999737</v>
      </c>
      <c r="E997" s="18">
        <v>99.4</v>
      </c>
      <c r="F997" s="27">
        <v>0.79729000000000005</v>
      </c>
      <c r="G997" s="11">
        <f t="shared" si="62"/>
        <v>-5.0000000000008432E-3</v>
      </c>
      <c r="H997" s="12">
        <f t="shared" si="63"/>
        <v>1.2942900000000839</v>
      </c>
    </row>
    <row r="998" spans="1:8" ht="14.25" thickBot="1">
      <c r="A998" s="18">
        <v>99.5</v>
      </c>
      <c r="B998" s="27">
        <v>0.79607000000000006</v>
      </c>
      <c r="C998" s="11">
        <f t="shared" si="60"/>
        <v>-5.0000000000008432E-3</v>
      </c>
      <c r="D998" s="12">
        <f t="shared" si="61"/>
        <v>1.2935700000000838</v>
      </c>
      <c r="E998" s="18">
        <v>99.5</v>
      </c>
      <c r="F998" s="27">
        <v>0.79679</v>
      </c>
      <c r="G998" s="11">
        <f t="shared" si="62"/>
        <v>-4.9999999999997338E-3</v>
      </c>
      <c r="H998" s="12">
        <f t="shared" si="63"/>
        <v>1.2942899999999735</v>
      </c>
    </row>
    <row r="999" spans="1:8" ht="14.25" thickBot="1">
      <c r="A999" s="18">
        <v>99.6</v>
      </c>
      <c r="B999" s="27">
        <v>0.79557</v>
      </c>
      <c r="C999" s="11">
        <f t="shared" si="60"/>
        <v>-5.099999999999669E-3</v>
      </c>
      <c r="D999" s="12">
        <f t="shared" si="61"/>
        <v>1.303529999999967</v>
      </c>
      <c r="E999" s="18">
        <v>99.6</v>
      </c>
      <c r="F999" s="27">
        <v>0.79629000000000005</v>
      </c>
      <c r="G999" s="11">
        <f t="shared" si="62"/>
        <v>-5.099999999999669E-3</v>
      </c>
      <c r="H999" s="12">
        <f t="shared" si="63"/>
        <v>1.304249999999967</v>
      </c>
    </row>
    <row r="1000" spans="1:8" ht="14.25" thickBot="1">
      <c r="A1000" s="18">
        <v>99.7</v>
      </c>
      <c r="B1000" s="27">
        <v>0.79505999999999999</v>
      </c>
      <c r="C1000" s="11">
        <f t="shared" si="60"/>
        <v>-5.1000000000003933E-3</v>
      </c>
      <c r="D1000" s="12">
        <f t="shared" si="61"/>
        <v>1.3035300000000394</v>
      </c>
      <c r="E1000" s="18">
        <v>99.7</v>
      </c>
      <c r="F1000" s="27">
        <v>0.79578000000000004</v>
      </c>
      <c r="G1000" s="11">
        <f t="shared" si="62"/>
        <v>-5.1000000000003933E-3</v>
      </c>
      <c r="H1000" s="12">
        <f t="shared" si="63"/>
        <v>1.3042500000000392</v>
      </c>
    </row>
    <row r="1001" spans="1:8" ht="14.25" thickBot="1">
      <c r="A1001" s="18">
        <v>99.8</v>
      </c>
      <c r="B1001" s="27">
        <v>0.79454999999999998</v>
      </c>
      <c r="C1001" s="11">
        <f t="shared" si="60"/>
        <v>-5.1999999999992053E-3</v>
      </c>
      <c r="D1001" s="12">
        <f t="shared" si="61"/>
        <v>1.3135099999999205</v>
      </c>
      <c r="E1001" s="18">
        <v>99.8</v>
      </c>
      <c r="F1001" s="27">
        <v>0.79527000000000003</v>
      </c>
      <c r="G1001" s="11">
        <f t="shared" si="62"/>
        <v>-5.2000000000003155E-3</v>
      </c>
      <c r="H1001" s="12">
        <f t="shared" si="63"/>
        <v>1.3142300000000313</v>
      </c>
    </row>
    <row r="1002" spans="1:8" ht="14.25" thickBot="1">
      <c r="A1002" s="18">
        <v>99.9</v>
      </c>
      <c r="B1002" s="27">
        <v>0.79403000000000001</v>
      </c>
      <c r="C1002" s="11">
        <f t="shared" si="60"/>
        <v>-5.1999999999999443E-3</v>
      </c>
      <c r="D1002" s="12">
        <f t="shared" si="61"/>
        <v>1.3135099999999946</v>
      </c>
      <c r="E1002" s="18">
        <v>99.9</v>
      </c>
      <c r="F1002" s="27">
        <v>0.79474999999999996</v>
      </c>
      <c r="G1002" s="11">
        <f t="shared" si="62"/>
        <v>-5.2999999999994952E-3</v>
      </c>
      <c r="H1002" s="12">
        <f t="shared" si="63"/>
        <v>1.3242199999999495</v>
      </c>
    </row>
    <row r="1003" spans="1:8" ht="14.25" thickBot="1">
      <c r="A1003" s="9">
        <v>100</v>
      </c>
      <c r="B1003" s="19">
        <v>0.79351000000000005</v>
      </c>
      <c r="C1003" s="30"/>
      <c r="D1003" s="12"/>
      <c r="E1003" s="9">
        <v>100</v>
      </c>
      <c r="F1003" s="19">
        <v>0.79422000000000004</v>
      </c>
      <c r="G1003" s="30"/>
      <c r="H1003" s="12"/>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はじめに</vt:lpstr>
      <vt:lpstr>操作方法</vt:lpstr>
      <vt:lpstr>目標値</vt:lpstr>
      <vt:lpstr>グラフ</vt:lpstr>
      <vt:lpstr>〇号</vt:lpstr>
      <vt:lpstr>比較</vt:lpstr>
      <vt:lpstr>各種計算式等（配付時非表示）</vt:lpstr>
      <vt:lpstr>〇号!Print_Area</vt:lpstr>
      <vt:lpstr>はじめに!Print_Area</vt:lpstr>
      <vt:lpstr>操作方法!Print_Area</vt:lpstr>
      <vt:lpstr>目標値!Print_Area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国税庁</dc:creator>
  <cp:lastModifiedBy>鑑定_金子</cp:lastModifiedBy>
  <cp:lastPrinted>2026-01-08T06:08:04Z</cp:lastPrinted>
  <dcterms:created xsi:type="dcterms:W3CDTF">2020-06-25T05:47:34Z</dcterms:created>
  <dcterms:modified xsi:type="dcterms:W3CDTF">2026-02-06T07:18:36Z</dcterms:modified>
</cp:coreProperties>
</file>