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ml.chartshapes+xml"/>
  <Override PartName="/xl/comments2.xml" ContentType="application/vnd.openxmlformats-officedocument.spreadsheetml.comments+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1.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2.xml" ContentType="application/vnd.openxmlformats-officedocument.themeOverride+xml"/>
  <Override PartName="/xl/comments3.xml" ContentType="application/vnd.openxmlformats-officedocument.spreadsheetml.comments+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codeName="ThisWorkbook"/>
  <mc:AlternateContent xmlns:mc="http://schemas.openxmlformats.org/markup-compatibility/2006">
    <mc:Choice Requires="x15">
      <x15ac:absPath xmlns:x15ac="http://schemas.microsoft.com/office/spreadsheetml/2010/11/ac" url="M:\K0_鑑定官室\00_共有\03組織参考資料フォルダ\令和６事務年度\01_酒類\★もろみエール\"/>
    </mc:Choice>
  </mc:AlternateContent>
  <xr:revisionPtr revIDLastSave="0" documentId="13_ncr:1_{FADF21F2-7250-48C0-9F5E-378C0D187C8C}" xr6:coauthVersionLast="36" xr6:coauthVersionMax="36" xr10:uidLastSave="{00000000-0000-0000-0000-000000000000}"/>
  <bookViews>
    <workbookView xWindow="7155" yWindow="0" windowWidth="20505" windowHeight="7185" activeTab="1" xr2:uid="{00000000-000D-0000-FFFF-FFFF00000000}"/>
  </bookViews>
  <sheets>
    <sheet name="はじめに" sheetId="26" r:id="rId1"/>
    <sheet name="〇号" sheetId="18" r:id="rId2"/>
    <sheet name="目標値" sheetId="13" r:id="rId3"/>
    <sheet name="今回のグラフ" sheetId="23" r:id="rId4"/>
    <sheet name="原エキス分100％・発酵度など" sheetId="21" r:id="rId5"/>
    <sheet name="比較グラフ " sheetId="24" r:id="rId6"/>
    <sheet name="操作方法" sheetId="27" r:id="rId7"/>
    <sheet name="各種計算式等（配付時非表示）" sheetId="9" state="hidden" r:id="rId8"/>
  </sheets>
  <definedNames>
    <definedName name="_xlnm.Print_Area" localSheetId="1">〇号!$A$2:$BE$260</definedName>
    <definedName name="_xlnm.Print_Area" localSheetId="0">はじめに!$A$1:$K$15</definedName>
    <definedName name="_xlnm.Print_Area" localSheetId="2">目標値!$A$1:$N$54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I123" i="18" l="1"/>
  <c r="AI122" i="18"/>
  <c r="AG123" i="18"/>
  <c r="AG122" i="18"/>
  <c r="AE123" i="18"/>
  <c r="AE122" i="18"/>
  <c r="AC123" i="18"/>
  <c r="AC122" i="18"/>
  <c r="AA123" i="18"/>
  <c r="AA122" i="18"/>
  <c r="I37" i="18" l="1"/>
  <c r="M16" i="21"/>
  <c r="BC2" i="18" l="1"/>
  <c r="D6" i="21" l="1"/>
  <c r="D8" i="21"/>
  <c r="D7" i="21"/>
  <c r="D5" i="21" l="1"/>
  <c r="H4" i="18"/>
  <c r="AY115" i="18" l="1"/>
  <c r="AR115" i="18"/>
  <c r="AN94" i="18" l="1"/>
  <c r="AF93" i="18"/>
  <c r="AF94" i="18" s="1"/>
  <c r="AJ93" i="18"/>
  <c r="AJ94" i="18" s="1"/>
  <c r="AN93" i="18"/>
  <c r="AR93" i="18"/>
  <c r="AR94" i="18" s="1"/>
  <c r="AV93" i="18"/>
  <c r="AV94" i="18" s="1"/>
  <c r="AB93" i="18"/>
  <c r="AB94" i="18" s="1"/>
  <c r="AZ94" i="18" s="1"/>
  <c r="AZ93" i="18" l="1"/>
  <c r="N121" i="18"/>
  <c r="AR114" i="18" l="1"/>
  <c r="H19" i="13" l="1"/>
  <c r="AZ91" i="18"/>
  <c r="I105" i="18" l="1"/>
  <c r="F105" i="18"/>
  <c r="H87" i="18" l="1"/>
  <c r="H88" i="18"/>
  <c r="G204" i="18"/>
  <c r="J204" i="18"/>
  <c r="D204" i="18"/>
  <c r="G203" i="18"/>
  <c r="J203" i="18"/>
  <c r="D203" i="18"/>
  <c r="G197" i="18"/>
  <c r="J197" i="18"/>
  <c r="D197" i="18"/>
  <c r="J196" i="18"/>
  <c r="G196" i="18"/>
  <c r="D196" i="18"/>
  <c r="S160" i="18"/>
  <c r="G198" i="18" l="1"/>
  <c r="G199" i="18" s="1"/>
  <c r="D205" i="18"/>
  <c r="Y116" i="18" s="1"/>
  <c r="J198" i="18"/>
  <c r="J199" i="18" s="1"/>
  <c r="Y115" i="18"/>
  <c r="AR110" i="18" l="1"/>
  <c r="AR112" i="18" s="1"/>
  <c r="I115" i="18"/>
  <c r="O117" i="18"/>
  <c r="L117" i="18"/>
  <c r="I4" i="18" l="1"/>
  <c r="N4" i="18" s="1"/>
  <c r="S4" i="18" s="1"/>
  <c r="T4" i="18" s="1"/>
  <c r="U4" i="18" s="1"/>
  <c r="L115" i="18"/>
  <c r="T121" i="18" s="1"/>
  <c r="O115" i="18"/>
  <c r="AR104" i="18" l="1"/>
  <c r="V74" i="18"/>
  <c r="AV104" i="18" l="1"/>
  <c r="AV103" i="18"/>
  <c r="AR103" i="18"/>
  <c r="AN104" i="18"/>
  <c r="AN103" i="18"/>
  <c r="AJ104" i="18"/>
  <c r="AJ103" i="18"/>
  <c r="AF104" i="18"/>
  <c r="AF103" i="18"/>
  <c r="AB103" i="18" l="1"/>
  <c r="AZ103" i="18" s="1"/>
  <c r="AE115" i="18"/>
  <c r="AB115" i="18"/>
  <c r="AH112" i="18"/>
  <c r="AR119" i="18" l="1"/>
  <c r="AR116" i="18"/>
  <c r="AB104" i="18"/>
  <c r="AH115" i="18"/>
  <c r="AY116" i="18" s="1"/>
  <c r="S12" i="21"/>
  <c r="T12" i="21"/>
  <c r="U12" i="21"/>
  <c r="V12" i="21"/>
  <c r="W12" i="21"/>
  <c r="X12" i="21"/>
  <c r="Y12" i="21"/>
  <c r="Z12" i="21"/>
  <c r="AA12" i="21"/>
  <c r="AB12" i="21"/>
  <c r="AC12" i="21"/>
  <c r="AD12" i="21"/>
  <c r="AE12" i="21"/>
  <c r="AF12" i="21"/>
  <c r="AG12" i="21"/>
  <c r="AH12" i="21"/>
  <c r="AI12" i="21"/>
  <c r="AJ12" i="21"/>
  <c r="AK12" i="21"/>
  <c r="AL12" i="21"/>
  <c r="AM12" i="21"/>
  <c r="AN12" i="21"/>
  <c r="AO12" i="21"/>
  <c r="AP12" i="21"/>
  <c r="AQ12" i="21"/>
  <c r="F12" i="21"/>
  <c r="G12" i="21"/>
  <c r="H12" i="21"/>
  <c r="I12" i="21"/>
  <c r="J12" i="21"/>
  <c r="K12" i="21"/>
  <c r="L12" i="21"/>
  <c r="M12" i="21"/>
  <c r="N12" i="21"/>
  <c r="O12" i="21"/>
  <c r="P12" i="21"/>
  <c r="Q12" i="21"/>
  <c r="R12" i="21"/>
  <c r="E12" i="21"/>
  <c r="E13" i="21"/>
  <c r="F13" i="21"/>
  <c r="G13" i="21"/>
  <c r="H13" i="21"/>
  <c r="I13" i="21"/>
  <c r="J13" i="21"/>
  <c r="K13" i="21"/>
  <c r="L13" i="21"/>
  <c r="M13" i="21"/>
  <c r="N13" i="21"/>
  <c r="O13" i="21"/>
  <c r="P13" i="21"/>
  <c r="Q13" i="21"/>
  <c r="R13" i="21"/>
  <c r="S13" i="21"/>
  <c r="T13" i="21"/>
  <c r="U13" i="21"/>
  <c r="V13" i="21"/>
  <c r="W13" i="21"/>
  <c r="X13" i="21"/>
  <c r="Y13" i="21"/>
  <c r="Z13" i="21"/>
  <c r="AA13" i="21"/>
  <c r="AB13" i="21"/>
  <c r="AC13" i="21"/>
  <c r="AD13" i="21"/>
  <c r="AE13" i="21"/>
  <c r="AF13" i="21"/>
  <c r="AG13" i="21"/>
  <c r="AH13" i="21"/>
  <c r="AI13" i="21"/>
  <c r="AJ13" i="21"/>
  <c r="AK13" i="21"/>
  <c r="AL13" i="21"/>
  <c r="AM13" i="21"/>
  <c r="AN13" i="21"/>
  <c r="AO13" i="21"/>
  <c r="AP13" i="21"/>
  <c r="AQ13" i="21"/>
  <c r="AQ373" i="21" l="1"/>
  <c r="AP373" i="21"/>
  <c r="AO373" i="21"/>
  <c r="AN373" i="21"/>
  <c r="AM373" i="21"/>
  <c r="AL373" i="21"/>
  <c r="AK373" i="21"/>
  <c r="AJ373" i="21"/>
  <c r="AI373" i="21"/>
  <c r="AH373" i="21"/>
  <c r="AG373" i="21"/>
  <c r="AF373" i="21"/>
  <c r="AE373" i="21"/>
  <c r="AD373" i="21"/>
  <c r="AC373" i="21"/>
  <c r="AB373" i="21"/>
  <c r="AA373" i="21"/>
  <c r="Z373" i="21"/>
  <c r="Y373" i="21"/>
  <c r="X373" i="21"/>
  <c r="W373" i="21"/>
  <c r="V373" i="21"/>
  <c r="U373" i="21"/>
  <c r="T373" i="21"/>
  <c r="S373" i="21"/>
  <c r="R373" i="21"/>
  <c r="Q373" i="21"/>
  <c r="P373" i="21"/>
  <c r="O373" i="21"/>
  <c r="N373" i="21"/>
  <c r="M373" i="21"/>
  <c r="L373" i="21"/>
  <c r="K373" i="21"/>
  <c r="J373" i="21"/>
  <c r="I373" i="21"/>
  <c r="H373" i="21"/>
  <c r="G373" i="21"/>
  <c r="F373" i="21"/>
  <c r="E373" i="21"/>
  <c r="AQ331" i="21"/>
  <c r="AP331" i="21"/>
  <c r="AO331" i="21"/>
  <c r="AN331" i="21"/>
  <c r="AM331" i="21"/>
  <c r="AL331" i="21"/>
  <c r="AK331" i="21"/>
  <c r="AJ331" i="21"/>
  <c r="AI331" i="21"/>
  <c r="AH331" i="21"/>
  <c r="AG331" i="21"/>
  <c r="AF331" i="21"/>
  <c r="AE331" i="21"/>
  <c r="AD331" i="21"/>
  <c r="AC331" i="21"/>
  <c r="AB331" i="21"/>
  <c r="AA331" i="21"/>
  <c r="Z331" i="21"/>
  <c r="Y331" i="21"/>
  <c r="X331" i="21"/>
  <c r="W331" i="21"/>
  <c r="V331" i="21"/>
  <c r="U331" i="21"/>
  <c r="T331" i="21"/>
  <c r="S331" i="21"/>
  <c r="R331" i="21"/>
  <c r="Q331" i="21"/>
  <c r="P331" i="21"/>
  <c r="O331" i="21"/>
  <c r="N331" i="21"/>
  <c r="M331" i="21"/>
  <c r="L331" i="21"/>
  <c r="K331" i="21"/>
  <c r="J331" i="21"/>
  <c r="I331" i="21"/>
  <c r="H331" i="21"/>
  <c r="G331" i="21"/>
  <c r="F331" i="21"/>
  <c r="E331" i="21"/>
  <c r="AQ289" i="21"/>
  <c r="AP289" i="21"/>
  <c r="AO289" i="21"/>
  <c r="AN289" i="21"/>
  <c r="AM289" i="21"/>
  <c r="AL289" i="21"/>
  <c r="AK289" i="21"/>
  <c r="AJ289" i="21"/>
  <c r="AI289" i="21"/>
  <c r="AH289" i="21"/>
  <c r="AG289" i="21"/>
  <c r="AF289" i="21"/>
  <c r="AE289" i="21"/>
  <c r="AD289" i="21"/>
  <c r="AC289" i="21"/>
  <c r="AB289" i="21"/>
  <c r="AA289" i="21"/>
  <c r="Z289" i="21"/>
  <c r="Y289" i="21"/>
  <c r="X289" i="21"/>
  <c r="W289" i="21"/>
  <c r="V289" i="21"/>
  <c r="U289" i="21"/>
  <c r="T289" i="21"/>
  <c r="S289" i="21"/>
  <c r="R289" i="21"/>
  <c r="Q289" i="21"/>
  <c r="P289" i="21"/>
  <c r="O289" i="21"/>
  <c r="N289" i="21"/>
  <c r="M289" i="21"/>
  <c r="L289" i="21"/>
  <c r="K289" i="21"/>
  <c r="J289" i="21"/>
  <c r="I289" i="21"/>
  <c r="H289" i="21"/>
  <c r="G289" i="21"/>
  <c r="F289" i="21"/>
  <c r="E289" i="21"/>
  <c r="AQ247" i="21"/>
  <c r="AP247" i="21"/>
  <c r="AO247" i="21"/>
  <c r="AN247" i="21"/>
  <c r="AM247" i="21"/>
  <c r="AL247" i="21"/>
  <c r="AK247" i="21"/>
  <c r="AJ247" i="21"/>
  <c r="AI247" i="21"/>
  <c r="AH247" i="21"/>
  <c r="AG247" i="21"/>
  <c r="AF247" i="21"/>
  <c r="AE247" i="21"/>
  <c r="AD247" i="21"/>
  <c r="AC247" i="21"/>
  <c r="AB247" i="21"/>
  <c r="AA247" i="21"/>
  <c r="Z247" i="21"/>
  <c r="Y247" i="21"/>
  <c r="X247" i="21"/>
  <c r="W247" i="21"/>
  <c r="V247" i="21"/>
  <c r="U247" i="21"/>
  <c r="T247" i="21"/>
  <c r="S247" i="21"/>
  <c r="R247" i="21"/>
  <c r="Q247" i="21"/>
  <c r="P247" i="21"/>
  <c r="O247" i="21"/>
  <c r="N247" i="21"/>
  <c r="M247" i="21"/>
  <c r="L247" i="21"/>
  <c r="K247" i="21"/>
  <c r="J247" i="21"/>
  <c r="I247" i="21"/>
  <c r="H247" i="21"/>
  <c r="G247" i="21"/>
  <c r="F247" i="21"/>
  <c r="E247" i="21"/>
  <c r="AQ205" i="21"/>
  <c r="AP205" i="21"/>
  <c r="AO205" i="21"/>
  <c r="AN205" i="21"/>
  <c r="AM205" i="21"/>
  <c r="AL205" i="21"/>
  <c r="AK205" i="21"/>
  <c r="AJ205" i="21"/>
  <c r="AI205" i="21"/>
  <c r="AH205" i="21"/>
  <c r="AG205" i="21"/>
  <c r="AF205" i="21"/>
  <c r="AE205" i="21"/>
  <c r="AD205" i="21"/>
  <c r="AC205" i="21"/>
  <c r="AB205" i="21"/>
  <c r="AA205" i="21"/>
  <c r="Z205" i="21"/>
  <c r="Y205" i="21"/>
  <c r="X205" i="21"/>
  <c r="W205" i="21"/>
  <c r="V205" i="21"/>
  <c r="U205" i="21"/>
  <c r="T205" i="21"/>
  <c r="S205" i="21"/>
  <c r="R205" i="21"/>
  <c r="Q205" i="21"/>
  <c r="P205" i="21"/>
  <c r="O205" i="21"/>
  <c r="N205" i="21"/>
  <c r="M205" i="21"/>
  <c r="L205" i="21"/>
  <c r="K205" i="21"/>
  <c r="J205" i="21"/>
  <c r="I205" i="21"/>
  <c r="H205" i="21"/>
  <c r="G205" i="21"/>
  <c r="F205" i="21"/>
  <c r="E205"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F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E121"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E65" i="21" l="1"/>
  <c r="D444" i="21" l="1"/>
  <c r="D406" i="21"/>
  <c r="D360" i="21" l="1"/>
  <c r="AQ359" i="21"/>
  <c r="AP359" i="21"/>
  <c r="AO359" i="21"/>
  <c r="AN359" i="21"/>
  <c r="AM359" i="21"/>
  <c r="AL359" i="21"/>
  <c r="AK359" i="21"/>
  <c r="AJ359" i="21"/>
  <c r="AI359" i="21"/>
  <c r="AH359" i="21"/>
  <c r="AG359" i="21"/>
  <c r="AF359" i="21"/>
  <c r="AE359" i="21"/>
  <c r="AD359" i="21"/>
  <c r="AC359" i="21"/>
  <c r="AB359" i="21"/>
  <c r="AA359" i="21"/>
  <c r="Z359" i="21"/>
  <c r="Y359" i="21"/>
  <c r="X359" i="21"/>
  <c r="W359" i="21"/>
  <c r="V359" i="21"/>
  <c r="U359" i="21"/>
  <c r="T359" i="21"/>
  <c r="S359" i="21"/>
  <c r="R359" i="21"/>
  <c r="Q359" i="21"/>
  <c r="P359" i="21"/>
  <c r="O359" i="21"/>
  <c r="N359" i="21"/>
  <c r="M359" i="21"/>
  <c r="L359" i="21"/>
  <c r="K359" i="21"/>
  <c r="J359" i="21"/>
  <c r="I359" i="21"/>
  <c r="H359" i="21"/>
  <c r="G359" i="21"/>
  <c r="F359" i="21"/>
  <c r="E359" i="21"/>
  <c r="D318" i="21"/>
  <c r="AQ317" i="21"/>
  <c r="AP317" i="21"/>
  <c r="AO317" i="21"/>
  <c r="AN317" i="21"/>
  <c r="AM317" i="21"/>
  <c r="AL317" i="21"/>
  <c r="AK317" i="21"/>
  <c r="AJ317" i="21"/>
  <c r="AI317" i="21"/>
  <c r="AH317" i="21"/>
  <c r="AG317" i="21"/>
  <c r="AF317" i="21"/>
  <c r="AE317" i="21"/>
  <c r="AD317" i="21"/>
  <c r="AC317" i="21"/>
  <c r="AB317" i="21"/>
  <c r="AA317" i="21"/>
  <c r="Z317" i="21"/>
  <c r="Y317" i="21"/>
  <c r="X317" i="21"/>
  <c r="W317" i="21"/>
  <c r="V317" i="21"/>
  <c r="U317" i="21"/>
  <c r="T317" i="21"/>
  <c r="S317" i="21"/>
  <c r="R317" i="21"/>
  <c r="Q317" i="21"/>
  <c r="P317" i="21"/>
  <c r="O317" i="21"/>
  <c r="N317" i="21"/>
  <c r="M317" i="21"/>
  <c r="L317" i="21"/>
  <c r="K317" i="21"/>
  <c r="J317" i="21"/>
  <c r="I317" i="21"/>
  <c r="H317" i="21"/>
  <c r="G317" i="21"/>
  <c r="F317" i="21"/>
  <c r="E317" i="21"/>
  <c r="D276" i="21"/>
  <c r="AQ275" i="21"/>
  <c r="AP275" i="21"/>
  <c r="AO275" i="21"/>
  <c r="AN275" i="21"/>
  <c r="AM275" i="21"/>
  <c r="AL275" i="21"/>
  <c r="AK275" i="21"/>
  <c r="AJ275" i="21"/>
  <c r="AI275" i="21"/>
  <c r="AH275" i="21"/>
  <c r="AG275" i="21"/>
  <c r="AF275" i="21"/>
  <c r="AE275" i="21"/>
  <c r="AD275" i="21"/>
  <c r="AC275" i="21"/>
  <c r="AB275" i="21"/>
  <c r="AA275" i="21"/>
  <c r="Z275" i="21"/>
  <c r="Y275" i="21"/>
  <c r="X275" i="21"/>
  <c r="W275" i="21"/>
  <c r="V275" i="21"/>
  <c r="U275" i="21"/>
  <c r="T275" i="21"/>
  <c r="S275" i="21"/>
  <c r="R275" i="21"/>
  <c r="Q275" i="21"/>
  <c r="P275" i="21"/>
  <c r="O275" i="21"/>
  <c r="N275" i="21"/>
  <c r="M275" i="21"/>
  <c r="L275" i="21"/>
  <c r="K275" i="21"/>
  <c r="J275" i="21"/>
  <c r="I275" i="21"/>
  <c r="H275" i="21"/>
  <c r="G275" i="21"/>
  <c r="F275" i="21"/>
  <c r="E275" i="21"/>
  <c r="D234" i="21"/>
  <c r="E234" i="21" s="1"/>
  <c r="AQ233" i="21"/>
  <c r="AP233" i="21"/>
  <c r="AO233" i="21"/>
  <c r="AN233" i="21"/>
  <c r="AM233" i="21"/>
  <c r="AL233" i="21"/>
  <c r="AK233" i="21"/>
  <c r="AJ233" i="21"/>
  <c r="AI233" i="21"/>
  <c r="AH233" i="21"/>
  <c r="AG233" i="21"/>
  <c r="AF233" i="21"/>
  <c r="AE233" i="21"/>
  <c r="AD233" i="21"/>
  <c r="AC233" i="21"/>
  <c r="AB233" i="21"/>
  <c r="AA233" i="21"/>
  <c r="Z233" i="21"/>
  <c r="Y233" i="21"/>
  <c r="X233" i="21"/>
  <c r="W233" i="21"/>
  <c r="V233" i="21"/>
  <c r="U233" i="21"/>
  <c r="T233" i="21"/>
  <c r="S233" i="21"/>
  <c r="R233" i="21"/>
  <c r="Q233" i="21"/>
  <c r="P233" i="21"/>
  <c r="O233" i="21"/>
  <c r="N233" i="21"/>
  <c r="M233" i="21"/>
  <c r="L233" i="21"/>
  <c r="K233" i="21"/>
  <c r="J233" i="21"/>
  <c r="I233" i="21"/>
  <c r="H233" i="21"/>
  <c r="G233" i="21"/>
  <c r="F233" i="21"/>
  <c r="E233" i="21"/>
  <c r="D192"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F191" i="21"/>
  <c r="E191" i="21"/>
  <c r="D150"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08"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66" i="21"/>
  <c r="E66" i="21" s="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360" i="21" l="1"/>
  <c r="E318" i="21"/>
  <c r="E276" i="21"/>
  <c r="F234" i="21"/>
  <c r="E192" i="21"/>
  <c r="E150" i="21"/>
  <c r="F66" i="21"/>
  <c r="E108" i="21"/>
  <c r="F360" i="21" l="1"/>
  <c r="F318" i="21"/>
  <c r="F276" i="21"/>
  <c r="G234" i="21"/>
  <c r="F192" i="21"/>
  <c r="F150" i="21"/>
  <c r="F108" i="21"/>
  <c r="G360" i="21" l="1"/>
  <c r="G318" i="21"/>
  <c r="G276" i="21"/>
  <c r="H234" i="21"/>
  <c r="G192" i="21"/>
  <c r="G150" i="21"/>
  <c r="G108" i="21"/>
  <c r="G66" i="21"/>
  <c r="H360" i="21" l="1"/>
  <c r="H318" i="21"/>
  <c r="H276" i="21"/>
  <c r="I234" i="21"/>
  <c r="H192" i="21"/>
  <c r="H150" i="21"/>
  <c r="H108" i="21"/>
  <c r="H66" i="21"/>
  <c r="I360" i="21" l="1"/>
  <c r="I318" i="21"/>
  <c r="I276" i="21"/>
  <c r="J234" i="21"/>
  <c r="I192" i="21"/>
  <c r="I150" i="21"/>
  <c r="I108" i="21"/>
  <c r="I66" i="21"/>
  <c r="J360" i="21" l="1"/>
  <c r="J318" i="21"/>
  <c r="J276" i="21"/>
  <c r="K234" i="21"/>
  <c r="J192" i="21"/>
  <c r="J150" i="21"/>
  <c r="J108" i="21"/>
  <c r="J66" i="21"/>
  <c r="K360" i="21" l="1"/>
  <c r="K318" i="21"/>
  <c r="K276" i="21"/>
  <c r="L234" i="21"/>
  <c r="K192" i="21"/>
  <c r="K150" i="21"/>
  <c r="K108" i="21"/>
  <c r="K66" i="21"/>
  <c r="L360" i="21" l="1"/>
  <c r="L318" i="21"/>
  <c r="L276" i="21"/>
  <c r="M234" i="21"/>
  <c r="L192" i="21"/>
  <c r="L150" i="21"/>
  <c r="L108" i="21"/>
  <c r="L66" i="21"/>
  <c r="M360" i="21" l="1"/>
  <c r="M318" i="21"/>
  <c r="M276" i="21"/>
  <c r="N234" i="21"/>
  <c r="M192" i="21"/>
  <c r="M150" i="21"/>
  <c r="M108" i="21"/>
  <c r="M66" i="21"/>
  <c r="N360" i="21" l="1"/>
  <c r="N318" i="21"/>
  <c r="N276" i="21"/>
  <c r="O234" i="21"/>
  <c r="N192" i="21"/>
  <c r="N150" i="21"/>
  <c r="N108" i="21"/>
  <c r="N66" i="21"/>
  <c r="O360" i="21" l="1"/>
  <c r="O318" i="21"/>
  <c r="O276" i="21"/>
  <c r="P234" i="21"/>
  <c r="O192" i="21"/>
  <c r="O150" i="21"/>
  <c r="O108" i="21"/>
  <c r="O66" i="21"/>
  <c r="P360" i="21" l="1"/>
  <c r="P318" i="21"/>
  <c r="P276" i="21"/>
  <c r="Q234" i="21"/>
  <c r="P192" i="21"/>
  <c r="P150" i="21"/>
  <c r="P108" i="21"/>
  <c r="P66" i="21"/>
  <c r="Q360" i="21" l="1"/>
  <c r="Q318" i="21"/>
  <c r="Q276" i="21"/>
  <c r="R234" i="21"/>
  <c r="Q192" i="21"/>
  <c r="Q150" i="21"/>
  <c r="Q108" i="21"/>
  <c r="Q66" i="21"/>
  <c r="R360" i="21" l="1"/>
  <c r="R318" i="21"/>
  <c r="R276" i="21"/>
  <c r="S234" i="21"/>
  <c r="R192" i="21"/>
  <c r="R150" i="21"/>
  <c r="R108" i="21"/>
  <c r="R66" i="21"/>
  <c r="S360" i="21" l="1"/>
  <c r="S318" i="21"/>
  <c r="S276" i="21"/>
  <c r="T234" i="21"/>
  <c r="S192" i="21"/>
  <c r="S150" i="21"/>
  <c r="S108" i="21"/>
  <c r="S66" i="21"/>
  <c r="T360" i="21" l="1"/>
  <c r="T318" i="21"/>
  <c r="T276" i="21"/>
  <c r="U234" i="21"/>
  <c r="T192" i="21"/>
  <c r="T150" i="21"/>
  <c r="T108" i="21"/>
  <c r="T66" i="21"/>
  <c r="U360" i="21" l="1"/>
  <c r="U318" i="21"/>
  <c r="U276" i="21"/>
  <c r="V234" i="21"/>
  <c r="U192" i="21"/>
  <c r="U150" i="21"/>
  <c r="U108" i="21"/>
  <c r="U66" i="21"/>
  <c r="V360" i="21" l="1"/>
  <c r="V318" i="21"/>
  <c r="V276" i="21"/>
  <c r="W234" i="21"/>
  <c r="V192" i="21"/>
  <c r="V150" i="21"/>
  <c r="V108" i="21"/>
  <c r="V66" i="21"/>
  <c r="W360" i="21" l="1"/>
  <c r="W318" i="21"/>
  <c r="W276" i="21"/>
  <c r="X234" i="21"/>
  <c r="W192" i="21"/>
  <c r="W150" i="21"/>
  <c r="W108" i="21"/>
  <c r="W66" i="21"/>
  <c r="X360" i="21" l="1"/>
  <c r="X318" i="21"/>
  <c r="X276" i="21"/>
  <c r="Y234" i="21"/>
  <c r="X192" i="21"/>
  <c r="X150" i="21"/>
  <c r="X108" i="21"/>
  <c r="X66" i="21"/>
  <c r="Y360" i="21" l="1"/>
  <c r="Y318" i="21"/>
  <c r="Y276" i="21"/>
  <c r="Z234" i="21"/>
  <c r="Y192" i="21"/>
  <c r="Y150" i="21"/>
  <c r="Y108" i="21"/>
  <c r="Y66" i="21"/>
  <c r="Z360" i="21" l="1"/>
  <c r="Z318" i="21"/>
  <c r="Z276" i="21"/>
  <c r="AA234" i="21"/>
  <c r="Z192" i="21"/>
  <c r="Z150" i="21"/>
  <c r="Z108" i="21"/>
  <c r="Z66" i="21"/>
  <c r="AA360" i="21" l="1"/>
  <c r="AA318" i="21"/>
  <c r="AA276" i="21"/>
  <c r="AB234" i="21"/>
  <c r="AA192" i="21"/>
  <c r="AA150" i="21"/>
  <c r="AA108" i="21"/>
  <c r="AA66" i="21"/>
  <c r="AB360" i="21" l="1"/>
  <c r="AB318" i="21"/>
  <c r="AB276" i="21"/>
  <c r="AC234" i="21"/>
  <c r="AB192" i="21"/>
  <c r="AB150" i="21"/>
  <c r="AB108" i="21"/>
  <c r="AB66" i="21"/>
  <c r="AC360" i="21" l="1"/>
  <c r="AC318" i="21"/>
  <c r="AC276" i="21"/>
  <c r="AD234" i="21"/>
  <c r="AC192" i="21"/>
  <c r="AC150" i="21"/>
  <c r="AC108" i="21"/>
  <c r="AC66" i="21"/>
  <c r="AD360" i="21" l="1"/>
  <c r="AD318" i="21"/>
  <c r="AD276" i="21"/>
  <c r="AE234" i="21"/>
  <c r="AD192" i="21"/>
  <c r="AD150" i="21"/>
  <c r="AD108" i="21"/>
  <c r="AD66" i="21"/>
  <c r="AE360" i="21" l="1"/>
  <c r="AE318" i="21"/>
  <c r="AE276" i="21"/>
  <c r="AF234" i="21"/>
  <c r="AE192" i="21"/>
  <c r="AE150" i="21"/>
  <c r="AE108" i="21"/>
  <c r="AE66" i="21"/>
  <c r="AF360" i="21" l="1"/>
  <c r="AF318" i="21"/>
  <c r="AF276" i="21"/>
  <c r="AG234" i="21"/>
  <c r="AF192" i="21"/>
  <c r="AF150" i="21"/>
  <c r="AF108" i="21"/>
  <c r="AF66" i="21"/>
  <c r="AG360" i="21" l="1"/>
  <c r="AG318" i="21"/>
  <c r="AG276" i="21"/>
  <c r="AH234" i="21"/>
  <c r="AG192" i="21"/>
  <c r="AG150" i="21"/>
  <c r="AG108" i="21"/>
  <c r="AG66" i="21"/>
  <c r="AH360" i="21" l="1"/>
  <c r="AH318" i="21"/>
  <c r="AH276" i="21"/>
  <c r="AI234" i="21"/>
  <c r="AH192" i="21"/>
  <c r="AH150" i="21"/>
  <c r="AH108" i="21"/>
  <c r="AH66" i="21"/>
  <c r="AI360" i="21" l="1"/>
  <c r="AI318" i="21"/>
  <c r="AI276" i="21"/>
  <c r="AJ234" i="21"/>
  <c r="AI192" i="21"/>
  <c r="AI150" i="21"/>
  <c r="AI108" i="21"/>
  <c r="AI66" i="21"/>
  <c r="AJ360" i="21" l="1"/>
  <c r="AJ318" i="21"/>
  <c r="AJ276" i="21"/>
  <c r="AK234" i="21"/>
  <c r="AJ192" i="21"/>
  <c r="AJ150" i="21"/>
  <c r="AJ108" i="21"/>
  <c r="AJ66" i="21"/>
  <c r="AK360" i="21" l="1"/>
  <c r="AK318" i="21"/>
  <c r="AK276" i="21"/>
  <c r="AL234" i="21"/>
  <c r="AK192" i="21"/>
  <c r="AK150" i="21"/>
  <c r="AK108" i="21"/>
  <c r="AK66" i="21"/>
  <c r="AL360" i="21" l="1"/>
  <c r="AL318" i="21"/>
  <c r="AL276" i="21"/>
  <c r="AM234" i="21"/>
  <c r="AL192" i="21"/>
  <c r="AL150" i="21"/>
  <c r="AL108" i="21"/>
  <c r="AL66" i="21"/>
  <c r="AM360" i="21" l="1"/>
  <c r="AM318" i="21"/>
  <c r="AM276" i="21"/>
  <c r="AN234" i="21"/>
  <c r="AM192" i="21"/>
  <c r="AM150" i="21"/>
  <c r="AM108" i="21"/>
  <c r="AM66" i="21"/>
  <c r="AN360" i="21" l="1"/>
  <c r="AN318" i="21"/>
  <c r="AN276" i="21"/>
  <c r="AO234" i="21"/>
  <c r="AN192" i="21"/>
  <c r="AN150" i="21"/>
  <c r="AN108" i="21"/>
  <c r="AN66" i="21"/>
  <c r="AO360" i="21" l="1"/>
  <c r="AO318" i="21"/>
  <c r="AO276" i="21"/>
  <c r="AP234" i="21"/>
  <c r="AO192" i="21"/>
  <c r="AO150" i="21"/>
  <c r="AO108" i="21"/>
  <c r="AO66" i="21"/>
  <c r="AP360" i="21" l="1"/>
  <c r="AP318" i="21"/>
  <c r="AP276" i="21"/>
  <c r="AQ234" i="21"/>
  <c r="AP192" i="21"/>
  <c r="AP150" i="21"/>
  <c r="AP108" i="21"/>
  <c r="AP66" i="21"/>
  <c r="AQ360" i="21" l="1"/>
  <c r="AQ318" i="21"/>
  <c r="AQ276" i="21"/>
  <c r="AQ192" i="21"/>
  <c r="AQ150" i="21"/>
  <c r="AQ108" i="21"/>
  <c r="AQ66" i="21"/>
  <c r="F400" i="21"/>
  <c r="G400" i="21"/>
  <c r="H400" i="21"/>
  <c r="I400" i="21"/>
  <c r="J400" i="21"/>
  <c r="K400" i="21"/>
  <c r="L400" i="21"/>
  <c r="M400" i="21"/>
  <c r="N400" i="21"/>
  <c r="O400" i="21"/>
  <c r="P400" i="21"/>
  <c r="Q400" i="21"/>
  <c r="R400" i="21"/>
  <c r="S400" i="21"/>
  <c r="T400" i="21"/>
  <c r="U400" i="21"/>
  <c r="V400" i="21"/>
  <c r="W400" i="21"/>
  <c r="X400" i="21"/>
  <c r="Y400" i="21"/>
  <c r="Z400" i="21"/>
  <c r="AA400" i="21"/>
  <c r="AB400" i="21"/>
  <c r="D51" i="21" l="1"/>
  <c r="E51" i="21"/>
  <c r="F51" i="21"/>
  <c r="G51" i="21"/>
  <c r="H51" i="21"/>
  <c r="J52" i="21"/>
  <c r="J53" i="21"/>
  <c r="I54" i="21"/>
  <c r="J54" i="21" s="1"/>
  <c r="I428" i="21"/>
  <c r="I390" i="21"/>
  <c r="I348" i="21"/>
  <c r="I306" i="21"/>
  <c r="I264" i="21"/>
  <c r="I222" i="21"/>
  <c r="I180" i="21"/>
  <c r="I138" i="21"/>
  <c r="I96" i="21"/>
  <c r="E67" i="21" l="1"/>
  <c r="D74" i="21"/>
  <c r="D67" i="21"/>
  <c r="D68" i="21" s="1"/>
  <c r="F67" i="21"/>
  <c r="G67" i="21"/>
  <c r="H67" i="21"/>
  <c r="I67" i="21"/>
  <c r="J67" i="21"/>
  <c r="K67" i="21"/>
  <c r="L67" i="21"/>
  <c r="M67" i="21"/>
  <c r="N67" i="21"/>
  <c r="O67" i="21"/>
  <c r="P67" i="21"/>
  <c r="Q67" i="21"/>
  <c r="R67" i="21"/>
  <c r="S67" i="21"/>
  <c r="T67" i="21"/>
  <c r="U67" i="21"/>
  <c r="V67" i="21"/>
  <c r="W67" i="21"/>
  <c r="X67" i="21"/>
  <c r="Y67" i="21"/>
  <c r="Z67" i="21"/>
  <c r="AA67" i="21"/>
  <c r="AB67" i="21"/>
  <c r="AC67" i="21"/>
  <c r="AD67" i="21"/>
  <c r="AE67" i="21"/>
  <c r="AF67" i="21"/>
  <c r="AG67" i="21"/>
  <c r="AH67" i="21"/>
  <c r="AI67" i="21"/>
  <c r="AJ67" i="21"/>
  <c r="AK67" i="21"/>
  <c r="AL67" i="21"/>
  <c r="AM67" i="21"/>
  <c r="AN67" i="21"/>
  <c r="AO67" i="21"/>
  <c r="AP67" i="21"/>
  <c r="AQ67" i="21"/>
  <c r="J51" i="21"/>
  <c r="F14" i="21" l="1"/>
  <c r="F33" i="21" s="1"/>
  <c r="G14" i="21"/>
  <c r="G33" i="21" s="1"/>
  <c r="H14" i="21"/>
  <c r="H33" i="21" s="1"/>
  <c r="I14" i="21"/>
  <c r="I33" i="21" s="1"/>
  <c r="J14" i="21"/>
  <c r="J33" i="21" s="1"/>
  <c r="K14" i="21"/>
  <c r="K33" i="21" s="1"/>
  <c r="L14" i="21"/>
  <c r="L33" i="21" s="1"/>
  <c r="M14" i="21"/>
  <c r="M33" i="21" s="1"/>
  <c r="N14" i="21"/>
  <c r="N33" i="21" s="1"/>
  <c r="O14" i="21"/>
  <c r="O33" i="21" s="1"/>
  <c r="P14" i="21"/>
  <c r="P33" i="21" s="1"/>
  <c r="Q14" i="21"/>
  <c r="Q33" i="21" s="1"/>
  <c r="R14" i="21"/>
  <c r="R33" i="21" s="1"/>
  <c r="S14" i="21"/>
  <c r="S33" i="21" s="1"/>
  <c r="T14" i="21"/>
  <c r="T33" i="21" s="1"/>
  <c r="U14" i="21"/>
  <c r="U33" i="21" s="1"/>
  <c r="V14" i="21"/>
  <c r="V33" i="21" s="1"/>
  <c r="W14" i="21"/>
  <c r="W33" i="21" s="1"/>
  <c r="X14" i="21"/>
  <c r="X33" i="21" s="1"/>
  <c r="Y14" i="21"/>
  <c r="Y33" i="21" s="1"/>
  <c r="Z14" i="21"/>
  <c r="Z33" i="21" s="1"/>
  <c r="AA14" i="21"/>
  <c r="AA33" i="21" s="1"/>
  <c r="AB14" i="21"/>
  <c r="AB33" i="21" s="1"/>
  <c r="AC14" i="21"/>
  <c r="AC33" i="21" s="1"/>
  <c r="AD14" i="21"/>
  <c r="AD33" i="21" s="1"/>
  <c r="AE14" i="21"/>
  <c r="AE33" i="21" s="1"/>
  <c r="AF14" i="21"/>
  <c r="AF33" i="21" s="1"/>
  <c r="AG14" i="21"/>
  <c r="AG33" i="21" s="1"/>
  <c r="AH14" i="21"/>
  <c r="AH33" i="21" s="1"/>
  <c r="AI14" i="21"/>
  <c r="AI33" i="21" s="1"/>
  <c r="AJ14" i="21"/>
  <c r="AJ33" i="21" s="1"/>
  <c r="AK14" i="21"/>
  <c r="AK33" i="21" s="1"/>
  <c r="AL14" i="21"/>
  <c r="AL33" i="21" s="1"/>
  <c r="AM14" i="21"/>
  <c r="AM33" i="21" s="1"/>
  <c r="AN14" i="21"/>
  <c r="AN33" i="21" s="1"/>
  <c r="AO14" i="21"/>
  <c r="AO33" i="21" s="1"/>
  <c r="AP14" i="21"/>
  <c r="AP33" i="21" s="1"/>
  <c r="AQ14" i="21"/>
  <c r="AQ33" i="21" s="1"/>
  <c r="E14" i="21"/>
  <c r="E33" i="21" s="1"/>
  <c r="P30" i="21"/>
  <c r="Q30" i="21"/>
  <c r="S30" i="21"/>
  <c r="T30" i="21"/>
  <c r="V30" i="21"/>
  <c r="X30" i="21"/>
  <c r="Y30" i="21"/>
  <c r="Z30" i="21"/>
  <c r="AB30" i="21"/>
  <c r="AD30" i="21"/>
  <c r="AE30" i="21"/>
  <c r="AF30" i="21"/>
  <c r="AH30" i="21"/>
  <c r="AI30" i="21"/>
  <c r="AJ30" i="21"/>
  <c r="AK30" i="21"/>
  <c r="AL30" i="21"/>
  <c r="AM30" i="21"/>
  <c r="AN30" i="21"/>
  <c r="AO30" i="21"/>
  <c r="AP30" i="21"/>
  <c r="F30" i="21"/>
  <c r="G30" i="21"/>
  <c r="H30" i="21"/>
  <c r="J30" i="21"/>
  <c r="K30" i="21"/>
  <c r="L30" i="21"/>
  <c r="N30" i="21"/>
  <c r="O30" i="21"/>
  <c r="E30" i="21"/>
  <c r="F11" i="21"/>
  <c r="F19" i="21" s="1"/>
  <c r="G11" i="21"/>
  <c r="G19" i="21" s="1"/>
  <c r="H11" i="21"/>
  <c r="H19" i="21" s="1"/>
  <c r="I11" i="21"/>
  <c r="I19" i="21" s="1"/>
  <c r="J11" i="21"/>
  <c r="J19" i="21" s="1"/>
  <c r="K11" i="21"/>
  <c r="K19" i="21" s="1"/>
  <c r="L11" i="21"/>
  <c r="L19" i="21" s="1"/>
  <c r="M11" i="21"/>
  <c r="M19" i="21" s="1"/>
  <c r="N11" i="21"/>
  <c r="N19" i="21" s="1"/>
  <c r="O11" i="21"/>
  <c r="O19" i="21" s="1"/>
  <c r="P11" i="21"/>
  <c r="P19" i="21" s="1"/>
  <c r="Q11" i="21"/>
  <c r="Q19" i="21" s="1"/>
  <c r="R11" i="21"/>
  <c r="R19" i="21" s="1"/>
  <c r="S11" i="21"/>
  <c r="S19" i="21" s="1"/>
  <c r="T11" i="21"/>
  <c r="T19" i="21" s="1"/>
  <c r="U11" i="21"/>
  <c r="U19" i="21" s="1"/>
  <c r="V11" i="21"/>
  <c r="V19" i="21" s="1"/>
  <c r="W11" i="21"/>
  <c r="W19" i="21" s="1"/>
  <c r="X11" i="21"/>
  <c r="X19" i="21" s="1"/>
  <c r="Y11" i="21"/>
  <c r="Y19" i="21" s="1"/>
  <c r="Z11" i="21"/>
  <c r="Z19" i="21" s="1"/>
  <c r="AA11" i="21"/>
  <c r="AA19" i="21" s="1"/>
  <c r="AB11" i="21"/>
  <c r="AB19" i="21" s="1"/>
  <c r="AC11" i="21"/>
  <c r="AC19" i="21" s="1"/>
  <c r="AD11" i="21"/>
  <c r="AD19" i="21" s="1"/>
  <c r="AE11" i="21"/>
  <c r="AE19" i="21" s="1"/>
  <c r="AF11" i="21"/>
  <c r="AF19" i="21" s="1"/>
  <c r="AG11" i="21"/>
  <c r="AG19" i="21" s="1"/>
  <c r="AH11" i="21"/>
  <c r="AH19" i="21" s="1"/>
  <c r="AI11" i="21"/>
  <c r="AI19" i="21" s="1"/>
  <c r="AJ11" i="21"/>
  <c r="AJ19" i="21" s="1"/>
  <c r="AK11" i="21"/>
  <c r="AK19" i="21" s="1"/>
  <c r="AL11" i="21"/>
  <c r="AL19" i="21" s="1"/>
  <c r="AM11" i="21"/>
  <c r="AM19" i="21" s="1"/>
  <c r="AN11" i="21"/>
  <c r="AN19" i="21" s="1"/>
  <c r="AO11" i="21"/>
  <c r="AO19" i="21" s="1"/>
  <c r="AP11" i="21"/>
  <c r="AP19" i="21" s="1"/>
  <c r="AQ11" i="21"/>
  <c r="AQ19" i="21" s="1"/>
  <c r="E11" i="21"/>
  <c r="E19" i="21" s="1"/>
  <c r="AA30" i="21" l="1"/>
  <c r="W30" i="21"/>
  <c r="R30" i="21"/>
  <c r="AG30" i="21"/>
  <c r="M30" i="21"/>
  <c r="I30" i="21"/>
  <c r="AC30" i="21"/>
  <c r="U30" i="21"/>
  <c r="AQ30" i="21"/>
  <c r="E7" i="21"/>
  <c r="E8" i="21"/>
  <c r="E6" i="21"/>
  <c r="F7" i="21"/>
  <c r="F8" i="21"/>
  <c r="F6" i="21"/>
  <c r="G7" i="21"/>
  <c r="G8" i="21"/>
  <c r="G6" i="21"/>
  <c r="H6" i="21"/>
  <c r="H7" i="21"/>
  <c r="H8" i="21"/>
  <c r="D20" i="21" l="1"/>
  <c r="E20" i="21" s="1"/>
  <c r="F20" i="21" s="1"/>
  <c r="G20" i="21" s="1"/>
  <c r="H20" i="21" s="1"/>
  <c r="I20" i="21" s="1"/>
  <c r="J20" i="21" s="1"/>
  <c r="K20" i="21" s="1"/>
  <c r="L20" i="21" s="1"/>
  <c r="M20" i="21" s="1"/>
  <c r="N20" i="21" s="1"/>
  <c r="O20" i="21" s="1"/>
  <c r="P20" i="21" s="1"/>
  <c r="Q20" i="21" s="1"/>
  <c r="R20" i="21" s="1"/>
  <c r="S20" i="21" s="1"/>
  <c r="T20" i="21" s="1"/>
  <c r="U20" i="21" s="1"/>
  <c r="V20" i="21" s="1"/>
  <c r="W20" i="21" s="1"/>
  <c r="X20" i="21" s="1"/>
  <c r="Y20" i="21" s="1"/>
  <c r="Z20" i="21" s="1"/>
  <c r="AA20" i="21" s="1"/>
  <c r="AB20" i="21" s="1"/>
  <c r="AC20" i="21" s="1"/>
  <c r="AD20" i="21" s="1"/>
  <c r="AE20" i="21" s="1"/>
  <c r="AF20" i="21" s="1"/>
  <c r="AG20" i="21" s="1"/>
  <c r="AH20" i="21" s="1"/>
  <c r="AI20" i="21" s="1"/>
  <c r="AJ20" i="21" s="1"/>
  <c r="AK20" i="21" s="1"/>
  <c r="AL20" i="21" s="1"/>
  <c r="AM20" i="21" s="1"/>
  <c r="AN20" i="21" s="1"/>
  <c r="AO20" i="21" s="1"/>
  <c r="AP20" i="21" s="1"/>
  <c r="AQ20" i="21" s="1"/>
  <c r="G5" i="21"/>
  <c r="I8" i="21"/>
  <c r="F5" i="21"/>
  <c r="E5" i="21"/>
  <c r="H5" i="21"/>
  <c r="D28" i="21" l="1"/>
  <c r="E68" i="21"/>
  <c r="F68" i="21"/>
  <c r="G68" i="21"/>
  <c r="H68" i="21"/>
  <c r="I68" i="21"/>
  <c r="J68" i="21"/>
  <c r="K68" i="21"/>
  <c r="L68" i="21"/>
  <c r="M68" i="21"/>
  <c r="N68" i="21"/>
  <c r="O68" i="21"/>
  <c r="P68" i="21"/>
  <c r="Q68" i="21"/>
  <c r="R68" i="21"/>
  <c r="S68" i="21"/>
  <c r="T68" i="21"/>
  <c r="U68" i="21"/>
  <c r="V68" i="21"/>
  <c r="W68" i="21"/>
  <c r="X68" i="21"/>
  <c r="Y68" i="21"/>
  <c r="Z68" i="21"/>
  <c r="AA68" i="21"/>
  <c r="AB68" i="21"/>
  <c r="AC68" i="21"/>
  <c r="AD68" i="21"/>
  <c r="AE68" i="21"/>
  <c r="AF68" i="21"/>
  <c r="AG68" i="21"/>
  <c r="AH68" i="21"/>
  <c r="AI68" i="21"/>
  <c r="AJ68" i="21"/>
  <c r="AK68" i="21"/>
  <c r="AL68" i="21"/>
  <c r="AM68" i="21"/>
  <c r="AN68" i="21"/>
  <c r="AO68" i="21"/>
  <c r="AP68" i="21"/>
  <c r="AQ68" i="21"/>
  <c r="D21" i="21"/>
  <c r="D22" i="21" s="1"/>
  <c r="E21" i="21"/>
  <c r="V11" i="23"/>
  <c r="V8" i="23" s="1"/>
  <c r="AC35" i="21"/>
  <c r="AD35" i="21"/>
  <c r="AE35" i="21"/>
  <c r="AF35" i="21"/>
  <c r="AG35" i="21"/>
  <c r="AH35" i="21"/>
  <c r="AI35" i="21"/>
  <c r="AJ35" i="21"/>
  <c r="AK35" i="21"/>
  <c r="AL35" i="21"/>
  <c r="AM35" i="21"/>
  <c r="AN35" i="21"/>
  <c r="AO35" i="21"/>
  <c r="AP35" i="21"/>
  <c r="AQ35" i="21"/>
  <c r="V10" i="23" l="1"/>
  <c r="V9" i="23" s="1"/>
  <c r="F35" i="21" l="1"/>
  <c r="G35" i="21"/>
  <c r="H35" i="21"/>
  <c r="I35" i="21"/>
  <c r="J35" i="21"/>
  <c r="K35" i="21"/>
  <c r="L35" i="21"/>
  <c r="M35" i="21"/>
  <c r="N35" i="21"/>
  <c r="O35" i="21"/>
  <c r="P35" i="21"/>
  <c r="Q35" i="21"/>
  <c r="R35" i="21"/>
  <c r="S35" i="21"/>
  <c r="T35" i="21"/>
  <c r="U35" i="21"/>
  <c r="V35" i="21"/>
  <c r="W35" i="21"/>
  <c r="X35" i="21"/>
  <c r="Y35" i="21"/>
  <c r="Z35" i="21"/>
  <c r="AA35" i="21"/>
  <c r="AB35" i="21"/>
  <c r="E35" i="21"/>
  <c r="AQ453" i="21" l="1"/>
  <c r="AQ435" i="21" s="1"/>
  <c r="AP453" i="21"/>
  <c r="AP435" i="21" s="1"/>
  <c r="AO453" i="21"/>
  <c r="AO435" i="21" s="1"/>
  <c r="AN453" i="21"/>
  <c r="AN435" i="21" s="1"/>
  <c r="AM453" i="21"/>
  <c r="AM435" i="21" s="1"/>
  <c r="AL453" i="21"/>
  <c r="AL435" i="21" s="1"/>
  <c r="AK453" i="21"/>
  <c r="AK435" i="21" s="1"/>
  <c r="AJ453" i="21"/>
  <c r="AJ435" i="21" s="1"/>
  <c r="AI453" i="21"/>
  <c r="AI435" i="21" s="1"/>
  <c r="AH453" i="21"/>
  <c r="AH435" i="21" s="1"/>
  <c r="AG453" i="21"/>
  <c r="AG435" i="21" s="1"/>
  <c r="AF453" i="21"/>
  <c r="AF435" i="21" s="1"/>
  <c r="AE453" i="21"/>
  <c r="AE435" i="21" s="1"/>
  <c r="AD453" i="21"/>
  <c r="AD435" i="21" s="1"/>
  <c r="AC453" i="21"/>
  <c r="AC435" i="21" s="1"/>
  <c r="AB453" i="21"/>
  <c r="AB435" i="21" s="1"/>
  <c r="AA453" i="21"/>
  <c r="AA435" i="21" s="1"/>
  <c r="Z453" i="21"/>
  <c r="Z435" i="21" s="1"/>
  <c r="Y453" i="21"/>
  <c r="Y435" i="21" s="1"/>
  <c r="X453" i="21"/>
  <c r="X435" i="21" s="1"/>
  <c r="W453" i="21"/>
  <c r="W435" i="21" s="1"/>
  <c r="V453" i="21"/>
  <c r="V435" i="21" s="1"/>
  <c r="U453" i="21"/>
  <c r="U435" i="21" s="1"/>
  <c r="T453" i="21"/>
  <c r="T435" i="21" s="1"/>
  <c r="S453" i="21"/>
  <c r="S435" i="21" s="1"/>
  <c r="R453" i="21"/>
  <c r="R435" i="21" s="1"/>
  <c r="Q453" i="21"/>
  <c r="Q435" i="21" s="1"/>
  <c r="P453" i="21"/>
  <c r="P435" i="21" s="1"/>
  <c r="O453" i="21"/>
  <c r="O435" i="21" s="1"/>
  <c r="N453" i="21"/>
  <c r="N435" i="21" s="1"/>
  <c r="M453" i="21"/>
  <c r="M435" i="21" s="1"/>
  <c r="L453" i="21"/>
  <c r="L435" i="21" s="1"/>
  <c r="K453" i="21"/>
  <c r="K435" i="21" s="1"/>
  <c r="J453" i="21"/>
  <c r="J435" i="21" s="1"/>
  <c r="I453" i="21"/>
  <c r="I435" i="21" s="1"/>
  <c r="H453" i="21"/>
  <c r="H435" i="21" s="1"/>
  <c r="G453" i="21"/>
  <c r="G435" i="21" s="1"/>
  <c r="F453" i="21"/>
  <c r="F435" i="21" s="1"/>
  <c r="E453" i="21"/>
  <c r="E435" i="21" s="1"/>
  <c r="AQ451" i="21"/>
  <c r="AP451" i="21"/>
  <c r="AO451" i="21"/>
  <c r="AN451" i="21"/>
  <c r="AM451" i="21"/>
  <c r="AL451" i="21"/>
  <c r="AK451" i="21"/>
  <c r="AJ451" i="21"/>
  <c r="AI451" i="21"/>
  <c r="AH451" i="21"/>
  <c r="AG451" i="21"/>
  <c r="AF451" i="21"/>
  <c r="AE451" i="21"/>
  <c r="AD451" i="21"/>
  <c r="AC451" i="21"/>
  <c r="AB451" i="21"/>
  <c r="AA451" i="21"/>
  <c r="Z451" i="21"/>
  <c r="Y451" i="21"/>
  <c r="X451" i="21"/>
  <c r="W451" i="21"/>
  <c r="V451" i="21"/>
  <c r="U451" i="21"/>
  <c r="T451" i="21"/>
  <c r="S451" i="21"/>
  <c r="R451" i="21"/>
  <c r="Q451" i="21"/>
  <c r="P451" i="21"/>
  <c r="O451" i="21"/>
  <c r="N451" i="21"/>
  <c r="M451" i="21"/>
  <c r="L451" i="21"/>
  <c r="K451" i="21"/>
  <c r="J451" i="21"/>
  <c r="I451" i="21"/>
  <c r="H451" i="21"/>
  <c r="G451" i="21"/>
  <c r="F451" i="21"/>
  <c r="E451" i="21"/>
  <c r="AQ446" i="21"/>
  <c r="AQ447" i="21" s="1"/>
  <c r="AP446" i="21"/>
  <c r="AP448" i="21" s="1"/>
  <c r="AO446" i="21"/>
  <c r="AN446" i="21"/>
  <c r="AN447" i="21" s="1"/>
  <c r="AM446" i="21"/>
  <c r="AM448" i="21" s="1"/>
  <c r="AL446" i="21"/>
  <c r="AL448" i="21" s="1"/>
  <c r="AK446" i="21"/>
  <c r="AJ446" i="21"/>
  <c r="AJ447" i="21" s="1"/>
  <c r="AI446" i="21"/>
  <c r="AI448" i="21" s="1"/>
  <c r="AH446" i="21"/>
  <c r="AH448" i="21" s="1"/>
  <c r="AG446" i="21"/>
  <c r="AF446" i="21"/>
  <c r="AF447" i="21" s="1"/>
  <c r="AE446" i="21"/>
  <c r="AE448" i="21" s="1"/>
  <c r="AD446" i="21"/>
  <c r="AD448" i="21" s="1"/>
  <c r="AC446" i="21"/>
  <c r="AB446" i="21"/>
  <c r="AB447" i="21" s="1"/>
  <c r="AA446" i="21"/>
  <c r="AA447" i="21" s="1"/>
  <c r="Z446" i="21"/>
  <c r="Z448" i="21" s="1"/>
  <c r="Y446" i="21"/>
  <c r="X446" i="21"/>
  <c r="X447" i="21" s="1"/>
  <c r="W446" i="21"/>
  <c r="W448" i="21" s="1"/>
  <c r="V446" i="21"/>
  <c r="V448" i="21" s="1"/>
  <c r="U446" i="21"/>
  <c r="T446" i="21"/>
  <c r="T447" i="21" s="1"/>
  <c r="S446" i="21"/>
  <c r="S448" i="21" s="1"/>
  <c r="R446" i="21"/>
  <c r="R448" i="21" s="1"/>
  <c r="Q446" i="21"/>
  <c r="P446" i="21"/>
  <c r="P447" i="21" s="1"/>
  <c r="O446" i="21"/>
  <c r="O448" i="21" s="1"/>
  <c r="N446" i="21"/>
  <c r="N448" i="21" s="1"/>
  <c r="M446" i="21"/>
  <c r="L446" i="21"/>
  <c r="L447" i="21" s="1"/>
  <c r="K446" i="21"/>
  <c r="K447" i="21" s="1"/>
  <c r="J446" i="21"/>
  <c r="J448" i="21" s="1"/>
  <c r="I446" i="21"/>
  <c r="H446" i="21"/>
  <c r="H447" i="21" s="1"/>
  <c r="G446" i="21"/>
  <c r="G448" i="21" s="1"/>
  <c r="F446" i="21"/>
  <c r="F448" i="21" s="1"/>
  <c r="E446" i="21"/>
  <c r="U442" i="21" a="1"/>
  <c r="U442" i="21" s="1"/>
  <c r="T442" i="21" a="1"/>
  <c r="T442" i="21" s="1"/>
  <c r="S442" i="21" a="1"/>
  <c r="S442" i="21" s="1"/>
  <c r="R442" i="21" a="1"/>
  <c r="R442" i="21" s="1"/>
  <c r="Q442" i="21" a="1"/>
  <c r="Q442" i="21" s="1"/>
  <c r="P442" i="21" a="1"/>
  <c r="P442" i="21" s="1"/>
  <c r="O442" i="21" a="1"/>
  <c r="O442" i="21" s="1"/>
  <c r="N442" i="21" a="1"/>
  <c r="N442" i="21" s="1"/>
  <c r="M442" i="21" a="1"/>
  <c r="M442" i="21" s="1"/>
  <c r="L442" i="21" a="1"/>
  <c r="L442" i="21" s="1"/>
  <c r="K442" i="21" a="1"/>
  <c r="K442" i="21" s="1"/>
  <c r="J442" i="21" a="1"/>
  <c r="J442" i="21" s="1"/>
  <c r="I442" i="21" a="1"/>
  <c r="I442" i="21" s="1"/>
  <c r="H442" i="21" a="1"/>
  <c r="H442" i="21" s="1"/>
  <c r="G442" i="21" a="1"/>
  <c r="G442" i="21" s="1"/>
  <c r="F442" i="21" a="1"/>
  <c r="F442" i="21" s="1"/>
  <c r="E442" i="21" a="1"/>
  <c r="E442" i="21" s="1"/>
  <c r="D442" i="21" a="1"/>
  <c r="D442" i="21" s="1"/>
  <c r="C442" i="21" a="1"/>
  <c r="C442" i="21" s="1"/>
  <c r="B442" i="21" a="1"/>
  <c r="B442" i="21" s="1"/>
  <c r="A442" i="21" a="1"/>
  <c r="A442" i="21" s="1"/>
  <c r="U441" i="21" a="1"/>
  <c r="U441" i="21" s="1"/>
  <c r="T441" i="21" a="1"/>
  <c r="T441" i="21" s="1"/>
  <c r="S441" i="21" a="1"/>
  <c r="S441" i="21" s="1"/>
  <c r="R441" i="21" a="1"/>
  <c r="R441" i="21" s="1"/>
  <c r="Q441" i="21" a="1"/>
  <c r="Q441" i="21" s="1"/>
  <c r="P441" i="21" a="1"/>
  <c r="P441" i="21" s="1"/>
  <c r="O441" i="21" a="1"/>
  <c r="O441" i="21" s="1"/>
  <c r="N441" i="21" a="1"/>
  <c r="N441" i="21" s="1"/>
  <c r="M441" i="21" a="1"/>
  <c r="M441" i="21" s="1"/>
  <c r="L441" i="21" a="1"/>
  <c r="L441" i="21" s="1"/>
  <c r="K441" i="21" a="1"/>
  <c r="K441" i="21" s="1"/>
  <c r="J441" i="21" a="1"/>
  <c r="J441" i="21" s="1"/>
  <c r="I441" i="21" a="1"/>
  <c r="I441" i="21" s="1"/>
  <c r="H441" i="21" a="1"/>
  <c r="H441" i="21" s="1"/>
  <c r="G441" i="21" a="1"/>
  <c r="G441" i="21" s="1"/>
  <c r="F441" i="21" a="1"/>
  <c r="F441" i="21" s="1"/>
  <c r="E441" i="21" a="1"/>
  <c r="E441" i="21" s="1"/>
  <c r="D441" i="21" a="1"/>
  <c r="D441" i="21" s="1"/>
  <c r="C441" i="21" a="1"/>
  <c r="C441" i="21" s="1"/>
  <c r="B441" i="21" a="1"/>
  <c r="B441" i="21" s="1"/>
  <c r="J428" i="21"/>
  <c r="J427" i="21"/>
  <c r="J426" i="21"/>
  <c r="H425" i="21"/>
  <c r="G425" i="21"/>
  <c r="F425" i="21"/>
  <c r="E425" i="21"/>
  <c r="D425" i="21"/>
  <c r="AQ415" i="21"/>
  <c r="AQ416" i="21" s="1"/>
  <c r="AQ397" i="21" s="1"/>
  <c r="AP415" i="21"/>
  <c r="AP416" i="21" s="1"/>
  <c r="AP397" i="21" s="1"/>
  <c r="AO415" i="21"/>
  <c r="AO416" i="21" s="1"/>
  <c r="AO397" i="21" s="1"/>
  <c r="AN415" i="21"/>
  <c r="AN416" i="21" s="1"/>
  <c r="AN397" i="21" s="1"/>
  <c r="AM415" i="21"/>
  <c r="AM416" i="21" s="1"/>
  <c r="AM397" i="21" s="1"/>
  <c r="AL415" i="21"/>
  <c r="AL416" i="21" s="1"/>
  <c r="AL397" i="21" s="1"/>
  <c r="AK415" i="21"/>
  <c r="AK416" i="21" s="1"/>
  <c r="AK397" i="21" s="1"/>
  <c r="AJ415" i="21"/>
  <c r="AJ416" i="21" s="1"/>
  <c r="AJ397" i="21" s="1"/>
  <c r="AI415" i="21"/>
  <c r="AI416" i="21" s="1"/>
  <c r="AI397" i="21" s="1"/>
  <c r="AH415" i="21"/>
  <c r="AH397" i="21" s="1"/>
  <c r="AG415" i="21"/>
  <c r="AG397" i="21" s="1"/>
  <c r="AF415" i="21"/>
  <c r="AF397" i="21" s="1"/>
  <c r="AE415" i="21"/>
  <c r="AE397" i="21" s="1"/>
  <c r="AD415" i="21"/>
  <c r="AD397" i="21" s="1"/>
  <c r="AC415" i="21"/>
  <c r="AC397" i="21" s="1"/>
  <c r="AB415" i="21"/>
  <c r="AA415" i="21"/>
  <c r="Z415" i="21"/>
  <c r="Y415" i="21"/>
  <c r="X415" i="21"/>
  <c r="W415" i="21"/>
  <c r="V415" i="21"/>
  <c r="U415" i="21"/>
  <c r="T415" i="21"/>
  <c r="S415" i="21"/>
  <c r="R415" i="21"/>
  <c r="Q415" i="21"/>
  <c r="P415" i="21"/>
  <c r="O415" i="21"/>
  <c r="N415" i="21"/>
  <c r="M415" i="21"/>
  <c r="L415" i="21"/>
  <c r="K415" i="21"/>
  <c r="J415" i="21"/>
  <c r="I415" i="21"/>
  <c r="H415" i="21"/>
  <c r="G415" i="21"/>
  <c r="F415" i="21"/>
  <c r="F397" i="21" s="1"/>
  <c r="E415" i="21"/>
  <c r="E397" i="21" s="1"/>
  <c r="AQ413" i="21"/>
  <c r="AP413" i="21"/>
  <c r="AO413" i="21"/>
  <c r="AN413" i="21"/>
  <c r="AM413" i="21"/>
  <c r="AL413" i="21"/>
  <c r="AK413" i="21"/>
  <c r="AJ413" i="21"/>
  <c r="AI413" i="21"/>
  <c r="AH413" i="21"/>
  <c r="AG413" i="21"/>
  <c r="AF413" i="21"/>
  <c r="AE413" i="21"/>
  <c r="AD413" i="21"/>
  <c r="AC413" i="21"/>
  <c r="AB413" i="21"/>
  <c r="AA413" i="21"/>
  <c r="Z413" i="21"/>
  <c r="Y413" i="21"/>
  <c r="X413" i="21"/>
  <c r="W413" i="21"/>
  <c r="V413" i="21"/>
  <c r="U413" i="21"/>
  <c r="T413" i="21"/>
  <c r="S413" i="21"/>
  <c r="R413" i="21"/>
  <c r="Q413" i="21"/>
  <c r="P413" i="21"/>
  <c r="O413" i="21"/>
  <c r="N413" i="21"/>
  <c r="M413" i="21"/>
  <c r="L413" i="21"/>
  <c r="K413" i="21"/>
  <c r="J413" i="21"/>
  <c r="I413" i="21"/>
  <c r="H413" i="21"/>
  <c r="G413" i="21"/>
  <c r="F413" i="21"/>
  <c r="E413" i="21"/>
  <c r="AQ408" i="21"/>
  <c r="AQ410" i="21" s="1"/>
  <c r="AP408" i="21"/>
  <c r="AP409" i="21" s="1"/>
  <c r="AO408" i="21"/>
  <c r="AO409" i="21" s="1"/>
  <c r="AN408" i="21"/>
  <c r="AM408" i="21"/>
  <c r="AM410" i="21" s="1"/>
  <c r="AL408" i="21"/>
  <c r="AL409" i="21" s="1"/>
  <c r="AK408" i="21"/>
  <c r="AK410" i="21" s="1"/>
  <c r="AJ408" i="21"/>
  <c r="AI408" i="21"/>
  <c r="AI410" i="21" s="1"/>
  <c r="AH408" i="21"/>
  <c r="AH409" i="21" s="1"/>
  <c r="AG408" i="21"/>
  <c r="AG410" i="21" s="1"/>
  <c r="AF408" i="21"/>
  <c r="AE408" i="21"/>
  <c r="AE410" i="21" s="1"/>
  <c r="AD408" i="21"/>
  <c r="AD409" i="21" s="1"/>
  <c r="AC408" i="21"/>
  <c r="AC410" i="21" s="1"/>
  <c r="AB408" i="21"/>
  <c r="AA408" i="21"/>
  <c r="AA410" i="21" s="1"/>
  <c r="Z408" i="21"/>
  <c r="Z409" i="21" s="1"/>
  <c r="Y408" i="21"/>
  <c r="Y410" i="21" s="1"/>
  <c r="X408" i="21"/>
  <c r="W408" i="21"/>
  <c r="W410" i="21" s="1"/>
  <c r="V408" i="21"/>
  <c r="V409" i="21" s="1"/>
  <c r="U408" i="21"/>
  <c r="U410" i="21" s="1"/>
  <c r="T408" i="21"/>
  <c r="S408" i="21"/>
  <c r="S410" i="21" s="1"/>
  <c r="R408" i="21"/>
  <c r="R409" i="21" s="1"/>
  <c r="Q408" i="21"/>
  <c r="Q410" i="21" s="1"/>
  <c r="P408" i="21"/>
  <c r="O408" i="21"/>
  <c r="O410" i="21" s="1"/>
  <c r="N408" i="21"/>
  <c r="N409" i="21" s="1"/>
  <c r="M408" i="21"/>
  <c r="M410" i="21" s="1"/>
  <c r="L408" i="21"/>
  <c r="K408" i="21"/>
  <c r="K410" i="21" s="1"/>
  <c r="J408" i="21"/>
  <c r="J409" i="21" s="1"/>
  <c r="I408" i="21"/>
  <c r="I410" i="21" s="1"/>
  <c r="H408" i="21"/>
  <c r="G408" i="21"/>
  <c r="G410" i="21" s="1"/>
  <c r="F408" i="21"/>
  <c r="F409" i="21" s="1"/>
  <c r="E408" i="21"/>
  <c r="E410" i="21" s="1"/>
  <c r="U404" i="21" a="1"/>
  <c r="U404" i="21" s="1"/>
  <c r="T404" i="21" a="1"/>
  <c r="T404" i="21" s="1"/>
  <c r="S404" i="21" a="1"/>
  <c r="S404" i="21" s="1"/>
  <c r="R404" i="21" a="1"/>
  <c r="R404" i="21" s="1"/>
  <c r="Q404" i="21" a="1"/>
  <c r="Q404" i="21" s="1"/>
  <c r="P404" i="21" a="1"/>
  <c r="P404" i="21" s="1"/>
  <c r="O404" i="21" a="1"/>
  <c r="O404" i="21" s="1"/>
  <c r="N404" i="21" a="1"/>
  <c r="N404" i="21" s="1"/>
  <c r="M404" i="21" a="1"/>
  <c r="M404" i="21" s="1"/>
  <c r="L404" i="21" a="1"/>
  <c r="L404" i="21" s="1"/>
  <c r="K404" i="21" a="1"/>
  <c r="K404" i="21" s="1"/>
  <c r="J404" i="21" a="1"/>
  <c r="J404" i="21" s="1"/>
  <c r="I404" i="21" a="1"/>
  <c r="I404" i="21" s="1"/>
  <c r="H404" i="21" a="1"/>
  <c r="H404" i="21" s="1"/>
  <c r="G404" i="21" a="1"/>
  <c r="G404" i="21" s="1"/>
  <c r="F404" i="21" a="1"/>
  <c r="F404" i="21" s="1"/>
  <c r="E404" i="21" a="1"/>
  <c r="E404" i="21" s="1"/>
  <c r="D404" i="21" a="1"/>
  <c r="D404" i="21" s="1"/>
  <c r="C404" i="21" a="1"/>
  <c r="C404" i="21" s="1"/>
  <c r="B404" i="21" a="1"/>
  <c r="B404" i="21" s="1"/>
  <c r="A404" i="21" a="1"/>
  <c r="A404" i="21" s="1"/>
  <c r="U403" i="21" a="1"/>
  <c r="U403" i="21" s="1"/>
  <c r="T403" i="21" a="1"/>
  <c r="T403" i="21" s="1"/>
  <c r="S403" i="21" a="1"/>
  <c r="S403" i="21" s="1"/>
  <c r="R403" i="21" a="1"/>
  <c r="R403" i="21" s="1"/>
  <c r="Q403" i="21" a="1"/>
  <c r="Q403" i="21" s="1"/>
  <c r="P403" i="21" a="1"/>
  <c r="P403" i="21" s="1"/>
  <c r="O403" i="21" a="1"/>
  <c r="O403" i="21" s="1"/>
  <c r="N403" i="21" a="1"/>
  <c r="N403" i="21" s="1"/>
  <c r="M403" i="21" a="1"/>
  <c r="M403" i="21" s="1"/>
  <c r="L403" i="21" a="1"/>
  <c r="L403" i="21" s="1"/>
  <c r="K403" i="21" a="1"/>
  <c r="K403" i="21" s="1"/>
  <c r="J403" i="21" a="1"/>
  <c r="J403" i="21" s="1"/>
  <c r="I403" i="21" a="1"/>
  <c r="I403" i="21" s="1"/>
  <c r="H403" i="21" a="1"/>
  <c r="H403" i="21" s="1"/>
  <c r="G403" i="21" a="1"/>
  <c r="G403" i="21" s="1"/>
  <c r="F403" i="21" a="1"/>
  <c r="F403" i="21" s="1"/>
  <c r="E403" i="21" a="1"/>
  <c r="E403" i="21" s="1"/>
  <c r="D403" i="21" a="1"/>
  <c r="D403" i="21" s="1"/>
  <c r="C403" i="21" a="1"/>
  <c r="C403" i="21" s="1"/>
  <c r="B403" i="21" a="1"/>
  <c r="B403" i="21" s="1"/>
  <c r="J390" i="21"/>
  <c r="J389" i="21"/>
  <c r="J388" i="21"/>
  <c r="H387" i="21"/>
  <c r="G387" i="21"/>
  <c r="F387" i="21"/>
  <c r="E387" i="21"/>
  <c r="D387" i="21"/>
  <c r="AQ377" i="21"/>
  <c r="AQ378" i="21" s="1"/>
  <c r="AQ355" i="21" s="1"/>
  <c r="AP377" i="21"/>
  <c r="AP378" i="21" s="1"/>
  <c r="AP355" i="21" s="1"/>
  <c r="AO377" i="21"/>
  <c r="AO378" i="21" s="1"/>
  <c r="AO355" i="21" s="1"/>
  <c r="AN377" i="21"/>
  <c r="AN378" i="21" s="1"/>
  <c r="AN355" i="21" s="1"/>
  <c r="AM377" i="21"/>
  <c r="AM378" i="21" s="1"/>
  <c r="AM355" i="21" s="1"/>
  <c r="AL377" i="21"/>
  <c r="AL378" i="21" s="1"/>
  <c r="AL355" i="21" s="1"/>
  <c r="AK377" i="21"/>
  <c r="AK378" i="21" s="1"/>
  <c r="AK355" i="21" s="1"/>
  <c r="AJ377" i="21"/>
  <c r="AJ378" i="21" s="1"/>
  <c r="AJ355" i="21" s="1"/>
  <c r="AI377" i="21"/>
  <c r="AI378" i="21" s="1"/>
  <c r="AI355" i="21" s="1"/>
  <c r="AH377" i="21"/>
  <c r="AH378" i="21" s="1"/>
  <c r="AH355" i="21" s="1"/>
  <c r="AG377" i="21"/>
  <c r="AG378" i="21" s="1"/>
  <c r="AG355" i="21" s="1"/>
  <c r="AF377" i="21"/>
  <c r="AF378" i="21" s="1"/>
  <c r="AF355" i="21" s="1"/>
  <c r="E377" i="21"/>
  <c r="E378" i="21" s="1"/>
  <c r="E355" i="21" s="1"/>
  <c r="AQ375" i="21"/>
  <c r="AP375" i="21"/>
  <c r="AO375" i="21"/>
  <c r="AN375" i="21"/>
  <c r="AM375" i="21"/>
  <c r="AL375" i="21"/>
  <c r="AK375" i="21"/>
  <c r="AJ375" i="21"/>
  <c r="AI375" i="21"/>
  <c r="AH375" i="21"/>
  <c r="AG375" i="21"/>
  <c r="AF375" i="21"/>
  <c r="AE375" i="21"/>
  <c r="AD375" i="21"/>
  <c r="AC375" i="21"/>
  <c r="AB375" i="21"/>
  <c r="AA375" i="21"/>
  <c r="Z375" i="21"/>
  <c r="Y375" i="21"/>
  <c r="X375" i="21"/>
  <c r="W375" i="21"/>
  <c r="V375" i="21"/>
  <c r="U375" i="21"/>
  <c r="T375" i="21"/>
  <c r="S375" i="21"/>
  <c r="R375" i="21"/>
  <c r="Q375" i="21"/>
  <c r="P375" i="21"/>
  <c r="O375" i="21"/>
  <c r="N375" i="21"/>
  <c r="M375" i="21"/>
  <c r="L375" i="21"/>
  <c r="K375" i="21"/>
  <c r="J375" i="21"/>
  <c r="I375" i="21"/>
  <c r="H375" i="21"/>
  <c r="G375" i="21"/>
  <c r="F375" i="21"/>
  <c r="E375" i="21"/>
  <c r="AQ370" i="21"/>
  <c r="AP370" i="21"/>
  <c r="AP372" i="21" s="1"/>
  <c r="AO370" i="21"/>
  <c r="AO371" i="21" s="1"/>
  <c r="AN370" i="21"/>
  <c r="AN372" i="21" s="1"/>
  <c r="AM370" i="21"/>
  <c r="AL370" i="21"/>
  <c r="AL372" i="21" s="1"/>
  <c r="AK370" i="21"/>
  <c r="AK371" i="21" s="1"/>
  <c r="AJ370" i="21"/>
  <c r="AJ372" i="21" s="1"/>
  <c r="AI370" i="21"/>
  <c r="AH370" i="21"/>
  <c r="AH372" i="21" s="1"/>
  <c r="AG370" i="21"/>
  <c r="AG371" i="21" s="1"/>
  <c r="AF370" i="21"/>
  <c r="AF372" i="21" s="1"/>
  <c r="AE370" i="21"/>
  <c r="AD370" i="21"/>
  <c r="AC370" i="21"/>
  <c r="AC371" i="21" s="1"/>
  <c r="AB370" i="21"/>
  <c r="AA370" i="21"/>
  <c r="Z370" i="21"/>
  <c r="Y370" i="21"/>
  <c r="Y371" i="21" s="1"/>
  <c r="X370" i="21"/>
  <c r="W370" i="21"/>
  <c r="V370" i="21"/>
  <c r="U370" i="21"/>
  <c r="U371" i="21" s="1"/>
  <c r="T370" i="21"/>
  <c r="S370" i="21"/>
  <c r="R370" i="21"/>
  <c r="Q370" i="21"/>
  <c r="Q371" i="21" s="1"/>
  <c r="P370" i="21"/>
  <c r="O370" i="21"/>
  <c r="N370" i="21"/>
  <c r="M370" i="21"/>
  <c r="M371" i="21" s="1"/>
  <c r="L370" i="21"/>
  <c r="K370" i="21"/>
  <c r="J370" i="21"/>
  <c r="I370" i="21"/>
  <c r="I371" i="21" s="1"/>
  <c r="H370" i="21"/>
  <c r="G370" i="21"/>
  <c r="F370" i="21"/>
  <c r="E370" i="21"/>
  <c r="E371" i="21" s="1"/>
  <c r="U366" i="21" a="1"/>
  <c r="U366" i="21" s="1"/>
  <c r="T366" i="21" a="1"/>
  <c r="T366" i="21" s="1"/>
  <c r="S366" i="21" a="1"/>
  <c r="S366" i="21" s="1"/>
  <c r="R366" i="21" a="1"/>
  <c r="R366" i="21" s="1"/>
  <c r="Q366" i="21" a="1"/>
  <c r="Q366" i="21" s="1"/>
  <c r="P366" i="21" a="1"/>
  <c r="P366" i="21" s="1"/>
  <c r="O366" i="21" a="1"/>
  <c r="O366" i="21" s="1"/>
  <c r="N366" i="21" a="1"/>
  <c r="N366" i="21" s="1"/>
  <c r="M366" i="21" a="1"/>
  <c r="M366" i="21" s="1"/>
  <c r="L366" i="21" a="1"/>
  <c r="L366" i="21" s="1"/>
  <c r="K366" i="21" a="1"/>
  <c r="K366" i="21" s="1"/>
  <c r="J366" i="21" a="1"/>
  <c r="J366" i="21" s="1"/>
  <c r="I366" i="21" a="1"/>
  <c r="I366" i="21" s="1"/>
  <c r="H366" i="21" a="1"/>
  <c r="H366" i="21" s="1"/>
  <c r="G366" i="21" a="1"/>
  <c r="G366" i="21" s="1"/>
  <c r="F366" i="21" a="1"/>
  <c r="F366" i="21" s="1"/>
  <c r="E366" i="21" a="1"/>
  <c r="E366" i="21" s="1"/>
  <c r="D366" i="21" a="1"/>
  <c r="D366" i="21" s="1"/>
  <c r="C366" i="21" a="1"/>
  <c r="C366" i="21" s="1"/>
  <c r="B366" i="21" a="1"/>
  <c r="B366" i="21" s="1"/>
  <c r="A366" i="21" a="1"/>
  <c r="A366" i="21" s="1"/>
  <c r="U365" i="21" a="1"/>
  <c r="U365" i="21" s="1"/>
  <c r="T365" i="21" a="1"/>
  <c r="T365" i="21" s="1"/>
  <c r="S365" i="21" a="1"/>
  <c r="S365" i="21" s="1"/>
  <c r="R365" i="21" a="1"/>
  <c r="R365" i="21" s="1"/>
  <c r="Q365" i="21" a="1"/>
  <c r="Q365" i="21" s="1"/>
  <c r="P365" i="21" a="1"/>
  <c r="P365" i="21" s="1"/>
  <c r="O365" i="21" a="1"/>
  <c r="O365" i="21" s="1"/>
  <c r="N365" i="21" a="1"/>
  <c r="N365" i="21" s="1"/>
  <c r="M365" i="21" a="1"/>
  <c r="M365" i="21" s="1"/>
  <c r="L365" i="21" a="1"/>
  <c r="L365" i="21" s="1"/>
  <c r="K365" i="21" a="1"/>
  <c r="K365" i="21" s="1"/>
  <c r="J365" i="21" a="1"/>
  <c r="J365" i="21" s="1"/>
  <c r="I365" i="21" a="1"/>
  <c r="I365" i="21" s="1"/>
  <c r="H365" i="21" a="1"/>
  <c r="H365" i="21" s="1"/>
  <c r="G365" i="21" a="1"/>
  <c r="G365" i="21" s="1"/>
  <c r="F365" i="21" a="1"/>
  <c r="F365" i="21" s="1"/>
  <c r="E365" i="21" a="1"/>
  <c r="E365" i="21" s="1"/>
  <c r="D365" i="21" a="1"/>
  <c r="D365" i="21" s="1"/>
  <c r="C365" i="21" a="1"/>
  <c r="C365" i="21" s="1"/>
  <c r="B365" i="21" a="1"/>
  <c r="B365" i="21" s="1"/>
  <c r="J348" i="21"/>
  <c r="J347" i="21"/>
  <c r="J346" i="21"/>
  <c r="H345" i="21"/>
  <c r="G345" i="21"/>
  <c r="F345" i="21"/>
  <c r="E345" i="21"/>
  <c r="D345" i="21"/>
  <c r="AQ335" i="21"/>
  <c r="AQ336" i="21" s="1"/>
  <c r="AQ313" i="21" s="1"/>
  <c r="AP335" i="21"/>
  <c r="AP336" i="21" s="1"/>
  <c r="AP313" i="21" s="1"/>
  <c r="AO335" i="21"/>
  <c r="AO336" i="21" s="1"/>
  <c r="AO313" i="21" s="1"/>
  <c r="AN335" i="21"/>
  <c r="AN336" i="21" s="1"/>
  <c r="AN313" i="21" s="1"/>
  <c r="AM335" i="21"/>
  <c r="AM336" i="21" s="1"/>
  <c r="AM313" i="21" s="1"/>
  <c r="AL335" i="21"/>
  <c r="AL336" i="21" s="1"/>
  <c r="AL313" i="21" s="1"/>
  <c r="AK335" i="21"/>
  <c r="AK336" i="21" s="1"/>
  <c r="AK313" i="21" s="1"/>
  <c r="AJ335" i="21"/>
  <c r="AJ336" i="21" s="1"/>
  <c r="AJ313" i="21" s="1"/>
  <c r="AI335" i="21"/>
  <c r="AI336" i="21" s="1"/>
  <c r="AI313" i="21" s="1"/>
  <c r="AH335" i="21"/>
  <c r="AH336" i="21" s="1"/>
  <c r="AH313" i="21" s="1"/>
  <c r="AG335" i="21"/>
  <c r="AG336" i="21" s="1"/>
  <c r="AG313" i="21" s="1"/>
  <c r="AF335" i="21"/>
  <c r="AF336" i="21" s="1"/>
  <c r="AF313" i="21" s="1"/>
  <c r="E335" i="21"/>
  <c r="E336" i="21" s="1"/>
  <c r="E313" i="21" s="1"/>
  <c r="AQ333" i="21"/>
  <c r="AP333" i="21"/>
  <c r="AO333" i="21"/>
  <c r="AN333" i="21"/>
  <c r="AM333" i="21"/>
  <c r="AL333" i="21"/>
  <c r="AK333" i="21"/>
  <c r="AJ333" i="21"/>
  <c r="AI333" i="21"/>
  <c r="AH333" i="21"/>
  <c r="AG333" i="21"/>
  <c r="AF333" i="21"/>
  <c r="AE333" i="21"/>
  <c r="AD333" i="21"/>
  <c r="AC333" i="21"/>
  <c r="AB333" i="21"/>
  <c r="AA333" i="21"/>
  <c r="Z333" i="21"/>
  <c r="Y333" i="21"/>
  <c r="X333" i="21"/>
  <c r="W333" i="21"/>
  <c r="V333" i="21"/>
  <c r="U333" i="21"/>
  <c r="T333" i="21"/>
  <c r="S333" i="21"/>
  <c r="R333" i="21"/>
  <c r="Q333" i="21"/>
  <c r="P333" i="21"/>
  <c r="O333" i="21"/>
  <c r="N333" i="21"/>
  <c r="M333" i="21"/>
  <c r="L333" i="21"/>
  <c r="K333" i="21"/>
  <c r="J333" i="21"/>
  <c r="I333" i="21"/>
  <c r="H333" i="21"/>
  <c r="G333" i="21"/>
  <c r="F333" i="21"/>
  <c r="E333" i="21"/>
  <c r="AQ328" i="21"/>
  <c r="AQ329" i="21" s="1"/>
  <c r="AP328" i="21"/>
  <c r="AP329" i="21" s="1"/>
  <c r="AO328" i="21"/>
  <c r="AO330" i="21" s="1"/>
  <c r="AN328" i="21"/>
  <c r="AN329" i="21" s="1"/>
  <c r="AM328" i="21"/>
  <c r="AM330" i="21" s="1"/>
  <c r="AL328" i="21"/>
  <c r="AL330" i="21" s="1"/>
  <c r="AK328" i="21"/>
  <c r="AK330" i="21" s="1"/>
  <c r="AJ328" i="21"/>
  <c r="AJ329" i="21" s="1"/>
  <c r="AI328" i="21"/>
  <c r="AI329" i="21" s="1"/>
  <c r="AH328" i="21"/>
  <c r="AH329" i="21" s="1"/>
  <c r="AG328" i="21"/>
  <c r="AG330" i="21" s="1"/>
  <c r="AF328" i="21"/>
  <c r="AF329" i="21" s="1"/>
  <c r="AE328" i="21"/>
  <c r="AD328" i="21"/>
  <c r="AC328" i="21"/>
  <c r="AB328" i="21"/>
  <c r="AB329" i="21" s="1"/>
  <c r="AA328" i="21"/>
  <c r="AA329" i="21" s="1"/>
  <c r="Z328" i="21"/>
  <c r="Z329" i="21" s="1"/>
  <c r="Y328" i="21"/>
  <c r="X328" i="21"/>
  <c r="X329" i="21" s="1"/>
  <c r="W328" i="21"/>
  <c r="V328" i="21"/>
  <c r="U328" i="21"/>
  <c r="T328" i="21"/>
  <c r="T329" i="21" s="1"/>
  <c r="S328" i="21"/>
  <c r="R328" i="21"/>
  <c r="R329" i="21" s="1"/>
  <c r="Q328" i="21"/>
  <c r="P328" i="21"/>
  <c r="P329" i="21" s="1"/>
  <c r="O328" i="21"/>
  <c r="N328" i="21"/>
  <c r="M328" i="21"/>
  <c r="L328" i="21"/>
  <c r="L329" i="21" s="1"/>
  <c r="K328" i="21"/>
  <c r="J328" i="21"/>
  <c r="J329" i="21" s="1"/>
  <c r="I328" i="21"/>
  <c r="H328" i="21"/>
  <c r="H329" i="21" s="1"/>
  <c r="G328" i="21"/>
  <c r="F328" i="21"/>
  <c r="E328" i="21"/>
  <c r="E330" i="21" s="1"/>
  <c r="U324" i="21" a="1"/>
  <c r="U324" i="21" s="1"/>
  <c r="T324" i="21" a="1"/>
  <c r="T324" i="21" s="1"/>
  <c r="S324" i="21" a="1"/>
  <c r="S324" i="21" s="1"/>
  <c r="R324" i="21" a="1"/>
  <c r="R324" i="21" s="1"/>
  <c r="Q324" i="21" a="1"/>
  <c r="Q324" i="21" s="1"/>
  <c r="P324" i="21" a="1"/>
  <c r="P324" i="21" s="1"/>
  <c r="O324" i="21" a="1"/>
  <c r="O324" i="21" s="1"/>
  <c r="N324" i="21" a="1"/>
  <c r="N324" i="21" s="1"/>
  <c r="M324" i="21" a="1"/>
  <c r="M324" i="21" s="1"/>
  <c r="L324" i="21" a="1"/>
  <c r="L324" i="21" s="1"/>
  <c r="K324" i="21" a="1"/>
  <c r="K324" i="21" s="1"/>
  <c r="J324" i="21" a="1"/>
  <c r="J324" i="21" s="1"/>
  <c r="I324" i="21" a="1"/>
  <c r="I324" i="21" s="1"/>
  <c r="H324" i="21" a="1"/>
  <c r="H324" i="21" s="1"/>
  <c r="G324" i="21" a="1"/>
  <c r="G324" i="21" s="1"/>
  <c r="F324" i="21" a="1"/>
  <c r="F324" i="21" s="1"/>
  <c r="E324" i="21" a="1"/>
  <c r="E324" i="21" s="1"/>
  <c r="D324" i="21" a="1"/>
  <c r="D324" i="21" s="1"/>
  <c r="C324" i="21" a="1"/>
  <c r="C324" i="21" s="1"/>
  <c r="B324" i="21" a="1"/>
  <c r="B324" i="21" s="1"/>
  <c r="A324" i="21" a="1"/>
  <c r="A324" i="21" s="1"/>
  <c r="U323" i="21" a="1"/>
  <c r="U323" i="21" s="1"/>
  <c r="T323" i="21" a="1"/>
  <c r="T323" i="21" s="1"/>
  <c r="S323" i="21" a="1"/>
  <c r="S323" i="21" s="1"/>
  <c r="R323" i="21" a="1"/>
  <c r="R323" i="21" s="1"/>
  <c r="Q323" i="21" a="1"/>
  <c r="Q323" i="21" s="1"/>
  <c r="P323" i="21" a="1"/>
  <c r="P323" i="21" s="1"/>
  <c r="O323" i="21" a="1"/>
  <c r="O323" i="21" s="1"/>
  <c r="N323" i="21" a="1"/>
  <c r="N323" i="21" s="1"/>
  <c r="M323" i="21" a="1"/>
  <c r="M323" i="21" s="1"/>
  <c r="L323" i="21" a="1"/>
  <c r="L323" i="21" s="1"/>
  <c r="K323" i="21" a="1"/>
  <c r="K323" i="21" s="1"/>
  <c r="J323" i="21" a="1"/>
  <c r="J323" i="21" s="1"/>
  <c r="I323" i="21" a="1"/>
  <c r="I323" i="21" s="1"/>
  <c r="H323" i="21" a="1"/>
  <c r="H323" i="21" s="1"/>
  <c r="G323" i="21" a="1"/>
  <c r="G323" i="21" s="1"/>
  <c r="F323" i="21" a="1"/>
  <c r="F323" i="21" s="1"/>
  <c r="E323" i="21" a="1"/>
  <c r="E323" i="21" s="1"/>
  <c r="D323" i="21" a="1"/>
  <c r="D323" i="21" s="1"/>
  <c r="C323" i="21" a="1"/>
  <c r="C323" i="21" s="1"/>
  <c r="B323" i="21" a="1"/>
  <c r="B323" i="21" s="1"/>
  <c r="J306" i="21"/>
  <c r="J305" i="21"/>
  <c r="J304" i="21"/>
  <c r="H303" i="21"/>
  <c r="G303" i="21"/>
  <c r="F303" i="21"/>
  <c r="E303" i="21"/>
  <c r="D303" i="21"/>
  <c r="AQ293" i="21"/>
  <c r="AQ294" i="21" s="1"/>
  <c r="AQ271" i="21" s="1"/>
  <c r="AP293" i="21"/>
  <c r="AP294" i="21" s="1"/>
  <c r="AP271" i="21" s="1"/>
  <c r="AO293" i="21"/>
  <c r="AO294" i="21" s="1"/>
  <c r="AO271" i="21" s="1"/>
  <c r="AN293" i="21"/>
  <c r="AN294" i="21" s="1"/>
  <c r="AN271" i="21" s="1"/>
  <c r="AM293" i="21"/>
  <c r="AM294" i="21" s="1"/>
  <c r="AM271" i="21" s="1"/>
  <c r="AL293" i="21"/>
  <c r="AL294" i="21" s="1"/>
  <c r="AL271" i="21" s="1"/>
  <c r="AK293" i="21"/>
  <c r="AK294" i="21" s="1"/>
  <c r="AK271" i="21" s="1"/>
  <c r="AJ293" i="21"/>
  <c r="AJ294" i="21" s="1"/>
  <c r="AJ271" i="21" s="1"/>
  <c r="AI293" i="21"/>
  <c r="AI294" i="21" s="1"/>
  <c r="AI271" i="21" s="1"/>
  <c r="AH293" i="21"/>
  <c r="AH294" i="21" s="1"/>
  <c r="AH271" i="21" s="1"/>
  <c r="AG293" i="21"/>
  <c r="AG294" i="21" s="1"/>
  <c r="AG271" i="21" s="1"/>
  <c r="AF293" i="21"/>
  <c r="AF294" i="21" s="1"/>
  <c r="AF271" i="21" s="1"/>
  <c r="AQ291" i="21"/>
  <c r="AP291" i="21"/>
  <c r="AO291" i="21"/>
  <c r="AN291" i="21"/>
  <c r="AM291" i="21"/>
  <c r="AL291" i="21"/>
  <c r="AK291" i="21"/>
  <c r="AJ291" i="21"/>
  <c r="AI291" i="21"/>
  <c r="AH291" i="21"/>
  <c r="AG291" i="21"/>
  <c r="AF291" i="21"/>
  <c r="AE291" i="21"/>
  <c r="AD291" i="21"/>
  <c r="AC291" i="21"/>
  <c r="AB291" i="21"/>
  <c r="AA291" i="21"/>
  <c r="Z291" i="21"/>
  <c r="Y291" i="21"/>
  <c r="X291" i="21"/>
  <c r="W291" i="21"/>
  <c r="V291" i="21"/>
  <c r="U291" i="21"/>
  <c r="T291" i="21"/>
  <c r="S291" i="21"/>
  <c r="R291" i="21"/>
  <c r="Q291" i="21"/>
  <c r="P291" i="21"/>
  <c r="O291" i="21"/>
  <c r="N291" i="21"/>
  <c r="M291" i="21"/>
  <c r="L291" i="21"/>
  <c r="K291" i="21"/>
  <c r="J291" i="21"/>
  <c r="I291" i="21"/>
  <c r="H291" i="21"/>
  <c r="G291" i="21"/>
  <c r="F291" i="21"/>
  <c r="E291" i="21"/>
  <c r="AQ286" i="21"/>
  <c r="AQ287" i="21" s="1"/>
  <c r="AP286" i="21"/>
  <c r="AP288" i="21" s="1"/>
  <c r="AO286" i="21"/>
  <c r="AN286" i="21"/>
  <c r="AN287" i="21" s="1"/>
  <c r="AM286" i="21"/>
  <c r="AM288" i="21" s="1"/>
  <c r="AL286" i="21"/>
  <c r="AL288" i="21" s="1"/>
  <c r="AK286" i="21"/>
  <c r="AJ286" i="21"/>
  <c r="AJ287" i="21" s="1"/>
  <c r="AI286" i="21"/>
  <c r="AI288" i="21" s="1"/>
  <c r="AH286" i="21"/>
  <c r="AH288" i="21" s="1"/>
  <c r="AG286" i="21"/>
  <c r="AF286" i="21"/>
  <c r="AF287" i="21" s="1"/>
  <c r="AE286" i="21"/>
  <c r="AD286" i="21"/>
  <c r="AC286" i="21"/>
  <c r="AB286" i="21"/>
  <c r="AB287" i="21" s="1"/>
  <c r="AA286" i="21"/>
  <c r="AA287" i="21" s="1"/>
  <c r="Z286" i="21"/>
  <c r="Y286" i="21"/>
  <c r="X286" i="21"/>
  <c r="X287" i="21" s="1"/>
  <c r="W286" i="21"/>
  <c r="W287" i="21" s="1"/>
  <c r="V286" i="21"/>
  <c r="U286" i="21"/>
  <c r="T286" i="21"/>
  <c r="T287" i="21" s="1"/>
  <c r="S286" i="21"/>
  <c r="R286" i="21"/>
  <c r="Q286" i="21"/>
  <c r="P286" i="21"/>
  <c r="P287" i="21" s="1"/>
  <c r="O286" i="21"/>
  <c r="O287" i="21" s="1"/>
  <c r="N286" i="21"/>
  <c r="M286" i="21"/>
  <c r="L286" i="21"/>
  <c r="L287" i="21" s="1"/>
  <c r="K286" i="21"/>
  <c r="K287" i="21" s="1"/>
  <c r="J286" i="21"/>
  <c r="I286" i="21"/>
  <c r="H286" i="21"/>
  <c r="H287" i="21" s="1"/>
  <c r="G286" i="21"/>
  <c r="F286" i="21"/>
  <c r="E286" i="21"/>
  <c r="U282" i="21" a="1"/>
  <c r="U282" i="21" s="1"/>
  <c r="T282" i="21" a="1"/>
  <c r="T282" i="21" s="1"/>
  <c r="S282" i="21" a="1"/>
  <c r="S282" i="21" s="1"/>
  <c r="R282" i="21" a="1"/>
  <c r="R282" i="21" s="1"/>
  <c r="Q282" i="21" a="1"/>
  <c r="Q282" i="21" s="1"/>
  <c r="P282" i="21" a="1"/>
  <c r="P282" i="21" s="1"/>
  <c r="O282" i="21" a="1"/>
  <c r="O282" i="21" s="1"/>
  <c r="N282" i="21" a="1"/>
  <c r="N282" i="21" s="1"/>
  <c r="M282" i="21" a="1"/>
  <c r="M282" i="21" s="1"/>
  <c r="L282" i="21" a="1"/>
  <c r="L282" i="21" s="1"/>
  <c r="K282" i="21" a="1"/>
  <c r="K282" i="21" s="1"/>
  <c r="J282" i="21" a="1"/>
  <c r="J282" i="21" s="1"/>
  <c r="I282" i="21" a="1"/>
  <c r="I282" i="21" s="1"/>
  <c r="H282" i="21" a="1"/>
  <c r="H282" i="21" s="1"/>
  <c r="G282" i="21" a="1"/>
  <c r="G282" i="21" s="1"/>
  <c r="F282" i="21" a="1"/>
  <c r="F282" i="21" s="1"/>
  <c r="E282" i="21" a="1"/>
  <c r="E282" i="21" s="1"/>
  <c r="D282" i="21" a="1"/>
  <c r="D282" i="21" s="1"/>
  <c r="C282" i="21" a="1"/>
  <c r="C282" i="21" s="1"/>
  <c r="B282" i="21" a="1"/>
  <c r="B282" i="21" s="1"/>
  <c r="A282" i="21" a="1"/>
  <c r="A282" i="21" s="1"/>
  <c r="U281" i="21" a="1"/>
  <c r="U281" i="21" s="1"/>
  <c r="T281" i="21" a="1"/>
  <c r="T281" i="21" s="1"/>
  <c r="S281" i="21" a="1"/>
  <c r="S281" i="21" s="1"/>
  <c r="R281" i="21" a="1"/>
  <c r="R281" i="21" s="1"/>
  <c r="Q281" i="21" a="1"/>
  <c r="Q281" i="21" s="1"/>
  <c r="P281" i="21" a="1"/>
  <c r="P281" i="21" s="1"/>
  <c r="O281" i="21" a="1"/>
  <c r="O281" i="21" s="1"/>
  <c r="N281" i="21" a="1"/>
  <c r="N281" i="21" s="1"/>
  <c r="M281" i="21" a="1"/>
  <c r="M281" i="21" s="1"/>
  <c r="L281" i="21" a="1"/>
  <c r="L281" i="21" s="1"/>
  <c r="K281" i="21" a="1"/>
  <c r="K281" i="21" s="1"/>
  <c r="J281" i="21" a="1"/>
  <c r="J281" i="21" s="1"/>
  <c r="I281" i="21" a="1"/>
  <c r="I281" i="21" s="1"/>
  <c r="H281" i="21" a="1"/>
  <c r="H281" i="21" s="1"/>
  <c r="G281" i="21" a="1"/>
  <c r="G281" i="21" s="1"/>
  <c r="F281" i="21" a="1"/>
  <c r="F281" i="21" s="1"/>
  <c r="E281" i="21" a="1"/>
  <c r="E281" i="21" s="1"/>
  <c r="D281" i="21" a="1"/>
  <c r="D281" i="21" s="1"/>
  <c r="C281" i="21" a="1"/>
  <c r="C281" i="21" s="1"/>
  <c r="B281" i="21" a="1"/>
  <c r="B281" i="21" s="1"/>
  <c r="J264" i="21"/>
  <c r="J263" i="21"/>
  <c r="J262" i="21"/>
  <c r="H261" i="21"/>
  <c r="G261" i="21"/>
  <c r="F261" i="21"/>
  <c r="E261" i="21"/>
  <c r="D261" i="21"/>
  <c r="AQ251" i="21"/>
  <c r="AQ252" i="21" s="1"/>
  <c r="AQ229" i="21" s="1"/>
  <c r="AP251" i="21"/>
  <c r="AP252" i="21" s="1"/>
  <c r="AP229" i="21" s="1"/>
  <c r="AO251" i="21"/>
  <c r="AO252" i="21" s="1"/>
  <c r="AO229" i="21" s="1"/>
  <c r="AN251" i="21"/>
  <c r="AN252" i="21" s="1"/>
  <c r="AN229" i="21" s="1"/>
  <c r="AM251" i="21"/>
  <c r="AM252" i="21" s="1"/>
  <c r="AM229" i="21" s="1"/>
  <c r="AL251" i="21"/>
  <c r="AL252" i="21" s="1"/>
  <c r="AL229" i="21" s="1"/>
  <c r="AK251" i="21"/>
  <c r="AK252" i="21" s="1"/>
  <c r="AK229" i="21" s="1"/>
  <c r="AJ251" i="21"/>
  <c r="AJ252" i="21" s="1"/>
  <c r="AJ229" i="21" s="1"/>
  <c r="AI251" i="21"/>
  <c r="AI252" i="21" s="1"/>
  <c r="AI229" i="21" s="1"/>
  <c r="E251" i="21"/>
  <c r="E252" i="21" s="1"/>
  <c r="E229" i="21" s="1"/>
  <c r="AQ249" i="21"/>
  <c r="AP249" i="21"/>
  <c r="AO249" i="21"/>
  <c r="AN249" i="21"/>
  <c r="AM249" i="21"/>
  <c r="AL249" i="21"/>
  <c r="AK249" i="21"/>
  <c r="AJ249" i="21"/>
  <c r="AI249" i="21"/>
  <c r="AH249" i="21"/>
  <c r="AG249" i="21"/>
  <c r="AF249" i="21"/>
  <c r="AE249" i="21"/>
  <c r="AD249" i="21"/>
  <c r="AC249" i="21"/>
  <c r="AB249" i="21"/>
  <c r="AA249" i="21"/>
  <c r="Z249" i="21"/>
  <c r="Y249" i="21"/>
  <c r="X249" i="21"/>
  <c r="W249" i="21"/>
  <c r="V249" i="21"/>
  <c r="U249" i="21"/>
  <c r="T249" i="21"/>
  <c r="S249" i="21"/>
  <c r="R249" i="21"/>
  <c r="Q249" i="21"/>
  <c r="P249" i="21"/>
  <c r="O249" i="21"/>
  <c r="N249" i="21"/>
  <c r="M249" i="21"/>
  <c r="L249" i="21"/>
  <c r="K249" i="21"/>
  <c r="J249" i="21"/>
  <c r="I249" i="21"/>
  <c r="H249" i="21"/>
  <c r="G249" i="21"/>
  <c r="F249" i="21"/>
  <c r="E249" i="21"/>
  <c r="AQ244" i="21"/>
  <c r="AQ246" i="21" s="1"/>
  <c r="AP244" i="21"/>
  <c r="AP246" i="21" s="1"/>
  <c r="AO244" i="21"/>
  <c r="AO245" i="21" s="1"/>
  <c r="AN244" i="21"/>
  <c r="AN245" i="21" s="1"/>
  <c r="AM244" i="21"/>
  <c r="AM246" i="21" s="1"/>
  <c r="AL244" i="21"/>
  <c r="AL246" i="21" s="1"/>
  <c r="AK244" i="21"/>
  <c r="AK245" i="21" s="1"/>
  <c r="AJ244" i="21"/>
  <c r="AJ246" i="21" s="1"/>
  <c r="AI244" i="21"/>
  <c r="AI246" i="21" s="1"/>
  <c r="AH244" i="21"/>
  <c r="AG244" i="21"/>
  <c r="AG245" i="21" s="1"/>
  <c r="AF244" i="21"/>
  <c r="AF245" i="21" s="1"/>
  <c r="AE244" i="21"/>
  <c r="AE245" i="21" s="1"/>
  <c r="AD244" i="21"/>
  <c r="AC244" i="21"/>
  <c r="AC245" i="21" s="1"/>
  <c r="AB244" i="21"/>
  <c r="AA244" i="21"/>
  <c r="Z244" i="21"/>
  <c r="Y244" i="21"/>
  <c r="Y245" i="21" s="1"/>
  <c r="X244" i="21"/>
  <c r="W244" i="21"/>
  <c r="W245" i="21" s="1"/>
  <c r="V244" i="21"/>
  <c r="U244" i="21"/>
  <c r="U245" i="21" s="1"/>
  <c r="T244" i="21"/>
  <c r="T245" i="21" s="1"/>
  <c r="S244" i="21"/>
  <c r="R244" i="21"/>
  <c r="Q244" i="21"/>
  <c r="Q245" i="21" s="1"/>
  <c r="P244" i="21"/>
  <c r="O244" i="21"/>
  <c r="O245" i="21" s="1"/>
  <c r="N244" i="21"/>
  <c r="M244" i="21"/>
  <c r="M245" i="21" s="1"/>
  <c r="L244" i="21"/>
  <c r="L245" i="21" s="1"/>
  <c r="K244" i="21"/>
  <c r="K245" i="21" s="1"/>
  <c r="J244" i="21"/>
  <c r="I244" i="21"/>
  <c r="I245" i="21" s="1"/>
  <c r="H244" i="21"/>
  <c r="G244" i="21"/>
  <c r="F244" i="21"/>
  <c r="E244" i="21"/>
  <c r="E245" i="21" s="1"/>
  <c r="U240" i="21" a="1"/>
  <c r="U240" i="21" s="1"/>
  <c r="T240" i="21" a="1"/>
  <c r="T240" i="21" s="1"/>
  <c r="S240" i="21" a="1"/>
  <c r="S240" i="21" s="1"/>
  <c r="R240" i="21" a="1"/>
  <c r="R240" i="21" s="1"/>
  <c r="Q240" i="21" a="1"/>
  <c r="Q240" i="21" s="1"/>
  <c r="P240" i="21" a="1"/>
  <c r="P240" i="21" s="1"/>
  <c r="O240" i="21" a="1"/>
  <c r="O240" i="21" s="1"/>
  <c r="N240" i="21" a="1"/>
  <c r="N240" i="21" s="1"/>
  <c r="M240" i="21" a="1"/>
  <c r="M240" i="21" s="1"/>
  <c r="L240" i="21" a="1"/>
  <c r="L240" i="21" s="1"/>
  <c r="K240" i="21" a="1"/>
  <c r="K240" i="21" s="1"/>
  <c r="J240" i="21" a="1"/>
  <c r="J240" i="21" s="1"/>
  <c r="I240" i="21" a="1"/>
  <c r="I240" i="21" s="1"/>
  <c r="H240" i="21" a="1"/>
  <c r="H240" i="21" s="1"/>
  <c r="G240" i="21" a="1"/>
  <c r="G240" i="21" s="1"/>
  <c r="F240" i="21" a="1"/>
  <c r="F240" i="21" s="1"/>
  <c r="E240" i="21" a="1"/>
  <c r="E240" i="21" s="1"/>
  <c r="D240" i="21" a="1"/>
  <c r="D240" i="21" s="1"/>
  <c r="C240" i="21" a="1"/>
  <c r="C240" i="21" s="1"/>
  <c r="B240" i="21" a="1"/>
  <c r="B240" i="21" s="1"/>
  <c r="A240" i="21" a="1"/>
  <c r="A240" i="21" s="1"/>
  <c r="U239" i="21" a="1"/>
  <c r="U239" i="21" s="1"/>
  <c r="T239" i="21" a="1"/>
  <c r="T239" i="21" s="1"/>
  <c r="S239" i="21" a="1"/>
  <c r="S239" i="21" s="1"/>
  <c r="R239" i="21" a="1"/>
  <c r="R239" i="21" s="1"/>
  <c r="Q239" i="21" a="1"/>
  <c r="Q239" i="21" s="1"/>
  <c r="P239" i="21" a="1"/>
  <c r="P239" i="21" s="1"/>
  <c r="O239" i="21" a="1"/>
  <c r="O239" i="21" s="1"/>
  <c r="N239" i="21" a="1"/>
  <c r="N239" i="21" s="1"/>
  <c r="M239" i="21" a="1"/>
  <c r="M239" i="21" s="1"/>
  <c r="L239" i="21" a="1"/>
  <c r="L239" i="21" s="1"/>
  <c r="K239" i="21" a="1"/>
  <c r="K239" i="21" s="1"/>
  <c r="J239" i="21" a="1"/>
  <c r="J239" i="21" s="1"/>
  <c r="I239" i="21" a="1"/>
  <c r="I239" i="21" s="1"/>
  <c r="H239" i="21" a="1"/>
  <c r="H239" i="21" s="1"/>
  <c r="G239" i="21" a="1"/>
  <c r="G239" i="21" s="1"/>
  <c r="F239" i="21" a="1"/>
  <c r="F239" i="21" s="1"/>
  <c r="E239" i="21" a="1"/>
  <c r="E239" i="21" s="1"/>
  <c r="D239" i="21" a="1"/>
  <c r="D239" i="21" s="1"/>
  <c r="C239" i="21" a="1"/>
  <c r="C239" i="21" s="1"/>
  <c r="B239" i="21" a="1"/>
  <c r="B239" i="21" s="1"/>
  <c r="J222" i="21"/>
  <c r="J221" i="21"/>
  <c r="J220" i="21"/>
  <c r="H219" i="21"/>
  <c r="G219" i="21"/>
  <c r="F219" i="21"/>
  <c r="E219" i="21"/>
  <c r="D219" i="21"/>
  <c r="AQ209" i="21"/>
  <c r="AQ210" i="21" s="1"/>
  <c r="AQ187" i="21" s="1"/>
  <c r="AP209" i="21"/>
  <c r="AP210" i="21" s="1"/>
  <c r="AP187" i="21" s="1"/>
  <c r="AO209" i="21"/>
  <c r="AO210" i="21" s="1"/>
  <c r="AO187" i="21" s="1"/>
  <c r="AN209" i="21"/>
  <c r="AN210" i="21" s="1"/>
  <c r="AN187" i="21" s="1"/>
  <c r="AM209" i="21"/>
  <c r="AM210" i="21" s="1"/>
  <c r="AM187" i="21" s="1"/>
  <c r="AL209" i="21"/>
  <c r="AL210" i="21" s="1"/>
  <c r="AL187" i="21" s="1"/>
  <c r="AK209" i="21"/>
  <c r="AK210" i="21" s="1"/>
  <c r="AK187" i="21" s="1"/>
  <c r="AJ209" i="21"/>
  <c r="AJ210" i="21" s="1"/>
  <c r="AJ187" i="21" s="1"/>
  <c r="AI209" i="21"/>
  <c r="AI210" i="21" s="1"/>
  <c r="AI187" i="21" s="1"/>
  <c r="AH209" i="21"/>
  <c r="AH210" i="21" s="1"/>
  <c r="AH187" i="21" s="1"/>
  <c r="AG209" i="21"/>
  <c r="AG210" i="21" s="1"/>
  <c r="AG187" i="21" s="1"/>
  <c r="AF209" i="21"/>
  <c r="AF210" i="21" s="1"/>
  <c r="AF187" i="21" s="1"/>
  <c r="E209" i="21"/>
  <c r="E210" i="21" s="1"/>
  <c r="E187" i="21" s="1"/>
  <c r="AQ207" i="21"/>
  <c r="AP207" i="21"/>
  <c r="AO207" i="21"/>
  <c r="AN207" i="21"/>
  <c r="AM207" i="21"/>
  <c r="AL207" i="21"/>
  <c r="AK207" i="21"/>
  <c r="AJ207" i="21"/>
  <c r="AI207" i="21"/>
  <c r="AH207" i="21"/>
  <c r="AG207" i="21"/>
  <c r="AF207" i="21"/>
  <c r="AE207" i="21"/>
  <c r="AD207" i="21"/>
  <c r="AC207" i="21"/>
  <c r="AB207" i="21"/>
  <c r="AA207" i="21"/>
  <c r="Z207" i="21"/>
  <c r="Y207" i="21"/>
  <c r="X207" i="21"/>
  <c r="W207" i="21"/>
  <c r="V207" i="21"/>
  <c r="U207" i="21"/>
  <c r="T207" i="21"/>
  <c r="S207" i="21"/>
  <c r="R207" i="21"/>
  <c r="Q207" i="21"/>
  <c r="P207" i="21"/>
  <c r="O207" i="21"/>
  <c r="N207" i="21"/>
  <c r="M207" i="21"/>
  <c r="L207" i="21"/>
  <c r="K207" i="21"/>
  <c r="J207" i="21"/>
  <c r="I207" i="21"/>
  <c r="H207" i="21"/>
  <c r="G207" i="21"/>
  <c r="F207" i="21"/>
  <c r="E207" i="21"/>
  <c r="AQ202" i="21"/>
  <c r="AQ203" i="21" s="1"/>
  <c r="AP202" i="21"/>
  <c r="AP203" i="21" s="1"/>
  <c r="AO202" i="21"/>
  <c r="AO203" i="21" s="1"/>
  <c r="AN202" i="21"/>
  <c r="AN204" i="21" s="1"/>
  <c r="AM202" i="21"/>
  <c r="AM203" i="21" s="1"/>
  <c r="AL202" i="21"/>
  <c r="AL204" i="21" s="1"/>
  <c r="AK202" i="21"/>
  <c r="AK203" i="21" s="1"/>
  <c r="AJ202" i="21"/>
  <c r="AJ204" i="21" s="1"/>
  <c r="AI202" i="21"/>
  <c r="AI203" i="21" s="1"/>
  <c r="AH202" i="21"/>
  <c r="AH203" i="21" s="1"/>
  <c r="AG202" i="21"/>
  <c r="AG203" i="21" s="1"/>
  <c r="AF202" i="21"/>
  <c r="AF204" i="21" s="1"/>
  <c r="AE202" i="21"/>
  <c r="AE203" i="21" s="1"/>
  <c r="AD202" i="21"/>
  <c r="AC202" i="21"/>
  <c r="AC203" i="21" s="1"/>
  <c r="AB202" i="21"/>
  <c r="AA202" i="21"/>
  <c r="AA203" i="21" s="1"/>
  <c r="Z202" i="21"/>
  <c r="Z203" i="21" s="1"/>
  <c r="Y202" i="21"/>
  <c r="Y203" i="21" s="1"/>
  <c r="X202" i="21"/>
  <c r="W202" i="21"/>
  <c r="W203" i="21" s="1"/>
  <c r="V202" i="21"/>
  <c r="V203" i="21" s="1"/>
  <c r="U202" i="21"/>
  <c r="U203" i="21" s="1"/>
  <c r="T202" i="21"/>
  <c r="S202" i="21"/>
  <c r="S203" i="21" s="1"/>
  <c r="R202" i="21"/>
  <c r="R203" i="21" s="1"/>
  <c r="Q202" i="21"/>
  <c r="Q203" i="21" s="1"/>
  <c r="P202" i="21"/>
  <c r="O202" i="21"/>
  <c r="O203" i="21" s="1"/>
  <c r="N202" i="21"/>
  <c r="M202" i="21"/>
  <c r="M203" i="21" s="1"/>
  <c r="L202" i="21"/>
  <c r="K202" i="21"/>
  <c r="K203" i="21" s="1"/>
  <c r="J202" i="21"/>
  <c r="I202" i="21"/>
  <c r="I203" i="21" s="1"/>
  <c r="H202" i="21"/>
  <c r="G202" i="21"/>
  <c r="G203" i="21" s="1"/>
  <c r="F202" i="21"/>
  <c r="E202" i="21"/>
  <c r="E203" i="21" s="1"/>
  <c r="U198" i="21" a="1"/>
  <c r="U198" i="21" s="1"/>
  <c r="T198" i="21" a="1"/>
  <c r="T198" i="21" s="1"/>
  <c r="S198" i="21" a="1"/>
  <c r="S198" i="21" s="1"/>
  <c r="R198" i="21" a="1"/>
  <c r="R198" i="21" s="1"/>
  <c r="Q198" i="21" a="1"/>
  <c r="Q198" i="21" s="1"/>
  <c r="P198" i="21" a="1"/>
  <c r="P198" i="21" s="1"/>
  <c r="O198" i="21" a="1"/>
  <c r="O198" i="21" s="1"/>
  <c r="N198" i="21" a="1"/>
  <c r="N198" i="21" s="1"/>
  <c r="M198" i="21" a="1"/>
  <c r="M198" i="21" s="1"/>
  <c r="L198" i="21" a="1"/>
  <c r="L198" i="21" s="1"/>
  <c r="K198" i="21" a="1"/>
  <c r="K198" i="21" s="1"/>
  <c r="J198" i="21" a="1"/>
  <c r="J198" i="21" s="1"/>
  <c r="I198" i="21" a="1"/>
  <c r="I198" i="21" s="1"/>
  <c r="H198" i="21" a="1"/>
  <c r="H198" i="21" s="1"/>
  <c r="G198" i="21" a="1"/>
  <c r="G198" i="21" s="1"/>
  <c r="F198" i="21" a="1"/>
  <c r="F198" i="21" s="1"/>
  <c r="E198" i="21" a="1"/>
  <c r="E198" i="21" s="1"/>
  <c r="D198" i="21" a="1"/>
  <c r="D198" i="21" s="1"/>
  <c r="C198" i="21" a="1"/>
  <c r="C198" i="21" s="1"/>
  <c r="B198" i="21" a="1"/>
  <c r="B198" i="21" s="1"/>
  <c r="A198" i="21" a="1"/>
  <c r="A198" i="21" s="1"/>
  <c r="U197" i="21" a="1"/>
  <c r="U197" i="21" s="1"/>
  <c r="T197" i="21" a="1"/>
  <c r="T197" i="21" s="1"/>
  <c r="S197" i="21" a="1"/>
  <c r="S197" i="21" s="1"/>
  <c r="R197" i="21" a="1"/>
  <c r="R197" i="21" s="1"/>
  <c r="Q197" i="21" a="1"/>
  <c r="Q197" i="21" s="1"/>
  <c r="P197" i="21" a="1"/>
  <c r="P197" i="21" s="1"/>
  <c r="O197" i="21" a="1"/>
  <c r="O197" i="21" s="1"/>
  <c r="N197" i="21" a="1"/>
  <c r="N197" i="21" s="1"/>
  <c r="M197" i="21" a="1"/>
  <c r="M197" i="21" s="1"/>
  <c r="L197" i="21" a="1"/>
  <c r="L197" i="21" s="1"/>
  <c r="K197" i="21" a="1"/>
  <c r="K197" i="21" s="1"/>
  <c r="J197" i="21" a="1"/>
  <c r="J197" i="21" s="1"/>
  <c r="I197" i="21" a="1"/>
  <c r="I197" i="21" s="1"/>
  <c r="H197" i="21" a="1"/>
  <c r="H197" i="21" s="1"/>
  <c r="G197" i="21" a="1"/>
  <c r="G197" i="21" s="1"/>
  <c r="F197" i="21" a="1"/>
  <c r="F197" i="21" s="1"/>
  <c r="E197" i="21" a="1"/>
  <c r="E197" i="21" s="1"/>
  <c r="D197" i="21" a="1"/>
  <c r="D197" i="21" s="1"/>
  <c r="C197" i="21" a="1"/>
  <c r="C197" i="21" s="1"/>
  <c r="B197" i="21" a="1"/>
  <c r="B197" i="21" s="1"/>
  <c r="J180" i="21"/>
  <c r="J179" i="21"/>
  <c r="J178" i="21"/>
  <c r="H177" i="21"/>
  <c r="G177" i="21"/>
  <c r="F177" i="21"/>
  <c r="E177" i="21"/>
  <c r="D177" i="21"/>
  <c r="AQ167" i="21"/>
  <c r="AQ168" i="21" s="1"/>
  <c r="AQ145" i="21" s="1"/>
  <c r="AP167" i="21"/>
  <c r="AP168" i="21" s="1"/>
  <c r="AP145" i="21" s="1"/>
  <c r="AO167" i="21"/>
  <c r="AO168" i="21" s="1"/>
  <c r="AO145" i="21" s="1"/>
  <c r="AN167" i="21"/>
  <c r="AN168" i="21" s="1"/>
  <c r="AN145" i="21" s="1"/>
  <c r="AM167" i="21"/>
  <c r="AM168" i="21" s="1"/>
  <c r="AM145" i="21" s="1"/>
  <c r="AL167" i="21"/>
  <c r="AL168" i="21" s="1"/>
  <c r="AL145" i="21" s="1"/>
  <c r="AK167" i="21"/>
  <c r="AK168" i="21" s="1"/>
  <c r="AK145" i="21" s="1"/>
  <c r="AJ167" i="21"/>
  <c r="AJ168" i="21" s="1"/>
  <c r="AJ145" i="21" s="1"/>
  <c r="E167" i="21"/>
  <c r="E168" i="21" s="1"/>
  <c r="E145" i="21" s="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AQ160" i="21"/>
  <c r="AQ161" i="21" s="1"/>
  <c r="AP160" i="21"/>
  <c r="AP162" i="21" s="1"/>
  <c r="AO160" i="21"/>
  <c r="AO161" i="21" s="1"/>
  <c r="AN160" i="21"/>
  <c r="AN162" i="21" s="1"/>
  <c r="AM160" i="21"/>
  <c r="AM161" i="21" s="1"/>
  <c r="AL160" i="21"/>
  <c r="AL162" i="21" s="1"/>
  <c r="AK160" i="21"/>
  <c r="AK161" i="21" s="1"/>
  <c r="AJ160" i="21"/>
  <c r="AJ162" i="21" s="1"/>
  <c r="AI160" i="21"/>
  <c r="AI161" i="21" s="1"/>
  <c r="AH160" i="21"/>
  <c r="AG160" i="21"/>
  <c r="AG161" i="21" s="1"/>
  <c r="AF160" i="21"/>
  <c r="AE160" i="21"/>
  <c r="AE161" i="21" s="1"/>
  <c r="AD160" i="21"/>
  <c r="AC160" i="21"/>
  <c r="AC161" i="21" s="1"/>
  <c r="AB160" i="21"/>
  <c r="AA160" i="21"/>
  <c r="AA161" i="21" s="1"/>
  <c r="Z160" i="21"/>
  <c r="Y160" i="21"/>
  <c r="Y161" i="21" s="1"/>
  <c r="X160" i="21"/>
  <c r="W160" i="21"/>
  <c r="W161" i="21" s="1"/>
  <c r="V160" i="21"/>
  <c r="U160" i="21"/>
  <c r="U161" i="21" s="1"/>
  <c r="T160" i="21"/>
  <c r="S160" i="21"/>
  <c r="S161" i="21" s="1"/>
  <c r="R160" i="21"/>
  <c r="Q160" i="21"/>
  <c r="Q161" i="21" s="1"/>
  <c r="P160" i="21"/>
  <c r="O160" i="21"/>
  <c r="O161" i="21" s="1"/>
  <c r="N160" i="21"/>
  <c r="M160" i="21"/>
  <c r="M161" i="21" s="1"/>
  <c r="L160" i="21"/>
  <c r="K160" i="21"/>
  <c r="K161" i="21" s="1"/>
  <c r="J160" i="21"/>
  <c r="I160" i="21"/>
  <c r="I161" i="21" s="1"/>
  <c r="H160" i="21"/>
  <c r="G160" i="21"/>
  <c r="G161" i="21" s="1"/>
  <c r="F160" i="21"/>
  <c r="E160" i="21"/>
  <c r="E161" i="21" s="1"/>
  <c r="U156" i="21" a="1"/>
  <c r="U156" i="21" s="1"/>
  <c r="T156" i="21" a="1"/>
  <c r="T156" i="21" s="1"/>
  <c r="S156" i="21" a="1"/>
  <c r="S156" i="21" s="1"/>
  <c r="R156" i="21" a="1"/>
  <c r="R156" i="21" s="1"/>
  <c r="Q156" i="21" a="1"/>
  <c r="Q156" i="21" s="1"/>
  <c r="P156" i="21" a="1"/>
  <c r="P156" i="21" s="1"/>
  <c r="O156" i="21" a="1"/>
  <c r="O156" i="21" s="1"/>
  <c r="N156" i="21" a="1"/>
  <c r="N156" i="21" s="1"/>
  <c r="M156" i="21" a="1"/>
  <c r="M156" i="21" s="1"/>
  <c r="L156" i="21" a="1"/>
  <c r="L156" i="21" s="1"/>
  <c r="K156" i="21" a="1"/>
  <c r="K156" i="21" s="1"/>
  <c r="J156" i="21" a="1"/>
  <c r="J156" i="21" s="1"/>
  <c r="I156" i="21" a="1"/>
  <c r="I156" i="21" s="1"/>
  <c r="H156" i="21" a="1"/>
  <c r="H156" i="21" s="1"/>
  <c r="G156" i="21" a="1"/>
  <c r="G156" i="21" s="1"/>
  <c r="F156" i="21" a="1"/>
  <c r="F156" i="21" s="1"/>
  <c r="E156" i="21" a="1"/>
  <c r="E156" i="21" s="1"/>
  <c r="D156" i="21" a="1"/>
  <c r="D156" i="21" s="1"/>
  <c r="C156" i="21" a="1"/>
  <c r="C156" i="21" s="1"/>
  <c r="B156" i="21" a="1"/>
  <c r="B156" i="21" s="1"/>
  <c r="A156" i="21" a="1"/>
  <c r="A156" i="21" s="1"/>
  <c r="U155" i="21" a="1"/>
  <c r="U155" i="21" s="1"/>
  <c r="T155" i="21" a="1"/>
  <c r="T155" i="21" s="1"/>
  <c r="S155" i="21" a="1"/>
  <c r="S155" i="21" s="1"/>
  <c r="R155" i="21" a="1"/>
  <c r="R155" i="21" s="1"/>
  <c r="Q155" i="21" a="1"/>
  <c r="Q155" i="21" s="1"/>
  <c r="P155" i="21" a="1"/>
  <c r="P155" i="21" s="1"/>
  <c r="O155" i="21" a="1"/>
  <c r="O155" i="21" s="1"/>
  <c r="N155" i="21" a="1"/>
  <c r="N155" i="21" s="1"/>
  <c r="M155" i="21" a="1"/>
  <c r="M155" i="21" s="1"/>
  <c r="L155" i="21" a="1"/>
  <c r="L155" i="21" s="1"/>
  <c r="K155" i="21" a="1"/>
  <c r="K155" i="21" s="1"/>
  <c r="J155" i="21" a="1"/>
  <c r="J155" i="21" s="1"/>
  <c r="I155" i="21" a="1"/>
  <c r="I155" i="21" s="1"/>
  <c r="H155" i="21" a="1"/>
  <c r="H155" i="21" s="1"/>
  <c r="G155" i="21" a="1"/>
  <c r="G155" i="21" s="1"/>
  <c r="F155" i="21" a="1"/>
  <c r="F155" i="21" s="1"/>
  <c r="J138" i="21"/>
  <c r="J137" i="21"/>
  <c r="J136" i="21"/>
  <c r="H135" i="21"/>
  <c r="G135" i="21"/>
  <c r="F135" i="21"/>
  <c r="E135" i="21"/>
  <c r="D135" i="21"/>
  <c r="AQ125" i="21"/>
  <c r="AQ126" i="21" s="1"/>
  <c r="AQ103" i="21" s="1"/>
  <c r="AP125" i="21"/>
  <c r="AP126" i="21" s="1"/>
  <c r="AP103" i="21" s="1"/>
  <c r="AO125" i="21"/>
  <c r="AO126" i="21" s="1"/>
  <c r="AO103" i="21" s="1"/>
  <c r="AN125" i="21"/>
  <c r="AN126" i="21" s="1"/>
  <c r="AN103" i="21" s="1"/>
  <c r="AM125" i="21"/>
  <c r="AM126" i="21" s="1"/>
  <c r="AM103" i="21" s="1"/>
  <c r="AL125" i="21"/>
  <c r="AL126" i="21" s="1"/>
  <c r="AL103" i="21" s="1"/>
  <c r="AK125" i="21"/>
  <c r="AK126" i="21" s="1"/>
  <c r="AK103" i="21" s="1"/>
  <c r="AJ125" i="21"/>
  <c r="AJ126" i="21" s="1"/>
  <c r="AJ103" i="21" s="1"/>
  <c r="AI125" i="21"/>
  <c r="AI126" i="21" s="1"/>
  <c r="AI103" i="21" s="1"/>
  <c r="AH125" i="21"/>
  <c r="AH126" i="21" s="1"/>
  <c r="AH103" i="21" s="1"/>
  <c r="AG125" i="21"/>
  <c r="AG126" i="21" s="1"/>
  <c r="AG103" i="21" s="1"/>
  <c r="AF125" i="21"/>
  <c r="AF126" i="21" s="1"/>
  <c r="AF103" i="21" s="1"/>
  <c r="E125" i="21"/>
  <c r="E126" i="21" s="1"/>
  <c r="E103" i="21" s="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AQ118" i="21"/>
  <c r="AQ119" i="21" s="1"/>
  <c r="AP118" i="21"/>
  <c r="AP120" i="21" s="1"/>
  <c r="AO118" i="21"/>
  <c r="AN118" i="21"/>
  <c r="AM118" i="21"/>
  <c r="AM119" i="21" s="1"/>
  <c r="AL118" i="21"/>
  <c r="AL119" i="21" s="1"/>
  <c r="AK118" i="21"/>
  <c r="AJ118" i="21"/>
  <c r="AJ120" i="21" s="1"/>
  <c r="AI118" i="21"/>
  <c r="AI119" i="21" s="1"/>
  <c r="AH118" i="21"/>
  <c r="AH120" i="21" s="1"/>
  <c r="AG118" i="21"/>
  <c r="AF118" i="21"/>
  <c r="AE118" i="21"/>
  <c r="AE119" i="21" s="1"/>
  <c r="AD118" i="21"/>
  <c r="AC118" i="21"/>
  <c r="AB118" i="21"/>
  <c r="AA118" i="21"/>
  <c r="AA119" i="21" s="1"/>
  <c r="Z118" i="21"/>
  <c r="Y118" i="21"/>
  <c r="X118" i="21"/>
  <c r="W118" i="21"/>
  <c r="W119" i="21" s="1"/>
  <c r="V118" i="21"/>
  <c r="U118" i="21"/>
  <c r="T118" i="21"/>
  <c r="S118" i="21"/>
  <c r="S119" i="21" s="1"/>
  <c r="R118" i="21"/>
  <c r="Q118" i="21"/>
  <c r="P118" i="21"/>
  <c r="O118" i="21"/>
  <c r="O119" i="21" s="1"/>
  <c r="N118" i="21"/>
  <c r="M118" i="21"/>
  <c r="L118" i="21"/>
  <c r="K118" i="21"/>
  <c r="K119" i="21" s="1"/>
  <c r="J118" i="21"/>
  <c r="I118" i="21"/>
  <c r="H118" i="21"/>
  <c r="G118" i="21"/>
  <c r="G119" i="21" s="1"/>
  <c r="F118" i="21"/>
  <c r="E118" i="21"/>
  <c r="U114" i="21" a="1"/>
  <c r="U114" i="21" s="1"/>
  <c r="T114" i="21" a="1"/>
  <c r="T114" i="21" s="1"/>
  <c r="S114" i="21" a="1"/>
  <c r="S114" i="21" s="1"/>
  <c r="R114" i="21" a="1"/>
  <c r="R114" i="21" s="1"/>
  <c r="Q114" i="21" a="1"/>
  <c r="Q114" i="21" s="1"/>
  <c r="P114" i="21" a="1"/>
  <c r="P114" i="21" s="1"/>
  <c r="O114" i="21" a="1"/>
  <c r="O114" i="21" s="1"/>
  <c r="N114" i="21" a="1"/>
  <c r="N114" i="21" s="1"/>
  <c r="M114" i="21" a="1"/>
  <c r="M114" i="21" s="1"/>
  <c r="L114" i="21" a="1"/>
  <c r="L114" i="21" s="1"/>
  <c r="K114" i="21" a="1"/>
  <c r="K114" i="21" s="1"/>
  <c r="J114" i="21" a="1"/>
  <c r="J114" i="21" s="1"/>
  <c r="I114" i="21" a="1"/>
  <c r="I114" i="21" s="1"/>
  <c r="H114" i="21" a="1"/>
  <c r="H114" i="21" s="1"/>
  <c r="G114" i="21" a="1"/>
  <c r="G114" i="21" s="1"/>
  <c r="F114" i="21" a="1"/>
  <c r="F114" i="21" s="1"/>
  <c r="E114" i="21" a="1"/>
  <c r="E114" i="21" s="1"/>
  <c r="D114" i="21" a="1"/>
  <c r="D114" i="21" s="1"/>
  <c r="C114" i="21" a="1"/>
  <c r="C114" i="21" s="1"/>
  <c r="B114" i="21" a="1"/>
  <c r="B114" i="21" s="1"/>
  <c r="A114" i="21" a="1"/>
  <c r="A114" i="21" s="1"/>
  <c r="U113" i="21" a="1"/>
  <c r="U113" i="21" s="1"/>
  <c r="T113" i="21" a="1"/>
  <c r="T113" i="21" s="1"/>
  <c r="S113" i="21" a="1"/>
  <c r="S113" i="21" s="1"/>
  <c r="R113" i="21" a="1"/>
  <c r="R113" i="21" s="1"/>
  <c r="Q113" i="21" a="1"/>
  <c r="Q113" i="21" s="1"/>
  <c r="P113" i="21" a="1"/>
  <c r="P113" i="21" s="1"/>
  <c r="O113" i="21" a="1"/>
  <c r="O113" i="21" s="1"/>
  <c r="N113" i="21" a="1"/>
  <c r="N113" i="21" s="1"/>
  <c r="M113" i="21" a="1"/>
  <c r="M113" i="21" s="1"/>
  <c r="L113" i="21" a="1"/>
  <c r="L113" i="21" s="1"/>
  <c r="K113" i="21" a="1"/>
  <c r="K113" i="21" s="1"/>
  <c r="J113" i="21" a="1"/>
  <c r="J113" i="21" s="1"/>
  <c r="I113" i="21" a="1"/>
  <c r="I113" i="21" s="1"/>
  <c r="H113" i="21" a="1"/>
  <c r="H113" i="21" s="1"/>
  <c r="G113" i="21" a="1"/>
  <c r="G113" i="21" s="1"/>
  <c r="F113" i="21" a="1"/>
  <c r="F113" i="21" s="1"/>
  <c r="E113" i="21" a="1"/>
  <c r="E113" i="21" s="1"/>
  <c r="D113" i="21" a="1"/>
  <c r="D113" i="21" s="1"/>
  <c r="C113" i="21" a="1"/>
  <c r="C113" i="21" s="1"/>
  <c r="B113" i="21" a="1"/>
  <c r="B113" i="21" s="1"/>
  <c r="J96" i="21"/>
  <c r="J95" i="21"/>
  <c r="J94" i="21"/>
  <c r="H93" i="21"/>
  <c r="G93" i="21"/>
  <c r="F93" i="21"/>
  <c r="E93" i="21"/>
  <c r="D93" i="21"/>
  <c r="AQ83" i="21"/>
  <c r="AQ84" i="21" s="1"/>
  <c r="AQ61" i="21" s="1"/>
  <c r="AP83" i="21"/>
  <c r="AP84" i="21" s="1"/>
  <c r="AP61" i="21" s="1"/>
  <c r="AO83" i="21"/>
  <c r="AO84" i="21" s="1"/>
  <c r="AO61" i="21" s="1"/>
  <c r="AN83" i="21"/>
  <c r="AN84" i="21" s="1"/>
  <c r="AN61" i="21" s="1"/>
  <c r="AM83" i="21"/>
  <c r="AM84" i="21" s="1"/>
  <c r="AM61" i="21" s="1"/>
  <c r="AL83" i="21"/>
  <c r="AL84" i="21" s="1"/>
  <c r="AL61" i="21" s="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AQ76" i="21"/>
  <c r="AQ77" i="21" s="1"/>
  <c r="AP76" i="21"/>
  <c r="AP78" i="21" s="1"/>
  <c r="AO76" i="21"/>
  <c r="AO78" i="21" s="1"/>
  <c r="AN76" i="21"/>
  <c r="AN78" i="21" s="1"/>
  <c r="AM76" i="21"/>
  <c r="AM77" i="21" s="1"/>
  <c r="AL76" i="21"/>
  <c r="AL78" i="21" s="1"/>
  <c r="AK76" i="21"/>
  <c r="AK77" i="21" s="1"/>
  <c r="AJ76" i="21"/>
  <c r="AI76" i="21"/>
  <c r="AI77" i="21" s="1"/>
  <c r="AH76" i="21"/>
  <c r="AG76" i="21"/>
  <c r="AF76" i="21"/>
  <c r="AE76" i="21"/>
  <c r="AE77" i="21" s="1"/>
  <c r="AD76" i="21"/>
  <c r="AC76" i="21"/>
  <c r="AC77" i="21" s="1"/>
  <c r="AB76" i="21"/>
  <c r="AB77" i="21" s="1"/>
  <c r="AA76" i="21"/>
  <c r="AA77" i="21" s="1"/>
  <c r="Z76" i="21"/>
  <c r="Y76" i="21"/>
  <c r="X76" i="21"/>
  <c r="W76" i="21"/>
  <c r="W77" i="21" s="1"/>
  <c r="V76" i="21"/>
  <c r="U76" i="21"/>
  <c r="T76" i="21"/>
  <c r="S76" i="21"/>
  <c r="S77" i="21" s="1"/>
  <c r="R76" i="21"/>
  <c r="Q76" i="21"/>
  <c r="P76" i="21"/>
  <c r="O76" i="21"/>
  <c r="O77" i="21" s="1"/>
  <c r="N76" i="21"/>
  <c r="M76" i="21"/>
  <c r="M77" i="21" s="1"/>
  <c r="L76" i="21"/>
  <c r="L77" i="21" s="1"/>
  <c r="K76" i="21"/>
  <c r="K77" i="21" s="1"/>
  <c r="J76" i="21"/>
  <c r="I76" i="21"/>
  <c r="H76" i="21"/>
  <c r="G76" i="21"/>
  <c r="G77" i="21" s="1"/>
  <c r="F76" i="21"/>
  <c r="E76" i="21"/>
  <c r="E77" i="21" s="1"/>
  <c r="U72" i="21" a="1"/>
  <c r="U72" i="21" s="1"/>
  <c r="T72" i="21" a="1"/>
  <c r="T72" i="21" s="1"/>
  <c r="S72" i="21" a="1"/>
  <c r="S72" i="21" s="1"/>
  <c r="R72" i="21" a="1"/>
  <c r="R72" i="21" s="1"/>
  <c r="Q72" i="21" a="1"/>
  <c r="Q72" i="21" s="1"/>
  <c r="P72" i="21" a="1"/>
  <c r="P72" i="21" s="1"/>
  <c r="O72" i="21" a="1"/>
  <c r="O72" i="21" s="1"/>
  <c r="N72" i="21" a="1"/>
  <c r="N72" i="21" s="1"/>
  <c r="M72" i="21" a="1"/>
  <c r="M72" i="21" s="1"/>
  <c r="L72" i="21" a="1"/>
  <c r="L72" i="21" s="1"/>
  <c r="K72" i="21" a="1"/>
  <c r="K72" i="21" s="1"/>
  <c r="J72" i="21" a="1"/>
  <c r="J72" i="21" s="1"/>
  <c r="I72" i="21" a="1"/>
  <c r="I72" i="21" s="1"/>
  <c r="H72" i="21" a="1"/>
  <c r="H72" i="21" s="1"/>
  <c r="G72" i="21" a="1"/>
  <c r="G72" i="21" s="1"/>
  <c r="F72" i="21" a="1"/>
  <c r="F72" i="21" s="1"/>
  <c r="E72" i="21" a="1"/>
  <c r="E72" i="21" s="1"/>
  <c r="D72" i="21" a="1"/>
  <c r="D72" i="21" s="1"/>
  <c r="C72" i="21" a="1"/>
  <c r="C72" i="21" s="1"/>
  <c r="B72" i="21" a="1"/>
  <c r="B72" i="21" s="1"/>
  <c r="A72" i="21" a="1"/>
  <c r="A72" i="21" s="1"/>
  <c r="U71" i="21" a="1"/>
  <c r="U71" i="21" s="1"/>
  <c r="T71" i="21" a="1"/>
  <c r="T71" i="21" s="1"/>
  <c r="S71" i="21" a="1"/>
  <c r="S71" i="21" s="1"/>
  <c r="R71" i="21" a="1"/>
  <c r="R71" i="21" s="1"/>
  <c r="Q71" i="21" a="1"/>
  <c r="Q71" i="21" s="1"/>
  <c r="P71" i="21" a="1"/>
  <c r="P71" i="21" s="1"/>
  <c r="O71" i="21" a="1"/>
  <c r="O71" i="21" s="1"/>
  <c r="N71" i="21" a="1"/>
  <c r="N71" i="21" s="1"/>
  <c r="M71" i="21" a="1"/>
  <c r="M71" i="21" s="1"/>
  <c r="L71" i="21" a="1"/>
  <c r="L71" i="21" s="1"/>
  <c r="K71" i="21" a="1"/>
  <c r="K71" i="21" s="1"/>
  <c r="J71" i="21" a="1"/>
  <c r="J71" i="21" s="1"/>
  <c r="I71" i="21" a="1"/>
  <c r="I71" i="21" s="1"/>
  <c r="H71" i="21" a="1"/>
  <c r="H71" i="21" s="1"/>
  <c r="G71" i="21" a="1"/>
  <c r="G71" i="21" s="1"/>
  <c r="F71" i="21" a="1"/>
  <c r="F71" i="21" s="1"/>
  <c r="E71" i="21" a="1"/>
  <c r="E71" i="21" s="1"/>
  <c r="D71" i="21" a="1"/>
  <c r="D71" i="21" s="1"/>
  <c r="C71" i="21" a="1"/>
  <c r="C71" i="21" s="1"/>
  <c r="B71" i="21" a="1"/>
  <c r="B71" i="21" s="1"/>
  <c r="D45" i="21"/>
  <c r="E45" i="21" s="1"/>
  <c r="F45" i="21" s="1"/>
  <c r="G45" i="21" s="1"/>
  <c r="H45" i="21" s="1"/>
  <c r="I45" i="21" s="1"/>
  <c r="J45" i="21" s="1"/>
  <c r="K45" i="21" s="1"/>
  <c r="L45" i="21" s="1"/>
  <c r="M45" i="21" s="1"/>
  <c r="N45" i="21" s="1"/>
  <c r="O45" i="21" s="1"/>
  <c r="P45" i="21" s="1"/>
  <c r="Q45" i="21" s="1"/>
  <c r="R45" i="21" s="1"/>
  <c r="S45" i="21" s="1"/>
  <c r="T45" i="21" s="1"/>
  <c r="U45" i="21" s="1"/>
  <c r="V45" i="21" s="1"/>
  <c r="W45" i="21" s="1"/>
  <c r="X45" i="21" s="1"/>
  <c r="Y45" i="21" s="1"/>
  <c r="Z45" i="21" s="1"/>
  <c r="AA45" i="21" s="1"/>
  <c r="AB45" i="21" s="1"/>
  <c r="AC45" i="21" s="1"/>
  <c r="AD45" i="21" s="1"/>
  <c r="AE45" i="21" s="1"/>
  <c r="AF45" i="21" s="1"/>
  <c r="AG45" i="21" s="1"/>
  <c r="AH45" i="21" s="1"/>
  <c r="AI45" i="21" s="1"/>
  <c r="AJ45" i="21" s="1"/>
  <c r="AK45" i="21" s="1"/>
  <c r="AL45" i="21" s="1"/>
  <c r="AM45" i="21" s="1"/>
  <c r="AN45" i="21" s="1"/>
  <c r="AO45" i="21" s="1"/>
  <c r="AP45" i="21" s="1"/>
  <c r="AQ45" i="21" s="1"/>
  <c r="D44" i="21"/>
  <c r="E44" i="21" s="1"/>
  <c r="F44" i="21" s="1"/>
  <c r="G44" i="21" s="1"/>
  <c r="H44" i="21" s="1"/>
  <c r="I44" i="21" s="1"/>
  <c r="J44" i="21" s="1"/>
  <c r="K44" i="21" s="1"/>
  <c r="L44" i="21" s="1"/>
  <c r="M44" i="21" s="1"/>
  <c r="N44" i="21" s="1"/>
  <c r="O44" i="21" s="1"/>
  <c r="P44" i="21" s="1"/>
  <c r="Q44" i="21" s="1"/>
  <c r="R44" i="21" s="1"/>
  <c r="S44" i="21" s="1"/>
  <c r="T44" i="21" s="1"/>
  <c r="U44" i="21" s="1"/>
  <c r="V44" i="21" s="1"/>
  <c r="W44" i="21" s="1"/>
  <c r="X44" i="21" s="1"/>
  <c r="Y44" i="21" s="1"/>
  <c r="Z44" i="21" s="1"/>
  <c r="AA44" i="21" s="1"/>
  <c r="AB44" i="21" s="1"/>
  <c r="AC44" i="21" s="1"/>
  <c r="AD44" i="21" s="1"/>
  <c r="AE44" i="21" s="1"/>
  <c r="AF44" i="21" s="1"/>
  <c r="AG44" i="21" s="1"/>
  <c r="AH44" i="21" s="1"/>
  <c r="AI44" i="21" s="1"/>
  <c r="AJ44" i="21" s="1"/>
  <c r="AK44" i="21" s="1"/>
  <c r="AL44" i="21" s="1"/>
  <c r="AM44" i="21" s="1"/>
  <c r="AN44" i="21" s="1"/>
  <c r="AO44" i="21" s="1"/>
  <c r="AP44" i="21" s="1"/>
  <c r="AQ44" i="21" s="1"/>
  <c r="D43" i="21"/>
  <c r="E43" i="21" s="1"/>
  <c r="F43" i="21" s="1"/>
  <c r="G43" i="21" s="1"/>
  <c r="H43" i="21" s="1"/>
  <c r="I43" i="21" s="1"/>
  <c r="J43" i="21" s="1"/>
  <c r="K43" i="21" s="1"/>
  <c r="L43" i="21" s="1"/>
  <c r="M43" i="21" s="1"/>
  <c r="N43" i="21" s="1"/>
  <c r="O43" i="21" s="1"/>
  <c r="P43" i="21" s="1"/>
  <c r="Q43" i="21" s="1"/>
  <c r="R43" i="21" s="1"/>
  <c r="S43" i="21" s="1"/>
  <c r="T43" i="21" s="1"/>
  <c r="U43" i="21" s="1"/>
  <c r="V43" i="21" s="1"/>
  <c r="W43" i="21" s="1"/>
  <c r="X43" i="21" s="1"/>
  <c r="Y43" i="21" s="1"/>
  <c r="Z43" i="21" s="1"/>
  <c r="AA43" i="21" s="1"/>
  <c r="AB43" i="21" s="1"/>
  <c r="AC43" i="21" s="1"/>
  <c r="AD43" i="21" s="1"/>
  <c r="AE43" i="21" s="1"/>
  <c r="AF43" i="21" s="1"/>
  <c r="AG43" i="21" s="1"/>
  <c r="AH43" i="21" s="1"/>
  <c r="AI43" i="21" s="1"/>
  <c r="AJ43" i="21" s="1"/>
  <c r="AK43" i="21" s="1"/>
  <c r="AL43" i="21" s="1"/>
  <c r="AM43" i="21" s="1"/>
  <c r="AN43" i="21" s="1"/>
  <c r="AO43" i="21" s="1"/>
  <c r="AP43" i="21" s="1"/>
  <c r="AQ43" i="21" s="1"/>
  <c r="D42" i="21"/>
  <c r="E42" i="21" s="1"/>
  <c r="F42" i="21" s="1"/>
  <c r="G42" i="21" s="1"/>
  <c r="H42" i="21" s="1"/>
  <c r="I42" i="21" s="1"/>
  <c r="J42" i="21" s="1"/>
  <c r="K42" i="21" s="1"/>
  <c r="L42" i="21" s="1"/>
  <c r="M42" i="21" s="1"/>
  <c r="N42" i="21" s="1"/>
  <c r="O42" i="21" s="1"/>
  <c r="P42" i="21" s="1"/>
  <c r="Q42" i="21" s="1"/>
  <c r="R42" i="21" s="1"/>
  <c r="S42" i="21" s="1"/>
  <c r="T42" i="21" s="1"/>
  <c r="U42" i="21" s="1"/>
  <c r="V42" i="21" s="1"/>
  <c r="W42" i="21" s="1"/>
  <c r="X42" i="21" s="1"/>
  <c r="Y42" i="21" s="1"/>
  <c r="Z42" i="21" s="1"/>
  <c r="AA42" i="21" s="1"/>
  <c r="AB42" i="21" s="1"/>
  <c r="AC42" i="21" s="1"/>
  <c r="AD42" i="21" s="1"/>
  <c r="AE42" i="21" s="1"/>
  <c r="AF42" i="21" s="1"/>
  <c r="AG42" i="21" s="1"/>
  <c r="AH42" i="21" s="1"/>
  <c r="AI42" i="21" s="1"/>
  <c r="AJ42" i="21" s="1"/>
  <c r="AK42" i="21" s="1"/>
  <c r="AL42" i="21" s="1"/>
  <c r="AM42" i="21" s="1"/>
  <c r="AN42" i="21" s="1"/>
  <c r="AO42" i="21" s="1"/>
  <c r="AP42" i="21" s="1"/>
  <c r="AQ42" i="21" s="1"/>
  <c r="AQ31" i="21"/>
  <c r="AO31" i="21"/>
  <c r="AM31" i="21"/>
  <c r="AK31" i="21"/>
  <c r="AJ31" i="21"/>
  <c r="AI31" i="21"/>
  <c r="AG31" i="21"/>
  <c r="AE31" i="21"/>
  <c r="AC31" i="21"/>
  <c r="AA31" i="21"/>
  <c r="Y31" i="21"/>
  <c r="W31" i="21"/>
  <c r="U31" i="21"/>
  <c r="T31" i="21"/>
  <c r="S31" i="21"/>
  <c r="Q31" i="21"/>
  <c r="O31" i="21"/>
  <c r="M31" i="21"/>
  <c r="K31" i="21"/>
  <c r="I31" i="21"/>
  <c r="G31" i="21"/>
  <c r="E31" i="21"/>
  <c r="U26" i="21" a="1"/>
  <c r="U26" i="21" s="1"/>
  <c r="T26" i="21" a="1"/>
  <c r="T26" i="21" s="1"/>
  <c r="S26" i="21" a="1"/>
  <c r="S26" i="21" s="1"/>
  <c r="R26" i="21" a="1"/>
  <c r="R26" i="21" s="1"/>
  <c r="Q26" i="21" a="1"/>
  <c r="Q26" i="21" s="1"/>
  <c r="P26" i="21" a="1"/>
  <c r="P26" i="21" s="1"/>
  <c r="O26" i="21" a="1"/>
  <c r="O26" i="21" s="1"/>
  <c r="N26" i="21" a="1"/>
  <c r="N26" i="21" s="1"/>
  <c r="M26" i="21" a="1"/>
  <c r="M26" i="21" s="1"/>
  <c r="L26" i="21" a="1"/>
  <c r="L26" i="21" s="1"/>
  <c r="K26" i="21" a="1"/>
  <c r="K26" i="21" s="1"/>
  <c r="J26" i="21" a="1"/>
  <c r="J26" i="21" s="1"/>
  <c r="I26" i="21" a="1"/>
  <c r="I26" i="21" s="1"/>
  <c r="H26" i="21" a="1"/>
  <c r="H26" i="21" s="1"/>
  <c r="G26" i="21" a="1"/>
  <c r="G26" i="21" s="1"/>
  <c r="F26" i="21" a="1"/>
  <c r="F26" i="21" s="1"/>
  <c r="E26" i="21" a="1"/>
  <c r="E26" i="21" s="1"/>
  <c r="D26" i="21" a="1"/>
  <c r="D26" i="21" s="1"/>
  <c r="C26" i="21" a="1"/>
  <c r="C26" i="21" s="1"/>
  <c r="B26" i="21" a="1"/>
  <c r="B26" i="21" s="1"/>
  <c r="A26" i="21" a="1"/>
  <c r="A26" i="21" s="1"/>
  <c r="U25" i="21" a="1"/>
  <c r="U25" i="21" s="1"/>
  <c r="T25" i="21" a="1"/>
  <c r="T25" i="21" s="1"/>
  <c r="S25" i="21" a="1"/>
  <c r="S25" i="21" s="1"/>
  <c r="R25" i="21" a="1"/>
  <c r="R25" i="21" s="1"/>
  <c r="Q25" i="21" a="1"/>
  <c r="Q25" i="21" s="1"/>
  <c r="P25" i="21" a="1"/>
  <c r="P25" i="21" s="1"/>
  <c r="O25" i="21" a="1"/>
  <c r="O25" i="21" s="1"/>
  <c r="N25" i="21" a="1"/>
  <c r="N25" i="21" s="1"/>
  <c r="M25" i="21" a="1"/>
  <c r="M25" i="21" s="1"/>
  <c r="L25" i="21" a="1"/>
  <c r="L25" i="21" s="1"/>
  <c r="K25" i="21" a="1"/>
  <c r="K25" i="21" s="1"/>
  <c r="J25" i="21" a="1"/>
  <c r="J25" i="21" s="1"/>
  <c r="I25" i="21" a="1"/>
  <c r="I25" i="21" s="1"/>
  <c r="H25" i="21" a="1"/>
  <c r="H25" i="21" s="1"/>
  <c r="G25" i="21" a="1"/>
  <c r="G25" i="21" s="1"/>
  <c r="F25" i="21" a="1"/>
  <c r="F25" i="21" s="1"/>
  <c r="E25" i="21" a="1"/>
  <c r="E25" i="21" s="1"/>
  <c r="D25" i="21" a="1"/>
  <c r="D25" i="21" s="1"/>
  <c r="C25" i="21" a="1"/>
  <c r="C25" i="21" s="1"/>
  <c r="B25" i="21" a="1"/>
  <c r="B25" i="21" s="1"/>
  <c r="J8" i="21"/>
  <c r="J7" i="21"/>
  <c r="J6" i="21"/>
  <c r="AF206" i="21" l="1"/>
  <c r="AF208" i="21" s="1"/>
  <c r="AF212" i="21" s="1"/>
  <c r="AF213" i="21" s="1"/>
  <c r="AF190" i="21" s="1"/>
  <c r="AJ206" i="21"/>
  <c r="AJ208" i="21" s="1"/>
  <c r="AJ212" i="21" s="1"/>
  <c r="AJ189" i="21" s="1"/>
  <c r="AN206" i="21"/>
  <c r="AN208" i="21" s="1"/>
  <c r="AN212" i="21" s="1"/>
  <c r="AN213" i="21" s="1"/>
  <c r="AN190" i="21" s="1"/>
  <c r="Q246" i="21"/>
  <c r="AL329" i="21"/>
  <c r="W28" i="21"/>
  <c r="G28" i="21"/>
  <c r="J28" i="21"/>
  <c r="U28" i="21"/>
  <c r="L28" i="21"/>
  <c r="X28" i="21"/>
  <c r="N28" i="21"/>
  <c r="F28" i="21"/>
  <c r="P28" i="21"/>
  <c r="S28" i="21"/>
  <c r="V28" i="21"/>
  <c r="E28" i="21"/>
  <c r="Q28" i="21"/>
  <c r="O28" i="21"/>
  <c r="R28" i="21"/>
  <c r="H28" i="21"/>
  <c r="M28" i="21"/>
  <c r="T28" i="21"/>
  <c r="K28" i="21"/>
  <c r="I28" i="21"/>
  <c r="AI204" i="21"/>
  <c r="W116" i="21"/>
  <c r="S116" i="21"/>
  <c r="O116" i="21"/>
  <c r="M116" i="21"/>
  <c r="G116" i="21"/>
  <c r="X116" i="21"/>
  <c r="L116" i="21"/>
  <c r="V116" i="21"/>
  <c r="R116" i="21"/>
  <c r="N116" i="21"/>
  <c r="J116" i="21"/>
  <c r="F116" i="21"/>
  <c r="P116" i="21"/>
  <c r="H116" i="21"/>
  <c r="AE125" i="21" s="1"/>
  <c r="AE126" i="21" s="1"/>
  <c r="AE103" i="21" s="1"/>
  <c r="U116" i="21"/>
  <c r="Q116" i="21"/>
  <c r="K116" i="21"/>
  <c r="I116" i="21"/>
  <c r="E116" i="21"/>
  <c r="T116" i="21"/>
  <c r="D116" i="21"/>
  <c r="F125" i="21" s="1"/>
  <c r="X444" i="21"/>
  <c r="T444" i="21"/>
  <c r="P444" i="21"/>
  <c r="L444" i="21"/>
  <c r="H444" i="21"/>
  <c r="M444" i="21"/>
  <c r="W444" i="21"/>
  <c r="S444" i="21"/>
  <c r="O444" i="21"/>
  <c r="K444" i="21"/>
  <c r="G444" i="21"/>
  <c r="Q444" i="21"/>
  <c r="I444" i="21"/>
  <c r="V444" i="21"/>
  <c r="R444" i="21"/>
  <c r="N444" i="21"/>
  <c r="J444" i="21"/>
  <c r="F444" i="21"/>
  <c r="U444" i="21"/>
  <c r="E444" i="21"/>
  <c r="U406" i="21"/>
  <c r="Q406" i="21"/>
  <c r="M406" i="21"/>
  <c r="I406" i="21"/>
  <c r="E406" i="21"/>
  <c r="V406" i="21"/>
  <c r="N406" i="21"/>
  <c r="F406" i="21"/>
  <c r="X406" i="21"/>
  <c r="T406" i="21"/>
  <c r="P406" i="21"/>
  <c r="L406" i="21"/>
  <c r="H406" i="21"/>
  <c r="R406" i="21"/>
  <c r="W406" i="21"/>
  <c r="S406" i="21"/>
  <c r="O406" i="21"/>
  <c r="K406" i="21"/>
  <c r="G406" i="21"/>
  <c r="J406" i="21"/>
  <c r="V368" i="21"/>
  <c r="R368" i="21"/>
  <c r="N368" i="21"/>
  <c r="J368" i="21"/>
  <c r="F368" i="21"/>
  <c r="U368" i="21"/>
  <c r="Q368" i="21"/>
  <c r="M368" i="21"/>
  <c r="I368" i="21"/>
  <c r="E368" i="21"/>
  <c r="X368" i="21"/>
  <c r="T368" i="21"/>
  <c r="P368" i="21"/>
  <c r="L368" i="21"/>
  <c r="H368" i="21"/>
  <c r="T377" i="21" s="1"/>
  <c r="T378" i="21" s="1"/>
  <c r="T355" i="21" s="1"/>
  <c r="D368" i="21"/>
  <c r="J377" i="21" s="1"/>
  <c r="J378" i="21" s="1"/>
  <c r="J355" i="21" s="1"/>
  <c r="W368" i="21"/>
  <c r="S368" i="21"/>
  <c r="O368" i="21"/>
  <c r="K368" i="21"/>
  <c r="Z377" i="21" s="1"/>
  <c r="Z378" i="21" s="1"/>
  <c r="Z355" i="21" s="1"/>
  <c r="G368" i="21"/>
  <c r="W326" i="21"/>
  <c r="S326" i="21"/>
  <c r="O326" i="21"/>
  <c r="K326" i="21"/>
  <c r="G326" i="21"/>
  <c r="V326" i="21"/>
  <c r="R326" i="21"/>
  <c r="N326" i="21"/>
  <c r="J326" i="21"/>
  <c r="F326" i="21"/>
  <c r="U326" i="21"/>
  <c r="Q326" i="21"/>
  <c r="M326" i="21"/>
  <c r="I326" i="21"/>
  <c r="E326" i="21"/>
  <c r="X326" i="21"/>
  <c r="T326" i="21"/>
  <c r="P326" i="21"/>
  <c r="L326" i="21"/>
  <c r="H326" i="21"/>
  <c r="D326" i="21"/>
  <c r="I335" i="21" s="1"/>
  <c r="I336" i="21" s="1"/>
  <c r="I313" i="21" s="1"/>
  <c r="X284" i="21"/>
  <c r="T284" i="21"/>
  <c r="P284" i="21"/>
  <c r="L284" i="21"/>
  <c r="AE293" i="21" s="1"/>
  <c r="AE294" i="21" s="1"/>
  <c r="AE271" i="21" s="1"/>
  <c r="H284" i="21"/>
  <c r="D284" i="21"/>
  <c r="I293" i="21" s="1"/>
  <c r="I294" i="21" s="1"/>
  <c r="I271" i="21" s="1"/>
  <c r="W284" i="21"/>
  <c r="S284" i="21"/>
  <c r="O284" i="21"/>
  <c r="K284" i="21"/>
  <c r="G284" i="21"/>
  <c r="W293" i="21" s="1"/>
  <c r="W294" i="21" s="1"/>
  <c r="W271" i="21" s="1"/>
  <c r="V284" i="21"/>
  <c r="R284" i="21"/>
  <c r="N284" i="21"/>
  <c r="J284" i="21"/>
  <c r="F284" i="21"/>
  <c r="S293" i="21" s="1"/>
  <c r="S294" i="21" s="1"/>
  <c r="S271" i="21" s="1"/>
  <c r="U284" i="21"/>
  <c r="Q284" i="21"/>
  <c r="M284" i="21"/>
  <c r="I284" i="21"/>
  <c r="AA293" i="21" s="1"/>
  <c r="AA294" i="21" s="1"/>
  <c r="E284" i="21"/>
  <c r="M293" i="21" s="1"/>
  <c r="M294" i="21" s="1"/>
  <c r="M271" i="21" s="1"/>
  <c r="X242" i="21"/>
  <c r="T242" i="21"/>
  <c r="P242" i="21"/>
  <c r="L242" i="21"/>
  <c r="H242" i="21"/>
  <c r="K251" i="21" s="1"/>
  <c r="K252" i="21" s="1"/>
  <c r="K229" i="21" s="1"/>
  <c r="D242" i="21"/>
  <c r="G251" i="21" s="1"/>
  <c r="G252" i="21" s="1"/>
  <c r="G229" i="21" s="1"/>
  <c r="W242" i="21"/>
  <c r="S242" i="21"/>
  <c r="O242" i="21"/>
  <c r="K242" i="21"/>
  <c r="T251" i="21" s="1"/>
  <c r="T252" i="21" s="1"/>
  <c r="T229" i="21" s="1"/>
  <c r="G242" i="21"/>
  <c r="J251" i="21" s="1"/>
  <c r="J252" i="21" s="1"/>
  <c r="J229" i="21" s="1"/>
  <c r="V242" i="21"/>
  <c r="R242" i="21"/>
  <c r="N242" i="21"/>
  <c r="J242" i="21"/>
  <c r="P251" i="21" s="1"/>
  <c r="P252" i="21" s="1"/>
  <c r="P229" i="21" s="1"/>
  <c r="F242" i="21"/>
  <c r="I251" i="21" s="1"/>
  <c r="I252" i="21" s="1"/>
  <c r="I229" i="21" s="1"/>
  <c r="U242" i="21"/>
  <c r="Q242" i="21"/>
  <c r="M242" i="21"/>
  <c r="AG251" i="21" s="1"/>
  <c r="AG252" i="21" s="1"/>
  <c r="AG229" i="21" s="1"/>
  <c r="I242" i="21"/>
  <c r="N251" i="21" s="1"/>
  <c r="N252" i="21" s="1"/>
  <c r="N229" i="21" s="1"/>
  <c r="E242" i="21"/>
  <c r="H251" i="21" s="1"/>
  <c r="H252" i="21" s="1"/>
  <c r="H229" i="21" s="1"/>
  <c r="V200" i="21"/>
  <c r="R200" i="21"/>
  <c r="N200" i="21"/>
  <c r="J200" i="21"/>
  <c r="F200" i="21"/>
  <c r="U200" i="21"/>
  <c r="Q200" i="21"/>
  <c r="M200" i="21"/>
  <c r="I200" i="21"/>
  <c r="E200" i="21"/>
  <c r="AD209" i="21" s="1"/>
  <c r="AD210" i="21" s="1"/>
  <c r="AD187" i="21" s="1"/>
  <c r="X200" i="21"/>
  <c r="T200" i="21"/>
  <c r="P200" i="21"/>
  <c r="L200" i="21"/>
  <c r="H200" i="21"/>
  <c r="D200" i="21"/>
  <c r="T209" i="21" s="1"/>
  <c r="T210" i="21" s="1"/>
  <c r="T187" i="21" s="1"/>
  <c r="W200" i="21"/>
  <c r="S200" i="21"/>
  <c r="O200" i="21"/>
  <c r="K200" i="21"/>
  <c r="G200" i="21"/>
  <c r="X158" i="21"/>
  <c r="T158" i="21"/>
  <c r="H158" i="21"/>
  <c r="W158" i="21"/>
  <c r="S158" i="21"/>
  <c r="O158" i="21"/>
  <c r="K158" i="21"/>
  <c r="G158" i="21"/>
  <c r="V158" i="21"/>
  <c r="R158" i="21"/>
  <c r="N158" i="21"/>
  <c r="J158" i="21"/>
  <c r="F158" i="21"/>
  <c r="D158" i="21"/>
  <c r="U158" i="21"/>
  <c r="Q158" i="21"/>
  <c r="M158" i="21"/>
  <c r="I158" i="21"/>
  <c r="E158" i="21"/>
  <c r="P158" i="21"/>
  <c r="L158" i="21"/>
  <c r="Q74" i="21"/>
  <c r="L74" i="21"/>
  <c r="W74" i="21"/>
  <c r="G74" i="21"/>
  <c r="F74" i="21"/>
  <c r="AI83" i="21" s="1"/>
  <c r="AI84" i="21" s="1"/>
  <c r="AI61" i="21" s="1"/>
  <c r="E74" i="21"/>
  <c r="AG83" i="21" s="1"/>
  <c r="AG84" i="21" s="1"/>
  <c r="AG61" i="21" s="1"/>
  <c r="U74" i="21"/>
  <c r="P74" i="21"/>
  <c r="K74" i="21"/>
  <c r="M74" i="21"/>
  <c r="X74" i="21"/>
  <c r="H74" i="21"/>
  <c r="S74" i="21"/>
  <c r="V74" i="21"/>
  <c r="I74" i="21"/>
  <c r="AD83" i="21" s="1"/>
  <c r="AD84" i="21" s="1"/>
  <c r="AD61" i="21" s="1"/>
  <c r="T74" i="21"/>
  <c r="O74" i="21"/>
  <c r="N74" i="21"/>
  <c r="R74" i="21"/>
  <c r="J74" i="21"/>
  <c r="E235" i="21"/>
  <c r="E236" i="21" s="1"/>
  <c r="D235" i="21"/>
  <c r="D236" i="21" s="1"/>
  <c r="F235" i="21"/>
  <c r="F236" i="21" s="1"/>
  <c r="G235" i="21"/>
  <c r="G236" i="21" s="1"/>
  <c r="H235" i="21"/>
  <c r="H236" i="21" s="1"/>
  <c r="I235" i="21"/>
  <c r="I236" i="21" s="1"/>
  <c r="J235" i="21"/>
  <c r="J236" i="21" s="1"/>
  <c r="K235" i="21"/>
  <c r="K236" i="21" s="1"/>
  <c r="L235" i="21"/>
  <c r="L236" i="21" s="1"/>
  <c r="M235" i="21"/>
  <c r="M236" i="21" s="1"/>
  <c r="N235" i="21"/>
  <c r="N236" i="21" s="1"/>
  <c r="O235" i="21"/>
  <c r="O236" i="21" s="1"/>
  <c r="P235" i="21"/>
  <c r="P236" i="21" s="1"/>
  <c r="Q235" i="21"/>
  <c r="Q236" i="21" s="1"/>
  <c r="R235" i="21"/>
  <c r="R236" i="21" s="1"/>
  <c r="S235" i="21"/>
  <c r="S236" i="21" s="1"/>
  <c r="T235" i="21"/>
  <c r="T236" i="21" s="1"/>
  <c r="U235" i="21"/>
  <c r="U236" i="21" s="1"/>
  <c r="V235" i="21"/>
  <c r="V236" i="21" s="1"/>
  <c r="W235" i="21"/>
  <c r="W236" i="21" s="1"/>
  <c r="X235" i="21"/>
  <c r="X236" i="21" s="1"/>
  <c r="Y235" i="21"/>
  <c r="Y236" i="21" s="1"/>
  <c r="Z235" i="21"/>
  <c r="Z236" i="21" s="1"/>
  <c r="AA235" i="21"/>
  <c r="AA236" i="21" s="1"/>
  <c r="AB235" i="21"/>
  <c r="AB236" i="21" s="1"/>
  <c r="AC235" i="21"/>
  <c r="AC236" i="21" s="1"/>
  <c r="AD235" i="21"/>
  <c r="AD236" i="21" s="1"/>
  <c r="AE235" i="21"/>
  <c r="AE236" i="21" s="1"/>
  <c r="AF235" i="21"/>
  <c r="AF236" i="21" s="1"/>
  <c r="AG235" i="21"/>
  <c r="AG236" i="21" s="1"/>
  <c r="AH235" i="21"/>
  <c r="AH236" i="21" s="1"/>
  <c r="AI235" i="21"/>
  <c r="AI236" i="21" s="1"/>
  <c r="AJ235" i="21"/>
  <c r="AJ236" i="21" s="1"/>
  <c r="AK235" i="21"/>
  <c r="AK236" i="21" s="1"/>
  <c r="AL235" i="21"/>
  <c r="AL236" i="21" s="1"/>
  <c r="AM235" i="21"/>
  <c r="AM236" i="21" s="1"/>
  <c r="AN235" i="21"/>
  <c r="AN236" i="21" s="1"/>
  <c r="AO235" i="21"/>
  <c r="AO236" i="21" s="1"/>
  <c r="AP235" i="21"/>
  <c r="AP236" i="21" s="1"/>
  <c r="AQ235" i="21"/>
  <c r="AQ236" i="21" s="1"/>
  <c r="D151" i="21"/>
  <c r="D152" i="21" s="1"/>
  <c r="E151" i="21"/>
  <c r="E152" i="21" s="1"/>
  <c r="F151" i="21"/>
  <c r="F152" i="21" s="1"/>
  <c r="G151" i="21"/>
  <c r="G152" i="21" s="1"/>
  <c r="H151" i="21"/>
  <c r="H152" i="21" s="1"/>
  <c r="I151" i="21"/>
  <c r="I152" i="21" s="1"/>
  <c r="J151" i="21"/>
  <c r="J152" i="21" s="1"/>
  <c r="K151" i="21"/>
  <c r="K152" i="21" s="1"/>
  <c r="L151" i="21"/>
  <c r="L152" i="21" s="1"/>
  <c r="M151" i="21"/>
  <c r="M152" i="21" s="1"/>
  <c r="N151" i="21"/>
  <c r="N152" i="21" s="1"/>
  <c r="O151" i="21"/>
  <c r="O152" i="21" s="1"/>
  <c r="P151" i="21"/>
  <c r="P152" i="21" s="1"/>
  <c r="Q151" i="21"/>
  <c r="Q152" i="21" s="1"/>
  <c r="R151" i="21"/>
  <c r="R152" i="21" s="1"/>
  <c r="S151" i="21"/>
  <c r="S152" i="21" s="1"/>
  <c r="T151" i="21"/>
  <c r="T152" i="21" s="1"/>
  <c r="U151" i="21"/>
  <c r="U152" i="21" s="1"/>
  <c r="V151" i="21"/>
  <c r="V152" i="21" s="1"/>
  <c r="W151" i="21"/>
  <c r="W152" i="21" s="1"/>
  <c r="X151" i="21"/>
  <c r="X152" i="21" s="1"/>
  <c r="Y151" i="21"/>
  <c r="Y152" i="21" s="1"/>
  <c r="Z151" i="21"/>
  <c r="Z152" i="21" s="1"/>
  <c r="AA151" i="21"/>
  <c r="AA152" i="21" s="1"/>
  <c r="AB151" i="21"/>
  <c r="AB152" i="21" s="1"/>
  <c r="AC151" i="21"/>
  <c r="AC152" i="21" s="1"/>
  <c r="AD151" i="21"/>
  <c r="AD152" i="21" s="1"/>
  <c r="AE151" i="21"/>
  <c r="AE152" i="21" s="1"/>
  <c r="AF151" i="21"/>
  <c r="AF152" i="21" s="1"/>
  <c r="AG151" i="21"/>
  <c r="AG152" i="21" s="1"/>
  <c r="AH151" i="21"/>
  <c r="AH152" i="21" s="1"/>
  <c r="AI151" i="21"/>
  <c r="AI152" i="21" s="1"/>
  <c r="AJ151" i="21"/>
  <c r="AJ152" i="21" s="1"/>
  <c r="AK151" i="21"/>
  <c r="AK152" i="21" s="1"/>
  <c r="AL151" i="21"/>
  <c r="AL152" i="21" s="1"/>
  <c r="AM151" i="21"/>
  <c r="AM152" i="21" s="1"/>
  <c r="AN151" i="21"/>
  <c r="AN152" i="21" s="1"/>
  <c r="AO151" i="21"/>
  <c r="AO152" i="21" s="1"/>
  <c r="AP151" i="21"/>
  <c r="AP152" i="21" s="1"/>
  <c r="AQ151" i="21"/>
  <c r="AQ152" i="21" s="1"/>
  <c r="D361" i="21"/>
  <c r="D362" i="21" s="1"/>
  <c r="E361" i="21"/>
  <c r="E362" i="21" s="1"/>
  <c r="F361" i="21"/>
  <c r="F362" i="21" s="1"/>
  <c r="G361" i="21"/>
  <c r="G362" i="21" s="1"/>
  <c r="H361" i="21"/>
  <c r="H362" i="21" s="1"/>
  <c r="I361" i="21"/>
  <c r="I362" i="21" s="1"/>
  <c r="J361" i="21"/>
  <c r="J362" i="21" s="1"/>
  <c r="K361" i="21"/>
  <c r="K362" i="21" s="1"/>
  <c r="L361" i="21"/>
  <c r="L362" i="21" s="1"/>
  <c r="M361" i="21"/>
  <c r="M362" i="21" s="1"/>
  <c r="N361" i="21"/>
  <c r="N362" i="21" s="1"/>
  <c r="O361" i="21"/>
  <c r="O362" i="21" s="1"/>
  <c r="P361" i="21"/>
  <c r="P362" i="21" s="1"/>
  <c r="Q361" i="21"/>
  <c r="Q362" i="21" s="1"/>
  <c r="R361" i="21"/>
  <c r="R362" i="21" s="1"/>
  <c r="S361" i="21"/>
  <c r="S362" i="21" s="1"/>
  <c r="T361" i="21"/>
  <c r="T362" i="21" s="1"/>
  <c r="U361" i="21"/>
  <c r="U362" i="21" s="1"/>
  <c r="V361" i="21"/>
  <c r="V362" i="21" s="1"/>
  <c r="W361" i="21"/>
  <c r="W362" i="21" s="1"/>
  <c r="X361" i="21"/>
  <c r="X362" i="21" s="1"/>
  <c r="Y361" i="21"/>
  <c r="Y362" i="21" s="1"/>
  <c r="Z361" i="21"/>
  <c r="Z362" i="21" s="1"/>
  <c r="AA361" i="21"/>
  <c r="AA362" i="21" s="1"/>
  <c r="AB361" i="21"/>
  <c r="AB362" i="21" s="1"/>
  <c r="AC361" i="21"/>
  <c r="AC362" i="21" s="1"/>
  <c r="AD361" i="21"/>
  <c r="AD362" i="21" s="1"/>
  <c r="AE361" i="21"/>
  <c r="AE362" i="21" s="1"/>
  <c r="AF361" i="21"/>
  <c r="AF362" i="21" s="1"/>
  <c r="AG361" i="21"/>
  <c r="AG362" i="21" s="1"/>
  <c r="AH361" i="21"/>
  <c r="AH362" i="21" s="1"/>
  <c r="AI361" i="21"/>
  <c r="AI362" i="21" s="1"/>
  <c r="AJ361" i="21"/>
  <c r="AJ362" i="21" s="1"/>
  <c r="AK361" i="21"/>
  <c r="AK362" i="21" s="1"/>
  <c r="AL361" i="21"/>
  <c r="AL362" i="21" s="1"/>
  <c r="AM361" i="21"/>
  <c r="AM362" i="21" s="1"/>
  <c r="AN361" i="21"/>
  <c r="AN362" i="21" s="1"/>
  <c r="AO361" i="21"/>
  <c r="AO362" i="21" s="1"/>
  <c r="AP361" i="21"/>
  <c r="AP362" i="21" s="1"/>
  <c r="AQ361" i="21"/>
  <c r="AQ362" i="21" s="1"/>
  <c r="D193" i="21"/>
  <c r="D194" i="21" s="1"/>
  <c r="E193" i="21"/>
  <c r="E194" i="21" s="1"/>
  <c r="F193" i="21"/>
  <c r="F194" i="21" s="1"/>
  <c r="G193" i="21"/>
  <c r="G194" i="21" s="1"/>
  <c r="H193" i="21"/>
  <c r="H194" i="21" s="1"/>
  <c r="I193" i="21"/>
  <c r="I194" i="21" s="1"/>
  <c r="J193" i="21"/>
  <c r="J194" i="21" s="1"/>
  <c r="K193" i="21"/>
  <c r="K194" i="21" s="1"/>
  <c r="L193" i="21"/>
  <c r="L194" i="21" s="1"/>
  <c r="M193" i="21"/>
  <c r="M194" i="21" s="1"/>
  <c r="N193" i="21"/>
  <c r="N194" i="21" s="1"/>
  <c r="O193" i="21"/>
  <c r="O194" i="21" s="1"/>
  <c r="P193" i="21"/>
  <c r="P194" i="21" s="1"/>
  <c r="Q193" i="21"/>
  <c r="Q194" i="21" s="1"/>
  <c r="R193" i="21"/>
  <c r="R194" i="21" s="1"/>
  <c r="S193" i="21"/>
  <c r="S194" i="21" s="1"/>
  <c r="T193" i="21"/>
  <c r="T194" i="21" s="1"/>
  <c r="U193" i="21"/>
  <c r="U194" i="21" s="1"/>
  <c r="V193" i="21"/>
  <c r="V194" i="21" s="1"/>
  <c r="W193" i="21"/>
  <c r="W194" i="21" s="1"/>
  <c r="X193" i="21"/>
  <c r="X194" i="21" s="1"/>
  <c r="Y193" i="21"/>
  <c r="Y194" i="21" s="1"/>
  <c r="Z193" i="21"/>
  <c r="Z194" i="21" s="1"/>
  <c r="AA193" i="21"/>
  <c r="AA194" i="21" s="1"/>
  <c r="AB193" i="21"/>
  <c r="AB194" i="21" s="1"/>
  <c r="AC193" i="21"/>
  <c r="AC194" i="21" s="1"/>
  <c r="AD193" i="21"/>
  <c r="AD194" i="21" s="1"/>
  <c r="AE193" i="21"/>
  <c r="AE194" i="21" s="1"/>
  <c r="AF193" i="21"/>
  <c r="AF194" i="21" s="1"/>
  <c r="AG193" i="21"/>
  <c r="AG194" i="21" s="1"/>
  <c r="AH193" i="21"/>
  <c r="AH194" i="21" s="1"/>
  <c r="AI193" i="21"/>
  <c r="AI194" i="21" s="1"/>
  <c r="AJ193" i="21"/>
  <c r="AJ194" i="21" s="1"/>
  <c r="AK193" i="21"/>
  <c r="AK194" i="21" s="1"/>
  <c r="AL193" i="21"/>
  <c r="AL194" i="21" s="1"/>
  <c r="AM193" i="21"/>
  <c r="AM194" i="21" s="1"/>
  <c r="AN193" i="21"/>
  <c r="AN194" i="21" s="1"/>
  <c r="AO193" i="21"/>
  <c r="AO194" i="21" s="1"/>
  <c r="AP193" i="21"/>
  <c r="AP194" i="21" s="1"/>
  <c r="AQ193" i="21"/>
  <c r="AQ194" i="21" s="1"/>
  <c r="D277" i="21"/>
  <c r="D278" i="21" s="1"/>
  <c r="E277" i="21"/>
  <c r="E278" i="21" s="1"/>
  <c r="F277" i="21"/>
  <c r="F278" i="21" s="1"/>
  <c r="G277" i="21"/>
  <c r="G278" i="21" s="1"/>
  <c r="H277" i="21"/>
  <c r="H278" i="21" s="1"/>
  <c r="I277" i="21"/>
  <c r="I278" i="21" s="1"/>
  <c r="J277" i="21"/>
  <c r="J278" i="21" s="1"/>
  <c r="K277" i="21"/>
  <c r="K278" i="21" s="1"/>
  <c r="L277" i="21"/>
  <c r="L278" i="21" s="1"/>
  <c r="M277" i="21"/>
  <c r="M278" i="21" s="1"/>
  <c r="N277" i="21"/>
  <c r="N278" i="21" s="1"/>
  <c r="O277" i="21"/>
  <c r="O278" i="21" s="1"/>
  <c r="P277" i="21"/>
  <c r="P278" i="21" s="1"/>
  <c r="Q277" i="21"/>
  <c r="Q278" i="21" s="1"/>
  <c r="R277" i="21"/>
  <c r="R278" i="21" s="1"/>
  <c r="S277" i="21"/>
  <c r="S278" i="21" s="1"/>
  <c r="T277" i="21"/>
  <c r="T278" i="21" s="1"/>
  <c r="U277" i="21"/>
  <c r="U278" i="21" s="1"/>
  <c r="V277" i="21"/>
  <c r="V278" i="21" s="1"/>
  <c r="W277" i="21"/>
  <c r="W278" i="21" s="1"/>
  <c r="X277" i="21"/>
  <c r="X278" i="21" s="1"/>
  <c r="Y277" i="21"/>
  <c r="Y278" i="21" s="1"/>
  <c r="Z277" i="21"/>
  <c r="Z278" i="21" s="1"/>
  <c r="AA277" i="21"/>
  <c r="AA278" i="21" s="1"/>
  <c r="AB277" i="21"/>
  <c r="AB278" i="21" s="1"/>
  <c r="AC277" i="21"/>
  <c r="AC278" i="21" s="1"/>
  <c r="AD277" i="21"/>
  <c r="AD278" i="21" s="1"/>
  <c r="AE277" i="21"/>
  <c r="AE278" i="21" s="1"/>
  <c r="AF277" i="21"/>
  <c r="AF278" i="21" s="1"/>
  <c r="AG277" i="21"/>
  <c r="AG278" i="21" s="1"/>
  <c r="AH277" i="21"/>
  <c r="AH278" i="21" s="1"/>
  <c r="AI277" i="21"/>
  <c r="AI278" i="21" s="1"/>
  <c r="AJ277" i="21"/>
  <c r="AJ278" i="21" s="1"/>
  <c r="AK277" i="21"/>
  <c r="AK278" i="21" s="1"/>
  <c r="AL277" i="21"/>
  <c r="AL278" i="21" s="1"/>
  <c r="AM277" i="21"/>
  <c r="AM278" i="21" s="1"/>
  <c r="AN277" i="21"/>
  <c r="AN278" i="21" s="1"/>
  <c r="AO277" i="21"/>
  <c r="AO278" i="21" s="1"/>
  <c r="AP277" i="21"/>
  <c r="AP278" i="21" s="1"/>
  <c r="AQ277" i="21"/>
  <c r="AQ278" i="21" s="1"/>
  <c r="D319" i="21"/>
  <c r="D320" i="21" s="1"/>
  <c r="E319" i="21"/>
  <c r="E320" i="21" s="1"/>
  <c r="F319" i="21"/>
  <c r="F320" i="21" s="1"/>
  <c r="G319" i="21"/>
  <c r="G320" i="21" s="1"/>
  <c r="H319" i="21"/>
  <c r="H320" i="21" s="1"/>
  <c r="I319" i="21"/>
  <c r="I320" i="21" s="1"/>
  <c r="J319" i="21"/>
  <c r="J320" i="21" s="1"/>
  <c r="K319" i="21"/>
  <c r="K320" i="21" s="1"/>
  <c r="L319" i="21"/>
  <c r="L320" i="21" s="1"/>
  <c r="M319" i="21"/>
  <c r="M320" i="21" s="1"/>
  <c r="N319" i="21"/>
  <c r="N320" i="21" s="1"/>
  <c r="O319" i="21"/>
  <c r="O320" i="21" s="1"/>
  <c r="P319" i="21"/>
  <c r="P320" i="21" s="1"/>
  <c r="Q319" i="21"/>
  <c r="Q320" i="21" s="1"/>
  <c r="R319" i="21"/>
  <c r="R320" i="21" s="1"/>
  <c r="S319" i="21"/>
  <c r="S320" i="21" s="1"/>
  <c r="T319" i="21"/>
  <c r="T320" i="21" s="1"/>
  <c r="U319" i="21"/>
  <c r="U320" i="21" s="1"/>
  <c r="V319" i="21"/>
  <c r="V320" i="21" s="1"/>
  <c r="W319" i="21"/>
  <c r="W320" i="21" s="1"/>
  <c r="X319" i="21"/>
  <c r="X320" i="21" s="1"/>
  <c r="Y319" i="21"/>
  <c r="Y320" i="21" s="1"/>
  <c r="Z319" i="21"/>
  <c r="Z320" i="21" s="1"/>
  <c r="AA319" i="21"/>
  <c r="AA320" i="21" s="1"/>
  <c r="AB319" i="21"/>
  <c r="AB320" i="21" s="1"/>
  <c r="AC319" i="21"/>
  <c r="AC320" i="21" s="1"/>
  <c r="AD319" i="21"/>
  <c r="AD320" i="21" s="1"/>
  <c r="AE319" i="21"/>
  <c r="AE320" i="21" s="1"/>
  <c r="AF319" i="21"/>
  <c r="AF320" i="21" s="1"/>
  <c r="AG319" i="21"/>
  <c r="AG320" i="21" s="1"/>
  <c r="AH319" i="21"/>
  <c r="AH320" i="21" s="1"/>
  <c r="AI319" i="21"/>
  <c r="AI320" i="21" s="1"/>
  <c r="AJ319" i="21"/>
  <c r="AJ320" i="21" s="1"/>
  <c r="AK319" i="21"/>
  <c r="AK320" i="21" s="1"/>
  <c r="AL319" i="21"/>
  <c r="AL320" i="21" s="1"/>
  <c r="AM319" i="21"/>
  <c r="AM320" i="21" s="1"/>
  <c r="AN319" i="21"/>
  <c r="AN320" i="21" s="1"/>
  <c r="AO319" i="21"/>
  <c r="AO320" i="21" s="1"/>
  <c r="AP319" i="21"/>
  <c r="AP320" i="21" s="1"/>
  <c r="AQ319" i="21"/>
  <c r="AQ320" i="21" s="1"/>
  <c r="V161" i="21"/>
  <c r="V162" i="21" s="1"/>
  <c r="V164" i="21" s="1"/>
  <c r="V166" i="21" s="1"/>
  <c r="G245" i="21"/>
  <c r="G246" i="21" s="1"/>
  <c r="G248" i="21" s="1"/>
  <c r="G250" i="21" s="1"/>
  <c r="G254" i="21" s="1"/>
  <c r="G255" i="21" s="1"/>
  <c r="G232" i="21" s="1"/>
  <c r="G287" i="21"/>
  <c r="G288" i="21" s="1"/>
  <c r="G290" i="21" s="1"/>
  <c r="G292" i="21" s="1"/>
  <c r="G296" i="21" s="1"/>
  <c r="AQ245" i="21"/>
  <c r="K288" i="21"/>
  <c r="K290" i="21" s="1"/>
  <c r="K292" i="21" s="1"/>
  <c r="K296" i="21" s="1"/>
  <c r="K273" i="21" s="1"/>
  <c r="D109" i="21"/>
  <c r="D110" i="21" s="1"/>
  <c r="E109" i="21"/>
  <c r="E110" i="21" s="1"/>
  <c r="F109" i="21"/>
  <c r="F110" i="21" s="1"/>
  <c r="G109" i="21"/>
  <c r="G110" i="21" s="1"/>
  <c r="H109" i="21"/>
  <c r="H110" i="21" s="1"/>
  <c r="I109" i="21"/>
  <c r="I110" i="21" s="1"/>
  <c r="J109" i="21"/>
  <c r="J110" i="21" s="1"/>
  <c r="K109" i="21"/>
  <c r="K110" i="21" s="1"/>
  <c r="L109" i="21"/>
  <c r="L110" i="21" s="1"/>
  <c r="M109" i="21"/>
  <c r="M110" i="21" s="1"/>
  <c r="N109" i="21"/>
  <c r="N110" i="21" s="1"/>
  <c r="O109" i="21"/>
  <c r="O110" i="21" s="1"/>
  <c r="P109" i="21"/>
  <c r="P110" i="21" s="1"/>
  <c r="Q109" i="21"/>
  <c r="Q110" i="21" s="1"/>
  <c r="R109" i="21"/>
  <c r="R110" i="21" s="1"/>
  <c r="S109" i="21"/>
  <c r="S110" i="21" s="1"/>
  <c r="T109" i="21"/>
  <c r="T110" i="21" s="1"/>
  <c r="U109" i="21"/>
  <c r="U110" i="21" s="1"/>
  <c r="V109" i="21"/>
  <c r="V110" i="21" s="1"/>
  <c r="W109" i="21"/>
  <c r="W110" i="21" s="1"/>
  <c r="X109" i="21"/>
  <c r="X110" i="21" s="1"/>
  <c r="Y109" i="21"/>
  <c r="Y110" i="21" s="1"/>
  <c r="Z109" i="21"/>
  <c r="Z110" i="21" s="1"/>
  <c r="AA109" i="21"/>
  <c r="AA110" i="21" s="1"/>
  <c r="AB109" i="21"/>
  <c r="AB110" i="21" s="1"/>
  <c r="AC109" i="21"/>
  <c r="AC110" i="21" s="1"/>
  <c r="AD109" i="21"/>
  <c r="AD110" i="21" s="1"/>
  <c r="AE109" i="21"/>
  <c r="AE110" i="21" s="1"/>
  <c r="AF109" i="21"/>
  <c r="AF110" i="21" s="1"/>
  <c r="AG109" i="21"/>
  <c r="AG110" i="21" s="1"/>
  <c r="AH109" i="21"/>
  <c r="AH110" i="21" s="1"/>
  <c r="AI109" i="21"/>
  <c r="AI110" i="21" s="1"/>
  <c r="AJ109" i="21"/>
  <c r="AJ110" i="21" s="1"/>
  <c r="AK109" i="21"/>
  <c r="AK110" i="21" s="1"/>
  <c r="AL109" i="21"/>
  <c r="AL110" i="21" s="1"/>
  <c r="AM109" i="21"/>
  <c r="AM110" i="21" s="1"/>
  <c r="AN109" i="21"/>
  <c r="AN110" i="21" s="1"/>
  <c r="AO109" i="21"/>
  <c r="AO110" i="21" s="1"/>
  <c r="AP109" i="21"/>
  <c r="AP110" i="21" s="1"/>
  <c r="AQ109" i="21"/>
  <c r="AQ110" i="21" s="1"/>
  <c r="I397" i="21"/>
  <c r="I417" i="21"/>
  <c r="M397" i="21"/>
  <c r="M417" i="21"/>
  <c r="Q397" i="21"/>
  <c r="Q417" i="21"/>
  <c r="U397" i="21"/>
  <c r="U417" i="21"/>
  <c r="Y397" i="21"/>
  <c r="Y417" i="21"/>
  <c r="J397" i="21"/>
  <c r="J417" i="21"/>
  <c r="N397" i="21"/>
  <c r="N417" i="21"/>
  <c r="R397" i="21"/>
  <c r="R417" i="21"/>
  <c r="V397" i="21"/>
  <c r="V417" i="21"/>
  <c r="Z397" i="21"/>
  <c r="Z417" i="21"/>
  <c r="G397" i="21"/>
  <c r="G417" i="21"/>
  <c r="G398" i="21" s="1"/>
  <c r="K397" i="21"/>
  <c r="K417" i="21"/>
  <c r="K398" i="21" s="1"/>
  <c r="O397" i="21"/>
  <c r="O417" i="21"/>
  <c r="O398" i="21" s="1"/>
  <c r="S397" i="21"/>
  <c r="S417" i="21"/>
  <c r="W397" i="21"/>
  <c r="W417" i="21"/>
  <c r="W398" i="21" s="1"/>
  <c r="AA397" i="21"/>
  <c r="AA417" i="21"/>
  <c r="AA398" i="21" s="1"/>
  <c r="H397" i="21"/>
  <c r="H417" i="21"/>
  <c r="L397" i="21"/>
  <c r="L417" i="21"/>
  <c r="P397" i="21"/>
  <c r="P417" i="21"/>
  <c r="T397" i="21"/>
  <c r="T417" i="21"/>
  <c r="X397" i="21"/>
  <c r="X417" i="21"/>
  <c r="AB397" i="21"/>
  <c r="AB417" i="21"/>
  <c r="AJ213" i="21"/>
  <c r="AJ190" i="21" s="1"/>
  <c r="AN189" i="21"/>
  <c r="J450" i="21"/>
  <c r="J452" i="21" s="1"/>
  <c r="J437" i="21" s="1"/>
  <c r="R450" i="21"/>
  <c r="R452" i="21" s="1"/>
  <c r="R437" i="21" s="1"/>
  <c r="Z450" i="21"/>
  <c r="Z452" i="21" s="1"/>
  <c r="Z437" i="21" s="1"/>
  <c r="AH450" i="21"/>
  <c r="AH452" i="21" s="1"/>
  <c r="AH437" i="21" s="1"/>
  <c r="AP450" i="21"/>
  <c r="AP452" i="21" s="1"/>
  <c r="AP456" i="21" s="1"/>
  <c r="AP437" i="21" s="1"/>
  <c r="AJ248" i="21"/>
  <c r="AJ250" i="21" s="1"/>
  <c r="AJ254" i="21" s="1"/>
  <c r="AJ231" i="21" s="1"/>
  <c r="G450" i="21"/>
  <c r="G452" i="21" s="1"/>
  <c r="G437" i="21" s="1"/>
  <c r="O450" i="21"/>
  <c r="O452" i="21" s="1"/>
  <c r="O437" i="21" s="1"/>
  <c r="S450" i="21"/>
  <c r="S452" i="21" s="1"/>
  <c r="S437" i="21" s="1"/>
  <c r="W450" i="21"/>
  <c r="W452" i="21" s="1"/>
  <c r="W437" i="21" s="1"/>
  <c r="AE450" i="21"/>
  <c r="AE452" i="21" s="1"/>
  <c r="AE437" i="21" s="1"/>
  <c r="AI450" i="21"/>
  <c r="AI452" i="21" s="1"/>
  <c r="AI437" i="21" s="1"/>
  <c r="AM450" i="21"/>
  <c r="AM452" i="21" s="1"/>
  <c r="AM456" i="21" s="1"/>
  <c r="AM437" i="21" s="1"/>
  <c r="T32" i="21"/>
  <c r="T34" i="21" s="1"/>
  <c r="T36" i="21" s="1"/>
  <c r="AJ32" i="21"/>
  <c r="AJ34" i="21" s="1"/>
  <c r="AJ36" i="21" s="1"/>
  <c r="AB31" i="21"/>
  <c r="AB32" i="21" s="1"/>
  <c r="AB34" i="21" s="1"/>
  <c r="AB36" i="21" s="1"/>
  <c r="Q77" i="21"/>
  <c r="Q78" i="21" s="1"/>
  <c r="Q80" i="21" s="1"/>
  <c r="Q82" i="21" s="1"/>
  <c r="E78" i="21"/>
  <c r="AK78" i="21"/>
  <c r="F119" i="21"/>
  <c r="F120" i="21" s="1"/>
  <c r="F122" i="21" s="1"/>
  <c r="F124" i="21" s="1"/>
  <c r="AP119" i="21"/>
  <c r="F203" i="21"/>
  <c r="F204" i="21" s="1"/>
  <c r="F206" i="21" s="1"/>
  <c r="F208" i="21" s="1"/>
  <c r="F212" i="21" s="1"/>
  <c r="F189" i="21" s="1"/>
  <c r="AH204" i="21"/>
  <c r="U77" i="21"/>
  <c r="U78" i="21" s="1"/>
  <c r="U80" i="21" s="1"/>
  <c r="U82" i="21" s="1"/>
  <c r="M78" i="21"/>
  <c r="M80" i="21" s="1"/>
  <c r="M82" i="21" s="1"/>
  <c r="N119" i="21"/>
  <c r="N120" i="21" s="1"/>
  <c r="N122" i="21" s="1"/>
  <c r="N124" i="21" s="1"/>
  <c r="AL161" i="21"/>
  <c r="N203" i="21"/>
  <c r="N204" i="21" s="1"/>
  <c r="N206" i="21" s="1"/>
  <c r="N208" i="21" s="1"/>
  <c r="N212" i="21" s="1"/>
  <c r="R204" i="21"/>
  <c r="K246" i="21"/>
  <c r="K248" i="21" s="1"/>
  <c r="K250" i="21" s="1"/>
  <c r="AQ288" i="21"/>
  <c r="AG77" i="21"/>
  <c r="AG78" i="21" s="1"/>
  <c r="AG80" i="21" s="1"/>
  <c r="AG82" i="21" s="1"/>
  <c r="AG86" i="21" s="1"/>
  <c r="AD119" i="21"/>
  <c r="AD120" i="21" s="1"/>
  <c r="AD122" i="21" s="1"/>
  <c r="AD124" i="21" s="1"/>
  <c r="AD128" i="21" s="1"/>
  <c r="AD105" i="21" s="1"/>
  <c r="AD203" i="21"/>
  <c r="AD204" i="21" s="1"/>
  <c r="AD206" i="21" s="1"/>
  <c r="AD208" i="21" s="1"/>
  <c r="AD212" i="21" s="1"/>
  <c r="V204" i="21"/>
  <c r="AC78" i="21"/>
  <c r="AC80" i="21" s="1"/>
  <c r="AC82" i="21" s="1"/>
  <c r="AC86" i="21" s="1"/>
  <c r="AH119" i="21"/>
  <c r="AJ164" i="21"/>
  <c r="AJ166" i="21" s="1"/>
  <c r="AJ170" i="21" s="1"/>
  <c r="AN164" i="21"/>
  <c r="AN166" i="21" s="1"/>
  <c r="AN170" i="21" s="1"/>
  <c r="AN147" i="21" s="1"/>
  <c r="F161" i="21"/>
  <c r="F162" i="21" s="1"/>
  <c r="F164" i="21" s="1"/>
  <c r="F166" i="21" s="1"/>
  <c r="AL203" i="21"/>
  <c r="Z204" i="21"/>
  <c r="AA245" i="21"/>
  <c r="AA246" i="21" s="1"/>
  <c r="AA248" i="21" s="1"/>
  <c r="AA250" i="21" s="1"/>
  <c r="AA254" i="21" s="1"/>
  <c r="AA231" i="21" s="1"/>
  <c r="Y246" i="21"/>
  <c r="AE287" i="21"/>
  <c r="AE288" i="21" s="1"/>
  <c r="AE290" i="21" s="1"/>
  <c r="AE292" i="21" s="1"/>
  <c r="AE296" i="21" s="1"/>
  <c r="AL374" i="21"/>
  <c r="AL376" i="21" s="1"/>
  <c r="AL380" i="21" s="1"/>
  <c r="AL164" i="21"/>
  <c r="AL166" i="21" s="1"/>
  <c r="AL170" i="21" s="1"/>
  <c r="AL147" i="21" s="1"/>
  <c r="AP164" i="21"/>
  <c r="AP166" i="21" s="1"/>
  <c r="AP170" i="21" s="1"/>
  <c r="AP147" i="21" s="1"/>
  <c r="AI206" i="21"/>
  <c r="AI208" i="21" s="1"/>
  <c r="AI212" i="21" s="1"/>
  <c r="AI189" i="21" s="1"/>
  <c r="AM290" i="21"/>
  <c r="AM292" i="21" s="1"/>
  <c r="AM296" i="21" s="1"/>
  <c r="AM273" i="21" s="1"/>
  <c r="AQ290" i="21"/>
  <c r="AQ292" i="21" s="1"/>
  <c r="AQ296" i="21" s="1"/>
  <c r="AO80" i="21"/>
  <c r="AO82" i="21" s="1"/>
  <c r="AO86" i="21" s="1"/>
  <c r="AO63" i="21" s="1"/>
  <c r="L31" i="21"/>
  <c r="L32" i="21" s="1"/>
  <c r="L34" i="21" s="1"/>
  <c r="L36" i="21" s="1"/>
  <c r="Y77" i="21"/>
  <c r="Y78" i="21" s="1"/>
  <c r="Y80" i="21" s="1"/>
  <c r="Y82" i="21" s="1"/>
  <c r="AJ77" i="21"/>
  <c r="AJ78" i="21" s="1"/>
  <c r="AJ80" i="21" s="1"/>
  <c r="AJ82" i="21" s="1"/>
  <c r="AJ86" i="21" s="1"/>
  <c r="L78" i="21"/>
  <c r="L80" i="21" s="1"/>
  <c r="L82" i="21" s="1"/>
  <c r="AB78" i="21"/>
  <c r="V119" i="21"/>
  <c r="V120" i="21" s="1"/>
  <c r="V122" i="21" s="1"/>
  <c r="V124" i="21" s="1"/>
  <c r="S120" i="21"/>
  <c r="AL120" i="21"/>
  <c r="AL122" i="21" s="1"/>
  <c r="AL124" i="21" s="1"/>
  <c r="AL128" i="21" s="1"/>
  <c r="AL105" i="21" s="1"/>
  <c r="P161" i="21"/>
  <c r="P162" i="21" s="1"/>
  <c r="P164" i="21" s="1"/>
  <c r="P166" i="21" s="1"/>
  <c r="AF161" i="21"/>
  <c r="AF162" i="21" s="1"/>
  <c r="AF164" i="21" s="1"/>
  <c r="AF166" i="21" s="1"/>
  <c r="Y204" i="21"/>
  <c r="AP204" i="21"/>
  <c r="S245" i="21"/>
  <c r="S246" i="21" s="1"/>
  <c r="S248" i="21" s="1"/>
  <c r="S250" i="21" s="1"/>
  <c r="S254" i="21" s="1"/>
  <c r="S231" i="21" s="1"/>
  <c r="V287" i="21"/>
  <c r="V288" i="21" s="1"/>
  <c r="V290" i="21" s="1"/>
  <c r="V292" i="21" s="1"/>
  <c r="V296" i="21" s="1"/>
  <c r="AA288" i="21"/>
  <c r="AA290" i="21" s="1"/>
  <c r="AA292" i="21" s="1"/>
  <c r="AA296" i="21" s="1"/>
  <c r="AA273" i="21" s="1"/>
  <c r="K329" i="21"/>
  <c r="K330" i="21" s="1"/>
  <c r="K332" i="21" s="1"/>
  <c r="K334" i="21" s="1"/>
  <c r="K338" i="21" s="1"/>
  <c r="K315" i="21" s="1"/>
  <c r="AE329" i="21"/>
  <c r="AE330" i="21" s="1"/>
  <c r="AE332" i="21" s="1"/>
  <c r="AE334" i="21" s="1"/>
  <c r="AE338" i="21" s="1"/>
  <c r="J330" i="21"/>
  <c r="Z330" i="21"/>
  <c r="AP330" i="21"/>
  <c r="Q409" i="21"/>
  <c r="AG409" i="21"/>
  <c r="AO410" i="21"/>
  <c r="G120" i="21"/>
  <c r="W120" i="21"/>
  <c r="W122" i="21" s="1"/>
  <c r="W124" i="21" s="1"/>
  <c r="AM120" i="21"/>
  <c r="O329" i="21"/>
  <c r="O330" i="21" s="1"/>
  <c r="O332" i="21" s="1"/>
  <c r="O334" i="21" s="1"/>
  <c r="O338" i="21" s="1"/>
  <c r="AA330" i="21"/>
  <c r="AQ330" i="21"/>
  <c r="E409" i="21"/>
  <c r="U409" i="21"/>
  <c r="AK409" i="21"/>
  <c r="I77" i="21"/>
  <c r="I78" i="21" s="1"/>
  <c r="I80" i="21" s="1"/>
  <c r="I82" i="21" s="1"/>
  <c r="T77" i="21"/>
  <c r="T78" i="21" s="1"/>
  <c r="T80" i="21" s="1"/>
  <c r="T82" i="21" s="1"/>
  <c r="AO77" i="21"/>
  <c r="AA120" i="21"/>
  <c r="H161" i="21"/>
  <c r="H162" i="21" s="1"/>
  <c r="H164" i="21" s="1"/>
  <c r="H166" i="21" s="1"/>
  <c r="X161" i="21"/>
  <c r="X162" i="21" s="1"/>
  <c r="X164" i="21" s="1"/>
  <c r="X166" i="21" s="1"/>
  <c r="AN161" i="21"/>
  <c r="S204" i="21"/>
  <c r="S206" i="21" s="1"/>
  <c r="S208" i="21" s="1"/>
  <c r="S212" i="21" s="1"/>
  <c r="S189" i="21" s="1"/>
  <c r="AI245" i="21"/>
  <c r="AM287" i="21"/>
  <c r="F329" i="21"/>
  <c r="F330" i="21" s="1"/>
  <c r="F332" i="21" s="1"/>
  <c r="F334" i="21" s="1"/>
  <c r="F338" i="21" s="1"/>
  <c r="S329" i="21"/>
  <c r="S330" i="21" s="1"/>
  <c r="S332" i="21" s="1"/>
  <c r="S334" i="21" s="1"/>
  <c r="S338" i="21" s="1"/>
  <c r="S315" i="21" s="1"/>
  <c r="AM329" i="21"/>
  <c r="R330" i="21"/>
  <c r="AH330" i="21"/>
  <c r="I409" i="21"/>
  <c r="Y409" i="21"/>
  <c r="O120" i="21"/>
  <c r="AI120" i="21"/>
  <c r="N161" i="21"/>
  <c r="N162" i="21" s="1"/>
  <c r="N164" i="21" s="1"/>
  <c r="N166" i="21" s="1"/>
  <c r="AD161" i="21"/>
  <c r="AD162" i="21" s="1"/>
  <c r="AD164" i="21" s="1"/>
  <c r="AD166" i="21" s="1"/>
  <c r="G329" i="21"/>
  <c r="G330" i="21" s="1"/>
  <c r="G332" i="21" s="1"/>
  <c r="G334" i="21" s="1"/>
  <c r="G338" i="21" s="1"/>
  <c r="G315" i="21" s="1"/>
  <c r="AI330" i="21"/>
  <c r="M409" i="21"/>
  <c r="AC409" i="21"/>
  <c r="AH410" i="21"/>
  <c r="AH412" i="21" s="1"/>
  <c r="AH414" i="21" s="1"/>
  <c r="AH418" i="21" s="1"/>
  <c r="AH399" i="21" s="1"/>
  <c r="H31" i="21"/>
  <c r="H32" i="21" s="1"/>
  <c r="H34" i="21" s="1"/>
  <c r="H36" i="21" s="1"/>
  <c r="P31" i="21"/>
  <c r="P32" i="21" s="1"/>
  <c r="P34" i="21" s="1"/>
  <c r="P36" i="21" s="1"/>
  <c r="X31" i="21"/>
  <c r="X32" i="21" s="1"/>
  <c r="X34" i="21" s="1"/>
  <c r="X36" i="21" s="1"/>
  <c r="AF31" i="21"/>
  <c r="AF32" i="21" s="1"/>
  <c r="AF34" i="21" s="1"/>
  <c r="AF36" i="21" s="1"/>
  <c r="AN31" i="21"/>
  <c r="AN32" i="21" s="1"/>
  <c r="AN34" i="21" s="1"/>
  <c r="AN36" i="21" s="1"/>
  <c r="I32" i="21"/>
  <c r="I34" i="21" s="1"/>
  <c r="I36" i="21" s="1"/>
  <c r="Q32" i="21"/>
  <c r="Q34" i="21" s="1"/>
  <c r="Q36" i="21" s="1"/>
  <c r="Y32" i="21"/>
  <c r="Y34" i="21" s="1"/>
  <c r="Y36" i="21" s="1"/>
  <c r="AG32" i="21"/>
  <c r="AG34" i="21" s="1"/>
  <c r="AG36" i="21" s="1"/>
  <c r="AO32" i="21"/>
  <c r="AO34" i="21" s="1"/>
  <c r="AO36" i="21" s="1"/>
  <c r="H77" i="21"/>
  <c r="H78" i="21" s="1"/>
  <c r="H80" i="21" s="1"/>
  <c r="H82" i="21" s="1"/>
  <c r="P77" i="21"/>
  <c r="P78" i="21" s="1"/>
  <c r="P80" i="21" s="1"/>
  <c r="P82" i="21" s="1"/>
  <c r="X77" i="21"/>
  <c r="X78" i="21" s="1"/>
  <c r="X80" i="21" s="1"/>
  <c r="X82" i="21" s="1"/>
  <c r="AF77" i="21"/>
  <c r="AF78" i="21" s="1"/>
  <c r="AF80" i="21" s="1"/>
  <c r="AF82" i="21" s="1"/>
  <c r="AF86" i="21" s="1"/>
  <c r="AN77" i="21"/>
  <c r="L119" i="21"/>
  <c r="L120" i="21" s="1"/>
  <c r="L122" i="21" s="1"/>
  <c r="L124" i="21" s="1"/>
  <c r="T119" i="21"/>
  <c r="T120" i="21" s="1"/>
  <c r="T122" i="21" s="1"/>
  <c r="T124" i="21" s="1"/>
  <c r="AB119" i="21"/>
  <c r="AB120" i="21" s="1"/>
  <c r="AB122" i="21" s="1"/>
  <c r="AB124" i="21" s="1"/>
  <c r="K120" i="21"/>
  <c r="K122" i="21" s="1"/>
  <c r="K124" i="21" s="1"/>
  <c r="AE120" i="21"/>
  <c r="AE122" i="21" s="1"/>
  <c r="AE124" i="21" s="1"/>
  <c r="AE128" i="21" s="1"/>
  <c r="AQ120" i="21"/>
  <c r="J31" i="21"/>
  <c r="J32" i="21" s="1"/>
  <c r="J34" i="21" s="1"/>
  <c r="J36" i="21" s="1"/>
  <c r="R31" i="21"/>
  <c r="R32" i="21" s="1"/>
  <c r="R34" i="21" s="1"/>
  <c r="R36" i="21" s="1"/>
  <c r="Z31" i="21"/>
  <c r="Z32" i="21" s="1"/>
  <c r="Z34" i="21" s="1"/>
  <c r="Z36" i="21" s="1"/>
  <c r="AH31" i="21"/>
  <c r="AH32" i="21" s="1"/>
  <c r="AH34" i="21" s="1"/>
  <c r="AH36" i="21" s="1"/>
  <c r="AP31" i="21"/>
  <c r="AP32" i="21" s="1"/>
  <c r="AP34" i="21" s="1"/>
  <c r="AP36" i="21" s="1"/>
  <c r="AF120" i="21"/>
  <c r="AF119" i="21"/>
  <c r="AN120" i="21"/>
  <c r="AN119" i="21"/>
  <c r="G32" i="21"/>
  <c r="G34" i="21" s="1"/>
  <c r="G36" i="21" s="1"/>
  <c r="O32" i="21"/>
  <c r="O34" i="21" s="1"/>
  <c r="O36" i="21" s="1"/>
  <c r="W32" i="21"/>
  <c r="W34" i="21" s="1"/>
  <c r="W36" i="21" s="1"/>
  <c r="AE32" i="21"/>
  <c r="AE34" i="21" s="1"/>
  <c r="AE36" i="21" s="1"/>
  <c r="AM32" i="21"/>
  <c r="AM34" i="21" s="1"/>
  <c r="AM36" i="21" s="1"/>
  <c r="E80" i="21"/>
  <c r="E82" i="21" s="1"/>
  <c r="AK80" i="21"/>
  <c r="AK82" i="21" s="1"/>
  <c r="AK86" i="21" s="1"/>
  <c r="H119" i="21"/>
  <c r="H120" i="21" s="1"/>
  <c r="H122" i="21" s="1"/>
  <c r="H124" i="21" s="1"/>
  <c r="P119" i="21"/>
  <c r="P120" i="21" s="1"/>
  <c r="P122" i="21" s="1"/>
  <c r="P124" i="21" s="1"/>
  <c r="X119" i="21"/>
  <c r="X120" i="21" s="1"/>
  <c r="X122" i="21" s="1"/>
  <c r="X124" i="21" s="1"/>
  <c r="F31" i="21"/>
  <c r="F32" i="21" s="1"/>
  <c r="F34" i="21" s="1"/>
  <c r="F36" i="21" s="1"/>
  <c r="N31" i="21"/>
  <c r="N32" i="21" s="1"/>
  <c r="N34" i="21" s="1"/>
  <c r="N36" i="21" s="1"/>
  <c r="V31" i="21"/>
  <c r="V32" i="21" s="1"/>
  <c r="V34" i="21" s="1"/>
  <c r="V36" i="21" s="1"/>
  <c r="AD31" i="21"/>
  <c r="AD32" i="21" s="1"/>
  <c r="AD34" i="21" s="1"/>
  <c r="AD36" i="21" s="1"/>
  <c r="AL31" i="21"/>
  <c r="AL32" i="21" s="1"/>
  <c r="AL34" i="21" s="1"/>
  <c r="AL36" i="21" s="1"/>
  <c r="J119" i="21"/>
  <c r="J120" i="21" s="1"/>
  <c r="J122" i="21" s="1"/>
  <c r="J124" i="21" s="1"/>
  <c r="R119" i="21"/>
  <c r="R120" i="21" s="1"/>
  <c r="R122" i="21" s="1"/>
  <c r="R124" i="21" s="1"/>
  <c r="Z119" i="21"/>
  <c r="Z120" i="21" s="1"/>
  <c r="Z122" i="21" s="1"/>
  <c r="Z124" i="21" s="1"/>
  <c r="AJ119" i="21"/>
  <c r="M162" i="21"/>
  <c r="M164" i="21" s="1"/>
  <c r="M166" i="21" s="1"/>
  <c r="AC162" i="21"/>
  <c r="AC164" i="21" s="1"/>
  <c r="AC166" i="21" s="1"/>
  <c r="P245" i="21"/>
  <c r="P246" i="21" s="1"/>
  <c r="P248" i="21" s="1"/>
  <c r="P250" i="21" s="1"/>
  <c r="P254" i="21" s="1"/>
  <c r="X245" i="21"/>
  <c r="X246" i="21" s="1"/>
  <c r="X248" i="21" s="1"/>
  <c r="X250" i="21" s="1"/>
  <c r="X254" i="21" s="1"/>
  <c r="X231" i="21" s="1"/>
  <c r="AF246" i="21"/>
  <c r="AF248" i="21" s="1"/>
  <c r="AF250" i="21" s="1"/>
  <c r="AF254" i="21" s="1"/>
  <c r="AF231" i="21" s="1"/>
  <c r="AN246" i="21"/>
  <c r="F287" i="21"/>
  <c r="F288" i="21" s="1"/>
  <c r="F290" i="21" s="1"/>
  <c r="F292" i="21" s="1"/>
  <c r="F296" i="21" s="1"/>
  <c r="S287" i="21"/>
  <c r="S288" i="21" s="1"/>
  <c r="S290" i="21" s="1"/>
  <c r="S292" i="21" s="1"/>
  <c r="S296" i="21" s="1"/>
  <c r="AD287" i="21"/>
  <c r="AD288" i="21" s="1"/>
  <c r="AD290" i="21" s="1"/>
  <c r="AD292" i="21" s="1"/>
  <c r="AD296" i="21" s="1"/>
  <c r="AL287" i="21"/>
  <c r="W288" i="21"/>
  <c r="W290" i="21" s="1"/>
  <c r="W292" i="21" s="1"/>
  <c r="W296" i="21" s="1"/>
  <c r="W273" i="21" s="1"/>
  <c r="N329" i="21"/>
  <c r="N330" i="21" s="1"/>
  <c r="N332" i="21" s="1"/>
  <c r="N334" i="21" s="1"/>
  <c r="N338" i="21" s="1"/>
  <c r="W329" i="21"/>
  <c r="W330" i="21" s="1"/>
  <c r="W332" i="21" s="1"/>
  <c r="W334" i="21" s="1"/>
  <c r="W338" i="21" s="1"/>
  <c r="W315" i="21" s="1"/>
  <c r="H371" i="21"/>
  <c r="H372" i="21" s="1"/>
  <c r="H374" i="21" s="1"/>
  <c r="H376" i="21" s="1"/>
  <c r="H380" i="21" s="1"/>
  <c r="P371" i="21"/>
  <c r="P372" i="21" s="1"/>
  <c r="P374" i="21" s="1"/>
  <c r="P376" i="21" s="1"/>
  <c r="P380" i="21" s="1"/>
  <c r="P357" i="21" s="1"/>
  <c r="X371" i="21"/>
  <c r="X372" i="21" s="1"/>
  <c r="X374" i="21" s="1"/>
  <c r="X376" i="21" s="1"/>
  <c r="X380" i="21" s="1"/>
  <c r="AF371" i="21"/>
  <c r="AN371" i="21"/>
  <c r="I372" i="21"/>
  <c r="Q372" i="21"/>
  <c r="Y372" i="21"/>
  <c r="AG372" i="21"/>
  <c r="AG374" i="21" s="1"/>
  <c r="AG376" i="21" s="1"/>
  <c r="AG380" i="21" s="1"/>
  <c r="AG357" i="21" s="1"/>
  <c r="AO372" i="21"/>
  <c r="K409" i="21"/>
  <c r="S409" i="21"/>
  <c r="AA409" i="21"/>
  <c r="AI409" i="21"/>
  <c r="AQ409" i="21"/>
  <c r="S447" i="21"/>
  <c r="AI447" i="21"/>
  <c r="H448" i="21"/>
  <c r="P448" i="21"/>
  <c r="X448" i="21"/>
  <c r="AF448" i="21"/>
  <c r="AN448" i="21"/>
  <c r="J161" i="21"/>
  <c r="J162" i="21" s="1"/>
  <c r="J164" i="21" s="1"/>
  <c r="J166" i="21" s="1"/>
  <c r="R161" i="21"/>
  <c r="R162" i="21" s="1"/>
  <c r="R164" i="21" s="1"/>
  <c r="R166" i="21" s="1"/>
  <c r="Z161" i="21"/>
  <c r="Z162" i="21" s="1"/>
  <c r="Z164" i="21" s="1"/>
  <c r="Z166" i="21" s="1"/>
  <c r="AH161" i="21"/>
  <c r="AH162" i="21" s="1"/>
  <c r="AH164" i="21" s="1"/>
  <c r="AH166" i="21" s="1"/>
  <c r="AP161" i="21"/>
  <c r="Q162" i="21"/>
  <c r="Q164" i="21" s="1"/>
  <c r="Q166" i="21" s="1"/>
  <c r="AG162" i="21"/>
  <c r="AG164" i="21" s="1"/>
  <c r="AG166" i="21" s="1"/>
  <c r="H203" i="21"/>
  <c r="H204" i="21" s="1"/>
  <c r="H206" i="21" s="1"/>
  <c r="H208" i="21" s="1"/>
  <c r="H212" i="21" s="1"/>
  <c r="P203" i="21"/>
  <c r="P204" i="21" s="1"/>
  <c r="P206" i="21" s="1"/>
  <c r="P208" i="21" s="1"/>
  <c r="P212" i="21" s="1"/>
  <c r="X203" i="21"/>
  <c r="X204" i="21" s="1"/>
  <c r="X206" i="21" s="1"/>
  <c r="X208" i="21" s="1"/>
  <c r="X212" i="21" s="1"/>
  <c r="AF203" i="21"/>
  <c r="AN203" i="21"/>
  <c r="I204" i="21"/>
  <c r="I206" i="21" s="1"/>
  <c r="I208" i="21" s="1"/>
  <c r="I212" i="21" s="1"/>
  <c r="AK204" i="21"/>
  <c r="AK206" i="21" s="1"/>
  <c r="AK208" i="21" s="1"/>
  <c r="AK212" i="21" s="1"/>
  <c r="AK189" i="21" s="1"/>
  <c r="H245" i="21"/>
  <c r="H246" i="21" s="1"/>
  <c r="H248" i="21" s="1"/>
  <c r="H250" i="21" s="1"/>
  <c r="AJ245" i="21"/>
  <c r="L246" i="21"/>
  <c r="T246" i="21"/>
  <c r="AG246" i="21"/>
  <c r="AG248" i="21" s="1"/>
  <c r="AG250" i="21" s="1"/>
  <c r="AG254" i="21" s="1"/>
  <c r="AG231" i="21" s="1"/>
  <c r="AO246" i="21"/>
  <c r="AQ248" i="21"/>
  <c r="AQ250" i="21" s="1"/>
  <c r="AQ254" i="21" s="1"/>
  <c r="AQ231" i="21" s="1"/>
  <c r="J371" i="21"/>
  <c r="J372" i="21" s="1"/>
  <c r="J374" i="21" s="1"/>
  <c r="J376" i="21" s="1"/>
  <c r="J380" i="21" s="1"/>
  <c r="J357" i="21" s="1"/>
  <c r="R371" i="21"/>
  <c r="R372" i="21" s="1"/>
  <c r="R374" i="21" s="1"/>
  <c r="R376" i="21" s="1"/>
  <c r="R380" i="21" s="1"/>
  <c r="Z371" i="21"/>
  <c r="Z372" i="21" s="1"/>
  <c r="Z374" i="21" s="1"/>
  <c r="Z376" i="21" s="1"/>
  <c r="Z380" i="21" s="1"/>
  <c r="AH371" i="21"/>
  <c r="AP371" i="21"/>
  <c r="G447" i="21"/>
  <c r="W447" i="21"/>
  <c r="AM447" i="21"/>
  <c r="K448" i="21"/>
  <c r="K450" i="21" s="1"/>
  <c r="K452" i="21" s="1"/>
  <c r="K437" i="21" s="1"/>
  <c r="AA448" i="21"/>
  <c r="AA450" i="21" s="1"/>
  <c r="AA452" i="21" s="1"/>
  <c r="AA437" i="21" s="1"/>
  <c r="AQ448" i="21"/>
  <c r="AQ450" i="21" s="1"/>
  <c r="AQ452" i="21" s="1"/>
  <c r="AQ456" i="21" s="1"/>
  <c r="AQ437" i="21" s="1"/>
  <c r="L161" i="21"/>
  <c r="L162" i="21" s="1"/>
  <c r="L164" i="21" s="1"/>
  <c r="L166" i="21" s="1"/>
  <c r="T161" i="21"/>
  <c r="T162" i="21" s="1"/>
  <c r="T164" i="21" s="1"/>
  <c r="T166" i="21" s="1"/>
  <c r="AB161" i="21"/>
  <c r="AB162" i="21" s="1"/>
  <c r="AB164" i="21" s="1"/>
  <c r="AB166" i="21" s="1"/>
  <c r="AJ161" i="21"/>
  <c r="E162" i="21"/>
  <c r="U162" i="21"/>
  <c r="U164" i="21" s="1"/>
  <c r="U166" i="21" s="1"/>
  <c r="AK162" i="21"/>
  <c r="AK164" i="21" s="1"/>
  <c r="AK166" i="21" s="1"/>
  <c r="AK170" i="21" s="1"/>
  <c r="AK147" i="21" s="1"/>
  <c r="J203" i="21"/>
  <c r="J204" i="21" s="1"/>
  <c r="J206" i="21" s="1"/>
  <c r="J208" i="21" s="1"/>
  <c r="J212" i="21" s="1"/>
  <c r="J189" i="21" s="1"/>
  <c r="U204" i="21"/>
  <c r="AL248" i="21"/>
  <c r="AL250" i="21" s="1"/>
  <c r="AL254" i="21" s="1"/>
  <c r="AL231" i="21" s="1"/>
  <c r="AP248" i="21"/>
  <c r="AP250" i="21" s="1"/>
  <c r="AP254" i="21" s="1"/>
  <c r="AB245" i="21"/>
  <c r="AB246" i="21" s="1"/>
  <c r="AB248" i="21" s="1"/>
  <c r="AB250" i="21" s="1"/>
  <c r="AB254" i="21" s="1"/>
  <c r="AM245" i="21"/>
  <c r="O246" i="21"/>
  <c r="O248" i="21" s="1"/>
  <c r="O250" i="21" s="1"/>
  <c r="O254" i="21" s="1"/>
  <c r="O231" i="21" s="1"/>
  <c r="W246" i="21"/>
  <c r="W248" i="21" s="1"/>
  <c r="W250" i="21" s="1"/>
  <c r="W254" i="21" s="1"/>
  <c r="AH287" i="21"/>
  <c r="AP287" i="21"/>
  <c r="O288" i="21"/>
  <c r="O290" i="21" s="1"/>
  <c r="O292" i="21" s="1"/>
  <c r="AD329" i="21"/>
  <c r="AD330" i="21" s="1"/>
  <c r="AD332" i="21" s="1"/>
  <c r="AD334" i="21" s="1"/>
  <c r="AD338" i="21" s="1"/>
  <c r="AD315" i="21" s="1"/>
  <c r="L371" i="21"/>
  <c r="L372" i="21" s="1"/>
  <c r="L374" i="21" s="1"/>
  <c r="L376" i="21" s="1"/>
  <c r="L380" i="21" s="1"/>
  <c r="T371" i="21"/>
  <c r="T372" i="21" s="1"/>
  <c r="T374" i="21" s="1"/>
  <c r="T376" i="21" s="1"/>
  <c r="T380" i="21" s="1"/>
  <c r="T357" i="21" s="1"/>
  <c r="AB371" i="21"/>
  <c r="AB372" i="21" s="1"/>
  <c r="AB374" i="21" s="1"/>
  <c r="AB376" i="21" s="1"/>
  <c r="AB380" i="21" s="1"/>
  <c r="AJ371" i="21"/>
  <c r="E372" i="21"/>
  <c r="E374" i="21" s="1"/>
  <c r="E376" i="21" s="1"/>
  <c r="E380" i="21" s="1"/>
  <c r="E357" i="21" s="1"/>
  <c r="M372" i="21"/>
  <c r="M374" i="21" s="1"/>
  <c r="M376" i="21" s="1"/>
  <c r="M380" i="21" s="1"/>
  <c r="M357" i="21" s="1"/>
  <c r="U372" i="21"/>
  <c r="U374" i="21" s="1"/>
  <c r="U376" i="21" s="1"/>
  <c r="U380" i="21" s="1"/>
  <c r="U357" i="21" s="1"/>
  <c r="AC372" i="21"/>
  <c r="AC374" i="21" s="1"/>
  <c r="AC376" i="21" s="1"/>
  <c r="AC380" i="21" s="1"/>
  <c r="AC357" i="21" s="1"/>
  <c r="AK372" i="21"/>
  <c r="AK374" i="21" s="1"/>
  <c r="AK376" i="21" s="1"/>
  <c r="AK380" i="21" s="1"/>
  <c r="AK357" i="21" s="1"/>
  <c r="G409" i="21"/>
  <c r="O409" i="21"/>
  <c r="W409" i="21"/>
  <c r="AE409" i="21"/>
  <c r="AM409" i="21"/>
  <c r="AL410" i="21"/>
  <c r="AL412" i="21" s="1"/>
  <c r="AL414" i="21" s="1"/>
  <c r="AL418" i="21" s="1"/>
  <c r="AM412" i="21"/>
  <c r="AM414" i="21" s="1"/>
  <c r="AM418" i="21" s="1"/>
  <c r="AM399" i="21" s="1"/>
  <c r="L448" i="21"/>
  <c r="T448" i="21"/>
  <c r="T450" i="21" s="1"/>
  <c r="T452" i="21" s="1"/>
  <c r="T437" i="21" s="1"/>
  <c r="AB448" i="21"/>
  <c r="AB450" i="21" s="1"/>
  <c r="AB452" i="21" s="1"/>
  <c r="AB437" i="21" s="1"/>
  <c r="AJ448" i="21"/>
  <c r="AJ450" i="21" s="1"/>
  <c r="AJ452" i="21" s="1"/>
  <c r="AJ437" i="21" s="1"/>
  <c r="I162" i="21"/>
  <c r="I164" i="21" s="1"/>
  <c r="I166" i="21" s="1"/>
  <c r="Y162" i="21"/>
  <c r="Y164" i="21" s="1"/>
  <c r="Y166" i="21" s="1"/>
  <c r="AO162" i="21"/>
  <c r="AO164" i="21" s="1"/>
  <c r="AO166" i="21" s="1"/>
  <c r="AO170" i="21" s="1"/>
  <c r="AO147" i="21" s="1"/>
  <c r="L203" i="21"/>
  <c r="L204" i="21" s="1"/>
  <c r="L206" i="21" s="1"/>
  <c r="L208" i="21" s="1"/>
  <c r="L212" i="21" s="1"/>
  <c r="T203" i="21"/>
  <c r="T204" i="21" s="1"/>
  <c r="T206" i="21" s="1"/>
  <c r="T208" i="21" s="1"/>
  <c r="T212" i="21" s="1"/>
  <c r="AB203" i="21"/>
  <c r="AB204" i="21" s="1"/>
  <c r="AB206" i="21" s="1"/>
  <c r="AB208" i="21" s="1"/>
  <c r="AB212" i="21" s="1"/>
  <c r="AJ203" i="21"/>
  <c r="E204" i="21"/>
  <c r="E206" i="21" s="1"/>
  <c r="E208" i="21" s="1"/>
  <c r="E212" i="21" s="1"/>
  <c r="E213" i="21" s="1"/>
  <c r="E190" i="21" s="1"/>
  <c r="AO204" i="21"/>
  <c r="AO206" i="21" s="1"/>
  <c r="AO208" i="21" s="1"/>
  <c r="AO212" i="21" s="1"/>
  <c r="I246" i="21"/>
  <c r="I248" i="21" s="1"/>
  <c r="I250" i="21" s="1"/>
  <c r="I254" i="21" s="1"/>
  <c r="I231" i="21" s="1"/>
  <c r="AE246" i="21"/>
  <c r="AE248" i="21" s="1"/>
  <c r="AE250" i="21" s="1"/>
  <c r="AE254" i="21" s="1"/>
  <c r="J261" i="21"/>
  <c r="AI287" i="21"/>
  <c r="V329" i="21"/>
  <c r="V330" i="21" s="1"/>
  <c r="V332" i="21" s="1"/>
  <c r="V334" i="21" s="1"/>
  <c r="V338" i="21" s="1"/>
  <c r="L330" i="21"/>
  <c r="L332" i="21" s="1"/>
  <c r="L334" i="21" s="1"/>
  <c r="L338" i="21" s="1"/>
  <c r="L315" i="21" s="1"/>
  <c r="T330" i="21"/>
  <c r="T332" i="21" s="1"/>
  <c r="T334" i="21" s="1"/>
  <c r="T338" i="21" s="1"/>
  <c r="AB330" i="21"/>
  <c r="AB332" i="21" s="1"/>
  <c r="AB334" i="21" s="1"/>
  <c r="AB338" i="21" s="1"/>
  <c r="AJ330" i="21"/>
  <c r="F371" i="21"/>
  <c r="F372" i="21" s="1"/>
  <c r="F374" i="21" s="1"/>
  <c r="F376" i="21" s="1"/>
  <c r="F380" i="21" s="1"/>
  <c r="N371" i="21"/>
  <c r="N372" i="21" s="1"/>
  <c r="N374" i="21" s="1"/>
  <c r="N376" i="21" s="1"/>
  <c r="N380" i="21" s="1"/>
  <c r="V371" i="21"/>
  <c r="V372" i="21" s="1"/>
  <c r="V374" i="21" s="1"/>
  <c r="V376" i="21" s="1"/>
  <c r="V380" i="21" s="1"/>
  <c r="AD371" i="21"/>
  <c r="AD372" i="21" s="1"/>
  <c r="AD374" i="21" s="1"/>
  <c r="AD376" i="21" s="1"/>
  <c r="AD380" i="21" s="1"/>
  <c r="AL371" i="21"/>
  <c r="O447" i="21"/>
  <c r="AE447" i="21"/>
  <c r="F450" i="21"/>
  <c r="F452" i="21" s="1"/>
  <c r="F437" i="21" s="1"/>
  <c r="N450" i="21"/>
  <c r="N452" i="21" s="1"/>
  <c r="N437" i="21" s="1"/>
  <c r="V450" i="21"/>
  <c r="V452" i="21" s="1"/>
  <c r="V437" i="21" s="1"/>
  <c r="AD450" i="21"/>
  <c r="AD452" i="21" s="1"/>
  <c r="AD437" i="21" s="1"/>
  <c r="AL450" i="21"/>
  <c r="AL452" i="21" s="1"/>
  <c r="AL437" i="21" s="1"/>
  <c r="AH122" i="21"/>
  <c r="AH124" i="21" s="1"/>
  <c r="AH128" i="21" s="1"/>
  <c r="AH127" i="21" s="1"/>
  <c r="AH104" i="21" s="1"/>
  <c r="AP122" i="21"/>
  <c r="AP124" i="21" s="1"/>
  <c r="AP128" i="21" s="1"/>
  <c r="AP127" i="21" s="1"/>
  <c r="AP104" i="21" s="1"/>
  <c r="AI248" i="21"/>
  <c r="AI250" i="21" s="1"/>
  <c r="AI254" i="21" s="1"/>
  <c r="AI231" i="21" s="1"/>
  <c r="AM248" i="21"/>
  <c r="AM250" i="21" s="1"/>
  <c r="AM254" i="21" s="1"/>
  <c r="AM231" i="21" s="1"/>
  <c r="AF374" i="21"/>
  <c r="AF376" i="21" s="1"/>
  <c r="AF380" i="21" s="1"/>
  <c r="AF357" i="21" s="1"/>
  <c r="AJ374" i="21"/>
  <c r="AJ376" i="21" s="1"/>
  <c r="AJ380" i="21" s="1"/>
  <c r="AJ357" i="21" s="1"/>
  <c r="AN374" i="21"/>
  <c r="AN376" i="21" s="1"/>
  <c r="AN380" i="21" s="1"/>
  <c r="AI290" i="21"/>
  <c r="AI292" i="21" s="1"/>
  <c r="AI296" i="21" s="1"/>
  <c r="AI273" i="21" s="1"/>
  <c r="I374" i="21"/>
  <c r="I376" i="21" s="1"/>
  <c r="I380" i="21" s="1"/>
  <c r="I357" i="21" s="1"/>
  <c r="Q374" i="21"/>
  <c r="Q376" i="21" s="1"/>
  <c r="Q380" i="21" s="1"/>
  <c r="Y374" i="21"/>
  <c r="Y376" i="21" s="1"/>
  <c r="Y380" i="21" s="1"/>
  <c r="Y357" i="21" s="1"/>
  <c r="AO374" i="21"/>
  <c r="AO376" i="21" s="1"/>
  <c r="AO380" i="21" s="1"/>
  <c r="AO357" i="21" s="1"/>
  <c r="L450" i="21"/>
  <c r="L452" i="21" s="1"/>
  <c r="L437" i="21" s="1"/>
  <c r="Y206" i="21"/>
  <c r="Y208" i="21" s="1"/>
  <c r="Y212" i="21" s="1"/>
  <c r="E332" i="21"/>
  <c r="E334" i="21" s="1"/>
  <c r="E338" i="21" s="1"/>
  <c r="E315" i="21" s="1"/>
  <c r="AG332" i="21"/>
  <c r="AG334" i="21" s="1"/>
  <c r="AG338" i="21" s="1"/>
  <c r="AG315" i="21" s="1"/>
  <c r="AK332" i="21"/>
  <c r="AK334" i="21" s="1"/>
  <c r="AK338" i="21" s="1"/>
  <c r="AK315" i="21" s="1"/>
  <c r="AO332" i="21"/>
  <c r="AO334" i="21" s="1"/>
  <c r="AO338" i="21" s="1"/>
  <c r="AO315" i="21" s="1"/>
  <c r="AN80" i="21"/>
  <c r="AN82" i="21" s="1"/>
  <c r="AN86" i="21" s="1"/>
  <c r="AN87" i="21" s="1"/>
  <c r="AN64" i="21" s="1"/>
  <c r="G122" i="21"/>
  <c r="G124" i="21" s="1"/>
  <c r="G128" i="21" s="1"/>
  <c r="G105" i="21" s="1"/>
  <c r="O122" i="21"/>
  <c r="O124" i="21" s="1"/>
  <c r="AM122" i="21"/>
  <c r="AM124" i="21" s="1"/>
  <c r="AM128" i="21" s="1"/>
  <c r="AM105" i="21" s="1"/>
  <c r="E164" i="21"/>
  <c r="E166" i="21" s="1"/>
  <c r="E170" i="21" s="1"/>
  <c r="E147" i="21" s="1"/>
  <c r="U206" i="21"/>
  <c r="U208" i="21" s="1"/>
  <c r="U212" i="21" s="1"/>
  <c r="U189" i="21" s="1"/>
  <c r="Q248" i="21"/>
  <c r="Q250" i="21" s="1"/>
  <c r="Q254" i="21" s="1"/>
  <c r="Q231" i="21" s="1"/>
  <c r="Y248" i="21"/>
  <c r="Y250" i="21" s="1"/>
  <c r="Y254" i="21" s="1"/>
  <c r="Y231" i="21" s="1"/>
  <c r="L248" i="21"/>
  <c r="L250" i="21" s="1"/>
  <c r="L254" i="21" s="1"/>
  <c r="L231" i="21" s="1"/>
  <c r="T248" i="21"/>
  <c r="T250" i="21" s="1"/>
  <c r="T254" i="21" s="1"/>
  <c r="AO248" i="21"/>
  <c r="AO250" i="21" s="1"/>
  <c r="AO254" i="21" s="1"/>
  <c r="AO231" i="21" s="1"/>
  <c r="AL80" i="21"/>
  <c r="AL82" i="21" s="1"/>
  <c r="AL86" i="21" s="1"/>
  <c r="AL63" i="21" s="1"/>
  <c r="AP80" i="21"/>
  <c r="AP82" i="21" s="1"/>
  <c r="AP86" i="21" s="1"/>
  <c r="AP63" i="21" s="1"/>
  <c r="AB80" i="21"/>
  <c r="AB82" i="21" s="1"/>
  <c r="AB86" i="21" s="1"/>
  <c r="AB63" i="21" s="1"/>
  <c r="S122" i="21"/>
  <c r="S124" i="21" s="1"/>
  <c r="AA122" i="21"/>
  <c r="AA124" i="21" s="1"/>
  <c r="AI122" i="21"/>
  <c r="AI124" i="21" s="1"/>
  <c r="AI128" i="21" s="1"/>
  <c r="AI105" i="21" s="1"/>
  <c r="AQ122" i="21"/>
  <c r="AQ124" i="21" s="1"/>
  <c r="AQ128" i="21" s="1"/>
  <c r="AQ105" i="21" s="1"/>
  <c r="J332" i="21"/>
  <c r="J334" i="21" s="1"/>
  <c r="J338" i="21" s="1"/>
  <c r="J315" i="21" s="1"/>
  <c r="R332" i="21"/>
  <c r="R334" i="21" s="1"/>
  <c r="R338" i="21" s="1"/>
  <c r="R315" i="21" s="1"/>
  <c r="Z332" i="21"/>
  <c r="Z334" i="21" s="1"/>
  <c r="Z338" i="21" s="1"/>
  <c r="Z315" i="21" s="1"/>
  <c r="AH332" i="21"/>
  <c r="AH334" i="21" s="1"/>
  <c r="AH338" i="21" s="1"/>
  <c r="AH315" i="21" s="1"/>
  <c r="AP332" i="21"/>
  <c r="AP334" i="21" s="1"/>
  <c r="AP338" i="21" s="1"/>
  <c r="AP315" i="21" s="1"/>
  <c r="AH290" i="21"/>
  <c r="AH292" i="21" s="1"/>
  <c r="AH296" i="21" s="1"/>
  <c r="AH273" i="21" s="1"/>
  <c r="AL290" i="21"/>
  <c r="AL292" i="21" s="1"/>
  <c r="AL296" i="21" s="1"/>
  <c r="AL273" i="21" s="1"/>
  <c r="AP290" i="21"/>
  <c r="AP292" i="21" s="1"/>
  <c r="AP296" i="21" s="1"/>
  <c r="AP273" i="21" s="1"/>
  <c r="AL332" i="21"/>
  <c r="AL334" i="21" s="1"/>
  <c r="AL338" i="21" s="1"/>
  <c r="AL315" i="21" s="1"/>
  <c r="AJ332" i="21"/>
  <c r="AJ334" i="21" s="1"/>
  <c r="AJ338" i="21" s="1"/>
  <c r="AJ315" i="21" s="1"/>
  <c r="AH374" i="21"/>
  <c r="AH376" i="21" s="1"/>
  <c r="AH380" i="21" s="1"/>
  <c r="AH357" i="21" s="1"/>
  <c r="AP374" i="21"/>
  <c r="AP376" i="21" s="1"/>
  <c r="AP380" i="21" s="1"/>
  <c r="AP357" i="21" s="1"/>
  <c r="G412" i="21"/>
  <c r="G414" i="21" s="1"/>
  <c r="G399" i="21" s="1"/>
  <c r="K412" i="21"/>
  <c r="K414" i="21" s="1"/>
  <c r="K399" i="21" s="1"/>
  <c r="O412" i="21"/>
  <c r="O414" i="21" s="1"/>
  <c r="O399" i="21" s="1"/>
  <c r="S412" i="21"/>
  <c r="S414" i="21" s="1"/>
  <c r="S399" i="21" s="1"/>
  <c r="W412" i="21"/>
  <c r="W414" i="21" s="1"/>
  <c r="W399" i="21" s="1"/>
  <c r="AA412" i="21"/>
  <c r="AA414" i="21" s="1"/>
  <c r="AA399" i="21" s="1"/>
  <c r="AE412" i="21"/>
  <c r="AE414" i="21" s="1"/>
  <c r="AE399" i="21" s="1"/>
  <c r="AI412" i="21"/>
  <c r="AI414" i="21" s="1"/>
  <c r="AI418" i="21" s="1"/>
  <c r="AI399" i="21" s="1"/>
  <c r="AQ412" i="21"/>
  <c r="AQ414" i="21" s="1"/>
  <c r="AQ418" i="21" s="1"/>
  <c r="AQ399" i="21" s="1"/>
  <c r="M32" i="21"/>
  <c r="M34" i="21" s="1"/>
  <c r="M36" i="21" s="1"/>
  <c r="S32" i="21"/>
  <c r="S34" i="21" s="1"/>
  <c r="S36" i="21" s="1"/>
  <c r="AC32" i="21"/>
  <c r="AC34" i="21" s="1"/>
  <c r="AC36" i="21" s="1"/>
  <c r="AI32" i="21"/>
  <c r="AI34" i="21" s="1"/>
  <c r="AI36" i="21" s="1"/>
  <c r="S83" i="21"/>
  <c r="S84" i="21" s="1"/>
  <c r="S61" i="21" s="1"/>
  <c r="O83" i="21"/>
  <c r="O84" i="21" s="1"/>
  <c r="O61" i="21" s="1"/>
  <c r="AA83" i="21"/>
  <c r="AA84" i="21" s="1"/>
  <c r="AA61" i="21" s="1"/>
  <c r="L83" i="21"/>
  <c r="L84" i="21" s="1"/>
  <c r="L61" i="21" s="1"/>
  <c r="T83" i="21"/>
  <c r="T84" i="21" s="1"/>
  <c r="T61" i="21" s="1"/>
  <c r="E32" i="21"/>
  <c r="E34" i="21" s="1"/>
  <c r="E36" i="21" s="1"/>
  <c r="K32" i="21"/>
  <c r="K34" i="21" s="1"/>
  <c r="K36" i="21" s="1"/>
  <c r="U32" i="21"/>
  <c r="U34" i="21" s="1"/>
  <c r="U36" i="21" s="1"/>
  <c r="AA32" i="21"/>
  <c r="AA34" i="21" s="1"/>
  <c r="AA36" i="21" s="1"/>
  <c r="AK32" i="21"/>
  <c r="AK34" i="21" s="1"/>
  <c r="AK36" i="21" s="1"/>
  <c r="AQ32" i="21"/>
  <c r="AQ34" i="21" s="1"/>
  <c r="AQ36" i="21" s="1"/>
  <c r="H83" i="21"/>
  <c r="H84" i="21" s="1"/>
  <c r="H61" i="21" s="1"/>
  <c r="F77" i="21"/>
  <c r="F78" i="21" s="1"/>
  <c r="F80" i="21" s="1"/>
  <c r="F82" i="21" s="1"/>
  <c r="J77" i="21"/>
  <c r="J78" i="21" s="1"/>
  <c r="J80" i="21" s="1"/>
  <c r="J82" i="21" s="1"/>
  <c r="N77" i="21"/>
  <c r="N78" i="21" s="1"/>
  <c r="N80" i="21" s="1"/>
  <c r="N82" i="21" s="1"/>
  <c r="R77" i="21"/>
  <c r="R78" i="21" s="1"/>
  <c r="R80" i="21" s="1"/>
  <c r="R82" i="21" s="1"/>
  <c r="V77" i="21"/>
  <c r="V78" i="21" s="1"/>
  <c r="V80" i="21" s="1"/>
  <c r="V82" i="21" s="1"/>
  <c r="Z77" i="21"/>
  <c r="Z78" i="21" s="1"/>
  <c r="Z80" i="21" s="1"/>
  <c r="Z82" i="21" s="1"/>
  <c r="AD77" i="21"/>
  <c r="AD78" i="21" s="1"/>
  <c r="AD80" i="21" s="1"/>
  <c r="AD82" i="21" s="1"/>
  <c r="AD86" i="21" s="1"/>
  <c r="AH77" i="21"/>
  <c r="AH78" i="21" s="1"/>
  <c r="AH80" i="21" s="1"/>
  <c r="AH82" i="21" s="1"/>
  <c r="AH86" i="21" s="1"/>
  <c r="AH63" i="21" s="1"/>
  <c r="AL77" i="21"/>
  <c r="AP77" i="21"/>
  <c r="G78" i="21"/>
  <c r="G80" i="21" s="1"/>
  <c r="G82" i="21" s="1"/>
  <c r="G86" i="21" s="1"/>
  <c r="G63" i="21" s="1"/>
  <c r="K78" i="21"/>
  <c r="K80" i="21" s="1"/>
  <c r="K82" i="21" s="1"/>
  <c r="O78" i="21"/>
  <c r="O80" i="21" s="1"/>
  <c r="O82" i="21" s="1"/>
  <c r="S78" i="21"/>
  <c r="S80" i="21" s="1"/>
  <c r="S82" i="21" s="1"/>
  <c r="W78" i="21"/>
  <c r="W80" i="21" s="1"/>
  <c r="W82" i="21" s="1"/>
  <c r="AA78" i="21"/>
  <c r="AA80" i="21" s="1"/>
  <c r="AA82" i="21" s="1"/>
  <c r="AE78" i="21"/>
  <c r="AE80" i="21" s="1"/>
  <c r="AE82" i="21" s="1"/>
  <c r="AE86" i="21" s="1"/>
  <c r="AE63" i="21" s="1"/>
  <c r="AI78" i="21"/>
  <c r="AI80" i="21" s="1"/>
  <c r="AI82" i="21" s="1"/>
  <c r="AI86" i="21" s="1"/>
  <c r="AI63" i="21" s="1"/>
  <c r="AM78" i="21"/>
  <c r="AM80" i="21" s="1"/>
  <c r="AM82" i="21" s="1"/>
  <c r="AM86" i="21" s="1"/>
  <c r="AM63" i="21" s="1"/>
  <c r="AQ78" i="21"/>
  <c r="AQ80" i="21" s="1"/>
  <c r="AQ82" i="21" s="1"/>
  <c r="AQ86" i="21" s="1"/>
  <c r="AQ63" i="21" s="1"/>
  <c r="J93" i="21"/>
  <c r="AA125" i="21"/>
  <c r="AA126" i="21" s="1"/>
  <c r="AA103" i="21" s="1"/>
  <c r="AF122" i="21"/>
  <c r="AF124" i="21" s="1"/>
  <c r="AF128" i="21" s="1"/>
  <c r="AF105" i="21" s="1"/>
  <c r="AJ122" i="21"/>
  <c r="AJ124" i="21" s="1"/>
  <c r="AJ128" i="21" s="1"/>
  <c r="AJ105" i="21" s="1"/>
  <c r="AN122" i="21"/>
  <c r="AN124" i="21" s="1"/>
  <c r="AN128" i="21" s="1"/>
  <c r="AN105" i="21" s="1"/>
  <c r="T125" i="21"/>
  <c r="T126" i="21" s="1"/>
  <c r="T103" i="21" s="1"/>
  <c r="E120" i="21"/>
  <c r="E122" i="21" s="1"/>
  <c r="E124" i="21" s="1"/>
  <c r="E128" i="21" s="1"/>
  <c r="E105" i="21" s="1"/>
  <c r="E119" i="21"/>
  <c r="I119" i="21"/>
  <c r="I120" i="21" s="1"/>
  <c r="I122" i="21" s="1"/>
  <c r="I124" i="21" s="1"/>
  <c r="I128" i="21" s="1"/>
  <c r="I105" i="21" s="1"/>
  <c r="M119" i="21"/>
  <c r="M120" i="21" s="1"/>
  <c r="M122" i="21" s="1"/>
  <c r="M124" i="21" s="1"/>
  <c r="M128" i="21" s="1"/>
  <c r="M105" i="21" s="1"/>
  <c r="Q119" i="21"/>
  <c r="Q120" i="21" s="1"/>
  <c r="Q122" i="21" s="1"/>
  <c r="Q124" i="21" s="1"/>
  <c r="Q128" i="21" s="1"/>
  <c r="Q105" i="21" s="1"/>
  <c r="U119" i="21"/>
  <c r="U120" i="21" s="1"/>
  <c r="U122" i="21" s="1"/>
  <c r="U124" i="21" s="1"/>
  <c r="U128" i="21" s="1"/>
  <c r="U105" i="21" s="1"/>
  <c r="Y119" i="21"/>
  <c r="Y120" i="21" s="1"/>
  <c r="Y122" i="21" s="1"/>
  <c r="Y124" i="21" s="1"/>
  <c r="Y128" i="21" s="1"/>
  <c r="Y105" i="21" s="1"/>
  <c r="AC119" i="21"/>
  <c r="AC120" i="21" s="1"/>
  <c r="AC122" i="21" s="1"/>
  <c r="AC124" i="21" s="1"/>
  <c r="AG120" i="21"/>
  <c r="AG122" i="21" s="1"/>
  <c r="AG124" i="21" s="1"/>
  <c r="AG128" i="21" s="1"/>
  <c r="AG105" i="21" s="1"/>
  <c r="AG119" i="21"/>
  <c r="AK120" i="21"/>
  <c r="AK122" i="21" s="1"/>
  <c r="AK124" i="21" s="1"/>
  <c r="AK128" i="21" s="1"/>
  <c r="AK105" i="21" s="1"/>
  <c r="AK119" i="21"/>
  <c r="AO120" i="21"/>
  <c r="AO122" i="21" s="1"/>
  <c r="AO124" i="21" s="1"/>
  <c r="AO128" i="21" s="1"/>
  <c r="AO105" i="21" s="1"/>
  <c r="AO119" i="21"/>
  <c r="J135" i="21"/>
  <c r="G204" i="21"/>
  <c r="G206" i="21" s="1"/>
  <c r="G208" i="21" s="1"/>
  <c r="G212" i="21" s="1"/>
  <c r="G189" i="21" s="1"/>
  <c r="M204" i="21"/>
  <c r="M206" i="21" s="1"/>
  <c r="M208" i="21" s="1"/>
  <c r="M212" i="21" s="1"/>
  <c r="M189" i="21" s="1"/>
  <c r="R206" i="21"/>
  <c r="R208" i="21" s="1"/>
  <c r="R212" i="21" s="1"/>
  <c r="R189" i="21" s="1"/>
  <c r="W204" i="21"/>
  <c r="W206" i="21" s="1"/>
  <c r="W208" i="21" s="1"/>
  <c r="W212" i="21" s="1"/>
  <c r="W189" i="21" s="1"/>
  <c r="AC204" i="21"/>
  <c r="AC206" i="21" s="1"/>
  <c r="AC208" i="21" s="1"/>
  <c r="AC212" i="21" s="1"/>
  <c r="AC189" i="21" s="1"/>
  <c r="AH206" i="21"/>
  <c r="AH208" i="21" s="1"/>
  <c r="AH212" i="21" s="1"/>
  <c r="AH189" i="21" s="1"/>
  <c r="AM204" i="21"/>
  <c r="AM206" i="21" s="1"/>
  <c r="AM208" i="21" s="1"/>
  <c r="AM212" i="21" s="1"/>
  <c r="AM189" i="21" s="1"/>
  <c r="AN211" i="21"/>
  <c r="AN188" i="21" s="1"/>
  <c r="G162" i="21"/>
  <c r="G164" i="21" s="1"/>
  <c r="G166" i="21" s="1"/>
  <c r="K162" i="21"/>
  <c r="K164" i="21" s="1"/>
  <c r="K166" i="21" s="1"/>
  <c r="O162" i="21"/>
  <c r="O164" i="21" s="1"/>
  <c r="O166" i="21" s="1"/>
  <c r="S162" i="21"/>
  <c r="S164" i="21" s="1"/>
  <c r="S166" i="21" s="1"/>
  <c r="W162" i="21"/>
  <c r="W164" i="21" s="1"/>
  <c r="W166" i="21" s="1"/>
  <c r="AA162" i="21"/>
  <c r="AA164" i="21" s="1"/>
  <c r="AA166" i="21" s="1"/>
  <c r="AE162" i="21"/>
  <c r="AE164" i="21" s="1"/>
  <c r="AE166" i="21" s="1"/>
  <c r="AI162" i="21"/>
  <c r="AI164" i="21" s="1"/>
  <c r="AI166" i="21" s="1"/>
  <c r="AM162" i="21"/>
  <c r="AM164" i="21" s="1"/>
  <c r="AM166" i="21" s="1"/>
  <c r="AM170" i="21" s="1"/>
  <c r="AM147" i="21" s="1"/>
  <c r="AQ162" i="21"/>
  <c r="AQ164" i="21" s="1"/>
  <c r="AQ166" i="21" s="1"/>
  <c r="AQ170" i="21" s="1"/>
  <c r="AQ147" i="21" s="1"/>
  <c r="O204" i="21"/>
  <c r="O206" i="21" s="1"/>
  <c r="O208" i="21" s="1"/>
  <c r="O212" i="21" s="1"/>
  <c r="O189" i="21" s="1"/>
  <c r="Z206" i="21"/>
  <c r="Z208" i="21" s="1"/>
  <c r="Z212" i="21" s="1"/>
  <c r="Z189" i="21" s="1"/>
  <c r="AE204" i="21"/>
  <c r="AE206" i="21" s="1"/>
  <c r="AE208" i="21" s="1"/>
  <c r="AE212" i="21" s="1"/>
  <c r="AE189" i="21" s="1"/>
  <c r="AP206" i="21"/>
  <c r="AP208" i="21" s="1"/>
  <c r="AP212" i="21" s="1"/>
  <c r="AP189" i="21" s="1"/>
  <c r="AL295" i="21"/>
  <c r="AL272" i="21" s="1"/>
  <c r="J177" i="21"/>
  <c r="K204" i="21"/>
  <c r="K206" i="21" s="1"/>
  <c r="K208" i="21" s="1"/>
  <c r="K212" i="21" s="1"/>
  <c r="K189" i="21" s="1"/>
  <c r="Q204" i="21"/>
  <c r="Q206" i="21" s="1"/>
  <c r="Q208" i="21" s="1"/>
  <c r="Q212" i="21" s="1"/>
  <c r="Q189" i="21" s="1"/>
  <c r="V206" i="21"/>
  <c r="V208" i="21" s="1"/>
  <c r="V212" i="21" s="1"/>
  <c r="V189" i="21" s="1"/>
  <c r="AA204" i="21"/>
  <c r="AA206" i="21" s="1"/>
  <c r="AA208" i="21" s="1"/>
  <c r="AA212" i="21" s="1"/>
  <c r="AA189" i="21" s="1"/>
  <c r="AG204" i="21"/>
  <c r="AG206" i="21" s="1"/>
  <c r="AG208" i="21" s="1"/>
  <c r="AG212" i="21" s="1"/>
  <c r="AG189" i="21" s="1"/>
  <c r="AL206" i="21"/>
  <c r="AL208" i="21" s="1"/>
  <c r="AL212" i="21" s="1"/>
  <c r="AL189" i="21" s="1"/>
  <c r="AQ204" i="21"/>
  <c r="AQ206" i="21" s="1"/>
  <c r="AQ208" i="21" s="1"/>
  <c r="AQ212" i="21" s="1"/>
  <c r="AQ189" i="21" s="1"/>
  <c r="AJ211" i="21"/>
  <c r="AJ188" i="21" s="1"/>
  <c r="AQ253" i="21"/>
  <c r="AQ230" i="21" s="1"/>
  <c r="R245" i="21"/>
  <c r="R246" i="21" s="1"/>
  <c r="R248" i="21" s="1"/>
  <c r="R250" i="21" s="1"/>
  <c r="R254" i="21" s="1"/>
  <c r="AH245" i="21"/>
  <c r="AH246" i="21" s="1"/>
  <c r="AH248" i="21" s="1"/>
  <c r="AH250" i="21" s="1"/>
  <c r="AH254" i="21" s="1"/>
  <c r="E246" i="21"/>
  <c r="E248" i="21" s="1"/>
  <c r="E250" i="21" s="1"/>
  <c r="E254" i="21" s="1"/>
  <c r="E231" i="21" s="1"/>
  <c r="U246" i="21"/>
  <c r="U248" i="21" s="1"/>
  <c r="U250" i="21" s="1"/>
  <c r="U254" i="21" s="1"/>
  <c r="U231" i="21" s="1"/>
  <c r="AK246" i="21"/>
  <c r="AK248" i="21" s="1"/>
  <c r="AK250" i="21" s="1"/>
  <c r="AK254" i="21" s="1"/>
  <c r="AK231" i="21" s="1"/>
  <c r="I287" i="21"/>
  <c r="I288" i="21" s="1"/>
  <c r="I290" i="21" s="1"/>
  <c r="I292" i="21" s="1"/>
  <c r="I296" i="21" s="1"/>
  <c r="I273" i="21" s="1"/>
  <c r="N287" i="21"/>
  <c r="N288" i="21" s="1"/>
  <c r="N290" i="21" s="1"/>
  <c r="N292" i="21" s="1"/>
  <c r="Y287" i="21"/>
  <c r="Y288" i="21" s="1"/>
  <c r="Y290" i="21" s="1"/>
  <c r="Y292" i="21" s="1"/>
  <c r="Y296" i="21" s="1"/>
  <c r="Y273" i="21" s="1"/>
  <c r="N245" i="21"/>
  <c r="N246" i="21" s="1"/>
  <c r="N248" i="21" s="1"/>
  <c r="N250" i="21" s="1"/>
  <c r="N254" i="21" s="1"/>
  <c r="N231" i="21" s="1"/>
  <c r="AD245" i="21"/>
  <c r="AD246" i="21" s="1"/>
  <c r="AD248" i="21" s="1"/>
  <c r="AD250" i="21" s="1"/>
  <c r="AD254" i="21" s="1"/>
  <c r="AD231" i="21" s="1"/>
  <c r="E287" i="21"/>
  <c r="E288" i="21" s="1"/>
  <c r="E290" i="21" s="1"/>
  <c r="E292" i="21" s="1"/>
  <c r="E296" i="21" s="1"/>
  <c r="J287" i="21"/>
  <c r="J288" i="21" s="1"/>
  <c r="J290" i="21" s="1"/>
  <c r="J292" i="21" s="1"/>
  <c r="J296" i="21" s="1"/>
  <c r="U287" i="21"/>
  <c r="U288" i="21" s="1"/>
  <c r="U290" i="21" s="1"/>
  <c r="U292" i="21" s="1"/>
  <c r="U296" i="21" s="1"/>
  <c r="Z287" i="21"/>
  <c r="Z288" i="21" s="1"/>
  <c r="Z290" i="21" s="1"/>
  <c r="Z292" i="21" s="1"/>
  <c r="Z296" i="21" s="1"/>
  <c r="H288" i="21"/>
  <c r="H290" i="21" s="1"/>
  <c r="H292" i="21" s="1"/>
  <c r="H296" i="21" s="1"/>
  <c r="H273" i="21" s="1"/>
  <c r="P288" i="21"/>
  <c r="P290" i="21" s="1"/>
  <c r="P292" i="21" s="1"/>
  <c r="P296" i="21" s="1"/>
  <c r="P273" i="21" s="1"/>
  <c r="X288" i="21"/>
  <c r="X290" i="21" s="1"/>
  <c r="X292" i="21" s="1"/>
  <c r="X296" i="21" s="1"/>
  <c r="X273" i="21" s="1"/>
  <c r="AF288" i="21"/>
  <c r="AF290" i="21" s="1"/>
  <c r="AF292" i="21" s="1"/>
  <c r="AF296" i="21" s="1"/>
  <c r="AF273" i="21" s="1"/>
  <c r="AN288" i="21"/>
  <c r="AN290" i="21" s="1"/>
  <c r="AN292" i="21" s="1"/>
  <c r="AN296" i="21" s="1"/>
  <c r="AN273" i="21" s="1"/>
  <c r="E337" i="21"/>
  <c r="E314" i="21" s="1"/>
  <c r="E339" i="21"/>
  <c r="E316" i="21" s="1"/>
  <c r="AK337" i="21"/>
  <c r="AK314" i="21" s="1"/>
  <c r="AK339" i="21"/>
  <c r="AK316" i="21" s="1"/>
  <c r="AO339" i="21"/>
  <c r="AO316" i="21" s="1"/>
  <c r="J219" i="21"/>
  <c r="J245" i="21"/>
  <c r="J246" i="21" s="1"/>
  <c r="J248" i="21" s="1"/>
  <c r="J250" i="21" s="1"/>
  <c r="J254" i="21" s="1"/>
  <c r="Z245" i="21"/>
  <c r="Z246" i="21" s="1"/>
  <c r="Z248" i="21" s="1"/>
  <c r="Z250" i="21" s="1"/>
  <c r="Z254" i="21" s="1"/>
  <c r="AP245" i="21"/>
  <c r="M246" i="21"/>
  <c r="M248" i="21" s="1"/>
  <c r="M250" i="21" s="1"/>
  <c r="M254" i="21" s="1"/>
  <c r="M231" i="21" s="1"/>
  <c r="AC246" i="21"/>
  <c r="AC248" i="21" s="1"/>
  <c r="AC250" i="21" s="1"/>
  <c r="AC254" i="21" s="1"/>
  <c r="AC231" i="21" s="1"/>
  <c r="AN248" i="21"/>
  <c r="AN250" i="21" s="1"/>
  <c r="AN254" i="21" s="1"/>
  <c r="AN231" i="21" s="1"/>
  <c r="AG287" i="21"/>
  <c r="AG288" i="21"/>
  <c r="AG290" i="21" s="1"/>
  <c r="AG292" i="21" s="1"/>
  <c r="AG296" i="21" s="1"/>
  <c r="AG273" i="21" s="1"/>
  <c r="AK287" i="21"/>
  <c r="AK288" i="21"/>
  <c r="AK290" i="21" s="1"/>
  <c r="AK292" i="21" s="1"/>
  <c r="AK296" i="21" s="1"/>
  <c r="AK273" i="21" s="1"/>
  <c r="AO287" i="21"/>
  <c r="AO288" i="21"/>
  <c r="AO290" i="21" s="1"/>
  <c r="AO292" i="21" s="1"/>
  <c r="AO296" i="21" s="1"/>
  <c r="AO273" i="21" s="1"/>
  <c r="Q287" i="21"/>
  <c r="Q288" i="21" s="1"/>
  <c r="Q290" i="21" s="1"/>
  <c r="Q292" i="21" s="1"/>
  <c r="Q296" i="21" s="1"/>
  <c r="J303" i="21"/>
  <c r="F245" i="21"/>
  <c r="F246" i="21" s="1"/>
  <c r="F248" i="21" s="1"/>
  <c r="F250" i="21" s="1"/>
  <c r="F254" i="21" s="1"/>
  <c r="V245" i="21"/>
  <c r="V246" i="21" s="1"/>
  <c r="V248" i="21" s="1"/>
  <c r="V250" i="21" s="1"/>
  <c r="V254" i="21" s="1"/>
  <c r="V231" i="21" s="1"/>
  <c r="AL245" i="21"/>
  <c r="M287" i="21"/>
  <c r="M288" i="21" s="1"/>
  <c r="M290" i="21" s="1"/>
  <c r="M292" i="21" s="1"/>
  <c r="R287" i="21"/>
  <c r="R288" i="21" s="1"/>
  <c r="R290" i="21" s="1"/>
  <c r="R292" i="21" s="1"/>
  <c r="AC287" i="21"/>
  <c r="AC288" i="21" s="1"/>
  <c r="AC290" i="21" s="1"/>
  <c r="AC292" i="21" s="1"/>
  <c r="AC296" i="21" s="1"/>
  <c r="L288" i="21"/>
  <c r="L290" i="21" s="1"/>
  <c r="L292" i="21" s="1"/>
  <c r="T288" i="21"/>
  <c r="T290" i="21" s="1"/>
  <c r="T292" i="21" s="1"/>
  <c r="T296" i="21" s="1"/>
  <c r="T273" i="21" s="1"/>
  <c r="AB288" i="21"/>
  <c r="AB290" i="21" s="1"/>
  <c r="AB292" i="21" s="1"/>
  <c r="AB296" i="21" s="1"/>
  <c r="AB273" i="21" s="1"/>
  <c r="AJ288" i="21"/>
  <c r="AJ290" i="21" s="1"/>
  <c r="AJ292" i="21" s="1"/>
  <c r="AJ296" i="21" s="1"/>
  <c r="AJ273" i="21" s="1"/>
  <c r="Q329" i="21"/>
  <c r="Q330" i="21" s="1"/>
  <c r="Q332" i="21" s="1"/>
  <c r="Q334" i="21" s="1"/>
  <c r="Q338" i="21" s="1"/>
  <c r="Q315" i="21" s="1"/>
  <c r="AG329" i="21"/>
  <c r="M329" i="21"/>
  <c r="M330" i="21" s="1"/>
  <c r="M332" i="21" s="1"/>
  <c r="M334" i="21" s="1"/>
  <c r="M338" i="21" s="1"/>
  <c r="AC329" i="21"/>
  <c r="AC330" i="21" s="1"/>
  <c r="AC332" i="21" s="1"/>
  <c r="AC334" i="21" s="1"/>
  <c r="AC338" i="21" s="1"/>
  <c r="AC315" i="21" s="1"/>
  <c r="P330" i="21"/>
  <c r="P332" i="21" s="1"/>
  <c r="P334" i="21" s="1"/>
  <c r="P338" i="21" s="1"/>
  <c r="P315" i="21" s="1"/>
  <c r="AA332" i="21"/>
  <c r="AA334" i="21" s="1"/>
  <c r="AA338" i="21" s="1"/>
  <c r="AA315" i="21" s="1"/>
  <c r="AF330" i="21"/>
  <c r="AF332" i="21" s="1"/>
  <c r="AF334" i="21" s="1"/>
  <c r="AF338" i="21" s="1"/>
  <c r="AF315" i="21" s="1"/>
  <c r="AQ332" i="21"/>
  <c r="AQ334" i="21" s="1"/>
  <c r="AQ338" i="21" s="1"/>
  <c r="AQ315" i="21" s="1"/>
  <c r="I329" i="21"/>
  <c r="I330" i="21" s="1"/>
  <c r="I332" i="21" s="1"/>
  <c r="I334" i="21" s="1"/>
  <c r="I338" i="21" s="1"/>
  <c r="I315" i="21" s="1"/>
  <c r="Y329" i="21"/>
  <c r="Y330" i="21" s="1"/>
  <c r="Y332" i="21" s="1"/>
  <c r="Y334" i="21" s="1"/>
  <c r="Y338" i="21" s="1"/>
  <c r="Y315" i="21" s="1"/>
  <c r="AO329" i="21"/>
  <c r="AM332" i="21"/>
  <c r="AM334" i="21" s="1"/>
  <c r="AM338" i="21" s="1"/>
  <c r="AM315" i="21" s="1"/>
  <c r="AK379" i="21"/>
  <c r="AK356" i="21" s="1"/>
  <c r="E329" i="21"/>
  <c r="U329" i="21"/>
  <c r="U330" i="21" s="1"/>
  <c r="U332" i="21" s="1"/>
  <c r="U334" i="21" s="1"/>
  <c r="U338" i="21" s="1"/>
  <c r="AK329" i="21"/>
  <c r="H330" i="21"/>
  <c r="H332" i="21" s="1"/>
  <c r="H334" i="21" s="1"/>
  <c r="H338" i="21" s="1"/>
  <c r="H315" i="21" s="1"/>
  <c r="X330" i="21"/>
  <c r="X332" i="21" s="1"/>
  <c r="X334" i="21" s="1"/>
  <c r="X338" i="21" s="1"/>
  <c r="X315" i="21" s="1"/>
  <c r="AI332" i="21"/>
  <c r="AI334" i="21" s="1"/>
  <c r="AI338" i="21" s="1"/>
  <c r="AI315" i="21" s="1"/>
  <c r="AN330" i="21"/>
  <c r="AN332" i="21" s="1"/>
  <c r="AN334" i="21" s="1"/>
  <c r="AN338" i="21" s="1"/>
  <c r="AN315" i="21" s="1"/>
  <c r="J345" i="21"/>
  <c r="AH379" i="21"/>
  <c r="AH356" i="21" s="1"/>
  <c r="AF379" i="21"/>
  <c r="AF356" i="21" s="1"/>
  <c r="AH381" i="21"/>
  <c r="AH358" i="21" s="1"/>
  <c r="G371" i="21"/>
  <c r="G372" i="21"/>
  <c r="G374" i="21" s="1"/>
  <c r="G376" i="21" s="1"/>
  <c r="G380" i="21" s="1"/>
  <c r="G357" i="21" s="1"/>
  <c r="K371" i="21"/>
  <c r="K372" i="21" s="1"/>
  <c r="K374" i="21" s="1"/>
  <c r="K376" i="21" s="1"/>
  <c r="K380" i="21" s="1"/>
  <c r="K357" i="21" s="1"/>
  <c r="O371" i="21"/>
  <c r="O372" i="21" s="1"/>
  <c r="O374" i="21" s="1"/>
  <c r="O376" i="21" s="1"/>
  <c r="O380" i="21" s="1"/>
  <c r="O357" i="21" s="1"/>
  <c r="S371" i="21"/>
  <c r="S372" i="21" s="1"/>
  <c r="S374" i="21" s="1"/>
  <c r="S376" i="21" s="1"/>
  <c r="S380" i="21" s="1"/>
  <c r="S357" i="21" s="1"/>
  <c r="W371" i="21"/>
  <c r="W372" i="21" s="1"/>
  <c r="W374" i="21" s="1"/>
  <c r="W376" i="21" s="1"/>
  <c r="W380" i="21" s="1"/>
  <c r="W357" i="21" s="1"/>
  <c r="AA371" i="21"/>
  <c r="AA372" i="21" s="1"/>
  <c r="AA374" i="21" s="1"/>
  <c r="AA376" i="21" s="1"/>
  <c r="AA380" i="21" s="1"/>
  <c r="AA357" i="21" s="1"/>
  <c r="AE371" i="21"/>
  <c r="AE372" i="21" s="1"/>
  <c r="AE374" i="21" s="1"/>
  <c r="AE376" i="21" s="1"/>
  <c r="AE380" i="21" s="1"/>
  <c r="AE357" i="21" s="1"/>
  <c r="AI371" i="21"/>
  <c r="AI372" i="21"/>
  <c r="AI374" i="21" s="1"/>
  <c r="AI376" i="21" s="1"/>
  <c r="AI380" i="21" s="1"/>
  <c r="AI357" i="21" s="1"/>
  <c r="AM371" i="21"/>
  <c r="AM372" i="21"/>
  <c r="AM374" i="21" s="1"/>
  <c r="AM376" i="21" s="1"/>
  <c r="AM380" i="21" s="1"/>
  <c r="AM357" i="21" s="1"/>
  <c r="AQ371" i="21"/>
  <c r="AQ372" i="21"/>
  <c r="AQ374" i="21" s="1"/>
  <c r="AQ376" i="21" s="1"/>
  <c r="AQ380" i="21" s="1"/>
  <c r="AQ357" i="21" s="1"/>
  <c r="AJ379" i="21"/>
  <c r="AJ356" i="21" s="1"/>
  <c r="AI417" i="21"/>
  <c r="AI398" i="21" s="1"/>
  <c r="R410" i="21"/>
  <c r="R412" i="21" s="1"/>
  <c r="R414" i="21" s="1"/>
  <c r="R399" i="21" s="1"/>
  <c r="J387" i="21"/>
  <c r="H409" i="21"/>
  <c r="H410" i="21"/>
  <c r="H412" i="21" s="1"/>
  <c r="H414" i="21" s="1"/>
  <c r="H399" i="21" s="1"/>
  <c r="L409" i="21"/>
  <c r="L410" i="21"/>
  <c r="L412" i="21" s="1"/>
  <c r="L414" i="21" s="1"/>
  <c r="L399" i="21" s="1"/>
  <c r="P409" i="21"/>
  <c r="P410" i="21"/>
  <c r="P412" i="21" s="1"/>
  <c r="P414" i="21" s="1"/>
  <c r="P399" i="21" s="1"/>
  <c r="T409" i="21"/>
  <c r="T410" i="21"/>
  <c r="T412" i="21" s="1"/>
  <c r="T414" i="21" s="1"/>
  <c r="T399" i="21" s="1"/>
  <c r="X409" i="21"/>
  <c r="X410" i="21"/>
  <c r="X412" i="21" s="1"/>
  <c r="X414" i="21" s="1"/>
  <c r="X399" i="21" s="1"/>
  <c r="AB409" i="21"/>
  <c r="AB410" i="21"/>
  <c r="AB412" i="21" s="1"/>
  <c r="AB414" i="21" s="1"/>
  <c r="AB399" i="21" s="1"/>
  <c r="AF409" i="21"/>
  <c r="AF410" i="21"/>
  <c r="AF412" i="21" s="1"/>
  <c r="AF414" i="21" s="1"/>
  <c r="AF399" i="21" s="1"/>
  <c r="AJ409" i="21"/>
  <c r="AJ410" i="21"/>
  <c r="AJ412" i="21" s="1"/>
  <c r="AJ414" i="21" s="1"/>
  <c r="AJ418" i="21" s="1"/>
  <c r="AJ399" i="21" s="1"/>
  <c r="AN410" i="21"/>
  <c r="AN412" i="21" s="1"/>
  <c r="AN414" i="21" s="1"/>
  <c r="AN418" i="21" s="1"/>
  <c r="AN399" i="21" s="1"/>
  <c r="AN409" i="21"/>
  <c r="F410" i="21"/>
  <c r="F412" i="21" s="1"/>
  <c r="F414" i="21" s="1"/>
  <c r="F399" i="21" s="1"/>
  <c r="V410" i="21"/>
  <c r="V412" i="21" s="1"/>
  <c r="V414" i="21" s="1"/>
  <c r="V399" i="21" s="1"/>
  <c r="E412" i="21"/>
  <c r="E414" i="21" s="1"/>
  <c r="E399" i="21" s="1"/>
  <c r="I412" i="21"/>
  <c r="I414" i="21" s="1"/>
  <c r="I399" i="21" s="1"/>
  <c r="M412" i="21"/>
  <c r="M414" i="21" s="1"/>
  <c r="M399" i="21" s="1"/>
  <c r="Q412" i="21"/>
  <c r="Q414" i="21" s="1"/>
  <c r="Q399" i="21" s="1"/>
  <c r="U412" i="21"/>
  <c r="U414" i="21" s="1"/>
  <c r="U399" i="21" s="1"/>
  <c r="Y412" i="21"/>
  <c r="Y414" i="21" s="1"/>
  <c r="Y399" i="21" s="1"/>
  <c r="AC412" i="21"/>
  <c r="AC414" i="21" s="1"/>
  <c r="AC399" i="21" s="1"/>
  <c r="AG412" i="21"/>
  <c r="AG414" i="21" s="1"/>
  <c r="AG399" i="21" s="1"/>
  <c r="AK412" i="21"/>
  <c r="AK414" i="21" s="1"/>
  <c r="AK418" i="21" s="1"/>
  <c r="AK399" i="21" s="1"/>
  <c r="J410" i="21"/>
  <c r="J412" i="21" s="1"/>
  <c r="J414" i="21" s="1"/>
  <c r="J399" i="21" s="1"/>
  <c r="Z410" i="21"/>
  <c r="Z412" i="21" s="1"/>
  <c r="Z414" i="21" s="1"/>
  <c r="Z399" i="21" s="1"/>
  <c r="AE400" i="21"/>
  <c r="N410" i="21"/>
  <c r="N412" i="21" s="1"/>
  <c r="N414" i="21" s="1"/>
  <c r="N399" i="21" s="1"/>
  <c r="AD410" i="21"/>
  <c r="AD412" i="21" s="1"/>
  <c r="AD414" i="21" s="1"/>
  <c r="AD399" i="21" s="1"/>
  <c r="AM419" i="21"/>
  <c r="AM400" i="21" s="1"/>
  <c r="AO412" i="21"/>
  <c r="AO414" i="21" s="1"/>
  <c r="AO418" i="21" s="1"/>
  <c r="AO399" i="21" s="1"/>
  <c r="AP410" i="21"/>
  <c r="AP412" i="21" s="1"/>
  <c r="AP414" i="21" s="1"/>
  <c r="AP418" i="21" s="1"/>
  <c r="AP399" i="21" s="1"/>
  <c r="J425" i="21"/>
  <c r="T455" i="21"/>
  <c r="T436" i="21" s="1"/>
  <c r="T438" i="21"/>
  <c r="AB455" i="21"/>
  <c r="AB436" i="21" s="1"/>
  <c r="AB438" i="21"/>
  <c r="AJ455" i="21"/>
  <c r="AJ436" i="21" s="1"/>
  <c r="AJ438" i="21"/>
  <c r="N438" i="21"/>
  <c r="N455" i="21"/>
  <c r="N436" i="21" s="1"/>
  <c r="AE438" i="21"/>
  <c r="AE455" i="21"/>
  <c r="AE436" i="21" s="1"/>
  <c r="J438" i="21"/>
  <c r="J455" i="21"/>
  <c r="J436" i="21" s="1"/>
  <c r="R438" i="21"/>
  <c r="R455" i="21"/>
  <c r="R436" i="21" s="1"/>
  <c r="Z438" i="21"/>
  <c r="Z455" i="21"/>
  <c r="Z436" i="21" s="1"/>
  <c r="AH438" i="21"/>
  <c r="AH455" i="21"/>
  <c r="AH436" i="21" s="1"/>
  <c r="AP457" i="21"/>
  <c r="AP438" i="21" s="1"/>
  <c r="AP455" i="21"/>
  <c r="AP436" i="21" s="1"/>
  <c r="G455" i="21"/>
  <c r="G436" i="21" s="1"/>
  <c r="W438" i="21"/>
  <c r="W455" i="21"/>
  <c r="W436" i="21" s="1"/>
  <c r="AM455" i="21"/>
  <c r="AM436" i="21" s="1"/>
  <c r="V438" i="21"/>
  <c r="V455" i="21"/>
  <c r="V436" i="21" s="1"/>
  <c r="AD438" i="21"/>
  <c r="K438" i="21"/>
  <c r="K455" i="21"/>
  <c r="K436" i="21" s="1"/>
  <c r="S455" i="21"/>
  <c r="S436" i="21" s="1"/>
  <c r="AI438" i="21"/>
  <c r="AI455" i="21"/>
  <c r="AI436" i="21" s="1"/>
  <c r="AQ457" i="21"/>
  <c r="AQ438" i="21" s="1"/>
  <c r="AQ455" i="21"/>
  <c r="AQ436" i="21" s="1"/>
  <c r="F438" i="21"/>
  <c r="F455" i="21"/>
  <c r="F436" i="21" s="1"/>
  <c r="AL438" i="21"/>
  <c r="AL455" i="21"/>
  <c r="AL436" i="21" s="1"/>
  <c r="O438" i="21"/>
  <c r="O455" i="21"/>
  <c r="O436" i="21" s="1"/>
  <c r="F447" i="21"/>
  <c r="N447" i="21"/>
  <c r="V447" i="21"/>
  <c r="AD447" i="21"/>
  <c r="AL447" i="21"/>
  <c r="E447" i="21"/>
  <c r="E448" i="21"/>
  <c r="E450" i="21" s="1"/>
  <c r="E452" i="21" s="1"/>
  <c r="E437" i="21" s="1"/>
  <c r="I447" i="21"/>
  <c r="I448" i="21"/>
  <c r="I450" i="21" s="1"/>
  <c r="I452" i="21" s="1"/>
  <c r="I437" i="21" s="1"/>
  <c r="M447" i="21"/>
  <c r="M448" i="21"/>
  <c r="M450" i="21" s="1"/>
  <c r="M452" i="21" s="1"/>
  <c r="M437" i="21" s="1"/>
  <c r="Q447" i="21"/>
  <c r="Q448" i="21"/>
  <c r="Q450" i="21" s="1"/>
  <c r="Q452" i="21" s="1"/>
  <c r="Q437" i="21" s="1"/>
  <c r="U447" i="21"/>
  <c r="U448" i="21"/>
  <c r="U450" i="21" s="1"/>
  <c r="U452" i="21" s="1"/>
  <c r="U437" i="21" s="1"/>
  <c r="Y447" i="21"/>
  <c r="Y448" i="21"/>
  <c r="Y450" i="21" s="1"/>
  <c r="Y452" i="21" s="1"/>
  <c r="Y437" i="21" s="1"/>
  <c r="AC447" i="21"/>
  <c r="AC448" i="21"/>
  <c r="AC450" i="21" s="1"/>
  <c r="AC452" i="21" s="1"/>
  <c r="AC437" i="21" s="1"/>
  <c r="AG447" i="21"/>
  <c r="AG448" i="21"/>
  <c r="AG450" i="21" s="1"/>
  <c r="AG452" i="21" s="1"/>
  <c r="AG437" i="21" s="1"/>
  <c r="AK447" i="21"/>
  <c r="AK448" i="21"/>
  <c r="AK450" i="21" s="1"/>
  <c r="AK452" i="21" s="1"/>
  <c r="AK437" i="21" s="1"/>
  <c r="AO447" i="21"/>
  <c r="AO448" i="21"/>
  <c r="AO450" i="21" s="1"/>
  <c r="AO452" i="21" s="1"/>
  <c r="AO456" i="21" s="1"/>
  <c r="AO437" i="21" s="1"/>
  <c r="H450" i="21"/>
  <c r="H452" i="21" s="1"/>
  <c r="H437" i="21" s="1"/>
  <c r="P450" i="21"/>
  <c r="P452" i="21" s="1"/>
  <c r="P437" i="21" s="1"/>
  <c r="X450" i="21"/>
  <c r="X452" i="21" s="1"/>
  <c r="X437" i="21" s="1"/>
  <c r="AF450" i="21"/>
  <c r="AF452" i="21" s="1"/>
  <c r="AF437" i="21" s="1"/>
  <c r="AN450" i="21"/>
  <c r="AN452" i="21" s="1"/>
  <c r="AN456" i="21" s="1"/>
  <c r="AN437" i="21" s="1"/>
  <c r="J447" i="21"/>
  <c r="R447" i="21"/>
  <c r="Z447" i="21"/>
  <c r="AH447" i="21"/>
  <c r="AP447" i="21"/>
  <c r="J83" i="21" l="1"/>
  <c r="J84" i="21" s="1"/>
  <c r="J61" i="21" s="1"/>
  <c r="AH83" i="21"/>
  <c r="AH84" i="21" s="1"/>
  <c r="AH61" i="21" s="1"/>
  <c r="AJ83" i="21"/>
  <c r="AJ84" i="21" s="1"/>
  <c r="AJ61" i="21" s="1"/>
  <c r="AO85" i="21"/>
  <c r="AO62" i="21" s="1"/>
  <c r="AK83" i="21"/>
  <c r="AK84" i="21" s="1"/>
  <c r="AK61" i="21" s="1"/>
  <c r="AI253" i="21"/>
  <c r="AI230" i="21" s="1"/>
  <c r="AI255" i="21"/>
  <c r="AI232" i="21" s="1"/>
  <c r="M377" i="21"/>
  <c r="M378" i="21" s="1"/>
  <c r="M355" i="21" s="1"/>
  <c r="Q377" i="21"/>
  <c r="Q378" i="21" s="1"/>
  <c r="Q355" i="21" s="1"/>
  <c r="V377" i="21"/>
  <c r="V378" i="21" s="1"/>
  <c r="V355" i="21" s="1"/>
  <c r="O377" i="21"/>
  <c r="O378" i="21" s="1"/>
  <c r="O355" i="21" s="1"/>
  <c r="F377" i="21"/>
  <c r="F378" i="21" s="1"/>
  <c r="F355" i="21" s="1"/>
  <c r="AC377" i="21"/>
  <c r="AC378" i="21" s="1"/>
  <c r="X377" i="21"/>
  <c r="X378" i="21" s="1"/>
  <c r="X355" i="21" s="1"/>
  <c r="G377" i="21"/>
  <c r="G378" i="21" s="1"/>
  <c r="G355" i="21" s="1"/>
  <c r="W335" i="21"/>
  <c r="W336" i="21" s="1"/>
  <c r="W313" i="21" s="1"/>
  <c r="G335" i="21"/>
  <c r="G336" i="21" s="1"/>
  <c r="G313" i="21" s="1"/>
  <c r="M335" i="21"/>
  <c r="M336" i="21" s="1"/>
  <c r="M313" i="21" s="1"/>
  <c r="F335" i="21"/>
  <c r="F336" i="21" s="1"/>
  <c r="F313" i="21" s="1"/>
  <c r="N335" i="21"/>
  <c r="N336" i="21" s="1"/>
  <c r="N313" i="21" s="1"/>
  <c r="K335" i="21"/>
  <c r="K336" i="21" s="1"/>
  <c r="K313" i="21" s="1"/>
  <c r="Q335" i="21"/>
  <c r="Q336" i="21" s="1"/>
  <c r="Q313" i="21" s="1"/>
  <c r="AC293" i="21"/>
  <c r="AC294" i="21" s="1"/>
  <c r="AC271" i="21" s="1"/>
  <c r="AD293" i="21"/>
  <c r="AD294" i="21" s="1"/>
  <c r="AD271" i="21" s="1"/>
  <c r="V251" i="21"/>
  <c r="V252" i="21" s="1"/>
  <c r="V229" i="21" s="1"/>
  <c r="F251" i="21"/>
  <c r="F252" i="21" s="1"/>
  <c r="F229" i="21" s="1"/>
  <c r="H209" i="21"/>
  <c r="H210" i="21" s="1"/>
  <c r="H187" i="21" s="1"/>
  <c r="G209" i="21"/>
  <c r="G210" i="21" s="1"/>
  <c r="G187" i="21" s="1"/>
  <c r="AE209" i="21"/>
  <c r="AE210" i="21" s="1"/>
  <c r="AE187" i="21" s="1"/>
  <c r="F209" i="21"/>
  <c r="F210" i="21" s="1"/>
  <c r="F187" i="21" s="1"/>
  <c r="I209" i="21"/>
  <c r="I210" i="21" s="1"/>
  <c r="I187" i="21" s="1"/>
  <c r="K209" i="21"/>
  <c r="K210" i="21" s="1"/>
  <c r="K187" i="21" s="1"/>
  <c r="AL171" i="21"/>
  <c r="AL148" i="21" s="1"/>
  <c r="AN171" i="21"/>
  <c r="AN148" i="21" s="1"/>
  <c r="I213" i="21"/>
  <c r="I190" i="21" s="1"/>
  <c r="AB377" i="21"/>
  <c r="AB378" i="21" s="1"/>
  <c r="AB355" i="21" s="1"/>
  <c r="AE315" i="21"/>
  <c r="AD335" i="21"/>
  <c r="AD336" i="21" s="1"/>
  <c r="AD313" i="21" s="1"/>
  <c r="AE335" i="21"/>
  <c r="AE336" i="21" s="1"/>
  <c r="AE313" i="21" s="1"/>
  <c r="AA335" i="21"/>
  <c r="AA336" i="21" s="1"/>
  <c r="AA313" i="21" s="1"/>
  <c r="AB335" i="21"/>
  <c r="AB336" i="21" s="1"/>
  <c r="AB313" i="21" s="1"/>
  <c r="AC335" i="21"/>
  <c r="AC336" i="21" s="1"/>
  <c r="AC313" i="21" s="1"/>
  <c r="Y293" i="21"/>
  <c r="Y294" i="21" s="1"/>
  <c r="Y271" i="21" s="1"/>
  <c r="AD125" i="21"/>
  <c r="AD126" i="21" s="1"/>
  <c r="AD103" i="21" s="1"/>
  <c r="AF189" i="21"/>
  <c r="AF211" i="21"/>
  <c r="AF188" i="21" s="1"/>
  <c r="AF83" i="21"/>
  <c r="AF84" i="21" s="1"/>
  <c r="AF61" i="21" s="1"/>
  <c r="AE83" i="21"/>
  <c r="AE84" i="21" s="1"/>
  <c r="AE61" i="21" s="1"/>
  <c r="AB83" i="21"/>
  <c r="AB84" i="21" s="1"/>
  <c r="AB61" i="21" s="1"/>
  <c r="AK211" i="21"/>
  <c r="AK188" i="21" s="1"/>
  <c r="AO379" i="21"/>
  <c r="AO356" i="21" s="1"/>
  <c r="AI295" i="21"/>
  <c r="AI272" i="21" s="1"/>
  <c r="AO253" i="21"/>
  <c r="AO230" i="21" s="1"/>
  <c r="AL127" i="21"/>
  <c r="AL104" i="21" s="1"/>
  <c r="AL339" i="21"/>
  <c r="AL316" i="21" s="1"/>
  <c r="AN169" i="21"/>
  <c r="AN146" i="21" s="1"/>
  <c r="L296" i="21"/>
  <c r="L273" i="21" s="1"/>
  <c r="O296" i="21"/>
  <c r="O273" i="21" s="1"/>
  <c r="R296" i="21"/>
  <c r="N296" i="21"/>
  <c r="M296" i="21"/>
  <c r="M297" i="21" s="1"/>
  <c r="M274" i="21" s="1"/>
  <c r="AL297" i="21"/>
  <c r="AL274" i="21" s="1"/>
  <c r="AJ339" i="21"/>
  <c r="AJ316" i="21" s="1"/>
  <c r="AP297" i="21"/>
  <c r="AP274" i="21" s="1"/>
  <c r="R209" i="21"/>
  <c r="R210" i="21" s="1"/>
  <c r="R187" i="21" s="1"/>
  <c r="Y209" i="21"/>
  <c r="Y210" i="21" s="1"/>
  <c r="Y187" i="21" s="1"/>
  <c r="AP295" i="21"/>
  <c r="AP272" i="21" s="1"/>
  <c r="AB209" i="21"/>
  <c r="AB210" i="21" s="1"/>
  <c r="AB187" i="21" s="1"/>
  <c r="AH251" i="21"/>
  <c r="AH252" i="21" s="1"/>
  <c r="AH229" i="21" s="1"/>
  <c r="S209" i="21"/>
  <c r="S210" i="21" s="1"/>
  <c r="S187" i="21" s="1"/>
  <c r="AB293" i="21"/>
  <c r="AB294" i="21" s="1"/>
  <c r="AB271" i="21" s="1"/>
  <c r="AC251" i="21"/>
  <c r="AC252" i="21" s="1"/>
  <c r="AC229" i="21" s="1"/>
  <c r="X293" i="21"/>
  <c r="X294" i="21" s="1"/>
  <c r="X271" i="21" s="1"/>
  <c r="AB251" i="21"/>
  <c r="AB252" i="21" s="1"/>
  <c r="AB229" i="21" s="1"/>
  <c r="G293" i="21"/>
  <c r="G294" i="21" s="1"/>
  <c r="G271" i="21" s="1"/>
  <c r="W209" i="21"/>
  <c r="W210" i="21" s="1"/>
  <c r="W187" i="21" s="1"/>
  <c r="V209" i="21"/>
  <c r="V210" i="21" s="1"/>
  <c r="V187" i="21" s="1"/>
  <c r="AC209" i="21"/>
  <c r="AC210" i="21" s="1"/>
  <c r="AC187" i="21" s="1"/>
  <c r="M209" i="21"/>
  <c r="M210" i="21" s="1"/>
  <c r="M187" i="21" s="1"/>
  <c r="P209" i="21"/>
  <c r="P210" i="21" s="1"/>
  <c r="P187" i="21" s="1"/>
  <c r="Q251" i="21"/>
  <c r="Q252" i="21" s="1"/>
  <c r="Q229" i="21" s="1"/>
  <c r="S251" i="21"/>
  <c r="S252" i="21" s="1"/>
  <c r="S229" i="21" s="1"/>
  <c r="K293" i="21"/>
  <c r="K294" i="21" s="1"/>
  <c r="K271" i="21" s="1"/>
  <c r="F293" i="21"/>
  <c r="F294" i="21" s="1"/>
  <c r="F271" i="21" s="1"/>
  <c r="E293" i="21"/>
  <c r="E294" i="21" s="1"/>
  <c r="E271" i="21" s="1"/>
  <c r="J335" i="21"/>
  <c r="J336" i="21" s="1"/>
  <c r="J313" i="21" s="1"/>
  <c r="X335" i="21"/>
  <c r="X336" i="21" s="1"/>
  <c r="X313" i="21" s="1"/>
  <c r="L209" i="21"/>
  <c r="L210" i="21" s="1"/>
  <c r="L187" i="21" s="1"/>
  <c r="U335" i="21"/>
  <c r="U336" i="21" s="1"/>
  <c r="U313" i="21" s="1"/>
  <c r="L335" i="21"/>
  <c r="L336" i="21" s="1"/>
  <c r="L313" i="21" s="1"/>
  <c r="AK169" i="21"/>
  <c r="AK146" i="21" s="1"/>
  <c r="O209" i="21"/>
  <c r="O210" i="21" s="1"/>
  <c r="O187" i="21" s="1"/>
  <c r="N209" i="21"/>
  <c r="N210" i="21" s="1"/>
  <c r="N187" i="21" s="1"/>
  <c r="U209" i="21"/>
  <c r="U210" i="21" s="1"/>
  <c r="U187" i="21" s="1"/>
  <c r="X209" i="21"/>
  <c r="X210" i="21" s="1"/>
  <c r="X187" i="21" s="1"/>
  <c r="X251" i="21"/>
  <c r="X252" i="21" s="1"/>
  <c r="X229" i="21" s="1"/>
  <c r="AD251" i="21"/>
  <c r="AD252" i="21" s="1"/>
  <c r="AD229" i="21" s="1"/>
  <c r="P293" i="21"/>
  <c r="P294" i="21" s="1"/>
  <c r="P271" i="21" s="1"/>
  <c r="N293" i="21"/>
  <c r="N294" i="21" s="1"/>
  <c r="N271" i="21" s="1"/>
  <c r="Q293" i="21"/>
  <c r="Q294" i="21" s="1"/>
  <c r="Q271" i="21" s="1"/>
  <c r="H335" i="21"/>
  <c r="H336" i="21" s="1"/>
  <c r="H313" i="21" s="1"/>
  <c r="AA209" i="21"/>
  <c r="AA210" i="21" s="1"/>
  <c r="AA187" i="21" s="1"/>
  <c r="Z209" i="21"/>
  <c r="Z210" i="21" s="1"/>
  <c r="Z187" i="21" s="1"/>
  <c r="J209" i="21"/>
  <c r="J210" i="21" s="1"/>
  <c r="J187" i="21" s="1"/>
  <c r="Q209" i="21"/>
  <c r="Q210" i="21" s="1"/>
  <c r="Q187" i="21" s="1"/>
  <c r="W251" i="21"/>
  <c r="W252" i="21" s="1"/>
  <c r="W229" i="21" s="1"/>
  <c r="R251" i="21"/>
  <c r="R252" i="21" s="1"/>
  <c r="R229" i="21" s="1"/>
  <c r="H293" i="21"/>
  <c r="H294" i="21" s="1"/>
  <c r="H271" i="21" s="1"/>
  <c r="J293" i="21"/>
  <c r="J294" i="21" s="1"/>
  <c r="J271" i="21" s="1"/>
  <c r="R335" i="21"/>
  <c r="R336" i="21" s="1"/>
  <c r="R313" i="21" s="1"/>
  <c r="S335" i="21"/>
  <c r="S336" i="21" s="1"/>
  <c r="S313" i="21" s="1"/>
  <c r="AO87" i="21"/>
  <c r="AO64" i="21" s="1"/>
  <c r="AP379" i="21"/>
  <c r="AP356" i="21" s="1"/>
  <c r="I377" i="21"/>
  <c r="I378" i="21" s="1"/>
  <c r="I355" i="21" s="1"/>
  <c r="H377" i="21"/>
  <c r="H378" i="21" s="1"/>
  <c r="H355" i="21" s="1"/>
  <c r="AC83" i="21"/>
  <c r="AC84" i="21" s="1"/>
  <c r="AC61" i="21" s="1"/>
  <c r="AL85" i="21"/>
  <c r="AL62" i="21" s="1"/>
  <c r="AL87" i="21"/>
  <c r="AL64" i="21" s="1"/>
  <c r="AD129" i="21"/>
  <c r="AD106" i="21" s="1"/>
  <c r="AO169" i="21"/>
  <c r="AO146" i="21" s="1"/>
  <c r="AK171" i="21"/>
  <c r="AK148" i="21" s="1"/>
  <c r="AP171" i="21"/>
  <c r="AP148" i="21" s="1"/>
  <c r="AP169" i="21"/>
  <c r="AP146" i="21" s="1"/>
  <c r="L251" i="21"/>
  <c r="L252" i="21" s="1"/>
  <c r="L229" i="21" s="1"/>
  <c r="M251" i="21"/>
  <c r="M252" i="21" s="1"/>
  <c r="M229" i="21" s="1"/>
  <c r="AJ255" i="21"/>
  <c r="AJ232" i="21" s="1"/>
  <c r="AM253" i="21"/>
  <c r="AM230" i="21" s="1"/>
  <c r="AJ253" i="21"/>
  <c r="AJ230" i="21" s="1"/>
  <c r="P253" i="21"/>
  <c r="P230" i="21" s="1"/>
  <c r="K254" i="21"/>
  <c r="K231" i="21" s="1"/>
  <c r="Y251" i="21"/>
  <c r="Y252" i="21" s="1"/>
  <c r="Y229" i="21" s="1"/>
  <c r="AE251" i="21"/>
  <c r="AE252" i="21" s="1"/>
  <c r="AE229" i="21" s="1"/>
  <c r="O251" i="21"/>
  <c r="O252" i="21" s="1"/>
  <c r="O229" i="21" s="1"/>
  <c r="Z251" i="21"/>
  <c r="Z252" i="21" s="1"/>
  <c r="Z229" i="21" s="1"/>
  <c r="AM255" i="21"/>
  <c r="AM232" i="21" s="1"/>
  <c r="AL255" i="21"/>
  <c r="AL232" i="21" s="1"/>
  <c r="H254" i="21"/>
  <c r="H231" i="21" s="1"/>
  <c r="U251" i="21"/>
  <c r="U252" i="21" s="1"/>
  <c r="U229" i="21" s="1"/>
  <c r="AF251" i="21"/>
  <c r="AF252" i="21" s="1"/>
  <c r="AF229" i="21" s="1"/>
  <c r="AA251" i="21"/>
  <c r="AA252" i="21" s="1"/>
  <c r="AA229" i="21" s="1"/>
  <c r="AA271" i="21"/>
  <c r="AA297" i="21"/>
  <c r="AA274" i="21" s="1"/>
  <c r="T293" i="21"/>
  <c r="T294" i="21" s="1"/>
  <c r="T271" i="21" s="1"/>
  <c r="O293" i="21"/>
  <c r="O294" i="21" s="1"/>
  <c r="O271" i="21" s="1"/>
  <c r="Z293" i="21"/>
  <c r="Z294" i="21" s="1"/>
  <c r="Z271" i="21" s="1"/>
  <c r="U293" i="21"/>
  <c r="U294" i="21" s="1"/>
  <c r="U271" i="21" s="1"/>
  <c r="V293" i="21"/>
  <c r="V294" i="21" s="1"/>
  <c r="V271" i="21" s="1"/>
  <c r="L293" i="21"/>
  <c r="L294" i="21" s="1"/>
  <c r="L271" i="21" s="1"/>
  <c r="R293" i="21"/>
  <c r="R294" i="21" s="1"/>
  <c r="R271" i="21" s="1"/>
  <c r="AC355" i="21"/>
  <c r="AC381" i="21"/>
  <c r="AC358" i="21" s="1"/>
  <c r="AC379" i="21"/>
  <c r="AC356" i="21" s="1"/>
  <c r="Y377" i="21"/>
  <c r="Y378" i="21" s="1"/>
  <c r="P377" i="21"/>
  <c r="P378" i="21" s="1"/>
  <c r="P355" i="21" s="1"/>
  <c r="AA377" i="21"/>
  <c r="AA378" i="21" s="1"/>
  <c r="AA355" i="21" s="1"/>
  <c r="K377" i="21"/>
  <c r="K378" i="21" s="1"/>
  <c r="K355" i="21" s="1"/>
  <c r="R377" i="21"/>
  <c r="R378" i="21" s="1"/>
  <c r="R355" i="21" s="1"/>
  <c r="U377" i="21"/>
  <c r="U378" i="21" s="1"/>
  <c r="U355" i="21" s="1"/>
  <c r="L377" i="21"/>
  <c r="L378" i="21" s="1"/>
  <c r="L355" i="21" s="1"/>
  <c r="W377" i="21"/>
  <c r="W378" i="21" s="1"/>
  <c r="W355" i="21" s="1"/>
  <c r="AD377" i="21"/>
  <c r="AD378" i="21" s="1"/>
  <c r="AD355" i="21" s="1"/>
  <c r="N377" i="21"/>
  <c r="N378" i="21" s="1"/>
  <c r="N355" i="21" s="1"/>
  <c r="S377" i="21"/>
  <c r="S378" i="21" s="1"/>
  <c r="S355" i="21" s="1"/>
  <c r="Q381" i="21"/>
  <c r="Q358" i="21" s="1"/>
  <c r="V379" i="21"/>
  <c r="V356" i="21" s="1"/>
  <c r="AE377" i="21"/>
  <c r="AE378" i="21" s="1"/>
  <c r="AE355" i="21" s="1"/>
  <c r="AB315" i="21"/>
  <c r="AB337" i="21"/>
  <c r="AB314" i="21" s="1"/>
  <c r="P335" i="21"/>
  <c r="P336" i="21" s="1"/>
  <c r="P313" i="21" s="1"/>
  <c r="AL337" i="21"/>
  <c r="AL314" i="21" s="1"/>
  <c r="V335" i="21"/>
  <c r="V336" i="21" s="1"/>
  <c r="V313" i="21" s="1"/>
  <c r="Y335" i="21"/>
  <c r="Y336" i="21" s="1"/>
  <c r="Y313" i="21" s="1"/>
  <c r="O335" i="21"/>
  <c r="O336" i="21" s="1"/>
  <c r="O313" i="21" s="1"/>
  <c r="Z335" i="21"/>
  <c r="Z336" i="21" s="1"/>
  <c r="Z313" i="21" s="1"/>
  <c r="AJ337" i="21"/>
  <c r="AJ314" i="21" s="1"/>
  <c r="T335" i="21"/>
  <c r="T336" i="21" s="1"/>
  <c r="T313" i="21" s="1"/>
  <c r="AB357" i="21"/>
  <c r="X357" i="21"/>
  <c r="X379" i="21"/>
  <c r="X356" i="21" s="1"/>
  <c r="L357" i="21"/>
  <c r="Z357" i="21"/>
  <c r="Z381" i="21"/>
  <c r="Z358" i="21" s="1"/>
  <c r="Z379" i="21"/>
  <c r="Z356" i="21" s="1"/>
  <c r="K295" i="21"/>
  <c r="K272" i="21" s="1"/>
  <c r="K297" i="21"/>
  <c r="K274" i="21" s="1"/>
  <c r="W297" i="21"/>
  <c r="W274" i="21" s="1"/>
  <c r="N315" i="21"/>
  <c r="N339" i="21"/>
  <c r="N316" i="21" s="1"/>
  <c r="F315" i="21"/>
  <c r="F339" i="21"/>
  <c r="F316" i="21" s="1"/>
  <c r="F337" i="21"/>
  <c r="F314" i="21" s="1"/>
  <c r="O315" i="21"/>
  <c r="U315" i="21"/>
  <c r="U337" i="21"/>
  <c r="U314" i="21" s="1"/>
  <c r="M315" i="21"/>
  <c r="M339" i="21"/>
  <c r="M316" i="21" s="1"/>
  <c r="M337" i="21"/>
  <c r="M314" i="21" s="1"/>
  <c r="AC273" i="21"/>
  <c r="AC297" i="21"/>
  <c r="AC274" i="21" s="1"/>
  <c r="AC295" i="21"/>
  <c r="AC272" i="21" s="1"/>
  <c r="Q273" i="21"/>
  <c r="J273" i="21"/>
  <c r="F273" i="21"/>
  <c r="V273" i="21"/>
  <c r="AE273" i="21"/>
  <c r="AE297" i="21"/>
  <c r="AE274" i="21" s="1"/>
  <c r="Z273" i="21"/>
  <c r="R273" i="21"/>
  <c r="M295" i="21"/>
  <c r="M272" i="21" s="1"/>
  <c r="S273" i="21"/>
  <c r="S297" i="21"/>
  <c r="S274" i="21" s="1"/>
  <c r="S295" i="21"/>
  <c r="S272" i="21" s="1"/>
  <c r="G273" i="21"/>
  <c r="G297" i="21"/>
  <c r="G274" i="21" s="1"/>
  <c r="G295" i="21"/>
  <c r="G272" i="21" s="1"/>
  <c r="AG255" i="21"/>
  <c r="AG232" i="21" s="1"/>
  <c r="AG253" i="21"/>
  <c r="AG230" i="21" s="1"/>
  <c r="AH231" i="21"/>
  <c r="AH253" i="21"/>
  <c r="AH230" i="21" s="1"/>
  <c r="AH255" i="21"/>
  <c r="AH232" i="21" s="1"/>
  <c r="AB231" i="21"/>
  <c r="R231" i="21"/>
  <c r="R255" i="21"/>
  <c r="R232" i="21" s="1"/>
  <c r="R253" i="21"/>
  <c r="R230" i="21" s="1"/>
  <c r="F231" i="21"/>
  <c r="F255" i="21"/>
  <c r="F232" i="21" s="1"/>
  <c r="AB189" i="21"/>
  <c r="X213" i="21"/>
  <c r="X190" i="21" s="1"/>
  <c r="X189" i="21"/>
  <c r="X211" i="21"/>
  <c r="X188" i="21" s="1"/>
  <c r="T189" i="21"/>
  <c r="T211" i="21"/>
  <c r="T188" i="21" s="1"/>
  <c r="T213" i="21"/>
  <c r="T190" i="21" s="1"/>
  <c r="P189" i="21"/>
  <c r="N189" i="21"/>
  <c r="L189" i="21"/>
  <c r="H213" i="21"/>
  <c r="H190" i="21" s="1"/>
  <c r="H189" i="21"/>
  <c r="H211" i="21"/>
  <c r="H188" i="21" s="1"/>
  <c r="AP381" i="21"/>
  <c r="AP358" i="21" s="1"/>
  <c r="T379" i="21"/>
  <c r="T356" i="21" s="1"/>
  <c r="E381" i="21"/>
  <c r="E358" i="21" s="1"/>
  <c r="J381" i="21"/>
  <c r="J358" i="21" s="1"/>
  <c r="J379" i="21"/>
  <c r="J356" i="21" s="1"/>
  <c r="AK381" i="21"/>
  <c r="AK358" i="21" s="1"/>
  <c r="E379" i="21"/>
  <c r="E356" i="21" s="1"/>
  <c r="AO381" i="21"/>
  <c r="AO358" i="21" s="1"/>
  <c r="N337" i="21"/>
  <c r="N314" i="21" s="1"/>
  <c r="I339" i="21"/>
  <c r="I316" i="21" s="1"/>
  <c r="I337" i="21"/>
  <c r="I314" i="21" s="1"/>
  <c r="AI127" i="21"/>
  <c r="AI104" i="21" s="1"/>
  <c r="AI129" i="21"/>
  <c r="AI106" i="21" s="1"/>
  <c r="G129" i="21"/>
  <c r="G106" i="21" s="1"/>
  <c r="AE231" i="21"/>
  <c r="AE255" i="21"/>
  <c r="AE232" i="21" s="1"/>
  <c r="S86" i="21"/>
  <c r="S63" i="21" s="1"/>
  <c r="Z86" i="21"/>
  <c r="Z63" i="21" s="1"/>
  <c r="AO255" i="21"/>
  <c r="AO232" i="21" s="1"/>
  <c r="AO337" i="21"/>
  <c r="AO314" i="21" s="1"/>
  <c r="N255" i="21"/>
  <c r="N232" i="21" s="1"/>
  <c r="AK213" i="21"/>
  <c r="AK190" i="21" s="1"/>
  <c r="AQ127" i="21"/>
  <c r="AQ104" i="21" s="1"/>
  <c r="AQ255" i="21"/>
  <c r="AQ232" i="21" s="1"/>
  <c r="Q253" i="21"/>
  <c r="Q230" i="21" s="1"/>
  <c r="N253" i="21"/>
  <c r="N230" i="21" s="1"/>
  <c r="AL169" i="21"/>
  <c r="AL146" i="21" s="1"/>
  <c r="AQ417" i="21"/>
  <c r="AQ398" i="21" s="1"/>
  <c r="Q339" i="21"/>
  <c r="Q316" i="21" s="1"/>
  <c r="AP337" i="21"/>
  <c r="AP314" i="21" s="1"/>
  <c r="AI297" i="21"/>
  <c r="AI274" i="21" s="1"/>
  <c r="AH295" i="21"/>
  <c r="AH272" i="21" s="1"/>
  <c r="I255" i="21"/>
  <c r="I232" i="21" s="1"/>
  <c r="I297" i="21"/>
  <c r="I274" i="21" s="1"/>
  <c r="AL253" i="21"/>
  <c r="AL230" i="21" s="1"/>
  <c r="F253" i="21"/>
  <c r="F230" i="21" s="1"/>
  <c r="AM295" i="21"/>
  <c r="AM272" i="21" s="1"/>
  <c r="AI213" i="21"/>
  <c r="AI190" i="21" s="1"/>
  <c r="AQ129" i="21"/>
  <c r="AQ106" i="21" s="1"/>
  <c r="AP87" i="21"/>
  <c r="AP64" i="21" s="1"/>
  <c r="G127" i="21"/>
  <c r="G104" i="21" s="1"/>
  <c r="AM417" i="21"/>
  <c r="AM398" i="21" s="1"/>
  <c r="AP339" i="21"/>
  <c r="AP316" i="21" s="1"/>
  <c r="AH297" i="21"/>
  <c r="AH274" i="21" s="1"/>
  <c r="I253" i="21"/>
  <c r="I230" i="21" s="1"/>
  <c r="Y297" i="21"/>
  <c r="Y274" i="21" s="1"/>
  <c r="I295" i="21"/>
  <c r="I272" i="21" s="1"/>
  <c r="V255" i="21"/>
  <c r="V232" i="21" s="1"/>
  <c r="AM297" i="21"/>
  <c r="AM274" i="21" s="1"/>
  <c r="AI211" i="21"/>
  <c r="AI188" i="21" s="1"/>
  <c r="AA86" i="21"/>
  <c r="AA63" i="21" s="1"/>
  <c r="R86" i="21"/>
  <c r="R63" i="21" s="1"/>
  <c r="AM129" i="21"/>
  <c r="AM106" i="21" s="1"/>
  <c r="M381" i="21"/>
  <c r="M358" i="21" s="1"/>
  <c r="AG381" i="21"/>
  <c r="AG358" i="21" s="1"/>
  <c r="M379" i="21"/>
  <c r="M356" i="21" s="1"/>
  <c r="AG379" i="21"/>
  <c r="AG356" i="21" s="1"/>
  <c r="AB339" i="21"/>
  <c r="AB316" i="21" s="1"/>
  <c r="AE295" i="21"/>
  <c r="AE272" i="21" s="1"/>
  <c r="Y295" i="21"/>
  <c r="Y272" i="21" s="1"/>
  <c r="V253" i="21"/>
  <c r="V230" i="21" s="1"/>
  <c r="W295" i="21"/>
  <c r="W272" i="21" s="1"/>
  <c r="AM127" i="21"/>
  <c r="AM104" i="21" s="1"/>
  <c r="K128" i="21"/>
  <c r="W128" i="21"/>
  <c r="W105" i="21" s="1"/>
  <c r="J128" i="21"/>
  <c r="J105" i="21" s="1"/>
  <c r="H128" i="21"/>
  <c r="H105" i="21" s="1"/>
  <c r="V128" i="21"/>
  <c r="N128" i="21"/>
  <c r="N105" i="21" s="1"/>
  <c r="O125" i="21"/>
  <c r="O126" i="21" s="1"/>
  <c r="O103" i="21" s="1"/>
  <c r="V125" i="21"/>
  <c r="V126" i="21" s="1"/>
  <c r="V103" i="21" s="1"/>
  <c r="F126" i="21"/>
  <c r="M125" i="21"/>
  <c r="M126" i="21" s="1"/>
  <c r="M103" i="21" s="1"/>
  <c r="P125" i="21"/>
  <c r="P126" i="21" s="1"/>
  <c r="P103" i="21" s="1"/>
  <c r="O128" i="21"/>
  <c r="T128" i="21"/>
  <c r="T105" i="21" s="1"/>
  <c r="K125" i="21"/>
  <c r="K126" i="21" s="1"/>
  <c r="K103" i="21" s="1"/>
  <c r="R125" i="21"/>
  <c r="R126" i="21" s="1"/>
  <c r="R103" i="21" s="1"/>
  <c r="Y125" i="21"/>
  <c r="Y126" i="21" s="1"/>
  <c r="Y103" i="21" s="1"/>
  <c r="I125" i="21"/>
  <c r="I126" i="21" s="1"/>
  <c r="I103" i="21" s="1"/>
  <c r="L125" i="21"/>
  <c r="L126" i="21" s="1"/>
  <c r="L103" i="21" s="1"/>
  <c r="Z128" i="21"/>
  <c r="X128" i="21"/>
  <c r="X105" i="21" s="1"/>
  <c r="L128" i="21"/>
  <c r="L105" i="21" s="1"/>
  <c r="F128" i="21"/>
  <c r="F105" i="21" s="1"/>
  <c r="W125" i="21"/>
  <c r="W126" i="21" s="1"/>
  <c r="W103" i="21" s="1"/>
  <c r="G125" i="21"/>
  <c r="G126" i="21" s="1"/>
  <c r="G103" i="21" s="1"/>
  <c r="N125" i="21"/>
  <c r="N126" i="21" s="1"/>
  <c r="N103" i="21" s="1"/>
  <c r="U125" i="21"/>
  <c r="U126" i="21" s="1"/>
  <c r="U103" i="21" s="1"/>
  <c r="X125" i="21"/>
  <c r="X126" i="21" s="1"/>
  <c r="X103" i="21" s="1"/>
  <c r="H125" i="21"/>
  <c r="H126" i="21" s="1"/>
  <c r="H103" i="21" s="1"/>
  <c r="F86" i="21"/>
  <c r="F63" i="21" s="1"/>
  <c r="S128" i="21"/>
  <c r="R128" i="21"/>
  <c r="R127" i="21" s="1"/>
  <c r="R104" i="21" s="1"/>
  <c r="P128" i="21"/>
  <c r="P105" i="21" s="1"/>
  <c r="S125" i="21"/>
  <c r="S126" i="21" s="1"/>
  <c r="S103" i="21" s="1"/>
  <c r="Z125" i="21"/>
  <c r="Z126" i="21" s="1"/>
  <c r="Z103" i="21" s="1"/>
  <c r="J125" i="21"/>
  <c r="J126" i="21" s="1"/>
  <c r="J103" i="21" s="1"/>
  <c r="Q125" i="21"/>
  <c r="Q126" i="21" s="1"/>
  <c r="Q103" i="21" s="1"/>
  <c r="O86" i="21"/>
  <c r="O63" i="21" s="1"/>
  <c r="AC128" i="21"/>
  <c r="AC105" i="21" s="1"/>
  <c r="AA128" i="21"/>
  <c r="AA105" i="21" s="1"/>
  <c r="V86" i="21"/>
  <c r="V63" i="21" s="1"/>
  <c r="AB125" i="21"/>
  <c r="AB126" i="21" s="1"/>
  <c r="AB103" i="21" s="1"/>
  <c r="AB128" i="21"/>
  <c r="AB105" i="21" s="1"/>
  <c r="W86" i="21"/>
  <c r="W63" i="21" s="1"/>
  <c r="AC125" i="21"/>
  <c r="AC126" i="21" s="1"/>
  <c r="AC103" i="21" s="1"/>
  <c r="AO189" i="21"/>
  <c r="AO213" i="21"/>
  <c r="AO190" i="21" s="1"/>
  <c r="AO211" i="21"/>
  <c r="AO188" i="21" s="1"/>
  <c r="AC63" i="21"/>
  <c r="AE127" i="21"/>
  <c r="AE104" i="21" s="1"/>
  <c r="AE105" i="21"/>
  <c r="V381" i="21"/>
  <c r="V358" i="21" s="1"/>
  <c r="V357" i="21"/>
  <c r="T253" i="21"/>
  <c r="T230" i="21" s="1"/>
  <c r="T231" i="21"/>
  <c r="E211" i="21"/>
  <c r="E188" i="21" s="1"/>
  <c r="E189" i="21"/>
  <c r="AP129" i="21"/>
  <c r="AP106" i="21" s="1"/>
  <c r="AP105" i="21"/>
  <c r="N357" i="21"/>
  <c r="R381" i="21"/>
  <c r="R358" i="21" s="1"/>
  <c r="R357" i="21"/>
  <c r="T315" i="21"/>
  <c r="V315" i="21"/>
  <c r="AD295" i="21"/>
  <c r="AD272" i="21" s="1"/>
  <c r="AD273" i="21"/>
  <c r="AH129" i="21"/>
  <c r="AH106" i="21" s="1"/>
  <c r="AH105" i="21"/>
  <c r="AQ295" i="21"/>
  <c r="AQ272" i="21" s="1"/>
  <c r="AQ273" i="21"/>
  <c r="G253" i="21"/>
  <c r="G230" i="21" s="1"/>
  <c r="G231" i="21"/>
  <c r="AL381" i="21"/>
  <c r="AL358" i="21" s="1"/>
  <c r="AL357" i="21"/>
  <c r="F381" i="21"/>
  <c r="F358" i="21" s="1"/>
  <c r="F357" i="21"/>
  <c r="AJ171" i="21"/>
  <c r="AJ148" i="21" s="1"/>
  <c r="AJ147" i="21"/>
  <c r="P255" i="21"/>
  <c r="P232" i="21" s="1"/>
  <c r="P231" i="21"/>
  <c r="Y189" i="21"/>
  <c r="Q379" i="21"/>
  <c r="Q356" i="21" s="1"/>
  <c r="Q357" i="21"/>
  <c r="AN379" i="21"/>
  <c r="AN356" i="21" s="1"/>
  <c r="AN357" i="21"/>
  <c r="H379" i="21"/>
  <c r="H356" i="21" s="1"/>
  <c r="H357" i="21"/>
  <c r="AL417" i="21"/>
  <c r="AL398" i="21" s="1"/>
  <c r="AL399" i="21"/>
  <c r="W231" i="21"/>
  <c r="AP253" i="21"/>
  <c r="AP230" i="21" s="1"/>
  <c r="AP231" i="21"/>
  <c r="Z231" i="21"/>
  <c r="J253" i="21"/>
  <c r="J230" i="21" s="1"/>
  <c r="J231" i="21"/>
  <c r="I211" i="21"/>
  <c r="I188" i="21" s="1"/>
  <c r="I189" i="21"/>
  <c r="U273" i="21"/>
  <c r="E297" i="21"/>
  <c r="E274" i="21" s="1"/>
  <c r="E273" i="21"/>
  <c r="AD211" i="21"/>
  <c r="AD188" i="21" s="1"/>
  <c r="AD189" i="21"/>
  <c r="AD357" i="21"/>
  <c r="K86" i="21"/>
  <c r="K63" i="21" s="1"/>
  <c r="AH85" i="21"/>
  <c r="AH62" i="21" s="1"/>
  <c r="J86" i="21"/>
  <c r="J63" i="21" s="1"/>
  <c r="AG85" i="21"/>
  <c r="AG62" i="21" s="1"/>
  <c r="AG63" i="21"/>
  <c r="AD87" i="21"/>
  <c r="AD64" i="21" s="1"/>
  <c r="AD63" i="21"/>
  <c r="AF63" i="21"/>
  <c r="AN85" i="21"/>
  <c r="AN62" i="21" s="1"/>
  <c r="AN63" i="21"/>
  <c r="N86" i="21"/>
  <c r="N63" i="21" s="1"/>
  <c r="AK63" i="21"/>
  <c r="AJ63" i="21"/>
  <c r="AH419" i="21"/>
  <c r="AH400" i="21" s="1"/>
  <c r="AH417" i="21"/>
  <c r="AH398" i="21" s="1"/>
  <c r="AL419" i="21"/>
  <c r="AL400" i="21" s="1"/>
  <c r="E86" i="21"/>
  <c r="E63" i="21" s="1"/>
  <c r="P86" i="21"/>
  <c r="P63" i="21" s="1"/>
  <c r="T86" i="21"/>
  <c r="T63" i="21" s="1"/>
  <c r="K83" i="21"/>
  <c r="K84" i="21" s="1"/>
  <c r="K61" i="21" s="1"/>
  <c r="V83" i="21"/>
  <c r="V84" i="21" s="1"/>
  <c r="V61" i="21" s="1"/>
  <c r="F83" i="21"/>
  <c r="F84" i="21" s="1"/>
  <c r="F61" i="21" s="1"/>
  <c r="I83" i="21"/>
  <c r="I84" i="21" s="1"/>
  <c r="I61" i="21" s="1"/>
  <c r="H86" i="21"/>
  <c r="H63" i="21" s="1"/>
  <c r="I86" i="21"/>
  <c r="I63" i="21" s="1"/>
  <c r="W83" i="21"/>
  <c r="W84" i="21" s="1"/>
  <c r="W61" i="21" s="1"/>
  <c r="G83" i="21"/>
  <c r="G84" i="21" s="1"/>
  <c r="G61" i="21" s="1"/>
  <c r="R83" i="21"/>
  <c r="R84" i="21" s="1"/>
  <c r="R61" i="21" s="1"/>
  <c r="Y83" i="21"/>
  <c r="Y84" i="21" s="1"/>
  <c r="Y61" i="21" s="1"/>
  <c r="P83" i="21"/>
  <c r="P84" i="21" s="1"/>
  <c r="P61" i="21" s="1"/>
  <c r="E83" i="21"/>
  <c r="E84" i="21" s="1"/>
  <c r="E61" i="21" s="1"/>
  <c r="L86" i="21"/>
  <c r="L63" i="21" s="1"/>
  <c r="Y86" i="21"/>
  <c r="Y63" i="21" s="1"/>
  <c r="M86" i="21"/>
  <c r="M63" i="21" s="1"/>
  <c r="Q86" i="21"/>
  <c r="Q63" i="21" s="1"/>
  <c r="Q83" i="21"/>
  <c r="Q84" i="21" s="1"/>
  <c r="Q61" i="21" s="1"/>
  <c r="N83" i="21"/>
  <c r="N84" i="21" s="1"/>
  <c r="N61" i="21" s="1"/>
  <c r="M83" i="21"/>
  <c r="M84" i="21" s="1"/>
  <c r="M61" i="21" s="1"/>
  <c r="U83" i="21"/>
  <c r="U84" i="21" s="1"/>
  <c r="U61" i="21" s="1"/>
  <c r="X86" i="21"/>
  <c r="X63" i="21" s="1"/>
  <c r="U86" i="21"/>
  <c r="U63" i="21" s="1"/>
  <c r="Z83" i="21"/>
  <c r="Z84" i="21" s="1"/>
  <c r="Z61" i="21" s="1"/>
  <c r="X83" i="21"/>
  <c r="X84" i="21" s="1"/>
  <c r="X61" i="21" s="1"/>
  <c r="Q337" i="21"/>
  <c r="Q314" i="21" s="1"/>
  <c r="AH339" i="21"/>
  <c r="AH316" i="21" s="1"/>
  <c r="AD297" i="21"/>
  <c r="AD274" i="21" s="1"/>
  <c r="AQ297" i="21"/>
  <c r="AQ274" i="21" s="1"/>
  <c r="AP255" i="21"/>
  <c r="AP232" i="21" s="1"/>
  <c r="J255" i="21"/>
  <c r="J232" i="21" s="1"/>
  <c r="AO171" i="21"/>
  <c r="AO148" i="21" s="1"/>
  <c r="E169" i="21"/>
  <c r="E146" i="21" s="1"/>
  <c r="AP85" i="21"/>
  <c r="AP62" i="21" s="1"/>
  <c r="AG87" i="21"/>
  <c r="AG64" i="21" s="1"/>
  <c r="L438" i="21"/>
  <c r="AA455" i="21"/>
  <c r="AA436" i="21" s="1"/>
  <c r="AD455" i="21"/>
  <c r="AD436" i="21" s="1"/>
  <c r="L455" i="21"/>
  <c r="L436" i="21" s="1"/>
  <c r="AG339" i="21"/>
  <c r="AG316" i="21" s="1"/>
  <c r="AA295" i="21"/>
  <c r="AA272" i="21" s="1"/>
  <c r="T255" i="21"/>
  <c r="T232" i="21" s="1"/>
  <c r="AJ169" i="21"/>
  <c r="AJ146" i="21" s="1"/>
  <c r="E171" i="21"/>
  <c r="E148" i="21" s="1"/>
  <c r="S438" i="21"/>
  <c r="AM457" i="21"/>
  <c r="AM438" i="21" s="1"/>
  <c r="AA438" i="21"/>
  <c r="AL379" i="21"/>
  <c r="AL356" i="21" s="1"/>
  <c r="F379" i="21"/>
  <c r="F356" i="21" s="1"/>
  <c r="AG337" i="21"/>
  <c r="AG314" i="21" s="1"/>
  <c r="AD213" i="21"/>
  <c r="AD190" i="21" s="1"/>
  <c r="F37" i="21"/>
  <c r="F38" i="21" s="1"/>
  <c r="F15" i="21" s="1"/>
  <c r="F21" i="21"/>
  <c r="F22" i="21" s="1"/>
  <c r="E37" i="21"/>
  <c r="E22" i="21"/>
  <c r="F40" i="21"/>
  <c r="F17" i="21" s="1"/>
  <c r="AI419" i="21"/>
  <c r="AI400" i="21" s="1"/>
  <c r="R379" i="21"/>
  <c r="R356" i="21" s="1"/>
  <c r="S398" i="21"/>
  <c r="AH337" i="21"/>
  <c r="AH314" i="21" s="1"/>
  <c r="AD85" i="21"/>
  <c r="AD62" i="21" s="1"/>
  <c r="AE129" i="21"/>
  <c r="AE106" i="21" s="1"/>
  <c r="AL129" i="21"/>
  <c r="AL106" i="21" s="1"/>
  <c r="AF381" i="21"/>
  <c r="AF358" i="21" s="1"/>
  <c r="AB381" i="21"/>
  <c r="AB358" i="21" s="1"/>
  <c r="L381" i="21"/>
  <c r="L358" i="21" s="1"/>
  <c r="AN381" i="21"/>
  <c r="AN358" i="21" s="1"/>
  <c r="X381" i="21"/>
  <c r="X358" i="21" s="1"/>
  <c r="H381" i="21"/>
  <c r="H358" i="21" s="1"/>
  <c r="AJ381" i="21"/>
  <c r="AJ358" i="21" s="1"/>
  <c r="T381" i="21"/>
  <c r="T358" i="21" s="1"/>
  <c r="AE417" i="21"/>
  <c r="AE398" i="21" s="1"/>
  <c r="AQ419" i="21"/>
  <c r="AQ400" i="21" s="1"/>
  <c r="G37" i="21"/>
  <c r="J5" i="21"/>
  <c r="AN455" i="21"/>
  <c r="AN436" i="21" s="1"/>
  <c r="AN457" i="21"/>
  <c r="AN438" i="21" s="1"/>
  <c r="H455" i="21"/>
  <c r="H436" i="21" s="1"/>
  <c r="J398" i="21"/>
  <c r="Y398" i="21"/>
  <c r="I398" i="21"/>
  <c r="F417" i="21"/>
  <c r="F398" i="21" s="1"/>
  <c r="AI339" i="21"/>
  <c r="AI316" i="21" s="1"/>
  <c r="AI337" i="21"/>
  <c r="AI314" i="21" s="1"/>
  <c r="W339" i="21"/>
  <c r="W316" i="21" s="1"/>
  <c r="W337" i="21"/>
  <c r="W314" i="21" s="1"/>
  <c r="AJ295" i="21"/>
  <c r="AJ272" i="21" s="1"/>
  <c r="AJ297" i="21"/>
  <c r="AJ274" i="21" s="1"/>
  <c r="AO295" i="21"/>
  <c r="AO272" i="21" s="1"/>
  <c r="AO297" i="21"/>
  <c r="AO274" i="21" s="1"/>
  <c r="AG295" i="21"/>
  <c r="AG272" i="21" s="1"/>
  <c r="AG297" i="21"/>
  <c r="AG274" i="21" s="1"/>
  <c r="AF295" i="21"/>
  <c r="AF272" i="21" s="1"/>
  <c r="AF297" i="21"/>
  <c r="AF274" i="21" s="1"/>
  <c r="E253" i="21"/>
  <c r="E230" i="21" s="1"/>
  <c r="E255" i="21"/>
  <c r="E232" i="21" s="1"/>
  <c r="F211" i="21"/>
  <c r="F188" i="21" s="1"/>
  <c r="F213" i="21"/>
  <c r="F190" i="21" s="1"/>
  <c r="Z211" i="21"/>
  <c r="Z188" i="21" s="1"/>
  <c r="Z213" i="21"/>
  <c r="Z190" i="21" s="1"/>
  <c r="W211" i="21"/>
  <c r="W188" i="21" s="1"/>
  <c r="AI87" i="21"/>
  <c r="AI64" i="21" s="1"/>
  <c r="AI85" i="21"/>
  <c r="AI62" i="21" s="1"/>
  <c r="AF455" i="21"/>
  <c r="AF436" i="21" s="1"/>
  <c r="AF438" i="21"/>
  <c r="AO455" i="21"/>
  <c r="AO436" i="21" s="1"/>
  <c r="AO457" i="21"/>
  <c r="AO438" i="21" s="1"/>
  <c r="AG455" i="21"/>
  <c r="AG436" i="21" s="1"/>
  <c r="AG438" i="21"/>
  <c r="Y455" i="21"/>
  <c r="Y436" i="21" s="1"/>
  <c r="Y438" i="21"/>
  <c r="Q455" i="21"/>
  <c r="Q436" i="21" s="1"/>
  <c r="Q438" i="21"/>
  <c r="I455" i="21"/>
  <c r="I436" i="21" s="1"/>
  <c r="I438" i="21"/>
  <c r="AK419" i="21"/>
  <c r="AK400" i="21" s="1"/>
  <c r="AK417" i="21"/>
  <c r="AK398" i="21" s="1"/>
  <c r="U398" i="21"/>
  <c r="E419" i="21"/>
  <c r="E400" i="21" s="1"/>
  <c r="E417" i="21"/>
  <c r="E398" i="21" s="1"/>
  <c r="AF400" i="21"/>
  <c r="AF417" i="21"/>
  <c r="AF398" i="21" s="1"/>
  <c r="X398" i="21"/>
  <c r="P398" i="21"/>
  <c r="H398" i="21"/>
  <c r="AM381" i="21"/>
  <c r="AM358" i="21" s="1"/>
  <c r="AM379" i="21"/>
  <c r="AM356" i="21" s="1"/>
  <c r="W381" i="21"/>
  <c r="W358" i="21" s="1"/>
  <c r="O381" i="21"/>
  <c r="O358" i="21" s="1"/>
  <c r="O379" i="21"/>
  <c r="O356" i="21" s="1"/>
  <c r="G381" i="21"/>
  <c r="G358" i="21" s="1"/>
  <c r="G379" i="21"/>
  <c r="G356" i="21" s="1"/>
  <c r="X337" i="21"/>
  <c r="X314" i="21" s="1"/>
  <c r="X339" i="21"/>
  <c r="X316" i="21" s="1"/>
  <c r="G339" i="21"/>
  <c r="G316" i="21" s="1"/>
  <c r="G337" i="21"/>
  <c r="G314" i="21" s="1"/>
  <c r="AQ337" i="21"/>
  <c r="AQ314" i="21" s="1"/>
  <c r="AQ339" i="21"/>
  <c r="AQ316" i="21" s="1"/>
  <c r="K337" i="21"/>
  <c r="K314" i="21" s="1"/>
  <c r="K339" i="21"/>
  <c r="K316" i="21" s="1"/>
  <c r="AB295" i="21"/>
  <c r="AB272" i="21" s="1"/>
  <c r="AB297" i="21"/>
  <c r="AB274" i="21" s="1"/>
  <c r="AN255" i="21"/>
  <c r="AN232" i="21" s="1"/>
  <c r="AN253" i="21"/>
  <c r="AN230" i="21" s="1"/>
  <c r="X297" i="21"/>
  <c r="X274" i="21" s="1"/>
  <c r="AQ211" i="21"/>
  <c r="AQ188" i="21" s="1"/>
  <c r="AQ213" i="21"/>
  <c r="AQ190" i="21" s="1"/>
  <c r="V213" i="21"/>
  <c r="V190" i="21" s="1"/>
  <c r="AM211" i="21"/>
  <c r="AM188" i="21" s="1"/>
  <c r="AM213" i="21"/>
  <c r="AM190" i="21" s="1"/>
  <c r="R211" i="21"/>
  <c r="R188" i="21" s="1"/>
  <c r="AO129" i="21"/>
  <c r="AO106" i="21" s="1"/>
  <c r="AO127" i="21"/>
  <c r="AO104" i="21" s="1"/>
  <c r="AG129" i="21"/>
  <c r="AG106" i="21" s="1"/>
  <c r="AG127" i="21"/>
  <c r="AG104" i="21" s="1"/>
  <c r="AN127" i="21"/>
  <c r="AN104" i="21" s="1"/>
  <c r="AN129" i="21"/>
  <c r="AN106" i="21" s="1"/>
  <c r="X455" i="21"/>
  <c r="X436" i="21" s="1"/>
  <c r="X438" i="21"/>
  <c r="AP417" i="21"/>
  <c r="AP398" i="21" s="1"/>
  <c r="AP419" i="21"/>
  <c r="AP400" i="21" s="1"/>
  <c r="AD417" i="21"/>
  <c r="AD398" i="21" s="1"/>
  <c r="AD400" i="21"/>
  <c r="AG400" i="21"/>
  <c r="AG417" i="21"/>
  <c r="AG398" i="21" s="1"/>
  <c r="Q398" i="21"/>
  <c r="AN419" i="21"/>
  <c r="AN400" i="21" s="1"/>
  <c r="AN417" i="21"/>
  <c r="AN398" i="21" s="1"/>
  <c r="S339" i="21"/>
  <c r="S316" i="21" s="1"/>
  <c r="S337" i="21"/>
  <c r="S314" i="21" s="1"/>
  <c r="AF337" i="21"/>
  <c r="AF314" i="21" s="1"/>
  <c r="AF339" i="21"/>
  <c r="AF316" i="21" s="1"/>
  <c r="T295" i="21"/>
  <c r="T272" i="21" s="1"/>
  <c r="AK295" i="21"/>
  <c r="AK272" i="21" s="1"/>
  <c r="AK297" i="21"/>
  <c r="AK274" i="21" s="1"/>
  <c r="AK253" i="21"/>
  <c r="AK230" i="21" s="1"/>
  <c r="AK255" i="21"/>
  <c r="AK232" i="21" s="1"/>
  <c r="AL211" i="21"/>
  <c r="AL188" i="21" s="1"/>
  <c r="AL213" i="21"/>
  <c r="AL190" i="21" s="1"/>
  <c r="AP211" i="21"/>
  <c r="AP188" i="21" s="1"/>
  <c r="AP213" i="21"/>
  <c r="AP190" i="21" s="1"/>
  <c r="AQ169" i="21"/>
  <c r="AQ146" i="21" s="1"/>
  <c r="AQ171" i="21"/>
  <c r="AQ148" i="21" s="1"/>
  <c r="AH211" i="21"/>
  <c r="AH188" i="21" s="1"/>
  <c r="AH213" i="21"/>
  <c r="AH190" i="21" s="1"/>
  <c r="M213" i="21"/>
  <c r="M190" i="21" s="1"/>
  <c r="M211" i="21"/>
  <c r="M188" i="21" s="1"/>
  <c r="AJ127" i="21"/>
  <c r="AJ104" i="21" s="1"/>
  <c r="AJ129" i="21"/>
  <c r="AJ106" i="21" s="1"/>
  <c r="AQ87" i="21"/>
  <c r="AQ64" i="21" s="1"/>
  <c r="AQ85" i="21"/>
  <c r="AQ62" i="21" s="1"/>
  <c r="P455" i="21"/>
  <c r="P436" i="21" s="1"/>
  <c r="P438" i="21"/>
  <c r="AK455" i="21"/>
  <c r="AK436" i="21" s="1"/>
  <c r="AK438" i="21"/>
  <c r="AC455" i="21"/>
  <c r="AC436" i="21" s="1"/>
  <c r="AC438" i="21"/>
  <c r="U455" i="21"/>
  <c r="U436" i="21" s="1"/>
  <c r="U438" i="21"/>
  <c r="M455" i="21"/>
  <c r="M436" i="21" s="1"/>
  <c r="M438" i="21"/>
  <c r="E455" i="21"/>
  <c r="E436" i="21" s="1"/>
  <c r="E457" i="21"/>
  <c r="E438" i="21" s="1"/>
  <c r="AO419" i="21"/>
  <c r="AO400" i="21" s="1"/>
  <c r="AO417" i="21"/>
  <c r="AO398" i="21" s="1"/>
  <c r="N398" i="21"/>
  <c r="Z398" i="21"/>
  <c r="AC400" i="21"/>
  <c r="AC417" i="21"/>
  <c r="AC398" i="21" s="1"/>
  <c r="M398" i="21"/>
  <c r="V398" i="21"/>
  <c r="AJ419" i="21"/>
  <c r="AJ400" i="21" s="1"/>
  <c r="AJ417" i="21"/>
  <c r="AJ398" i="21" s="1"/>
  <c r="AB398" i="21"/>
  <c r="T398" i="21"/>
  <c r="L398" i="21"/>
  <c r="R398" i="21"/>
  <c r="AQ381" i="21"/>
  <c r="AQ358" i="21" s="1"/>
  <c r="AQ379" i="21"/>
  <c r="AQ356" i="21" s="1"/>
  <c r="AI381" i="21"/>
  <c r="AI358" i="21" s="1"/>
  <c r="AI379" i="21"/>
  <c r="AI356" i="21" s="1"/>
  <c r="S381" i="21"/>
  <c r="S358" i="21" s="1"/>
  <c r="S379" i="21"/>
  <c r="S356" i="21" s="1"/>
  <c r="K381" i="21"/>
  <c r="K358" i="21" s="1"/>
  <c r="K379" i="21"/>
  <c r="K356" i="21" s="1"/>
  <c r="AN337" i="21"/>
  <c r="AN314" i="21" s="1"/>
  <c r="AN339" i="21"/>
  <c r="AN316" i="21" s="1"/>
  <c r="H339" i="21"/>
  <c r="H316" i="21" s="1"/>
  <c r="AM339" i="21"/>
  <c r="AM316" i="21" s="1"/>
  <c r="AM337" i="21"/>
  <c r="AM314" i="21" s="1"/>
  <c r="AA339" i="21"/>
  <c r="AA316" i="21" s="1"/>
  <c r="X255" i="21"/>
  <c r="X232" i="21" s="1"/>
  <c r="AN295" i="21"/>
  <c r="AN272" i="21" s="1"/>
  <c r="AN297" i="21"/>
  <c r="AN274" i="21" s="1"/>
  <c r="H295" i="21"/>
  <c r="H272" i="21" s="1"/>
  <c r="AG213" i="21"/>
  <c r="AG190" i="21" s="1"/>
  <c r="AG211" i="21"/>
  <c r="AG188" i="21" s="1"/>
  <c r="K211" i="21"/>
  <c r="K188" i="21" s="1"/>
  <c r="K213" i="21"/>
  <c r="K190" i="21" s="1"/>
  <c r="AE211" i="21"/>
  <c r="AE188" i="21" s="1"/>
  <c r="AE213" i="21"/>
  <c r="AE190" i="21" s="1"/>
  <c r="AM169" i="21"/>
  <c r="AM146" i="21" s="1"/>
  <c r="AM171" i="21"/>
  <c r="AM148" i="21" s="1"/>
  <c r="G211" i="21"/>
  <c r="G188" i="21" s="1"/>
  <c r="G213" i="21"/>
  <c r="G190" i="21" s="1"/>
  <c r="AK129" i="21"/>
  <c r="AK106" i="21" s="1"/>
  <c r="AK127" i="21"/>
  <c r="AK104" i="21" s="1"/>
  <c r="E129" i="21"/>
  <c r="E106" i="21" s="1"/>
  <c r="E127" i="21"/>
  <c r="E104" i="21" s="1"/>
  <c r="AF127" i="21"/>
  <c r="AF104" i="21" s="1"/>
  <c r="AF129" i="21"/>
  <c r="AF106" i="21" s="1"/>
  <c r="AM87" i="21"/>
  <c r="AM64" i="21" s="1"/>
  <c r="AM85" i="21"/>
  <c r="AM62" i="21" s="1"/>
  <c r="AK87" i="21" l="1"/>
  <c r="AK64" i="21" s="1"/>
  <c r="AJ87" i="21"/>
  <c r="AJ64" i="21" s="1"/>
  <c r="AJ85" i="21"/>
  <c r="AJ62" i="21" s="1"/>
  <c r="AH87" i="21"/>
  <c r="AH64" i="21" s="1"/>
  <c r="AB87" i="21"/>
  <c r="AB64" i="21" s="1"/>
  <c r="AK85" i="21"/>
  <c r="AK62" i="21" s="1"/>
  <c r="AB85" i="21"/>
  <c r="AB62" i="21" s="1"/>
  <c r="AA337" i="21"/>
  <c r="AA314" i="21" s="1"/>
  <c r="AC255" i="21"/>
  <c r="AC232" i="21" s="1"/>
  <c r="AB213" i="21"/>
  <c r="AB190" i="21" s="1"/>
  <c r="Q297" i="21"/>
  <c r="Q274" i="21" s="1"/>
  <c r="H297" i="21"/>
  <c r="H274" i="21" s="1"/>
  <c r="X253" i="21"/>
  <c r="X230" i="21" s="1"/>
  <c r="AC253" i="21"/>
  <c r="AC230" i="21" s="1"/>
  <c r="O211" i="21"/>
  <c r="O188" i="21" s="1"/>
  <c r="P211" i="21"/>
  <c r="P188" i="21" s="1"/>
  <c r="F297" i="21"/>
  <c r="F274" i="21" s="1"/>
  <c r="AB379" i="21"/>
  <c r="AB356" i="21" s="1"/>
  <c r="W379" i="21"/>
  <c r="W356" i="21" s="1"/>
  <c r="T339" i="21"/>
  <c r="T316" i="21" s="1"/>
  <c r="U381" i="21"/>
  <c r="U358" i="21" s="1"/>
  <c r="AC213" i="21"/>
  <c r="AC190" i="21" s="1"/>
  <c r="P297" i="21"/>
  <c r="P274" i="21" s="1"/>
  <c r="AA213" i="21"/>
  <c r="AA190" i="21" s="1"/>
  <c r="L339" i="21"/>
  <c r="L316" i="21" s="1"/>
  <c r="AA211" i="21"/>
  <c r="AA188" i="21" s="1"/>
  <c r="O297" i="21"/>
  <c r="O274" i="21" s="1"/>
  <c r="J337" i="21"/>
  <c r="J314" i="21" s="1"/>
  <c r="I381" i="21"/>
  <c r="I358" i="21" s="1"/>
  <c r="U211" i="21"/>
  <c r="U188" i="21" s="1"/>
  <c r="V211" i="21"/>
  <c r="V188" i="21" s="1"/>
  <c r="X295" i="21"/>
  <c r="X272" i="21" s="1"/>
  <c r="M255" i="21"/>
  <c r="M232" i="21" s="1"/>
  <c r="P337" i="21"/>
  <c r="P314" i="21" s="1"/>
  <c r="N211" i="21"/>
  <c r="N188" i="21" s="1"/>
  <c r="AD255" i="21"/>
  <c r="AD232" i="21" s="1"/>
  <c r="N213" i="21"/>
  <c r="N190" i="21" s="1"/>
  <c r="M273" i="21"/>
  <c r="J295" i="21"/>
  <c r="J272" i="21" s="1"/>
  <c r="U339" i="21"/>
  <c r="U316" i="21" s="1"/>
  <c r="H337" i="21"/>
  <c r="H314" i="21" s="1"/>
  <c r="M253" i="21"/>
  <c r="M230" i="21" s="1"/>
  <c r="AD381" i="21"/>
  <c r="AD358" i="21" s="1"/>
  <c r="AD339" i="21"/>
  <c r="AD316" i="21" s="1"/>
  <c r="Q255" i="21"/>
  <c r="Q232" i="21" s="1"/>
  <c r="J297" i="21"/>
  <c r="J274" i="21" s="1"/>
  <c r="AC339" i="21"/>
  <c r="AC316" i="21" s="1"/>
  <c r="Q211" i="21"/>
  <c r="Q188" i="21" s="1"/>
  <c r="L297" i="21"/>
  <c r="L274" i="21" s="1"/>
  <c r="Q213" i="21"/>
  <c r="Q190" i="21" s="1"/>
  <c r="R213" i="21"/>
  <c r="R190" i="21" s="1"/>
  <c r="O255" i="21"/>
  <c r="O232" i="21" s="1"/>
  <c r="O253" i="21"/>
  <c r="O230" i="21" s="1"/>
  <c r="AD337" i="21"/>
  <c r="AD314" i="21" s="1"/>
  <c r="AD253" i="21"/>
  <c r="AD230" i="21" s="1"/>
  <c r="AC337" i="21"/>
  <c r="AC314" i="21" s="1"/>
  <c r="I379" i="21"/>
  <c r="I356" i="21" s="1"/>
  <c r="AE339" i="21"/>
  <c r="AE316" i="21" s="1"/>
  <c r="AE337" i="21"/>
  <c r="AE314" i="21" s="1"/>
  <c r="N297" i="21"/>
  <c r="N274" i="21" s="1"/>
  <c r="J211" i="21"/>
  <c r="J188" i="21" s="1"/>
  <c r="O213" i="21"/>
  <c r="O190" i="21" s="1"/>
  <c r="W213" i="21"/>
  <c r="W190" i="21" s="1"/>
  <c r="L213" i="21"/>
  <c r="L190" i="21" s="1"/>
  <c r="P213" i="21"/>
  <c r="P190" i="21" s="1"/>
  <c r="AB211" i="21"/>
  <c r="AB188" i="21" s="1"/>
  <c r="J213" i="21"/>
  <c r="J190" i="21" s="1"/>
  <c r="L211" i="21"/>
  <c r="L188" i="21" s="1"/>
  <c r="AD127" i="21"/>
  <c r="AD104" i="21" s="1"/>
  <c r="AE85" i="21"/>
  <c r="AE62" i="21" s="1"/>
  <c r="H253" i="21"/>
  <c r="H230" i="21" s="1"/>
  <c r="S85" i="21"/>
  <c r="S62" i="21" s="1"/>
  <c r="AF87" i="21"/>
  <c r="AF64" i="21" s="1"/>
  <c r="AC85" i="21"/>
  <c r="AC62" i="21" s="1"/>
  <c r="AE87" i="21"/>
  <c r="AE64" i="21" s="1"/>
  <c r="H255" i="21"/>
  <c r="H232" i="21" s="1"/>
  <c r="AF85" i="21"/>
  <c r="AF62" i="21" s="1"/>
  <c r="AC87" i="21"/>
  <c r="AC64" i="21" s="1"/>
  <c r="N273" i="21"/>
  <c r="N295" i="21"/>
  <c r="N272" i="21" s="1"/>
  <c r="P339" i="21"/>
  <c r="P316" i="21" s="1"/>
  <c r="R295" i="21"/>
  <c r="R272" i="21" s="1"/>
  <c r="Z295" i="21"/>
  <c r="Z272" i="21" s="1"/>
  <c r="R297" i="21"/>
  <c r="R274" i="21" s="1"/>
  <c r="F295" i="21"/>
  <c r="F272" i="21" s="1"/>
  <c r="Z297" i="21"/>
  <c r="Z274" i="21" s="1"/>
  <c r="Q295" i="21"/>
  <c r="Q272" i="21" s="1"/>
  <c r="R339" i="21"/>
  <c r="R316" i="21" s="1"/>
  <c r="E295" i="21"/>
  <c r="E272" i="21" s="1"/>
  <c r="O295" i="21"/>
  <c r="O272" i="21" s="1"/>
  <c r="S253" i="21"/>
  <c r="S230" i="21" s="1"/>
  <c r="W255" i="21"/>
  <c r="W232" i="21" s="1"/>
  <c r="S211" i="21"/>
  <c r="S188" i="21" s="1"/>
  <c r="L253" i="21"/>
  <c r="L230" i="21" s="1"/>
  <c r="L337" i="21"/>
  <c r="L314" i="21" s="1"/>
  <c r="J339" i="21"/>
  <c r="J316" i="21" s="1"/>
  <c r="L295" i="21"/>
  <c r="L272" i="21" s="1"/>
  <c r="P295" i="21"/>
  <c r="P272" i="21" s="1"/>
  <c r="S255" i="21"/>
  <c r="S232" i="21" s="1"/>
  <c r="W253" i="21"/>
  <c r="W230" i="21" s="1"/>
  <c r="Y213" i="21"/>
  <c r="Y190" i="21" s="1"/>
  <c r="S213" i="21"/>
  <c r="S190" i="21" s="1"/>
  <c r="Y339" i="21"/>
  <c r="Y316" i="21" s="1"/>
  <c r="R337" i="21"/>
  <c r="R314" i="21" s="1"/>
  <c r="AC211" i="21"/>
  <c r="AC188" i="21" s="1"/>
  <c r="AA255" i="21"/>
  <c r="AA232" i="21" s="1"/>
  <c r="Y211" i="21"/>
  <c r="Y188" i="21" s="1"/>
  <c r="AA253" i="21"/>
  <c r="AA230" i="21" s="1"/>
  <c r="U213" i="21"/>
  <c r="U190" i="21" s="1"/>
  <c r="AB255" i="21"/>
  <c r="AB232" i="21" s="1"/>
  <c r="AB253" i="21"/>
  <c r="AB230" i="21" s="1"/>
  <c r="L255" i="21"/>
  <c r="L232" i="21" s="1"/>
  <c r="V295" i="21"/>
  <c r="V272" i="21" s="1"/>
  <c r="T337" i="21"/>
  <c r="T314" i="21" s="1"/>
  <c r="N381" i="21"/>
  <c r="N358" i="21" s="1"/>
  <c r="Y337" i="21"/>
  <c r="Y314" i="21" s="1"/>
  <c r="Z339" i="21"/>
  <c r="Z316" i="21" s="1"/>
  <c r="K253" i="21"/>
  <c r="K230" i="21" s="1"/>
  <c r="U297" i="21"/>
  <c r="U274" i="21" s="1"/>
  <c r="AE253" i="21"/>
  <c r="AE230" i="21" s="1"/>
  <c r="P379" i="21"/>
  <c r="P356" i="21" s="1"/>
  <c r="K255" i="21"/>
  <c r="K232" i="21" s="1"/>
  <c r="AA379" i="21"/>
  <c r="AA356" i="21" s="1"/>
  <c r="V339" i="21"/>
  <c r="V316" i="21" s="1"/>
  <c r="V297" i="21"/>
  <c r="V274" i="21" s="1"/>
  <c r="Y253" i="21"/>
  <c r="Y230" i="21" s="1"/>
  <c r="AA381" i="21"/>
  <c r="AA358" i="21" s="1"/>
  <c r="T297" i="21"/>
  <c r="T274" i="21" s="1"/>
  <c r="V337" i="21"/>
  <c r="V314" i="21" s="1"/>
  <c r="AF255" i="21"/>
  <c r="AF232" i="21" s="1"/>
  <c r="AF253" i="21"/>
  <c r="AF230" i="21" s="1"/>
  <c r="Y255" i="21"/>
  <c r="Y232" i="21" s="1"/>
  <c r="L379" i="21"/>
  <c r="L356" i="21" s="1"/>
  <c r="O337" i="21"/>
  <c r="O314" i="21" s="1"/>
  <c r="U255" i="21"/>
  <c r="U232" i="21" s="1"/>
  <c r="P381" i="21"/>
  <c r="P358" i="21" s="1"/>
  <c r="Z337" i="21"/>
  <c r="Z314" i="21" s="1"/>
  <c r="U253" i="21"/>
  <c r="U230" i="21" s="1"/>
  <c r="AE379" i="21"/>
  <c r="AE356" i="21" s="1"/>
  <c r="Z253" i="21"/>
  <c r="Z230" i="21" s="1"/>
  <c r="AE381" i="21"/>
  <c r="AE358" i="21" s="1"/>
  <c r="Z255" i="21"/>
  <c r="Z232" i="21" s="1"/>
  <c r="U379" i="21"/>
  <c r="U356" i="21" s="1"/>
  <c r="U295" i="21"/>
  <c r="U272" i="21" s="1"/>
  <c r="O339" i="21"/>
  <c r="O316" i="21" s="1"/>
  <c r="AD379" i="21"/>
  <c r="AD356" i="21" s="1"/>
  <c r="N379" i="21"/>
  <c r="N356" i="21" s="1"/>
  <c r="Y355" i="21"/>
  <c r="Y381" i="21"/>
  <c r="Y358" i="21" s="1"/>
  <c r="Y379" i="21"/>
  <c r="Y356" i="21" s="1"/>
  <c r="AA127" i="21"/>
  <c r="AA104" i="21" s="1"/>
  <c r="J127" i="21"/>
  <c r="J104" i="21" s="1"/>
  <c r="Y127" i="21"/>
  <c r="Y104" i="21" s="1"/>
  <c r="H129" i="21"/>
  <c r="H106" i="21" s="1"/>
  <c r="Y129" i="21"/>
  <c r="Y106" i="21" s="1"/>
  <c r="S87" i="21"/>
  <c r="S64" i="21" s="1"/>
  <c r="P127" i="21"/>
  <c r="P104" i="21" s="1"/>
  <c r="X129" i="21"/>
  <c r="X106" i="21" s="1"/>
  <c r="Q127" i="21"/>
  <c r="Q104" i="21" s="1"/>
  <c r="P129" i="21"/>
  <c r="P106" i="21" s="1"/>
  <c r="H127" i="21"/>
  <c r="H104" i="21" s="1"/>
  <c r="X127" i="21"/>
  <c r="X104" i="21" s="1"/>
  <c r="Q129" i="21"/>
  <c r="Q106" i="21" s="1"/>
  <c r="W129" i="21"/>
  <c r="W106" i="21" s="1"/>
  <c r="AA85" i="21"/>
  <c r="AA62" i="21" s="1"/>
  <c r="M127" i="21"/>
  <c r="M104" i="21" s="1"/>
  <c r="M129" i="21"/>
  <c r="M106" i="21" s="1"/>
  <c r="AA87" i="21"/>
  <c r="AA64" i="21" s="1"/>
  <c r="Z127" i="21"/>
  <c r="Z104" i="21" s="1"/>
  <c r="U127" i="21"/>
  <c r="U104" i="21" s="1"/>
  <c r="U129" i="21"/>
  <c r="U106" i="21" s="1"/>
  <c r="F103" i="21"/>
  <c r="L127" i="21"/>
  <c r="L104" i="21" s="1"/>
  <c r="O85" i="21"/>
  <c r="O62" i="21" s="1"/>
  <c r="V129" i="21"/>
  <c r="V106" i="21" s="1"/>
  <c r="AC127" i="21"/>
  <c r="AC104" i="21" s="1"/>
  <c r="I129" i="21"/>
  <c r="I106" i="21" s="1"/>
  <c r="V105" i="21"/>
  <c r="AC129" i="21"/>
  <c r="AC106" i="21" s="1"/>
  <c r="K129" i="21"/>
  <c r="K106" i="21" s="1"/>
  <c r="T129" i="21"/>
  <c r="T106" i="21" s="1"/>
  <c r="O87" i="21"/>
  <c r="O64" i="21" s="1"/>
  <c r="N129" i="21"/>
  <c r="N106" i="21" s="1"/>
  <c r="N127" i="21"/>
  <c r="N104" i="21" s="1"/>
  <c r="T127" i="21"/>
  <c r="T104" i="21" s="1"/>
  <c r="I127" i="21"/>
  <c r="I104" i="21" s="1"/>
  <c r="L129" i="21"/>
  <c r="L106" i="21" s="1"/>
  <c r="F129" i="21"/>
  <c r="F106" i="21" s="1"/>
  <c r="F127" i="21"/>
  <c r="F104" i="21" s="1"/>
  <c r="S129" i="21"/>
  <c r="S106" i="21" s="1"/>
  <c r="AA129" i="21"/>
  <c r="AA106" i="21" s="1"/>
  <c r="R105" i="21"/>
  <c r="Z129" i="21"/>
  <c r="Z106" i="21" s="1"/>
  <c r="Z105" i="21"/>
  <c r="R129" i="21"/>
  <c r="R106" i="21" s="1"/>
  <c r="W127" i="21"/>
  <c r="W104" i="21" s="1"/>
  <c r="J129" i="21"/>
  <c r="J106" i="21" s="1"/>
  <c r="J37" i="21"/>
  <c r="J38" i="21" s="1"/>
  <c r="J15" i="21" s="1"/>
  <c r="O105" i="21"/>
  <c r="O127" i="21"/>
  <c r="O104" i="21" s="1"/>
  <c r="O129" i="21"/>
  <c r="O106" i="21" s="1"/>
  <c r="S105" i="21"/>
  <c r="S127" i="21"/>
  <c r="S104" i="21" s="1"/>
  <c r="V127" i="21"/>
  <c r="V104" i="21" s="1"/>
  <c r="K105" i="21"/>
  <c r="K127" i="21"/>
  <c r="K104" i="21" s="1"/>
  <c r="AB127" i="21"/>
  <c r="AB104" i="21" s="1"/>
  <c r="AB129" i="21"/>
  <c r="AB106" i="21" s="1"/>
  <c r="W37" i="21"/>
  <c r="W38" i="21" s="1"/>
  <c r="W15" i="21" s="1"/>
  <c r="K37" i="21"/>
  <c r="K38" i="21" s="1"/>
  <c r="K15" i="21" s="1"/>
  <c r="V87" i="21"/>
  <c r="V64" i="21" s="1"/>
  <c r="L85" i="21"/>
  <c r="L62" i="21" s="1"/>
  <c r="K87" i="21"/>
  <c r="K64" i="21" s="1"/>
  <c r="T87" i="21"/>
  <c r="T64" i="21" s="1"/>
  <c r="G85" i="21"/>
  <c r="G62" i="21" s="1"/>
  <c r="J87" i="21"/>
  <c r="J64" i="21" s="1"/>
  <c r="I85" i="21"/>
  <c r="I62" i="21" s="1"/>
  <c r="G87" i="21"/>
  <c r="G64" i="21" s="1"/>
  <c r="T85" i="21"/>
  <c r="T62" i="21" s="1"/>
  <c r="J85" i="21"/>
  <c r="J62" i="21" s="1"/>
  <c r="F85" i="21"/>
  <c r="F62" i="21" s="1"/>
  <c r="W87" i="21"/>
  <c r="W64" i="21" s="1"/>
  <c r="P87" i="21"/>
  <c r="P64" i="21" s="1"/>
  <c r="R87" i="21"/>
  <c r="R64" i="21" s="1"/>
  <c r="H87" i="21"/>
  <c r="H64" i="21" s="1"/>
  <c r="M87" i="21"/>
  <c r="M64" i="21" s="1"/>
  <c r="W85" i="21"/>
  <c r="W62" i="21" s="1"/>
  <c r="K85" i="21"/>
  <c r="K62" i="21" s="1"/>
  <c r="L87" i="21"/>
  <c r="L64" i="21" s="1"/>
  <c r="Q85" i="21"/>
  <c r="Q62" i="21" s="1"/>
  <c r="F87" i="21"/>
  <c r="F64" i="21" s="1"/>
  <c r="H85" i="21"/>
  <c r="H62" i="21" s="1"/>
  <c r="P85" i="21"/>
  <c r="P62" i="21" s="1"/>
  <c r="Z87" i="21"/>
  <c r="Z64" i="21" s="1"/>
  <c r="R85" i="21"/>
  <c r="R62" i="21" s="1"/>
  <c r="M85" i="21"/>
  <c r="M62" i="21" s="1"/>
  <c r="N85" i="21"/>
  <c r="N62" i="21" s="1"/>
  <c r="X87" i="21"/>
  <c r="X64" i="21" s="1"/>
  <c r="U87" i="21"/>
  <c r="U64" i="21" s="1"/>
  <c r="X85" i="21"/>
  <c r="X62" i="21" s="1"/>
  <c r="Q87" i="21"/>
  <c r="Q64" i="21" s="1"/>
  <c r="Z85" i="21"/>
  <c r="Z62" i="21" s="1"/>
  <c r="I87" i="21"/>
  <c r="I64" i="21" s="1"/>
  <c r="E87" i="21"/>
  <c r="E64" i="21" s="1"/>
  <c r="Y87" i="21"/>
  <c r="Y64" i="21" s="1"/>
  <c r="U85" i="21"/>
  <c r="U62" i="21" s="1"/>
  <c r="Y85" i="21"/>
  <c r="Y62" i="21" s="1"/>
  <c r="V85" i="21"/>
  <c r="V62" i="21" s="1"/>
  <c r="N87" i="21"/>
  <c r="N64" i="21" s="1"/>
  <c r="E85" i="21"/>
  <c r="E62" i="21" s="1"/>
  <c r="N40" i="21"/>
  <c r="N17" i="21" s="1"/>
  <c r="AE40" i="21"/>
  <c r="AE17" i="21" s="1"/>
  <c r="AB37" i="21"/>
  <c r="AB38" i="21" s="1"/>
  <c r="AB15" i="21" s="1"/>
  <c r="G38" i="21"/>
  <c r="G15" i="21" s="1"/>
  <c r="E38" i="21"/>
  <c r="E15" i="21" s="1"/>
  <c r="T37" i="21"/>
  <c r="O37" i="21"/>
  <c r="R37" i="21"/>
  <c r="P37" i="21"/>
  <c r="U37" i="21"/>
  <c r="H37" i="21"/>
  <c r="M37" i="21"/>
  <c r="Q40" i="21"/>
  <c r="Q17" i="21" s="1"/>
  <c r="S37" i="21"/>
  <c r="V40" i="21"/>
  <c r="V17" i="21" s="1"/>
  <c r="N37" i="21"/>
  <c r="L37" i="21"/>
  <c r="I37" i="21"/>
  <c r="S40" i="21"/>
  <c r="S17" i="21" s="1"/>
  <c r="X37" i="21"/>
  <c r="X40" i="21"/>
  <c r="X17" i="21" s="1"/>
  <c r="Q37" i="21"/>
  <c r="V37" i="21"/>
  <c r="F41" i="21"/>
  <c r="F18" i="21" s="1"/>
  <c r="F39" i="21"/>
  <c r="F16" i="21" s="1"/>
  <c r="E40" i="21"/>
  <c r="E17" i="21" s="1"/>
  <c r="AG40" i="21"/>
  <c r="AG17" i="21" s="1"/>
  <c r="AC40" i="21"/>
  <c r="AC17" i="21" s="1"/>
  <c r="Z40" i="21"/>
  <c r="Z17" i="21" s="1"/>
  <c r="P40" i="21"/>
  <c r="P17" i="21" s="1"/>
  <c r="M40" i="21"/>
  <c r="M17" i="21" s="1"/>
  <c r="AP40" i="21"/>
  <c r="AP17" i="21" s="1"/>
  <c r="G40" i="21"/>
  <c r="G17" i="21" s="1"/>
  <c r="AJ40" i="21"/>
  <c r="AJ17" i="21" s="1"/>
  <c r="AL40" i="21"/>
  <c r="AL17" i="21" s="1"/>
  <c r="AQ40" i="21"/>
  <c r="AQ17" i="21" s="1"/>
  <c r="L40" i="21"/>
  <c r="L17" i="21" s="1"/>
  <c r="I40" i="21"/>
  <c r="I17" i="21" s="1"/>
  <c r="AK37" i="21"/>
  <c r="AD37" i="21"/>
  <c r="AM37" i="21"/>
  <c r="AF37" i="21"/>
  <c r="Y37" i="21"/>
  <c r="AO37" i="21"/>
  <c r="AH37" i="21"/>
  <c r="AA37" i="21"/>
  <c r="AQ37" i="21"/>
  <c r="AJ37" i="21"/>
  <c r="AC37" i="21"/>
  <c r="AL37" i="21"/>
  <c r="AE37" i="21"/>
  <c r="AN37" i="21"/>
  <c r="AG37" i="21"/>
  <c r="Z37" i="21"/>
  <c r="AP37" i="21"/>
  <c r="AI37" i="21"/>
  <c r="H40" i="21"/>
  <c r="H17" i="21" s="1"/>
  <c r="O40" i="21"/>
  <c r="O17" i="21" s="1"/>
  <c r="AK40" i="21"/>
  <c r="AK17" i="21" s="1"/>
  <c r="AO40" i="21"/>
  <c r="AO17" i="21" s="1"/>
  <c r="AI40" i="21"/>
  <c r="AI17" i="21" s="1"/>
  <c r="AF40" i="21"/>
  <c r="AF17" i="21" s="1"/>
  <c r="AM40" i="21"/>
  <c r="AM17" i="21" s="1"/>
  <c r="AN40" i="21"/>
  <c r="AN17" i="21" s="1"/>
  <c r="AB40" i="21"/>
  <c r="AB17" i="21" s="1"/>
  <c r="AH40" i="21"/>
  <c r="AH17" i="21" s="1"/>
  <c r="K40" i="21"/>
  <c r="K17" i="21" s="1"/>
  <c r="J40" i="21"/>
  <c r="J17" i="21" s="1"/>
  <c r="W40" i="21"/>
  <c r="W17" i="21" s="1"/>
  <c r="Y40" i="21"/>
  <c r="Y17" i="21" s="1"/>
  <c r="AD40" i="21"/>
  <c r="AD17" i="21" s="1"/>
  <c r="R40" i="21"/>
  <c r="R17" i="21" s="1"/>
  <c r="T40" i="21"/>
  <c r="T17" i="21" s="1"/>
  <c r="U40" i="21"/>
  <c r="U17" i="21" s="1"/>
  <c r="AA40" i="21"/>
  <c r="AA17" i="21" s="1"/>
  <c r="V38" i="21" l="1"/>
  <c r="V15" i="21" s="1"/>
  <c r="H38" i="21"/>
  <c r="H15" i="21" s="1"/>
  <c r="O38" i="21"/>
  <c r="O15" i="21" s="1"/>
  <c r="Q38" i="21"/>
  <c r="Q15" i="21" s="1"/>
  <c r="I38" i="21"/>
  <c r="I15" i="21" s="1"/>
  <c r="S38" i="21"/>
  <c r="S15" i="21" s="1"/>
  <c r="U38" i="21"/>
  <c r="U15" i="21" s="1"/>
  <c r="T38" i="21"/>
  <c r="T15" i="21" s="1"/>
  <c r="Y38" i="21"/>
  <c r="Y15" i="21" s="1"/>
  <c r="L38" i="21"/>
  <c r="L15" i="21" s="1"/>
  <c r="P38" i="21"/>
  <c r="P15" i="21" s="1"/>
  <c r="Z38" i="21"/>
  <c r="Z15" i="21" s="1"/>
  <c r="AA38" i="21"/>
  <c r="AA15" i="21" s="1"/>
  <c r="X38" i="21"/>
  <c r="X15" i="21" s="1"/>
  <c r="N38" i="21"/>
  <c r="N15" i="21" s="1"/>
  <c r="M38" i="21"/>
  <c r="M15" i="21" s="1"/>
  <c r="R38" i="21"/>
  <c r="R15" i="21" s="1"/>
  <c r="AP38" i="21"/>
  <c r="AP15" i="21" s="1"/>
  <c r="AE38" i="21"/>
  <c r="AE15" i="21" s="1"/>
  <c r="AQ38" i="21"/>
  <c r="AQ15" i="21" s="1"/>
  <c r="AK38" i="21"/>
  <c r="AK15" i="21" s="1"/>
  <c r="AL38" i="21"/>
  <c r="AL15" i="21" s="1"/>
  <c r="AF38" i="21"/>
  <c r="AF15" i="21" s="1"/>
  <c r="AG38" i="21"/>
  <c r="AG15" i="21" s="1"/>
  <c r="AC38" i="21"/>
  <c r="AC15" i="21" s="1"/>
  <c r="AH38" i="21"/>
  <c r="AH15" i="21" s="1"/>
  <c r="AM38" i="21"/>
  <c r="AM15" i="21" s="1"/>
  <c r="AI38" i="21"/>
  <c r="AI15" i="21" s="1"/>
  <c r="AN38" i="21"/>
  <c r="AN15" i="21" s="1"/>
  <c r="AJ38" i="21"/>
  <c r="AJ15" i="21" s="1"/>
  <c r="AO38" i="21"/>
  <c r="AO15" i="21" s="1"/>
  <c r="AD38" i="21"/>
  <c r="AD15" i="21" s="1"/>
  <c r="AP39" i="21"/>
  <c r="AP16" i="21" s="1"/>
  <c r="AJ41" i="21"/>
  <c r="AJ18" i="21" s="1"/>
  <c r="E41" i="21"/>
  <c r="E18" i="21" s="1"/>
  <c r="E39" i="21"/>
  <c r="E16" i="21" s="1"/>
  <c r="G21" i="21"/>
  <c r="G22" i="21" s="1"/>
  <c r="AP41" i="21"/>
  <c r="AP18" i="21" s="1"/>
  <c r="AJ39" i="21"/>
  <c r="AJ16" i="21" s="1"/>
  <c r="G39" i="21"/>
  <c r="G16" i="21" s="1"/>
  <c r="G41" i="21"/>
  <c r="G18" i="21" s="1"/>
  <c r="AQ39" i="21"/>
  <c r="AQ16" i="21" s="1"/>
  <c r="AQ41" i="21"/>
  <c r="AQ18" i="21" s="1"/>
  <c r="AL41" i="21"/>
  <c r="AL18" i="21" s="1"/>
  <c r="AL39" i="21"/>
  <c r="AL16" i="21" s="1"/>
  <c r="K39" i="21"/>
  <c r="K16" i="21" s="1"/>
  <c r="K41" i="21"/>
  <c r="K18" i="21" s="1"/>
  <c r="AH41" i="21"/>
  <c r="AH18" i="21" s="1"/>
  <c r="AH39" i="21"/>
  <c r="AH16" i="21" s="1"/>
  <c r="AM41" i="21"/>
  <c r="AM18" i="21" s="1"/>
  <c r="AM39" i="21"/>
  <c r="AM16" i="21" s="1"/>
  <c r="AI41" i="21"/>
  <c r="AI18" i="21" s="1"/>
  <c r="AI39" i="21"/>
  <c r="AI16" i="21" s="1"/>
  <c r="W39" i="21"/>
  <c r="W16" i="21" s="1"/>
  <c r="W41" i="21"/>
  <c r="W18" i="21" s="1"/>
  <c r="AB41" i="21"/>
  <c r="AB18" i="21" s="1"/>
  <c r="AB39" i="21"/>
  <c r="AB16" i="21" s="1"/>
  <c r="AO41" i="21"/>
  <c r="AO18" i="21" s="1"/>
  <c r="AO39" i="21"/>
  <c r="AO16" i="21" s="1"/>
  <c r="J41" i="21"/>
  <c r="J18" i="21" s="1"/>
  <c r="J39" i="21"/>
  <c r="J16" i="21" s="1"/>
  <c r="AN41" i="21"/>
  <c r="AN18" i="21" s="1"/>
  <c r="AN39" i="21"/>
  <c r="AN16" i="21" s="1"/>
  <c r="AK41" i="21"/>
  <c r="AK18" i="21" s="1"/>
  <c r="AK39" i="21"/>
  <c r="AK16" i="21" s="1"/>
  <c r="AE39" i="21" l="1"/>
  <c r="AE16" i="21" s="1"/>
  <c r="AC39" i="21"/>
  <c r="AC16" i="21" s="1"/>
  <c r="AC41" i="21"/>
  <c r="AC18" i="21" s="1"/>
  <c r="AF41" i="21"/>
  <c r="AF18" i="21" s="1"/>
  <c r="AF39" i="21"/>
  <c r="AF16" i="21" s="1"/>
  <c r="AD41" i="21"/>
  <c r="AD18" i="21" s="1"/>
  <c r="AE41" i="21"/>
  <c r="AE18" i="21" s="1"/>
  <c r="AD39" i="21"/>
  <c r="AD16" i="21" s="1"/>
  <c r="AG41" i="21"/>
  <c r="AG18" i="21" s="1"/>
  <c r="AG39" i="21"/>
  <c r="AG16" i="21" s="1"/>
  <c r="N39" i="21"/>
  <c r="N16" i="21" s="1"/>
  <c r="Q39" i="21"/>
  <c r="Q16" i="21" s="1"/>
  <c r="T41" i="21"/>
  <c r="T18" i="21" s="1"/>
  <c r="M41" i="21"/>
  <c r="M18" i="21" s="1"/>
  <c r="I39" i="21"/>
  <c r="I16" i="21" s="1"/>
  <c r="H41" i="21"/>
  <c r="H18" i="21" s="1"/>
  <c r="H39" i="21"/>
  <c r="H16" i="21" s="1"/>
  <c r="L39" i="21"/>
  <c r="L16" i="21" s="1"/>
  <c r="L41" i="21"/>
  <c r="L18" i="21" s="1"/>
  <c r="I41" i="21"/>
  <c r="I18" i="21" s="1"/>
  <c r="R41" i="21"/>
  <c r="R18" i="21" s="1"/>
  <c r="Y39" i="21"/>
  <c r="Y16" i="21" s="1"/>
  <c r="U41" i="21"/>
  <c r="U18" i="21" s="1"/>
  <c r="P41" i="21"/>
  <c r="P18" i="21" s="1"/>
  <c r="U39" i="21"/>
  <c r="U16" i="21" s="1"/>
  <c r="Q41" i="21"/>
  <c r="Q18" i="21" s="1"/>
  <c r="N41" i="21"/>
  <c r="N18" i="21" s="1"/>
  <c r="R39" i="21"/>
  <c r="R16" i="21" s="1"/>
  <c r="Y41" i="21"/>
  <c r="Y18" i="21" s="1"/>
  <c r="O39" i="21"/>
  <c r="O16" i="21" s="1"/>
  <c r="AA39" i="21"/>
  <c r="AA16" i="21" s="1"/>
  <c r="V39" i="21"/>
  <c r="V16" i="21" s="1"/>
  <c r="O41" i="21"/>
  <c r="O18" i="21" s="1"/>
  <c r="AA41" i="21"/>
  <c r="AA18" i="21" s="1"/>
  <c r="P39" i="21"/>
  <c r="P16" i="21" s="1"/>
  <c r="V41" i="21"/>
  <c r="V18" i="21" s="1"/>
  <c r="Z41" i="21"/>
  <c r="Z18" i="21" s="1"/>
  <c r="T39" i="21"/>
  <c r="T16" i="21" s="1"/>
  <c r="Z39" i="21"/>
  <c r="Z16" i="21" s="1"/>
  <c r="M39" i="21"/>
  <c r="S39" i="21"/>
  <c r="S16" i="21" s="1"/>
  <c r="X39" i="21"/>
  <c r="X16" i="21" s="1"/>
  <c r="S41" i="21"/>
  <c r="S18" i="21" s="1"/>
  <c r="X41" i="21"/>
  <c r="X18" i="21" s="1"/>
  <c r="H21" i="21"/>
  <c r="H22" i="21" s="1"/>
  <c r="I21" i="21" l="1"/>
  <c r="I22" i="21" s="1"/>
  <c r="J21" i="21" l="1"/>
  <c r="J22" i="21" s="1"/>
  <c r="K21" i="21" l="1"/>
  <c r="K22" i="21" s="1"/>
  <c r="L21" i="21" l="1"/>
  <c r="L22" i="21" s="1"/>
  <c r="M21" i="21" l="1"/>
  <c r="M22" i="21" s="1"/>
  <c r="N21" i="21" l="1"/>
  <c r="N22" i="21" s="1"/>
  <c r="O21" i="21" l="1"/>
  <c r="O22" i="21" s="1"/>
  <c r="P21" i="21" l="1"/>
  <c r="P22" i="21" s="1"/>
  <c r="Q21" i="21" l="1"/>
  <c r="Q22" i="21" s="1"/>
  <c r="R21" i="21" l="1"/>
  <c r="R22" i="21" s="1"/>
  <c r="S21" i="21" l="1"/>
  <c r="S22" i="21" s="1"/>
  <c r="T21" i="21" l="1"/>
  <c r="T22" i="21" s="1"/>
  <c r="U21" i="21" l="1"/>
  <c r="U22" i="21" s="1"/>
  <c r="V21" i="21" l="1"/>
  <c r="V22" i="21" s="1"/>
  <c r="W21" i="21" l="1"/>
  <c r="W22" i="21" s="1"/>
  <c r="X21" i="21" l="1"/>
  <c r="X22" i="21" s="1"/>
  <c r="Y21" i="21" l="1"/>
  <c r="Y22" i="21" s="1"/>
  <c r="Z21" i="21" l="1"/>
  <c r="Z22" i="21" s="1"/>
  <c r="E231" i="18"/>
  <c r="E234" i="18"/>
  <c r="E237" i="18"/>
  <c r="E240" i="18"/>
  <c r="E243" i="18"/>
  <c r="E246" i="18"/>
  <c r="E249" i="18"/>
  <c r="E253" i="18"/>
  <c r="E255" i="18"/>
  <c r="E258" i="18"/>
  <c r="AA21" i="21" l="1"/>
  <c r="AA22" i="21" s="1"/>
  <c r="V4" i="18"/>
  <c r="W4" i="18" s="1"/>
  <c r="X4" i="18" s="1"/>
  <c r="Y4" i="18" s="1"/>
  <c r="Z4" i="18" s="1"/>
  <c r="AA4" i="18" s="1"/>
  <c r="AB4" i="18" s="1"/>
  <c r="AC4" i="18" s="1"/>
  <c r="AD4" i="18" s="1"/>
  <c r="AE4" i="18" s="1"/>
  <c r="AF4" i="18" s="1"/>
  <c r="AG4" i="18" s="1"/>
  <c r="AH4" i="18" s="1"/>
  <c r="AI4" i="18" s="1"/>
  <c r="AJ4" i="18" s="1"/>
  <c r="AK4" i="18" s="1"/>
  <c r="AL4" i="18" s="1"/>
  <c r="AM4" i="18" s="1"/>
  <c r="AN4" i="18" s="1"/>
  <c r="AO4" i="18" s="1"/>
  <c r="AP4" i="18" s="1"/>
  <c r="AQ4" i="18" s="1"/>
  <c r="AR4" i="18" s="1"/>
  <c r="AS4" i="18" s="1"/>
  <c r="AT4" i="18" s="1"/>
  <c r="AU4" i="18" s="1"/>
  <c r="AV4" i="18" s="1"/>
  <c r="AW4" i="18" s="1"/>
  <c r="AX4" i="18" s="1"/>
  <c r="AY4" i="18" s="1"/>
  <c r="AZ4" i="18" s="1"/>
  <c r="BA4" i="18" s="1"/>
  <c r="BB4" i="18" s="1"/>
  <c r="BC4" i="18" s="1"/>
  <c r="BD4" i="18" s="1"/>
  <c r="BE4" i="18" s="1"/>
  <c r="AB21" i="21" l="1"/>
  <c r="AB22" i="21" s="1"/>
  <c r="K210" i="18"/>
  <c r="O215" i="18"/>
  <c r="N215" i="18"/>
  <c r="M215" i="18"/>
  <c r="L215" i="18"/>
  <c r="K215" i="18"/>
  <c r="O214" i="18"/>
  <c r="N214" i="18"/>
  <c r="M214" i="18"/>
  <c r="L214" i="18"/>
  <c r="K214" i="18"/>
  <c r="O213" i="18"/>
  <c r="N213" i="18"/>
  <c r="M213" i="18"/>
  <c r="L213" i="18"/>
  <c r="K213" i="18"/>
  <c r="AC21" i="21" l="1"/>
  <c r="AC22" i="21" s="1"/>
  <c r="N212" i="18"/>
  <c r="M212" i="18"/>
  <c r="L212" i="18"/>
  <c r="K212" i="18"/>
  <c r="O212" i="18"/>
  <c r="AD21" i="21" l="1"/>
  <c r="AD22" i="21" s="1"/>
  <c r="E259" i="18"/>
  <c r="W171" i="18" s="1"/>
  <c r="I257" i="18"/>
  <c r="E257" i="18"/>
  <c r="E256" i="18"/>
  <c r="V171" i="18" s="1"/>
  <c r="I254" i="18"/>
  <c r="E254" i="18"/>
  <c r="U171" i="18"/>
  <c r="E252" i="18"/>
  <c r="I251" i="18" s="1"/>
  <c r="E251" i="18"/>
  <c r="E250" i="18"/>
  <c r="T171" i="18" s="1"/>
  <c r="I248" i="18"/>
  <c r="E248" i="18"/>
  <c r="E247" i="18"/>
  <c r="S171" i="18" s="1"/>
  <c r="I245" i="18"/>
  <c r="E245" i="18"/>
  <c r="E244" i="18"/>
  <c r="W170" i="18" s="1"/>
  <c r="I242" i="18"/>
  <c r="E242" i="18"/>
  <c r="E241" i="18"/>
  <c r="V170" i="18" s="1"/>
  <c r="I239" i="18"/>
  <c r="E239" i="18"/>
  <c r="E238" i="18"/>
  <c r="U170" i="18" s="1"/>
  <c r="I236" i="18"/>
  <c r="E236" i="18"/>
  <c r="E235" i="18"/>
  <c r="T170" i="18" s="1"/>
  <c r="I233" i="18"/>
  <c r="E233" i="18"/>
  <c r="E232" i="18"/>
  <c r="S170" i="18" s="1"/>
  <c r="I230" i="18"/>
  <c r="E230" i="18"/>
  <c r="E217" i="18"/>
  <c r="E216" i="18"/>
  <c r="E215" i="18"/>
  <c r="E214" i="18"/>
  <c r="BC167" i="18" s="1"/>
  <c r="E213" i="18"/>
  <c r="AR169" i="18" s="1"/>
  <c r="E212" i="18"/>
  <c r="BD174" i="18" s="1"/>
  <c r="E211" i="18"/>
  <c r="S164" i="18" s="1"/>
  <c r="E210" i="18"/>
  <c r="E209" i="18"/>
  <c r="E190" i="18"/>
  <c r="E189" i="18"/>
  <c r="I188" i="18"/>
  <c r="E188" i="18"/>
  <c r="I187" i="18"/>
  <c r="E187" i="18"/>
  <c r="I186" i="18"/>
  <c r="E186" i="18"/>
  <c r="BE176" i="18"/>
  <c r="BD176" i="18"/>
  <c r="BC176" i="18"/>
  <c r="BB176" i="18"/>
  <c r="BA176" i="18"/>
  <c r="AZ176" i="18"/>
  <c r="AY176" i="18"/>
  <c r="AX176" i="18"/>
  <c r="AW176" i="18"/>
  <c r="AV176" i="18"/>
  <c r="AU176" i="18"/>
  <c r="AT176" i="18"/>
  <c r="AS176" i="18"/>
  <c r="AR176" i="18"/>
  <c r="AQ176" i="18"/>
  <c r="AP176" i="18"/>
  <c r="AO176" i="18"/>
  <c r="AN176" i="18"/>
  <c r="AM176" i="18"/>
  <c r="AL176" i="18"/>
  <c r="AK176" i="18"/>
  <c r="AJ176" i="18"/>
  <c r="AI176" i="18"/>
  <c r="AH176" i="18"/>
  <c r="AG176" i="18"/>
  <c r="AF176" i="18"/>
  <c r="AE176" i="18"/>
  <c r="AD176" i="18"/>
  <c r="AC176" i="18"/>
  <c r="AB176" i="18"/>
  <c r="AA176" i="18"/>
  <c r="Z176" i="18"/>
  <c r="Y176" i="18"/>
  <c r="X176" i="18"/>
  <c r="W176" i="18"/>
  <c r="V176" i="18"/>
  <c r="U176" i="18"/>
  <c r="T176" i="18"/>
  <c r="S176" i="18"/>
  <c r="V162" i="18"/>
  <c r="U162" i="18"/>
  <c r="BE160" i="18"/>
  <c r="BE175" i="18" s="1"/>
  <c r="BD160" i="18"/>
  <c r="BD166" i="18" s="1"/>
  <c r="BC160" i="18"/>
  <c r="BB160" i="18"/>
  <c r="BB175" i="18" s="1"/>
  <c r="BA160" i="18"/>
  <c r="BA175" i="18" s="1"/>
  <c r="AZ160" i="18"/>
  <c r="AZ166" i="18" s="1"/>
  <c r="AY160" i="18"/>
  <c r="AX160" i="18"/>
  <c r="AX175" i="18" s="1"/>
  <c r="AW160" i="18"/>
  <c r="AW175" i="18" s="1"/>
  <c r="AV160" i="18"/>
  <c r="AV166" i="18" s="1"/>
  <c r="AU160" i="18"/>
  <c r="AT160" i="18"/>
  <c r="AT166" i="18" s="1"/>
  <c r="AS160" i="18"/>
  <c r="AR160" i="18"/>
  <c r="AR166" i="18" s="1"/>
  <c r="AQ160" i="18"/>
  <c r="AP160" i="18"/>
  <c r="AP166" i="18" s="1"/>
  <c r="AO160" i="18"/>
  <c r="AN160" i="18"/>
  <c r="AN166" i="18" s="1"/>
  <c r="AM160" i="18"/>
  <c r="AL160" i="18"/>
  <c r="AL166" i="18" s="1"/>
  <c r="AK160" i="18"/>
  <c r="AJ160" i="18"/>
  <c r="AJ166" i="18" s="1"/>
  <c r="AI160" i="18"/>
  <c r="AH160" i="18"/>
  <c r="AH166" i="18" s="1"/>
  <c r="AG160" i="18"/>
  <c r="AF160" i="18"/>
  <c r="AF166" i="18" s="1"/>
  <c r="AF175" i="18" s="1"/>
  <c r="AE160" i="18"/>
  <c r="AD160" i="18"/>
  <c r="AD166" i="18" s="1"/>
  <c r="AC160" i="18"/>
  <c r="AB160" i="18"/>
  <c r="AB166" i="18" s="1"/>
  <c r="AA160" i="18"/>
  <c r="Z160" i="18"/>
  <c r="Z166" i="18" s="1"/>
  <c r="Y160" i="18"/>
  <c r="X160" i="18"/>
  <c r="X166" i="18" s="1"/>
  <c r="W160" i="18"/>
  <c r="V160" i="18"/>
  <c r="V166" i="18" s="1"/>
  <c r="U160" i="18"/>
  <c r="T160" i="18"/>
  <c r="T166" i="18" s="1"/>
  <c r="R160" i="18"/>
  <c r="Q160" i="18"/>
  <c r="P160" i="18"/>
  <c r="O160" i="18"/>
  <c r="N160" i="18"/>
  <c r="M160" i="18"/>
  <c r="L160" i="18"/>
  <c r="K160" i="18"/>
  <c r="J160" i="18"/>
  <c r="I160" i="18"/>
  <c r="H160" i="18"/>
  <c r="G160" i="18"/>
  <c r="F160" i="18"/>
  <c r="E160" i="18"/>
  <c r="D160" i="18"/>
  <c r="F154" i="18" a="1"/>
  <c r="F154" i="18" s="1"/>
  <c r="F153" i="18" a="1"/>
  <c r="F153" i="18" s="1"/>
  <c r="S26" i="18" s="1"/>
  <c r="H150" i="18" a="1"/>
  <c r="H150" i="18" s="1"/>
  <c r="H149" i="18" a="1"/>
  <c r="H149" i="18" s="1"/>
  <c r="BE144" i="18"/>
  <c r="BE146" i="18" s="1"/>
  <c r="BD144" i="18"/>
  <c r="BD146" i="18" s="1"/>
  <c r="BC144" i="18"/>
  <c r="BC146" i="18" s="1"/>
  <c r="BB144" i="18"/>
  <c r="BB146" i="18" s="1"/>
  <c r="BA144" i="18"/>
  <c r="BA146" i="18" s="1"/>
  <c r="AZ144" i="18"/>
  <c r="AZ146" i="18" s="1"/>
  <c r="AY144" i="18"/>
  <c r="AY146" i="18" s="1"/>
  <c r="AX144" i="18"/>
  <c r="AX146" i="18" s="1"/>
  <c r="AW144" i="18"/>
  <c r="AW146" i="18" s="1"/>
  <c r="AV144" i="18"/>
  <c r="AV146" i="18" s="1"/>
  <c r="AU144" i="18"/>
  <c r="AU146" i="18" s="1"/>
  <c r="AT144" i="18"/>
  <c r="AT146" i="18" s="1"/>
  <c r="AS144" i="18"/>
  <c r="AS146" i="18" s="1"/>
  <c r="AR144" i="18"/>
  <c r="AR146" i="18" s="1"/>
  <c r="AQ144" i="18"/>
  <c r="AQ146" i="18" s="1"/>
  <c r="AP144" i="18"/>
  <c r="AP146" i="18" s="1"/>
  <c r="AO144" i="18"/>
  <c r="AO146" i="18" s="1"/>
  <c r="AN144" i="18"/>
  <c r="AN146" i="18" s="1"/>
  <c r="AM144" i="18"/>
  <c r="AM146" i="18" s="1"/>
  <c r="AL144" i="18"/>
  <c r="AL146" i="18" s="1"/>
  <c r="AK144" i="18"/>
  <c r="AK146" i="18" s="1"/>
  <c r="AJ144" i="18"/>
  <c r="AJ146" i="18" s="1"/>
  <c r="AI144" i="18"/>
  <c r="AI146" i="18" s="1"/>
  <c r="AH144" i="18"/>
  <c r="AH146" i="18" s="1"/>
  <c r="AG144" i="18"/>
  <c r="AG146" i="18" s="1"/>
  <c r="AF144" i="18"/>
  <c r="AF146" i="18" s="1"/>
  <c r="AE144" i="18"/>
  <c r="AE146" i="18" s="1"/>
  <c r="AD144" i="18"/>
  <c r="AD146" i="18" s="1"/>
  <c r="AC144" i="18"/>
  <c r="AC146" i="18" s="1"/>
  <c r="AB144" i="18"/>
  <c r="AB146" i="18" s="1"/>
  <c r="AA144" i="18"/>
  <c r="AA146" i="18" s="1"/>
  <c r="Z144" i="18"/>
  <c r="Z146" i="18" s="1"/>
  <c r="Y144" i="18"/>
  <c r="Y146" i="18" s="1"/>
  <c r="X144" i="18"/>
  <c r="X146" i="18" s="1"/>
  <c r="W144" i="18"/>
  <c r="W146" i="18" s="1"/>
  <c r="V144" i="18"/>
  <c r="V146" i="18" s="1"/>
  <c r="U144" i="18"/>
  <c r="U146" i="18" s="1"/>
  <c r="T144" i="18"/>
  <c r="T146" i="18" s="1"/>
  <c r="S144" i="18"/>
  <c r="S146" i="18" s="1"/>
  <c r="BE139" i="18"/>
  <c r="BD139" i="18"/>
  <c r="BC139" i="18"/>
  <c r="BB139" i="18"/>
  <c r="BA139" i="18"/>
  <c r="AZ139" i="18"/>
  <c r="AY139" i="18"/>
  <c r="AX139" i="18"/>
  <c r="AW139" i="18"/>
  <c r="AV139" i="18"/>
  <c r="BE137" i="18"/>
  <c r="BE140" i="18" s="1"/>
  <c r="BE142" i="18" s="1"/>
  <c r="BE24" i="18" s="1"/>
  <c r="BD137" i="18"/>
  <c r="BD140" i="18" s="1"/>
  <c r="BD142" i="18" s="1"/>
  <c r="BD24" i="18" s="1"/>
  <c r="BC137" i="18"/>
  <c r="BC140" i="18" s="1"/>
  <c r="BB137" i="18"/>
  <c r="BB140" i="18" s="1"/>
  <c r="BB142" i="18" s="1"/>
  <c r="BB24" i="18" s="1"/>
  <c r="BA137" i="18"/>
  <c r="BA140" i="18" s="1"/>
  <c r="AZ137" i="18"/>
  <c r="AZ140" i="18" s="1"/>
  <c r="AZ142" i="18" s="1"/>
  <c r="AZ24" i="18" s="1"/>
  <c r="AY137" i="18"/>
  <c r="AY140" i="18" s="1"/>
  <c r="AY142" i="18" s="1"/>
  <c r="AY24" i="18" s="1"/>
  <c r="AX137" i="18"/>
  <c r="AX140" i="18" s="1"/>
  <c r="AX142" i="18" s="1"/>
  <c r="AX24" i="18" s="1"/>
  <c r="AW137" i="18"/>
  <c r="AW140" i="18" s="1"/>
  <c r="AV137" i="18"/>
  <c r="AV140" i="18" s="1"/>
  <c r="AV142" i="18" s="1"/>
  <c r="AV24" i="18" s="1"/>
  <c r="K134" i="18" a="1"/>
  <c r="K134" i="18" s="1"/>
  <c r="J134" i="18" a="1"/>
  <c r="J134" i="18" s="1"/>
  <c r="I134" i="18" a="1"/>
  <c r="I134" i="18" s="1"/>
  <c r="H134" i="18" a="1"/>
  <c r="H134" i="18" s="1"/>
  <c r="G134" i="18" a="1"/>
  <c r="G134" i="18" s="1"/>
  <c r="F134" i="18" a="1"/>
  <c r="F134" i="18" s="1"/>
  <c r="E134" i="18" a="1"/>
  <c r="E134" i="18" s="1"/>
  <c r="D134" i="18" a="1"/>
  <c r="D134" i="18" s="1"/>
  <c r="C134" i="18" a="1"/>
  <c r="C134" i="18" s="1"/>
  <c r="B134" i="18" a="1"/>
  <c r="B134" i="18" s="1"/>
  <c r="A134" i="18" a="1"/>
  <c r="A134" i="18" s="1"/>
  <c r="K133" i="18" a="1"/>
  <c r="K133" i="18" s="1"/>
  <c r="J133" i="18" a="1"/>
  <c r="J133" i="18" s="1"/>
  <c r="I133" i="18" a="1"/>
  <c r="I133" i="18" s="1"/>
  <c r="H133" i="18" a="1"/>
  <c r="H133" i="18" s="1"/>
  <c r="G133" i="18" a="1"/>
  <c r="G133" i="18" s="1"/>
  <c r="F133" i="18" a="1"/>
  <c r="F133" i="18" s="1"/>
  <c r="E133" i="18" a="1"/>
  <c r="E133" i="18" s="1"/>
  <c r="D133" i="18" a="1"/>
  <c r="D133" i="18" s="1"/>
  <c r="C133" i="18" a="1"/>
  <c r="C133" i="18" s="1"/>
  <c r="B133" i="18" a="1"/>
  <c r="B133" i="18" s="1"/>
  <c r="T139" i="18" s="1"/>
  <c r="BE128" i="18"/>
  <c r="BE19" i="18" s="1"/>
  <c r="BB128" i="18"/>
  <c r="BB19" i="18" s="1"/>
  <c r="BA128" i="18"/>
  <c r="BA129" i="18" s="1"/>
  <c r="BA20" i="18" s="1"/>
  <c r="AX128" i="18"/>
  <c r="AX130" i="18" s="1"/>
  <c r="AX143" i="18" s="1"/>
  <c r="AX21" i="18" s="1"/>
  <c r="AW128" i="18"/>
  <c r="AW19" i="18" s="1"/>
  <c r="AF128" i="18"/>
  <c r="AF19" i="18" s="1"/>
  <c r="BE127" i="18"/>
  <c r="BE18" i="18" s="1"/>
  <c r="BD127" i="18"/>
  <c r="BD18" i="18" s="1"/>
  <c r="BC127" i="18"/>
  <c r="BC18" i="18" s="1"/>
  <c r="BB127" i="18"/>
  <c r="BB18" i="18" s="1"/>
  <c r="BA127" i="18"/>
  <c r="BA18" i="18" s="1"/>
  <c r="AZ127" i="18"/>
  <c r="AZ18" i="18" s="1"/>
  <c r="AY127" i="18"/>
  <c r="AY18" i="18" s="1"/>
  <c r="AX127" i="18"/>
  <c r="AX18" i="18" s="1"/>
  <c r="AW127" i="18"/>
  <c r="AW18" i="18" s="1"/>
  <c r="AV127" i="18"/>
  <c r="AV18" i="18" s="1"/>
  <c r="AU127" i="18"/>
  <c r="AU18" i="18" s="1"/>
  <c r="AT127" i="18"/>
  <c r="AT18" i="18" s="1"/>
  <c r="AS127" i="18"/>
  <c r="AS18" i="18" s="1"/>
  <c r="AR127" i="18"/>
  <c r="AR18" i="18" s="1"/>
  <c r="AQ127" i="18"/>
  <c r="AQ18" i="18" s="1"/>
  <c r="AP127" i="18"/>
  <c r="AP18" i="18" s="1"/>
  <c r="AO127" i="18"/>
  <c r="AO18" i="18" s="1"/>
  <c r="AN127" i="18"/>
  <c r="AN18" i="18" s="1"/>
  <c r="AM127" i="18"/>
  <c r="AM18" i="18" s="1"/>
  <c r="AL127" i="18"/>
  <c r="AL18" i="18" s="1"/>
  <c r="AK127" i="18"/>
  <c r="AK18" i="18" s="1"/>
  <c r="AJ127" i="18"/>
  <c r="AJ18" i="18" s="1"/>
  <c r="AI127" i="18"/>
  <c r="AI18" i="18" s="1"/>
  <c r="AH127" i="18"/>
  <c r="AH18" i="18" s="1"/>
  <c r="AG127" i="18"/>
  <c r="AG18" i="18" s="1"/>
  <c r="AF127" i="18"/>
  <c r="AF18" i="18" s="1"/>
  <c r="AE127" i="18"/>
  <c r="AE18" i="18" s="1"/>
  <c r="AD127" i="18"/>
  <c r="AD18" i="18" s="1"/>
  <c r="AC127" i="18"/>
  <c r="AC18" i="18" s="1"/>
  <c r="AB127" i="18"/>
  <c r="AB18" i="18" s="1"/>
  <c r="AA127" i="18"/>
  <c r="AA18" i="18" s="1"/>
  <c r="Z127" i="18"/>
  <c r="Z18" i="18" s="1"/>
  <c r="Y127" i="18"/>
  <c r="Y18" i="18" s="1"/>
  <c r="X127" i="18"/>
  <c r="X18" i="18" s="1"/>
  <c r="W127" i="18"/>
  <c r="W18" i="18" s="1"/>
  <c r="V127" i="18"/>
  <c r="V18" i="18" s="1"/>
  <c r="U127" i="18"/>
  <c r="U18" i="18" s="1"/>
  <c r="T127" i="18"/>
  <c r="T18" i="18" s="1"/>
  <c r="S127" i="18"/>
  <c r="S18" i="18" s="1"/>
  <c r="R88" i="18"/>
  <c r="AP88" i="18" s="1"/>
  <c r="AS88" i="18" s="1"/>
  <c r="R87" i="18"/>
  <c r="R86" i="18"/>
  <c r="AP86" i="18" s="1"/>
  <c r="AS86" i="18" s="1"/>
  <c r="R85" i="18"/>
  <c r="R84" i="18"/>
  <c r="AY84" i="18" s="1"/>
  <c r="BB84" i="18" s="1"/>
  <c r="R83" i="18"/>
  <c r="AP83" i="18" s="1"/>
  <c r="AS83" i="18" s="1"/>
  <c r="R82" i="18"/>
  <c r="R81" i="18"/>
  <c r="Y74" i="18"/>
  <c r="AZ72" i="18"/>
  <c r="S71" i="18"/>
  <c r="Y71" i="18" s="1"/>
  <c r="H86" i="18" s="1"/>
  <c r="Y70" i="18"/>
  <c r="Y69" i="18"/>
  <c r="P68" i="18"/>
  <c r="P72" i="18" s="1"/>
  <c r="M68" i="18"/>
  <c r="M73" i="18" s="1"/>
  <c r="J68" i="18"/>
  <c r="J73" i="18" s="1"/>
  <c r="G68" i="18"/>
  <c r="D68" i="18"/>
  <c r="D37" i="18"/>
  <c r="AP27" i="18"/>
  <c r="AX25" i="18"/>
  <c r="AX27" i="18" s="1"/>
  <c r="BA25" i="18" s="1"/>
  <c r="AP25" i="18"/>
  <c r="AG25" i="18"/>
  <c r="S25" i="18"/>
  <c r="N2" i="18"/>
  <c r="D2" i="18"/>
  <c r="T3" i="23" s="1"/>
  <c r="Y68" i="18" l="1"/>
  <c r="AP81" i="18"/>
  <c r="AS81" i="18" s="1"/>
  <c r="AE81" i="18"/>
  <c r="AH81" i="18" s="1"/>
  <c r="AY82" i="18"/>
  <c r="BB82" i="18" s="1"/>
  <c r="AP82" i="18"/>
  <c r="AS82" i="18" s="1"/>
  <c r="AE82" i="18"/>
  <c r="AH82" i="18" s="1"/>
  <c r="W139" i="18"/>
  <c r="V139" i="18"/>
  <c r="U139" i="18"/>
  <c r="S137" i="18"/>
  <c r="S140" i="18" s="1"/>
  <c r="S139" i="18"/>
  <c r="AM174" i="18"/>
  <c r="AZ22" i="18"/>
  <c r="BD22" i="18"/>
  <c r="J205" i="18"/>
  <c r="AE116" i="18" s="1"/>
  <c r="S174" i="18"/>
  <c r="AY174" i="18"/>
  <c r="AY22" i="18"/>
  <c r="G73" i="18"/>
  <c r="P76" i="18"/>
  <c r="G76" i="18"/>
  <c r="J76" i="18"/>
  <c r="M76" i="18"/>
  <c r="D75" i="18"/>
  <c r="G75" i="18"/>
  <c r="J75" i="18"/>
  <c r="M75" i="18"/>
  <c r="P75" i="18"/>
  <c r="AE21" i="21"/>
  <c r="AE22" i="21" s="1"/>
  <c r="D64" i="18"/>
  <c r="D2" i="21"/>
  <c r="BA166" i="18"/>
  <c r="AZ175" i="18"/>
  <c r="AZ128" i="18" s="1"/>
  <c r="AZ19" i="18" s="1"/>
  <c r="BE166" i="18"/>
  <c r="AI174" i="18"/>
  <c r="AV175" i="18"/>
  <c r="AV128" i="18" s="1"/>
  <c r="AV130" i="18" s="1"/>
  <c r="AV143" i="18" s="1"/>
  <c r="AV21" i="18" s="1"/>
  <c r="Q187" i="18"/>
  <c r="AD38" i="18" s="1"/>
  <c r="Q188" i="18"/>
  <c r="R188" i="18" s="1"/>
  <c r="AG39" i="18" s="1"/>
  <c r="BD175" i="18"/>
  <c r="BD128" i="18" s="1"/>
  <c r="BD130" i="18" s="1"/>
  <c r="BD143" i="18" s="1"/>
  <c r="BD21" i="18" s="1"/>
  <c r="BB166" i="18"/>
  <c r="W174" i="18"/>
  <c r="BC174" i="18"/>
  <c r="AB175" i="18"/>
  <c r="AB128" i="18" s="1"/>
  <c r="AB130" i="18" s="1"/>
  <c r="AA174" i="18"/>
  <c r="AQ174" i="18"/>
  <c r="T180" i="18"/>
  <c r="AC180" i="18"/>
  <c r="S182" i="18"/>
  <c r="AB182" i="18"/>
  <c r="W182" i="18"/>
  <c r="AF182" i="18"/>
  <c r="AE174" i="18"/>
  <c r="AU174" i="18"/>
  <c r="S180" i="18"/>
  <c r="AB180" i="18"/>
  <c r="W180" i="18"/>
  <c r="AF180" i="18"/>
  <c r="V182" i="18"/>
  <c r="AE182" i="18"/>
  <c r="V180" i="18"/>
  <c r="AE180" i="18"/>
  <c r="U182" i="18"/>
  <c r="AD182" i="18"/>
  <c r="U180" i="18"/>
  <c r="AD180" i="18"/>
  <c r="T182" i="18"/>
  <c r="AC182" i="18"/>
  <c r="AV22" i="18"/>
  <c r="T167" i="18"/>
  <c r="X169" i="18"/>
  <c r="AC161" i="18"/>
  <c r="AB167" i="18"/>
  <c r="Y174" i="18"/>
  <c r="AG174" i="18"/>
  <c r="AO174" i="18"/>
  <c r="AW174" i="18"/>
  <c r="BE174" i="18"/>
  <c r="AK161" i="18"/>
  <c r="AZ167" i="18"/>
  <c r="U174" i="18"/>
  <c r="AC174" i="18"/>
  <c r="AK174" i="18"/>
  <c r="AS174" i="18"/>
  <c r="BA174" i="18"/>
  <c r="S163" i="18"/>
  <c r="V163" i="18"/>
  <c r="W163" i="18"/>
  <c r="AS161" i="18"/>
  <c r="AJ167" i="18"/>
  <c r="AV169" i="18"/>
  <c r="U161" i="18"/>
  <c r="BA161" i="18"/>
  <c r="AR167" i="18"/>
  <c r="AE84" i="18"/>
  <c r="AH84" i="18" s="1"/>
  <c r="AP84" i="18"/>
  <c r="AS84" i="18" s="1"/>
  <c r="P73" i="18"/>
  <c r="M72" i="18"/>
  <c r="J72" i="18"/>
  <c r="Q186" i="18"/>
  <c r="AA187" i="18"/>
  <c r="W162" i="18"/>
  <c r="D198" i="18"/>
  <c r="D199" i="18" s="1"/>
  <c r="I117" i="18" s="1"/>
  <c r="BE129" i="18"/>
  <c r="BE20" i="18" s="1"/>
  <c r="BA19" i="18"/>
  <c r="AX22" i="18"/>
  <c r="BE22" i="18"/>
  <c r="BB22" i="18"/>
  <c r="AG161" i="18"/>
  <c r="AW161" i="18"/>
  <c r="AF167" i="18"/>
  <c r="AV167" i="18"/>
  <c r="V174" i="18"/>
  <c r="Z174" i="18"/>
  <c r="AD174" i="18"/>
  <c r="AH174" i="18"/>
  <c r="AL174" i="18"/>
  <c r="AP174" i="18"/>
  <c r="AT174" i="18"/>
  <c r="AX174" i="18"/>
  <c r="BB174" i="18"/>
  <c r="Y161" i="18"/>
  <c r="AO161" i="18"/>
  <c r="BE161" i="18"/>
  <c r="X167" i="18"/>
  <c r="AN167" i="18"/>
  <c r="BD167" i="18"/>
  <c r="T174" i="18"/>
  <c r="X174" i="18"/>
  <c r="AB174" i="18"/>
  <c r="AF174" i="18"/>
  <c r="AJ174" i="18"/>
  <c r="AN174" i="18"/>
  <c r="AR174" i="18"/>
  <c r="AV174" i="18"/>
  <c r="AZ174" i="18"/>
  <c r="U163" i="18"/>
  <c r="S162" i="18"/>
  <c r="T162" i="18"/>
  <c r="T163" i="18"/>
  <c r="V161" i="18"/>
  <c r="Z161" i="18"/>
  <c r="AD161" i="18"/>
  <c r="AH161" i="18"/>
  <c r="AL161" i="18"/>
  <c r="AP161" i="18"/>
  <c r="AT161" i="18"/>
  <c r="AX161" i="18"/>
  <c r="BB161" i="18"/>
  <c r="U167" i="18"/>
  <c r="Y167" i="18"/>
  <c r="AC167" i="18"/>
  <c r="AG167" i="18"/>
  <c r="AK167" i="18"/>
  <c r="AO167" i="18"/>
  <c r="AS167" i="18"/>
  <c r="AW167" i="18"/>
  <c r="BA167" i="18"/>
  <c r="BE167" i="18"/>
  <c r="S161" i="18"/>
  <c r="W161" i="18"/>
  <c r="AA161" i="18"/>
  <c r="AE161" i="18"/>
  <c r="AI161" i="18"/>
  <c r="AM161" i="18"/>
  <c r="AQ161" i="18"/>
  <c r="AU161" i="18"/>
  <c r="AY161" i="18"/>
  <c r="BC161" i="18"/>
  <c r="V167" i="18"/>
  <c r="Z167" i="18"/>
  <c r="AD167" i="18"/>
  <c r="AH167" i="18"/>
  <c r="AL167" i="18"/>
  <c r="AP167" i="18"/>
  <c r="AT167" i="18"/>
  <c r="AX167" i="18"/>
  <c r="BB167" i="18"/>
  <c r="T161" i="18"/>
  <c r="X161" i="18"/>
  <c r="AB161" i="18"/>
  <c r="AF161" i="18"/>
  <c r="AJ161" i="18"/>
  <c r="AN161" i="18"/>
  <c r="AR161" i="18"/>
  <c r="AV161" i="18"/>
  <c r="AZ161" i="18"/>
  <c r="BD161" i="18"/>
  <c r="S167" i="18"/>
  <c r="W167" i="18"/>
  <c r="AA167" i="18"/>
  <c r="AE167" i="18"/>
  <c r="AI167" i="18"/>
  <c r="AM167" i="18"/>
  <c r="AQ167" i="18"/>
  <c r="AU167" i="18"/>
  <c r="AY167" i="18"/>
  <c r="AF169" i="18"/>
  <c r="AZ169" i="18"/>
  <c r="AJ169" i="18"/>
  <c r="BD169" i="18"/>
  <c r="T169" i="18"/>
  <c r="AN169" i="18"/>
  <c r="G205" i="18"/>
  <c r="AB116" i="18" s="1"/>
  <c r="BA142" i="18"/>
  <c r="BA24" i="18" s="1"/>
  <c r="BA22" i="18"/>
  <c r="AE83" i="18"/>
  <c r="AH83" i="18" s="1"/>
  <c r="AW142" i="18"/>
  <c r="AW24" i="18" s="1"/>
  <c r="AW22" i="18"/>
  <c r="Y166" i="18"/>
  <c r="Y175" i="18" s="1"/>
  <c r="Y128" i="18" s="1"/>
  <c r="AG166" i="18"/>
  <c r="AG175" i="18" s="1"/>
  <c r="AG128" i="18" s="1"/>
  <c r="AO166" i="18"/>
  <c r="AO175" i="18" s="1"/>
  <c r="AO128" i="18" s="1"/>
  <c r="AW166" i="18"/>
  <c r="AJ175" i="18"/>
  <c r="AJ128" i="18" s="1"/>
  <c r="AJ19" i="18" s="1"/>
  <c r="S27" i="18"/>
  <c r="AX166" i="18"/>
  <c r="T175" i="18"/>
  <c r="T128" i="18" s="1"/>
  <c r="T19" i="18" s="1"/>
  <c r="AN175" i="18"/>
  <c r="AN128" i="18" s="1"/>
  <c r="AN129" i="18" s="1"/>
  <c r="AN20" i="18" s="1"/>
  <c r="AX129" i="18"/>
  <c r="AX20" i="18" s="1"/>
  <c r="AX19" i="18"/>
  <c r="U166" i="18"/>
  <c r="U175" i="18" s="1"/>
  <c r="U128" i="18" s="1"/>
  <c r="AC166" i="18"/>
  <c r="AC175" i="18" s="1"/>
  <c r="AC128" i="18" s="1"/>
  <c r="AK166" i="18"/>
  <c r="AK175" i="18" s="1"/>
  <c r="AK128" i="18" s="1"/>
  <c r="AS166" i="18"/>
  <c r="AS175" i="18" s="1"/>
  <c r="AS128" i="18" s="1"/>
  <c r="X175" i="18"/>
  <c r="X128" i="18" s="1"/>
  <c r="X129" i="18" s="1"/>
  <c r="X20" i="18" s="1"/>
  <c r="AR175" i="18"/>
  <c r="AR128" i="18" s="1"/>
  <c r="AR129" i="18" s="1"/>
  <c r="AR20" i="18" s="1"/>
  <c r="V25" i="18"/>
  <c r="W39" i="18"/>
  <c r="I38" i="18"/>
  <c r="N37" i="18"/>
  <c r="D136" i="18"/>
  <c r="N38" i="18"/>
  <c r="D38" i="18"/>
  <c r="D73" i="18"/>
  <c r="D72" i="18"/>
  <c r="BE145" i="18"/>
  <c r="BE130" i="18"/>
  <c r="BE143" i="18" s="1"/>
  <c r="BE21" i="18" s="1"/>
  <c r="BE138" i="18"/>
  <c r="BE141" i="18" s="1"/>
  <c r="BE23" i="18" s="1"/>
  <c r="AY83" i="18"/>
  <c r="BB83" i="18" s="1"/>
  <c r="AY85" i="18"/>
  <c r="BB85" i="18" s="1"/>
  <c r="AE85" i="18"/>
  <c r="AH85" i="18" s="1"/>
  <c r="AP85" i="18"/>
  <c r="AS85" i="18" s="1"/>
  <c r="AV129" i="18"/>
  <c r="AV20" i="18" s="1"/>
  <c r="AV145" i="18"/>
  <c r="AV138" i="18"/>
  <c r="AV141" i="18" s="1"/>
  <c r="AV23" i="18" s="1"/>
  <c r="BA130" i="18"/>
  <c r="BA143" i="18" s="1"/>
  <c r="BA21" i="18" s="1"/>
  <c r="BA145" i="18"/>
  <c r="BA138" i="18"/>
  <c r="BA141" i="18" s="1"/>
  <c r="BA23" i="18" s="1"/>
  <c r="AY87" i="18"/>
  <c r="BB87" i="18" s="1"/>
  <c r="AE87" i="18"/>
  <c r="AH87" i="18" s="1"/>
  <c r="AP87" i="18"/>
  <c r="AS87" i="18" s="1"/>
  <c r="F156" i="18" a="1"/>
  <c r="F156" i="18" s="1"/>
  <c r="AG26" i="18" s="1"/>
  <c r="F157" i="18" a="1"/>
  <c r="F157" i="18" s="1"/>
  <c r="AF129" i="18"/>
  <c r="AF20" i="18" s="1"/>
  <c r="AW145" i="18"/>
  <c r="AW130" i="18"/>
  <c r="AW143" i="18" s="1"/>
  <c r="AW21" i="18" s="1"/>
  <c r="AW129" i="18"/>
  <c r="AW20" i="18" s="1"/>
  <c r="AW138" i="18"/>
  <c r="AW141" i="18" s="1"/>
  <c r="AW23" i="18" s="1"/>
  <c r="BB145" i="18"/>
  <c r="BB138" i="18"/>
  <c r="BB141" i="18" s="1"/>
  <c r="BB23" i="18" s="1"/>
  <c r="BB129" i="18"/>
  <c r="BB20" i="18" s="1"/>
  <c r="AF130" i="18"/>
  <c r="BB130" i="18"/>
  <c r="BB143" i="18" s="1"/>
  <c r="BB21" i="18" s="1"/>
  <c r="U137" i="18"/>
  <c r="T137" i="18"/>
  <c r="J136" i="18"/>
  <c r="BC142" i="18"/>
  <c r="BC24" i="18" s="1"/>
  <c r="BC22" i="18"/>
  <c r="G136" i="18"/>
  <c r="L136" i="18"/>
  <c r="S166" i="18"/>
  <c r="S175" i="18" s="1"/>
  <c r="S128" i="18" s="1"/>
  <c r="S138" i="18" s="1"/>
  <c r="W166" i="18"/>
  <c r="W175" i="18" s="1"/>
  <c r="W128" i="18" s="1"/>
  <c r="AA166" i="18"/>
  <c r="AA175" i="18" s="1"/>
  <c r="AA128" i="18" s="1"/>
  <c r="AE166" i="18"/>
  <c r="AE175" i="18" s="1"/>
  <c r="AE128" i="18" s="1"/>
  <c r="AI166" i="18"/>
  <c r="AI175" i="18" s="1"/>
  <c r="AI128" i="18" s="1"/>
  <c r="AM166" i="18"/>
  <c r="AM175" i="18" s="1"/>
  <c r="AM128" i="18" s="1"/>
  <c r="AQ166" i="18"/>
  <c r="AQ175" i="18" s="1"/>
  <c r="AQ128" i="18" s="1"/>
  <c r="AU166" i="18"/>
  <c r="AU175" i="18" s="1"/>
  <c r="AU128" i="18" s="1"/>
  <c r="AY175" i="18"/>
  <c r="AY128" i="18" s="1"/>
  <c r="AY166" i="18"/>
  <c r="BC175" i="18"/>
  <c r="BC128" i="18" s="1"/>
  <c r="BC166" i="18"/>
  <c r="H136" i="18"/>
  <c r="N136" i="18"/>
  <c r="G72" i="18"/>
  <c r="AY81" i="18"/>
  <c r="BB81" i="18" s="1"/>
  <c r="AY86" i="18"/>
  <c r="BB86" i="18" s="1"/>
  <c r="AE86" i="18"/>
  <c r="AH86" i="18" s="1"/>
  <c r="AY88" i="18"/>
  <c r="BB88" i="18" s="1"/>
  <c r="AE88" i="18"/>
  <c r="AH88" i="18" s="1"/>
  <c r="AX145" i="18"/>
  <c r="AX138" i="18"/>
  <c r="AX141" i="18" s="1"/>
  <c r="AX23" i="18" s="1"/>
  <c r="BD145" i="18"/>
  <c r="BD129" i="18"/>
  <c r="BD20" i="18" s="1"/>
  <c r="BD138" i="18"/>
  <c r="BD141" i="18" s="1"/>
  <c r="BD23" i="18" s="1"/>
  <c r="M136" i="18"/>
  <c r="I136" i="18"/>
  <c r="E136" i="18"/>
  <c r="X139" i="18" s="1"/>
  <c r="F136" i="18"/>
  <c r="K136" i="18"/>
  <c r="AB169" i="18"/>
  <c r="BC169" i="18"/>
  <c r="AY169" i="18"/>
  <c r="AU169" i="18"/>
  <c r="AQ169" i="18"/>
  <c r="AM169" i="18"/>
  <c r="AI169" i="18"/>
  <c r="AE169" i="18"/>
  <c r="AA169" i="18"/>
  <c r="W169" i="18"/>
  <c r="S169" i="18"/>
  <c r="BB169" i="18"/>
  <c r="AX169" i="18"/>
  <c r="AT169" i="18"/>
  <c r="AP169" i="18"/>
  <c r="AL169" i="18"/>
  <c r="AH169" i="18"/>
  <c r="AD169" i="18"/>
  <c r="Z169" i="18"/>
  <c r="V169" i="18"/>
  <c r="BE169" i="18"/>
  <c r="BA169" i="18"/>
  <c r="AW169" i="18"/>
  <c r="AS169" i="18"/>
  <c r="AO169" i="18"/>
  <c r="AK169" i="18"/>
  <c r="AG169" i="18"/>
  <c r="AC169" i="18"/>
  <c r="Y169" i="18"/>
  <c r="U169" i="18"/>
  <c r="V175" i="18"/>
  <c r="V128" i="18" s="1"/>
  <c r="Z175" i="18"/>
  <c r="Z128" i="18" s="1"/>
  <c r="AD175" i="18"/>
  <c r="AD128" i="18" s="1"/>
  <c r="AH175" i="18"/>
  <c r="AH128" i="18" s="1"/>
  <c r="AL175" i="18"/>
  <c r="AL128" i="18" s="1"/>
  <c r="AP175" i="18"/>
  <c r="AP128" i="18" s="1"/>
  <c r="AT175" i="18"/>
  <c r="AT128" i="18" s="1"/>
  <c r="AA186" i="18"/>
  <c r="I119" i="18" l="1"/>
  <c r="AF95" i="18"/>
  <c r="AV95" i="18"/>
  <c r="AJ95" i="18"/>
  <c r="AB95" i="18"/>
  <c r="AZ95" i="18" s="1"/>
  <c r="AN95" i="18"/>
  <c r="AR95" i="18"/>
  <c r="AR120" i="18"/>
  <c r="AY120" i="18" s="1"/>
  <c r="AY119" i="18"/>
  <c r="AO139" i="18"/>
  <c r="AR117" i="18"/>
  <c r="AR118" i="18"/>
  <c r="AY118" i="18"/>
  <c r="AZ145" i="18"/>
  <c r="AY117" i="18"/>
  <c r="AY114" i="18"/>
  <c r="BD19" i="18"/>
  <c r="R187" i="18"/>
  <c r="AG38" i="18" s="1"/>
  <c r="AZ130" i="18"/>
  <c r="AZ143" i="18" s="1"/>
  <c r="AZ21" i="18" s="1"/>
  <c r="AZ129" i="18"/>
  <c r="AZ20" i="18" s="1"/>
  <c r="AZ138" i="18"/>
  <c r="AZ141" i="18" s="1"/>
  <c r="AZ23" i="18" s="1"/>
  <c r="AH139" i="18"/>
  <c r="Y139" i="18"/>
  <c r="AR139" i="18"/>
  <c r="AD39" i="18"/>
  <c r="V137" i="18"/>
  <c r="V140" i="18" s="1"/>
  <c r="V142" i="18" s="1"/>
  <c r="V24" i="18" s="1"/>
  <c r="Y145" i="18"/>
  <c r="S142" i="18"/>
  <c r="S24" i="18" s="1"/>
  <c r="S22" i="18"/>
  <c r="U140" i="18"/>
  <c r="U142" i="18" s="1"/>
  <c r="U24" i="18" s="1"/>
  <c r="T140" i="18"/>
  <c r="T22" i="18" s="1"/>
  <c r="AF21" i="21"/>
  <c r="AF22" i="21" s="1"/>
  <c r="X145" i="18"/>
  <c r="T129" i="18"/>
  <c r="T20" i="18" s="1"/>
  <c r="AN138" i="18"/>
  <c r="AB145" i="18"/>
  <c r="AB143" i="18"/>
  <c r="AB21" i="18" s="1"/>
  <c r="AB19" i="18"/>
  <c r="AB129" i="18"/>
  <c r="AB20" i="18" s="1"/>
  <c r="AV19" i="18"/>
  <c r="W137" i="18"/>
  <c r="AS129" i="18"/>
  <c r="AS20" i="18" s="1"/>
  <c r="AS145" i="18"/>
  <c r="AS19" i="18"/>
  <c r="AS130" i="18"/>
  <c r="AS143" i="18" s="1"/>
  <c r="AS21" i="18" s="1"/>
  <c r="AO19" i="18"/>
  <c r="AO129" i="18"/>
  <c r="AO20" i="18" s="1"/>
  <c r="AO130" i="18"/>
  <c r="AO143" i="18" s="1"/>
  <c r="AO21" i="18" s="1"/>
  <c r="AK129" i="18"/>
  <c r="AK20" i="18" s="1"/>
  <c r="AK19" i="18"/>
  <c r="AK130" i="18"/>
  <c r="AK143" i="18" s="1"/>
  <c r="AK21" i="18" s="1"/>
  <c r="AG130" i="18"/>
  <c r="AG129" i="18"/>
  <c r="AG20" i="18" s="1"/>
  <c r="AG19" i="18"/>
  <c r="AC129" i="18"/>
  <c r="AC20" i="18" s="1"/>
  <c r="AC145" i="18"/>
  <c r="AC19" i="18"/>
  <c r="AC130" i="18"/>
  <c r="AC143" i="18" s="1"/>
  <c r="AC21" i="18" s="1"/>
  <c r="Y129" i="18"/>
  <c r="Y20" i="18" s="1"/>
  <c r="Y19" i="18"/>
  <c r="Y130" i="18"/>
  <c r="Y143" i="18" s="1"/>
  <c r="Y21" i="18" s="1"/>
  <c r="U19" i="18"/>
  <c r="U130" i="18"/>
  <c r="U143" i="18" s="1"/>
  <c r="U21" i="18" s="1"/>
  <c r="U138" i="18"/>
  <c r="U129" i="18"/>
  <c r="U20" i="18" s="1"/>
  <c r="AK145" i="18"/>
  <c r="U145" i="18"/>
  <c r="Y72" i="18"/>
  <c r="X138" i="18"/>
  <c r="AN145" i="18"/>
  <c r="AB187" i="18"/>
  <c r="AV38" i="18" s="1"/>
  <c r="AS38" i="18"/>
  <c r="R186" i="18"/>
  <c r="AG37" i="18" s="1"/>
  <c r="AD37" i="18"/>
  <c r="AJ130" i="18"/>
  <c r="AJ143" i="18" s="1"/>
  <c r="AJ21" i="18" s="1"/>
  <c r="AJ129" i="18"/>
  <c r="AJ20" i="18" s="1"/>
  <c r="T130" i="18"/>
  <c r="T143" i="18" s="1"/>
  <c r="T21" i="18" s="1"/>
  <c r="AR130" i="18"/>
  <c r="AR143" i="18" s="1"/>
  <c r="AR21" i="18" s="1"/>
  <c r="AR19" i="18"/>
  <c r="T145" i="18"/>
  <c r="T138" i="18"/>
  <c r="X19" i="18"/>
  <c r="X130" i="18"/>
  <c r="X143" i="18" s="1"/>
  <c r="X21" i="18" s="1"/>
  <c r="AN130" i="18"/>
  <c r="AN143" i="18" s="1"/>
  <c r="AN21" i="18" s="1"/>
  <c r="AN19" i="18"/>
  <c r="AH145" i="18"/>
  <c r="AH138" i="18"/>
  <c r="AH129" i="18"/>
  <c r="AH20" i="18" s="1"/>
  <c r="AH19" i="18"/>
  <c r="AH130" i="18"/>
  <c r="AH143" i="18" s="1"/>
  <c r="AH21" i="18" s="1"/>
  <c r="AU145" i="18"/>
  <c r="AU138" i="18"/>
  <c r="AU130" i="18"/>
  <c r="AU143" i="18" s="1"/>
  <c r="AU21" i="18" s="1"/>
  <c r="AU19" i="18"/>
  <c r="AU129" i="18"/>
  <c r="AU20" i="18" s="1"/>
  <c r="AE145" i="18"/>
  <c r="AE138" i="18"/>
  <c r="AE130" i="18"/>
  <c r="AE143" i="18" s="1"/>
  <c r="AE21" i="18" s="1"/>
  <c r="AE19" i="18"/>
  <c r="AE129" i="18"/>
  <c r="AE20" i="18" s="1"/>
  <c r="X137" i="18"/>
  <c r="AT137" i="18"/>
  <c r="AP137" i="18"/>
  <c r="AC137" i="18"/>
  <c r="AT145" i="18"/>
  <c r="AT138" i="18"/>
  <c r="AT130" i="18"/>
  <c r="AT143" i="18" s="1"/>
  <c r="AT21" i="18" s="1"/>
  <c r="AT19" i="18"/>
  <c r="AT129" i="18"/>
  <c r="AT20" i="18" s="1"/>
  <c r="AD145" i="18"/>
  <c r="AD138" i="18"/>
  <c r="AD130" i="18"/>
  <c r="AD143" i="18" s="1"/>
  <c r="AD21" i="18" s="1"/>
  <c r="AD19" i="18"/>
  <c r="AD129" i="18"/>
  <c r="AD20" i="18" s="1"/>
  <c r="AS138" i="18"/>
  <c r="AA137" i="18"/>
  <c r="AB139" i="18"/>
  <c r="AB137" i="18"/>
  <c r="AC139" i="18"/>
  <c r="AD137" i="18"/>
  <c r="AD139" i="18"/>
  <c r="Z137" i="18"/>
  <c r="AU137" i="18"/>
  <c r="AP139" i="18"/>
  <c r="AG137" i="18"/>
  <c r="AA139" i="18"/>
  <c r="AQ139" i="18"/>
  <c r="AF138" i="18"/>
  <c r="AG145" i="18"/>
  <c r="AP145" i="18"/>
  <c r="AP138" i="18"/>
  <c r="AP130" i="18"/>
  <c r="AP143" i="18" s="1"/>
  <c r="AP21" i="18" s="1"/>
  <c r="AP129" i="18"/>
  <c r="AP20" i="18" s="1"/>
  <c r="AP19" i="18"/>
  <c r="AY145" i="18"/>
  <c r="AY138" i="18"/>
  <c r="AY141" i="18" s="1"/>
  <c r="AY23" i="18" s="1"/>
  <c r="AY19" i="18"/>
  <c r="AY130" i="18"/>
  <c r="AY143" i="18" s="1"/>
  <c r="AY21" i="18" s="1"/>
  <c r="AY129" i="18"/>
  <c r="AY20" i="18" s="1"/>
  <c r="AQ129" i="18"/>
  <c r="AQ20" i="18" s="1"/>
  <c r="AQ145" i="18"/>
  <c r="AQ138" i="18"/>
  <c r="AQ19" i="18"/>
  <c r="AQ130" i="18"/>
  <c r="AQ143" i="18" s="1"/>
  <c r="AQ21" i="18" s="1"/>
  <c r="AI145" i="18"/>
  <c r="AI138" i="18"/>
  <c r="AI129" i="18"/>
  <c r="AI20" i="18" s="1"/>
  <c r="AI19" i="18"/>
  <c r="AI130" i="18"/>
  <c r="AI143" i="18" s="1"/>
  <c r="AI21" i="18" s="1"/>
  <c r="AA145" i="18"/>
  <c r="AA129" i="18"/>
  <c r="AA20" i="18" s="1"/>
  <c r="AA138" i="18"/>
  <c r="AA19" i="18"/>
  <c r="AA130" i="18"/>
  <c r="AA143" i="18" s="1"/>
  <c r="AA21" i="18" s="1"/>
  <c r="S145" i="18"/>
  <c r="S141" i="18"/>
  <c r="S23" i="18" s="1"/>
  <c r="S19" i="18"/>
  <c r="S129" i="18"/>
  <c r="S20" i="18" s="1"/>
  <c r="S130" i="18"/>
  <c r="S143" i="18" s="1"/>
  <c r="S21" i="18" s="1"/>
  <c r="AF137" i="18"/>
  <c r="AG139" i="18"/>
  <c r="AH137" i="18"/>
  <c r="AN139" i="18"/>
  <c r="AI137" i="18"/>
  <c r="AJ139" i="18"/>
  <c r="AE137" i="18"/>
  <c r="Z139" i="18"/>
  <c r="AK137" i="18"/>
  <c r="AE139" i="18"/>
  <c r="AU139" i="18"/>
  <c r="AR138" i="18"/>
  <c r="AF145" i="18"/>
  <c r="AO138" i="18"/>
  <c r="AJ138" i="18"/>
  <c r="AG138" i="18"/>
  <c r="Y73" i="18"/>
  <c r="W38" i="18"/>
  <c r="Z145" i="18"/>
  <c r="Z138" i="18"/>
  <c r="Z130" i="18"/>
  <c r="Z143" i="18" s="1"/>
  <c r="Z21" i="18" s="1"/>
  <c r="Z129" i="18"/>
  <c r="Z20" i="18" s="1"/>
  <c r="Z19" i="18"/>
  <c r="AB186" i="18"/>
  <c r="AV37" i="18" s="1"/>
  <c r="AS37" i="18"/>
  <c r="AL145" i="18"/>
  <c r="AL138" i="18"/>
  <c r="AL129" i="18"/>
  <c r="AL20" i="18" s="1"/>
  <c r="AL130" i="18"/>
  <c r="AL19" i="18"/>
  <c r="V145" i="18"/>
  <c r="V138" i="18"/>
  <c r="V129" i="18"/>
  <c r="V20" i="18" s="1"/>
  <c r="V19" i="18"/>
  <c r="V130" i="18"/>
  <c r="V143" i="18" s="1"/>
  <c r="V21" i="18" s="1"/>
  <c r="AC138" i="18"/>
  <c r="AL137" i="18"/>
  <c r="AL139" i="18"/>
  <c r="AM137" i="18"/>
  <c r="AS139" i="18"/>
  <c r="AN137" i="18"/>
  <c r="AT139" i="18"/>
  <c r="AJ137" i="18"/>
  <c r="AF139" i="18"/>
  <c r="Y137" i="18"/>
  <c r="AO137" i="18"/>
  <c r="AI139" i="18"/>
  <c r="Y138" i="18"/>
  <c r="W37" i="18"/>
  <c r="BC145" i="18"/>
  <c r="BC138" i="18"/>
  <c r="BC141" i="18" s="1"/>
  <c r="BC23" i="18" s="1"/>
  <c r="BC19" i="18"/>
  <c r="BC129" i="18"/>
  <c r="BC20" i="18" s="1"/>
  <c r="BC130" i="18"/>
  <c r="BC143" i="18" s="1"/>
  <c r="BC21" i="18" s="1"/>
  <c r="AM145" i="18"/>
  <c r="AM138" i="18"/>
  <c r="AM130" i="18"/>
  <c r="AM143" i="18" s="1"/>
  <c r="AM21" i="18" s="1"/>
  <c r="AM19" i="18"/>
  <c r="AM129" i="18"/>
  <c r="AM20" i="18" s="1"/>
  <c r="W145" i="18"/>
  <c r="W138" i="18"/>
  <c r="W19" i="18"/>
  <c r="W130" i="18"/>
  <c r="W143" i="18" s="1"/>
  <c r="W21" i="18" s="1"/>
  <c r="W129" i="18"/>
  <c r="W20" i="18" s="1"/>
  <c r="AQ137" i="18"/>
  <c r="AR137" i="18"/>
  <c r="AK139" i="18"/>
  <c r="AS137" i="18"/>
  <c r="AM139" i="18"/>
  <c r="AF143" i="18"/>
  <c r="AF21" i="18" s="1"/>
  <c r="AR145" i="18"/>
  <c r="AJ25" i="18"/>
  <c r="AG27" i="18"/>
  <c r="AK138" i="18"/>
  <c r="AB138" i="18"/>
  <c r="AO145" i="18"/>
  <c r="AJ145" i="18"/>
  <c r="AG143" i="18"/>
  <c r="AG21" i="18" s="1"/>
  <c r="G200" i="18" l="1"/>
  <c r="L118" i="18" s="1"/>
  <c r="J200" i="18"/>
  <c r="O118" i="18" s="1"/>
  <c r="D200" i="18"/>
  <c r="I118" i="18" s="1"/>
  <c r="AR140" i="18"/>
  <c r="AR142" i="18" s="1"/>
  <c r="AR24" i="18" s="1"/>
  <c r="X140" i="18"/>
  <c r="X22" i="18" s="1"/>
  <c r="W140" i="18"/>
  <c r="W22" i="18" s="1"/>
  <c r="T142" i="18"/>
  <c r="T24" i="18" s="1"/>
  <c r="Y140" i="18"/>
  <c r="Y22" i="18" s="1"/>
  <c r="U22" i="18"/>
  <c r="AI140" i="18"/>
  <c r="AI142" i="18" s="1"/>
  <c r="AI24" i="18" s="1"/>
  <c r="U141" i="18"/>
  <c r="U23" i="18" s="1"/>
  <c r="AD140" i="18"/>
  <c r="AD142" i="18" s="1"/>
  <c r="AD24" i="18" s="1"/>
  <c r="AN140" i="18"/>
  <c r="AN141" i="18" s="1"/>
  <c r="AN23" i="18" s="1"/>
  <c r="T141" i="18"/>
  <c r="T23" i="18" s="1"/>
  <c r="AG21" i="21"/>
  <c r="AG22" i="21" s="1"/>
  <c r="V22" i="18"/>
  <c r="AQ140" i="18"/>
  <c r="AQ22" i="18" s="1"/>
  <c r="AJ140" i="18"/>
  <c r="AJ142" i="18" s="1"/>
  <c r="AJ24" i="18" s="1"/>
  <c r="AM140" i="18"/>
  <c r="AM142" i="18" s="1"/>
  <c r="AM24" i="18" s="1"/>
  <c r="Z140" i="18"/>
  <c r="Z141" i="18" s="1"/>
  <c r="Z23" i="18" s="1"/>
  <c r="AE140" i="18"/>
  <c r="AE142" i="18" s="1"/>
  <c r="AE24" i="18" s="1"/>
  <c r="V141" i="18"/>
  <c r="V23" i="18" s="1"/>
  <c r="AF140" i="18"/>
  <c r="AF141" i="18" s="1"/>
  <c r="AF23" i="18" s="1"/>
  <c r="AK140" i="18"/>
  <c r="AK141" i="18" s="1"/>
  <c r="AK23" i="18" s="1"/>
  <c r="AH140" i="18"/>
  <c r="AH142" i="18" s="1"/>
  <c r="AH24" i="18" s="1"/>
  <c r="AO140" i="18"/>
  <c r="AO141" i="18" s="1"/>
  <c r="AO23" i="18" s="1"/>
  <c r="AB140" i="18"/>
  <c r="AB141" i="18" s="1"/>
  <c r="AB23" i="18" s="1"/>
  <c r="AC140" i="18"/>
  <c r="AC141" i="18" s="1"/>
  <c r="AC23" i="18" s="1"/>
  <c r="AL140" i="18"/>
  <c r="AL141" i="18" s="1"/>
  <c r="AL23" i="18" s="1"/>
  <c r="E191" i="18"/>
  <c r="AL143" i="18"/>
  <c r="AL21" i="18" s="1"/>
  <c r="AG140" i="18"/>
  <c r="AG141" i="18" s="1"/>
  <c r="AG23" i="18" s="1"/>
  <c r="AP140" i="18"/>
  <c r="AP141" i="18" s="1"/>
  <c r="AP23" i="18" s="1"/>
  <c r="AS140" i="18"/>
  <c r="AS141" i="18" s="1"/>
  <c r="AS23" i="18" s="1"/>
  <c r="AA140" i="18"/>
  <c r="AA141" i="18" s="1"/>
  <c r="AA23" i="18" s="1"/>
  <c r="AT140" i="18"/>
  <c r="AU140" i="18"/>
  <c r="AU141" i="18" s="1"/>
  <c r="AU23" i="18" s="1"/>
  <c r="AR141" i="18" l="1"/>
  <c r="AR23" i="18" s="1"/>
  <c r="AR22" i="18"/>
  <c r="AQ141" i="18"/>
  <c r="AQ23" i="18" s="1"/>
  <c r="X141" i="18"/>
  <c r="X23" i="18" s="1"/>
  <c r="X142" i="18"/>
  <c r="X24" i="18" s="1"/>
  <c r="W141" i="18"/>
  <c r="W23" i="18" s="1"/>
  <c r="W142" i="18"/>
  <c r="W24" i="18" s="1"/>
  <c r="Y142" i="18"/>
  <c r="Y24" i="18" s="1"/>
  <c r="AD141" i="18"/>
  <c r="AD23" i="18" s="1"/>
  <c r="AI22" i="18"/>
  <c r="Y141" i="18"/>
  <c r="Y23" i="18" s="1"/>
  <c r="AI141" i="18"/>
  <c r="AI23" i="18" s="1"/>
  <c r="AD22" i="18"/>
  <c r="AN22" i="18"/>
  <c r="AM141" i="18"/>
  <c r="AM23" i="18" s="1"/>
  <c r="AN142" i="18"/>
  <c r="AN24" i="18" s="1"/>
  <c r="AJ141" i="18"/>
  <c r="AJ23" i="18" s="1"/>
  <c r="AH141" i="18"/>
  <c r="AH23" i="18" s="1"/>
  <c r="AH21" i="21"/>
  <c r="AH22" i="21" s="1"/>
  <c r="AE141" i="18"/>
  <c r="AE23" i="18" s="1"/>
  <c r="AQ142" i="18"/>
  <c r="AQ24" i="18" s="1"/>
  <c r="Z142" i="18"/>
  <c r="Z24" i="18" s="1"/>
  <c r="AE22" i="18"/>
  <c r="AJ22" i="18"/>
  <c r="AH22" i="18"/>
  <c r="Z22" i="18"/>
  <c r="AF142" i="18"/>
  <c r="AF24" i="18" s="1"/>
  <c r="AM22" i="18"/>
  <c r="AK22" i="18"/>
  <c r="AF22" i="18"/>
  <c r="AK142" i="18"/>
  <c r="AK24" i="18" s="1"/>
  <c r="AS142" i="18"/>
  <c r="AS24" i="18" s="1"/>
  <c r="AS22" i="18"/>
  <c r="AC142" i="18"/>
  <c r="AC24" i="18" s="1"/>
  <c r="AC22" i="18"/>
  <c r="AT142" i="18"/>
  <c r="AT24" i="18" s="1"/>
  <c r="AT22" i="18"/>
  <c r="AT141" i="18"/>
  <c r="AT23" i="18" s="1"/>
  <c r="AG142" i="18"/>
  <c r="AG24" i="18" s="1"/>
  <c r="AG22" i="18"/>
  <c r="AB142" i="18"/>
  <c r="AB24" i="18" s="1"/>
  <c r="AB22" i="18"/>
  <c r="AO142" i="18"/>
  <c r="AO24" i="18" s="1"/>
  <c r="AO22" i="18"/>
  <c r="AU142" i="18"/>
  <c r="AU24" i="18" s="1"/>
  <c r="AU22" i="18"/>
  <c r="AA142" i="18"/>
  <c r="AA24" i="18" s="1"/>
  <c r="AA22" i="18"/>
  <c r="AP142" i="18"/>
  <c r="AP24" i="18" s="1"/>
  <c r="AP22" i="18"/>
  <c r="AL142" i="18"/>
  <c r="AL24" i="18" s="1"/>
  <c r="AL22" i="18"/>
  <c r="AI21" i="21" l="1"/>
  <c r="AI22" i="21" s="1"/>
  <c r="E23" i="13"/>
  <c r="E21" i="13"/>
  <c r="E19" i="13"/>
  <c r="E17" i="13"/>
  <c r="E15" i="13"/>
  <c r="AJ21" i="21" l="1"/>
  <c r="AJ22" i="21" s="1"/>
  <c r="E222" i="18"/>
  <c r="T187" i="18" s="1"/>
  <c r="AK38" i="18" s="1"/>
  <c r="E224" i="18"/>
  <c r="T188" i="18" s="1"/>
  <c r="AK39" i="18" s="1"/>
  <c r="E226" i="18"/>
  <c r="AD186" i="18" s="1"/>
  <c r="E220" i="18"/>
  <c r="T186" i="18" s="1"/>
  <c r="AK37" i="18" s="1"/>
  <c r="E228" i="18"/>
  <c r="AD187" i="18" s="1"/>
  <c r="G13" i="13"/>
  <c r="G14" i="13" s="1"/>
  <c r="G15" i="13"/>
  <c r="G16" i="13" s="1"/>
  <c r="G17" i="13"/>
  <c r="G18" i="13" s="1"/>
  <c r="G19" i="13"/>
  <c r="G20" i="13" s="1"/>
  <c r="G21" i="13"/>
  <c r="G22" i="13" s="1"/>
  <c r="G23" i="13"/>
  <c r="G24" i="13" s="1"/>
  <c r="AK21" i="21" l="1"/>
  <c r="AK22" i="21" s="1"/>
  <c r="H13" i="13"/>
  <c r="H14" i="13" s="1"/>
  <c r="N13" i="13"/>
  <c r="N14" i="13" s="1"/>
  <c r="H15" i="13"/>
  <c r="H16" i="13" s="1"/>
  <c r="F13" i="13"/>
  <c r="F14" i="13" s="1"/>
  <c r="I13" i="13"/>
  <c r="I14" i="13" s="1"/>
  <c r="J13" i="13"/>
  <c r="J14" i="13" s="1"/>
  <c r="K13" i="13"/>
  <c r="K14" i="13" s="1"/>
  <c r="L13" i="13"/>
  <c r="L14" i="13" s="1"/>
  <c r="M13" i="13"/>
  <c r="M14" i="13" s="1"/>
  <c r="F15" i="13"/>
  <c r="F16" i="13" s="1"/>
  <c r="I15" i="13"/>
  <c r="I16" i="13" s="1"/>
  <c r="J15" i="13"/>
  <c r="J16" i="13" s="1"/>
  <c r="K15" i="13"/>
  <c r="K16" i="13" s="1"/>
  <c r="L15" i="13"/>
  <c r="L16" i="13" s="1"/>
  <c r="M15" i="13"/>
  <c r="M16" i="13" s="1"/>
  <c r="N15" i="13"/>
  <c r="N16" i="13" s="1"/>
  <c r="F17" i="13"/>
  <c r="F18" i="13" s="1"/>
  <c r="I17" i="13"/>
  <c r="I18" i="13" s="1"/>
  <c r="J17" i="13"/>
  <c r="J18" i="13" s="1"/>
  <c r="K17" i="13"/>
  <c r="K18" i="13" s="1"/>
  <c r="L17" i="13"/>
  <c r="L18" i="13" s="1"/>
  <c r="M17" i="13"/>
  <c r="M18" i="13" s="1"/>
  <c r="N17" i="13"/>
  <c r="N18" i="13" s="1"/>
  <c r="F19" i="13"/>
  <c r="F20" i="13" s="1"/>
  <c r="I19" i="13"/>
  <c r="I20" i="13" s="1"/>
  <c r="J19" i="13"/>
  <c r="J20" i="13" s="1"/>
  <c r="K19" i="13"/>
  <c r="K20" i="13" s="1"/>
  <c r="L19" i="13"/>
  <c r="L20" i="13" s="1"/>
  <c r="M19" i="13"/>
  <c r="M20" i="13" s="1"/>
  <c r="N19" i="13"/>
  <c r="N20" i="13" s="1"/>
  <c r="F21" i="13"/>
  <c r="F22" i="13" s="1"/>
  <c r="H21" i="13"/>
  <c r="H22" i="13" s="1"/>
  <c r="I21" i="13"/>
  <c r="I22" i="13" s="1"/>
  <c r="J21" i="13"/>
  <c r="J22" i="13" s="1"/>
  <c r="K21" i="13"/>
  <c r="K22" i="13" s="1"/>
  <c r="L21" i="13"/>
  <c r="L22" i="13" s="1"/>
  <c r="M21" i="13"/>
  <c r="M22" i="13" s="1"/>
  <c r="N21" i="13"/>
  <c r="N22" i="13" s="1"/>
  <c r="F23" i="13"/>
  <c r="F24" i="13" s="1"/>
  <c r="I23" i="13"/>
  <c r="I24" i="13" s="1"/>
  <c r="J23" i="13"/>
  <c r="J24" i="13" s="1"/>
  <c r="K23" i="13"/>
  <c r="K24" i="13" s="1"/>
  <c r="L23" i="13"/>
  <c r="L24" i="13" s="1"/>
  <c r="M23" i="13"/>
  <c r="M24" i="13" s="1"/>
  <c r="N23" i="13"/>
  <c r="N24" i="13" s="1"/>
  <c r="AL21" i="21" l="1"/>
  <c r="AL22" i="21" s="1"/>
  <c r="E20" i="13"/>
  <c r="E24" i="13"/>
  <c r="E22" i="13"/>
  <c r="E16" i="13"/>
  <c r="E18" i="13"/>
  <c r="H23" i="13"/>
  <c r="H24" i="13" s="1"/>
  <c r="H20" i="13"/>
  <c r="H17" i="13"/>
  <c r="H18" i="13" s="1"/>
  <c r="AM21" i="21" l="1"/>
  <c r="AM22" i="21" s="1"/>
  <c r="E221" i="18"/>
  <c r="E227" i="18"/>
  <c r="E229" i="18"/>
  <c r="E223" i="18"/>
  <c r="E225" i="18"/>
  <c r="H1002" i="9"/>
  <c r="G1002" i="9"/>
  <c r="D1002" i="9"/>
  <c r="C1002" i="9"/>
  <c r="H1001" i="9"/>
  <c r="G1001" i="9"/>
  <c r="D1001" i="9"/>
  <c r="C1001" i="9"/>
  <c r="H1000" i="9"/>
  <c r="G1000" i="9"/>
  <c r="D1000" i="9"/>
  <c r="C1000" i="9"/>
  <c r="H999" i="9"/>
  <c r="G999" i="9"/>
  <c r="D999" i="9"/>
  <c r="C999" i="9"/>
  <c r="H998" i="9"/>
  <c r="G998" i="9"/>
  <c r="D998" i="9"/>
  <c r="C998" i="9"/>
  <c r="H997" i="9"/>
  <c r="G997" i="9"/>
  <c r="D997" i="9"/>
  <c r="C997" i="9"/>
  <c r="H996" i="9"/>
  <c r="G996" i="9"/>
  <c r="D996" i="9"/>
  <c r="C996" i="9"/>
  <c r="H995" i="9"/>
  <c r="G995" i="9"/>
  <c r="D995" i="9"/>
  <c r="C995" i="9"/>
  <c r="H994" i="9"/>
  <c r="G994" i="9"/>
  <c r="D994" i="9"/>
  <c r="C994" i="9"/>
  <c r="H993" i="9"/>
  <c r="G993" i="9"/>
  <c r="D993" i="9"/>
  <c r="C993" i="9"/>
  <c r="H992" i="9"/>
  <c r="G992" i="9"/>
  <c r="D992" i="9"/>
  <c r="C992" i="9"/>
  <c r="H991" i="9"/>
  <c r="G991" i="9"/>
  <c r="D991" i="9"/>
  <c r="C991" i="9"/>
  <c r="H990" i="9"/>
  <c r="G990" i="9"/>
  <c r="D990" i="9"/>
  <c r="C990" i="9"/>
  <c r="H989" i="9"/>
  <c r="G989" i="9"/>
  <c r="D989" i="9"/>
  <c r="C989" i="9"/>
  <c r="H988" i="9"/>
  <c r="G988" i="9"/>
  <c r="D988" i="9"/>
  <c r="C988" i="9"/>
  <c r="H987" i="9"/>
  <c r="G987" i="9"/>
  <c r="D987" i="9"/>
  <c r="C987" i="9"/>
  <c r="H986" i="9"/>
  <c r="G986" i="9"/>
  <c r="D986" i="9"/>
  <c r="C986" i="9"/>
  <c r="H985" i="9"/>
  <c r="G985" i="9"/>
  <c r="D985" i="9"/>
  <c r="C985" i="9"/>
  <c r="H984" i="9"/>
  <c r="G984" i="9"/>
  <c r="D984" i="9"/>
  <c r="C984" i="9"/>
  <c r="H983" i="9"/>
  <c r="G983" i="9"/>
  <c r="D983" i="9"/>
  <c r="C983" i="9"/>
  <c r="H982" i="9"/>
  <c r="G982" i="9"/>
  <c r="D982" i="9"/>
  <c r="C982" i="9"/>
  <c r="H981" i="9"/>
  <c r="G981" i="9"/>
  <c r="D981" i="9"/>
  <c r="C981" i="9"/>
  <c r="H980" i="9"/>
  <c r="G980" i="9"/>
  <c r="D980" i="9"/>
  <c r="C980" i="9"/>
  <c r="H979" i="9"/>
  <c r="G979" i="9"/>
  <c r="D979" i="9"/>
  <c r="C979" i="9"/>
  <c r="H978" i="9"/>
  <c r="G978" i="9"/>
  <c r="D978" i="9"/>
  <c r="C978" i="9"/>
  <c r="H977" i="9"/>
  <c r="G977" i="9"/>
  <c r="D977" i="9"/>
  <c r="C977" i="9"/>
  <c r="H976" i="9"/>
  <c r="G976" i="9"/>
  <c r="D976" i="9"/>
  <c r="C976" i="9"/>
  <c r="H975" i="9"/>
  <c r="G975" i="9"/>
  <c r="D975" i="9"/>
  <c r="C975" i="9"/>
  <c r="H974" i="9"/>
  <c r="G974" i="9"/>
  <c r="D974" i="9"/>
  <c r="C974" i="9"/>
  <c r="H973" i="9"/>
  <c r="G973" i="9"/>
  <c r="D973" i="9"/>
  <c r="C973" i="9"/>
  <c r="H972" i="9"/>
  <c r="G972" i="9"/>
  <c r="D972" i="9"/>
  <c r="C972" i="9"/>
  <c r="H971" i="9"/>
  <c r="G971" i="9"/>
  <c r="D971" i="9"/>
  <c r="C971" i="9"/>
  <c r="H970" i="9"/>
  <c r="G970" i="9"/>
  <c r="D970" i="9"/>
  <c r="C970" i="9"/>
  <c r="H969" i="9"/>
  <c r="G969" i="9"/>
  <c r="D969" i="9"/>
  <c r="C969" i="9"/>
  <c r="H968" i="9"/>
  <c r="G968" i="9"/>
  <c r="D968" i="9"/>
  <c r="C968" i="9"/>
  <c r="H967" i="9"/>
  <c r="G967" i="9"/>
  <c r="D967" i="9"/>
  <c r="C967" i="9"/>
  <c r="H966" i="9"/>
  <c r="G966" i="9"/>
  <c r="D966" i="9"/>
  <c r="C966" i="9"/>
  <c r="H965" i="9"/>
  <c r="G965" i="9"/>
  <c r="D965" i="9"/>
  <c r="C965" i="9"/>
  <c r="H964" i="9"/>
  <c r="G964" i="9"/>
  <c r="D964" i="9"/>
  <c r="C964" i="9"/>
  <c r="H963" i="9"/>
  <c r="G963" i="9"/>
  <c r="D963" i="9"/>
  <c r="C963" i="9"/>
  <c r="H962" i="9"/>
  <c r="G962" i="9"/>
  <c r="D962" i="9"/>
  <c r="C962" i="9"/>
  <c r="H961" i="9"/>
  <c r="G961" i="9"/>
  <c r="D961" i="9"/>
  <c r="C961" i="9"/>
  <c r="H960" i="9"/>
  <c r="G960" i="9"/>
  <c r="D960" i="9"/>
  <c r="C960" i="9"/>
  <c r="H959" i="9"/>
  <c r="G959" i="9"/>
  <c r="D959" i="9"/>
  <c r="C959" i="9"/>
  <c r="H958" i="9"/>
  <c r="G958" i="9"/>
  <c r="D958" i="9"/>
  <c r="C958" i="9"/>
  <c r="H957" i="9"/>
  <c r="G957" i="9"/>
  <c r="D957" i="9"/>
  <c r="C957" i="9"/>
  <c r="H956" i="9"/>
  <c r="G956" i="9"/>
  <c r="D956" i="9"/>
  <c r="C956" i="9"/>
  <c r="H955" i="9"/>
  <c r="G955" i="9"/>
  <c r="D955" i="9"/>
  <c r="C955" i="9"/>
  <c r="H954" i="9"/>
  <c r="G954" i="9"/>
  <c r="D954" i="9"/>
  <c r="C954" i="9"/>
  <c r="H953" i="9"/>
  <c r="G953" i="9"/>
  <c r="D953" i="9"/>
  <c r="C953" i="9"/>
  <c r="H952" i="9"/>
  <c r="G952" i="9"/>
  <c r="D952" i="9"/>
  <c r="C952" i="9"/>
  <c r="H951" i="9"/>
  <c r="G951" i="9"/>
  <c r="D951" i="9"/>
  <c r="C951" i="9"/>
  <c r="H950" i="9"/>
  <c r="G950" i="9"/>
  <c r="D950" i="9"/>
  <c r="C950" i="9"/>
  <c r="H949" i="9"/>
  <c r="G949" i="9"/>
  <c r="D949" i="9"/>
  <c r="C949" i="9"/>
  <c r="H948" i="9"/>
  <c r="G948" i="9"/>
  <c r="D948" i="9"/>
  <c r="C948" i="9"/>
  <c r="H947" i="9"/>
  <c r="G947" i="9"/>
  <c r="D947" i="9"/>
  <c r="C947" i="9"/>
  <c r="H946" i="9"/>
  <c r="G946" i="9"/>
  <c r="D946" i="9"/>
  <c r="C946" i="9"/>
  <c r="H945" i="9"/>
  <c r="G945" i="9"/>
  <c r="D945" i="9"/>
  <c r="C945" i="9"/>
  <c r="H944" i="9"/>
  <c r="G944" i="9"/>
  <c r="D944" i="9"/>
  <c r="C944" i="9"/>
  <c r="H943" i="9"/>
  <c r="G943" i="9"/>
  <c r="D943" i="9"/>
  <c r="C943" i="9"/>
  <c r="H942" i="9"/>
  <c r="G942" i="9"/>
  <c r="D942" i="9"/>
  <c r="C942" i="9"/>
  <c r="H941" i="9"/>
  <c r="G941" i="9"/>
  <c r="D941" i="9"/>
  <c r="C941" i="9"/>
  <c r="H940" i="9"/>
  <c r="G940" i="9"/>
  <c r="D940" i="9"/>
  <c r="C940" i="9"/>
  <c r="H939" i="9"/>
  <c r="G939" i="9"/>
  <c r="D939" i="9"/>
  <c r="C939" i="9"/>
  <c r="H938" i="9"/>
  <c r="G938" i="9"/>
  <c r="D938" i="9"/>
  <c r="C938" i="9"/>
  <c r="H937" i="9"/>
  <c r="G937" i="9"/>
  <c r="D937" i="9"/>
  <c r="C937" i="9"/>
  <c r="H936" i="9"/>
  <c r="G936" i="9"/>
  <c r="D936" i="9"/>
  <c r="C936" i="9"/>
  <c r="H935" i="9"/>
  <c r="G935" i="9"/>
  <c r="D935" i="9"/>
  <c r="C935" i="9"/>
  <c r="H934" i="9"/>
  <c r="G934" i="9"/>
  <c r="D934" i="9"/>
  <c r="C934" i="9"/>
  <c r="H933" i="9"/>
  <c r="G933" i="9"/>
  <c r="D933" i="9"/>
  <c r="C933" i="9"/>
  <c r="H932" i="9"/>
  <c r="G932" i="9"/>
  <c r="D932" i="9"/>
  <c r="C932" i="9"/>
  <c r="H931" i="9"/>
  <c r="G931" i="9"/>
  <c r="D931" i="9"/>
  <c r="C931" i="9"/>
  <c r="H930" i="9"/>
  <c r="G930" i="9"/>
  <c r="D930" i="9"/>
  <c r="C930" i="9"/>
  <c r="H929" i="9"/>
  <c r="G929" i="9"/>
  <c r="D929" i="9"/>
  <c r="C929" i="9"/>
  <c r="H928" i="9"/>
  <c r="G928" i="9"/>
  <c r="D928" i="9"/>
  <c r="C928" i="9"/>
  <c r="H927" i="9"/>
  <c r="G927" i="9"/>
  <c r="D927" i="9"/>
  <c r="C927" i="9"/>
  <c r="H926" i="9"/>
  <c r="G926" i="9"/>
  <c r="D926" i="9"/>
  <c r="C926" i="9"/>
  <c r="H925" i="9"/>
  <c r="G925" i="9"/>
  <c r="D925" i="9"/>
  <c r="C925" i="9"/>
  <c r="H924" i="9"/>
  <c r="G924" i="9"/>
  <c r="D924" i="9"/>
  <c r="C924" i="9"/>
  <c r="H923" i="9"/>
  <c r="G923" i="9"/>
  <c r="D923" i="9"/>
  <c r="C923" i="9"/>
  <c r="H922" i="9"/>
  <c r="G922" i="9"/>
  <c r="D922" i="9"/>
  <c r="C922" i="9"/>
  <c r="H921" i="9"/>
  <c r="G921" i="9"/>
  <c r="D921" i="9"/>
  <c r="C921" i="9"/>
  <c r="H920" i="9"/>
  <c r="G920" i="9"/>
  <c r="D920" i="9"/>
  <c r="C920" i="9"/>
  <c r="H919" i="9"/>
  <c r="G919" i="9"/>
  <c r="D919" i="9"/>
  <c r="C919" i="9"/>
  <c r="H918" i="9"/>
  <c r="G918" i="9"/>
  <c r="D918" i="9"/>
  <c r="C918" i="9"/>
  <c r="H917" i="9"/>
  <c r="G917" i="9"/>
  <c r="D917" i="9"/>
  <c r="C917" i="9"/>
  <c r="H916" i="9"/>
  <c r="G916" i="9"/>
  <c r="D916" i="9"/>
  <c r="C916" i="9"/>
  <c r="H915" i="9"/>
  <c r="G915" i="9"/>
  <c r="D915" i="9"/>
  <c r="C915" i="9"/>
  <c r="H914" i="9"/>
  <c r="G914" i="9"/>
  <c r="D914" i="9"/>
  <c r="C914" i="9"/>
  <c r="H913" i="9"/>
  <c r="G913" i="9"/>
  <c r="D913" i="9"/>
  <c r="C913" i="9"/>
  <c r="H912" i="9"/>
  <c r="G912" i="9"/>
  <c r="D912" i="9"/>
  <c r="C912" i="9"/>
  <c r="H911" i="9"/>
  <c r="G911" i="9"/>
  <c r="D911" i="9"/>
  <c r="C911" i="9"/>
  <c r="H910" i="9"/>
  <c r="G910" i="9"/>
  <c r="D910" i="9"/>
  <c r="C910" i="9"/>
  <c r="H909" i="9"/>
  <c r="G909" i="9"/>
  <c r="D909" i="9"/>
  <c r="C909" i="9"/>
  <c r="H908" i="9"/>
  <c r="G908" i="9"/>
  <c r="D908" i="9"/>
  <c r="C908" i="9"/>
  <c r="H907" i="9"/>
  <c r="G907" i="9"/>
  <c r="D907" i="9"/>
  <c r="C907" i="9"/>
  <c r="H906" i="9"/>
  <c r="G906" i="9"/>
  <c r="D906" i="9"/>
  <c r="C906" i="9"/>
  <c r="H905" i="9"/>
  <c r="G905" i="9"/>
  <c r="D905" i="9"/>
  <c r="C905" i="9"/>
  <c r="H904" i="9"/>
  <c r="G904" i="9"/>
  <c r="D904" i="9"/>
  <c r="C904" i="9"/>
  <c r="H903" i="9"/>
  <c r="G903" i="9"/>
  <c r="D903" i="9"/>
  <c r="C903" i="9"/>
  <c r="H902" i="9"/>
  <c r="G902" i="9"/>
  <c r="D902" i="9"/>
  <c r="C902" i="9"/>
  <c r="H901" i="9"/>
  <c r="G901" i="9"/>
  <c r="D901" i="9"/>
  <c r="C901" i="9"/>
  <c r="H900" i="9"/>
  <c r="G900" i="9"/>
  <c r="D900" i="9"/>
  <c r="C900" i="9"/>
  <c r="H899" i="9"/>
  <c r="G899" i="9"/>
  <c r="D899" i="9"/>
  <c r="C899" i="9"/>
  <c r="H898" i="9"/>
  <c r="G898" i="9"/>
  <c r="D898" i="9"/>
  <c r="C898" i="9"/>
  <c r="H897" i="9"/>
  <c r="G897" i="9"/>
  <c r="D897" i="9"/>
  <c r="C897" i="9"/>
  <c r="H896" i="9"/>
  <c r="G896" i="9"/>
  <c r="D896" i="9"/>
  <c r="C896" i="9"/>
  <c r="H895" i="9"/>
  <c r="G895" i="9"/>
  <c r="D895" i="9"/>
  <c r="C895" i="9"/>
  <c r="H894" i="9"/>
  <c r="G894" i="9"/>
  <c r="D894" i="9"/>
  <c r="C894" i="9"/>
  <c r="H893" i="9"/>
  <c r="G893" i="9"/>
  <c r="D893" i="9"/>
  <c r="C893" i="9"/>
  <c r="H892" i="9"/>
  <c r="G892" i="9"/>
  <c r="D892" i="9"/>
  <c r="C892" i="9"/>
  <c r="H891" i="9"/>
  <c r="G891" i="9"/>
  <c r="D891" i="9"/>
  <c r="C891" i="9"/>
  <c r="H890" i="9"/>
  <c r="G890" i="9"/>
  <c r="D890" i="9"/>
  <c r="C890" i="9"/>
  <c r="H889" i="9"/>
  <c r="G889" i="9"/>
  <c r="D889" i="9"/>
  <c r="C889" i="9"/>
  <c r="H888" i="9"/>
  <c r="G888" i="9"/>
  <c r="D888" i="9"/>
  <c r="C888" i="9"/>
  <c r="H887" i="9"/>
  <c r="G887" i="9"/>
  <c r="D887" i="9"/>
  <c r="C887" i="9"/>
  <c r="H886" i="9"/>
  <c r="G886" i="9"/>
  <c r="D886" i="9"/>
  <c r="C886" i="9"/>
  <c r="H885" i="9"/>
  <c r="G885" i="9"/>
  <c r="D885" i="9"/>
  <c r="C885" i="9"/>
  <c r="H884" i="9"/>
  <c r="G884" i="9"/>
  <c r="D884" i="9"/>
  <c r="C884" i="9"/>
  <c r="H883" i="9"/>
  <c r="G883" i="9"/>
  <c r="D883" i="9"/>
  <c r="C883" i="9"/>
  <c r="H882" i="9"/>
  <c r="G882" i="9"/>
  <c r="D882" i="9"/>
  <c r="C882" i="9"/>
  <c r="H881" i="9"/>
  <c r="G881" i="9"/>
  <c r="D881" i="9"/>
  <c r="C881" i="9"/>
  <c r="H880" i="9"/>
  <c r="G880" i="9"/>
  <c r="D880" i="9"/>
  <c r="C880" i="9"/>
  <c r="H879" i="9"/>
  <c r="G879" i="9"/>
  <c r="D879" i="9"/>
  <c r="C879" i="9"/>
  <c r="H878" i="9"/>
  <c r="G878" i="9"/>
  <c r="D878" i="9"/>
  <c r="C878" i="9"/>
  <c r="H877" i="9"/>
  <c r="G877" i="9"/>
  <c r="D877" i="9"/>
  <c r="C877" i="9"/>
  <c r="H876" i="9"/>
  <c r="G876" i="9"/>
  <c r="D876" i="9"/>
  <c r="C876" i="9"/>
  <c r="H875" i="9"/>
  <c r="G875" i="9"/>
  <c r="D875" i="9"/>
  <c r="C875" i="9"/>
  <c r="H874" i="9"/>
  <c r="G874" i="9"/>
  <c r="D874" i="9"/>
  <c r="C874" i="9"/>
  <c r="H873" i="9"/>
  <c r="G873" i="9"/>
  <c r="D873" i="9"/>
  <c r="C873" i="9"/>
  <c r="H872" i="9"/>
  <c r="G872" i="9"/>
  <c r="D872" i="9"/>
  <c r="C872" i="9"/>
  <c r="H871" i="9"/>
  <c r="G871" i="9"/>
  <c r="D871" i="9"/>
  <c r="C871" i="9"/>
  <c r="H870" i="9"/>
  <c r="G870" i="9"/>
  <c r="D870" i="9"/>
  <c r="C870" i="9"/>
  <c r="H869" i="9"/>
  <c r="G869" i="9"/>
  <c r="D869" i="9"/>
  <c r="C869" i="9"/>
  <c r="H868" i="9"/>
  <c r="G868" i="9"/>
  <c r="D868" i="9"/>
  <c r="C868" i="9"/>
  <c r="H867" i="9"/>
  <c r="G867" i="9"/>
  <c r="D867" i="9"/>
  <c r="C867" i="9"/>
  <c r="H866" i="9"/>
  <c r="G866" i="9"/>
  <c r="D866" i="9"/>
  <c r="C866" i="9"/>
  <c r="H865" i="9"/>
  <c r="G865" i="9"/>
  <c r="D865" i="9"/>
  <c r="C865" i="9"/>
  <c r="H864" i="9"/>
  <c r="G864" i="9"/>
  <c r="D864" i="9"/>
  <c r="C864" i="9"/>
  <c r="H863" i="9"/>
  <c r="G863" i="9"/>
  <c r="D863" i="9"/>
  <c r="C863" i="9"/>
  <c r="H862" i="9"/>
  <c r="G862" i="9"/>
  <c r="D862" i="9"/>
  <c r="C862" i="9"/>
  <c r="H861" i="9"/>
  <c r="G861" i="9"/>
  <c r="D861" i="9"/>
  <c r="C861" i="9"/>
  <c r="H860" i="9"/>
  <c r="G860" i="9"/>
  <c r="D860" i="9"/>
  <c r="C860" i="9"/>
  <c r="H859" i="9"/>
  <c r="G859" i="9"/>
  <c r="D859" i="9"/>
  <c r="C859" i="9"/>
  <c r="H858" i="9"/>
  <c r="G858" i="9"/>
  <c r="D858" i="9"/>
  <c r="C858" i="9"/>
  <c r="H857" i="9"/>
  <c r="G857" i="9"/>
  <c r="D857" i="9"/>
  <c r="C857" i="9"/>
  <c r="H856" i="9"/>
  <c r="G856" i="9"/>
  <c r="D856" i="9"/>
  <c r="C856" i="9"/>
  <c r="H855" i="9"/>
  <c r="G855" i="9"/>
  <c r="D855" i="9"/>
  <c r="C855" i="9"/>
  <c r="H854" i="9"/>
  <c r="G854" i="9"/>
  <c r="D854" i="9"/>
  <c r="C854" i="9"/>
  <c r="H853" i="9"/>
  <c r="G853" i="9"/>
  <c r="D853" i="9"/>
  <c r="C853" i="9"/>
  <c r="H852" i="9"/>
  <c r="G852" i="9"/>
  <c r="D852" i="9"/>
  <c r="C852" i="9"/>
  <c r="H851" i="9"/>
  <c r="G851" i="9"/>
  <c r="D851" i="9"/>
  <c r="C851" i="9"/>
  <c r="H850" i="9"/>
  <c r="G850" i="9"/>
  <c r="D850" i="9"/>
  <c r="C850" i="9"/>
  <c r="H849" i="9"/>
  <c r="G849" i="9"/>
  <c r="D849" i="9"/>
  <c r="C849" i="9"/>
  <c r="H848" i="9"/>
  <c r="G848" i="9"/>
  <c r="D848" i="9"/>
  <c r="C848" i="9"/>
  <c r="H847" i="9"/>
  <c r="G847" i="9"/>
  <c r="D847" i="9"/>
  <c r="C847" i="9"/>
  <c r="H846" i="9"/>
  <c r="G846" i="9"/>
  <c r="D846" i="9"/>
  <c r="C846" i="9"/>
  <c r="H845" i="9"/>
  <c r="G845" i="9"/>
  <c r="D845" i="9"/>
  <c r="C845" i="9"/>
  <c r="H844" i="9"/>
  <c r="G844" i="9"/>
  <c r="D844" i="9"/>
  <c r="C844" i="9"/>
  <c r="H843" i="9"/>
  <c r="G843" i="9"/>
  <c r="D843" i="9"/>
  <c r="C843" i="9"/>
  <c r="H842" i="9"/>
  <c r="G842" i="9"/>
  <c r="D842" i="9"/>
  <c r="C842" i="9"/>
  <c r="H841" i="9"/>
  <c r="G841" i="9"/>
  <c r="D841" i="9"/>
  <c r="C841" i="9"/>
  <c r="H840" i="9"/>
  <c r="G840" i="9"/>
  <c r="D840" i="9"/>
  <c r="C840" i="9"/>
  <c r="H839" i="9"/>
  <c r="G839" i="9"/>
  <c r="D839" i="9"/>
  <c r="C839" i="9"/>
  <c r="H838" i="9"/>
  <c r="G838" i="9"/>
  <c r="D838" i="9"/>
  <c r="C838" i="9"/>
  <c r="H837" i="9"/>
  <c r="G837" i="9"/>
  <c r="D837" i="9"/>
  <c r="C837" i="9"/>
  <c r="H836" i="9"/>
  <c r="G836" i="9"/>
  <c r="D836" i="9"/>
  <c r="C836" i="9"/>
  <c r="H835" i="9"/>
  <c r="G835" i="9"/>
  <c r="D835" i="9"/>
  <c r="C835" i="9"/>
  <c r="H834" i="9"/>
  <c r="G834" i="9"/>
  <c r="D834" i="9"/>
  <c r="C834" i="9"/>
  <c r="H833" i="9"/>
  <c r="G833" i="9"/>
  <c r="D833" i="9"/>
  <c r="C833" i="9"/>
  <c r="H832" i="9"/>
  <c r="G832" i="9"/>
  <c r="D832" i="9"/>
  <c r="C832" i="9"/>
  <c r="H831" i="9"/>
  <c r="G831" i="9"/>
  <c r="D831" i="9"/>
  <c r="C831" i="9"/>
  <c r="H830" i="9"/>
  <c r="G830" i="9"/>
  <c r="D830" i="9"/>
  <c r="C830" i="9"/>
  <c r="H829" i="9"/>
  <c r="G829" i="9"/>
  <c r="D829" i="9"/>
  <c r="C829" i="9"/>
  <c r="H828" i="9"/>
  <c r="G828" i="9"/>
  <c r="D828" i="9"/>
  <c r="C828" i="9"/>
  <c r="H827" i="9"/>
  <c r="G827" i="9"/>
  <c r="D827" i="9"/>
  <c r="C827" i="9"/>
  <c r="H826" i="9"/>
  <c r="G826" i="9"/>
  <c r="D826" i="9"/>
  <c r="C826" i="9"/>
  <c r="H825" i="9"/>
  <c r="G825" i="9"/>
  <c r="D825" i="9"/>
  <c r="C825" i="9"/>
  <c r="H824" i="9"/>
  <c r="G824" i="9"/>
  <c r="D824" i="9"/>
  <c r="C824" i="9"/>
  <c r="H823" i="9"/>
  <c r="G823" i="9"/>
  <c r="D823" i="9"/>
  <c r="C823" i="9"/>
  <c r="H822" i="9"/>
  <c r="G822" i="9"/>
  <c r="D822" i="9"/>
  <c r="C822" i="9"/>
  <c r="H821" i="9"/>
  <c r="G821" i="9"/>
  <c r="D821" i="9"/>
  <c r="C821" i="9"/>
  <c r="H820" i="9"/>
  <c r="G820" i="9"/>
  <c r="D820" i="9"/>
  <c r="C820" i="9"/>
  <c r="H819" i="9"/>
  <c r="G819" i="9"/>
  <c r="D819" i="9"/>
  <c r="C819" i="9"/>
  <c r="H818" i="9"/>
  <c r="G818" i="9"/>
  <c r="D818" i="9"/>
  <c r="C818" i="9"/>
  <c r="H817" i="9"/>
  <c r="G817" i="9"/>
  <c r="D817" i="9"/>
  <c r="C817" i="9"/>
  <c r="H816" i="9"/>
  <c r="G816" i="9"/>
  <c r="D816" i="9"/>
  <c r="C816" i="9"/>
  <c r="H815" i="9"/>
  <c r="G815" i="9"/>
  <c r="D815" i="9"/>
  <c r="C815" i="9"/>
  <c r="H814" i="9"/>
  <c r="G814" i="9"/>
  <c r="D814" i="9"/>
  <c r="C814" i="9"/>
  <c r="H813" i="9"/>
  <c r="G813" i="9"/>
  <c r="D813" i="9"/>
  <c r="C813" i="9"/>
  <c r="H812" i="9"/>
  <c r="G812" i="9"/>
  <c r="D812" i="9"/>
  <c r="C812" i="9"/>
  <c r="H811" i="9"/>
  <c r="G811" i="9"/>
  <c r="D811" i="9"/>
  <c r="C811" i="9"/>
  <c r="H810" i="9"/>
  <c r="G810" i="9"/>
  <c r="D810" i="9"/>
  <c r="C810" i="9"/>
  <c r="H809" i="9"/>
  <c r="G809" i="9"/>
  <c r="D809" i="9"/>
  <c r="C809" i="9"/>
  <c r="H808" i="9"/>
  <c r="G808" i="9"/>
  <c r="D808" i="9"/>
  <c r="C808" i="9"/>
  <c r="H807" i="9"/>
  <c r="G807" i="9"/>
  <c r="D807" i="9"/>
  <c r="C807" i="9"/>
  <c r="H806" i="9"/>
  <c r="G806" i="9"/>
  <c r="D806" i="9"/>
  <c r="C806" i="9"/>
  <c r="H805" i="9"/>
  <c r="G805" i="9"/>
  <c r="D805" i="9"/>
  <c r="C805" i="9"/>
  <c r="H804" i="9"/>
  <c r="G804" i="9"/>
  <c r="D804" i="9"/>
  <c r="C804" i="9"/>
  <c r="H803" i="9"/>
  <c r="G803" i="9"/>
  <c r="D803" i="9"/>
  <c r="C803" i="9"/>
  <c r="H802" i="9"/>
  <c r="G802" i="9"/>
  <c r="D802" i="9"/>
  <c r="C802" i="9"/>
  <c r="H801" i="9"/>
  <c r="G801" i="9"/>
  <c r="D801" i="9"/>
  <c r="C801" i="9"/>
  <c r="H800" i="9"/>
  <c r="G800" i="9"/>
  <c r="D800" i="9"/>
  <c r="C800" i="9"/>
  <c r="H799" i="9"/>
  <c r="G799" i="9"/>
  <c r="D799" i="9"/>
  <c r="C799" i="9"/>
  <c r="H798" i="9"/>
  <c r="G798" i="9"/>
  <c r="D798" i="9"/>
  <c r="C798" i="9"/>
  <c r="H797" i="9"/>
  <c r="G797" i="9"/>
  <c r="D797" i="9"/>
  <c r="C797" i="9"/>
  <c r="H796" i="9"/>
  <c r="G796" i="9"/>
  <c r="D796" i="9"/>
  <c r="C796" i="9"/>
  <c r="H795" i="9"/>
  <c r="G795" i="9"/>
  <c r="D795" i="9"/>
  <c r="C795" i="9"/>
  <c r="H794" i="9"/>
  <c r="G794" i="9"/>
  <c r="D794" i="9"/>
  <c r="C794" i="9"/>
  <c r="H793" i="9"/>
  <c r="G793" i="9"/>
  <c r="D793" i="9"/>
  <c r="C793" i="9"/>
  <c r="H792" i="9"/>
  <c r="G792" i="9"/>
  <c r="D792" i="9"/>
  <c r="C792" i="9"/>
  <c r="H791" i="9"/>
  <c r="G791" i="9"/>
  <c r="D791" i="9"/>
  <c r="C791" i="9"/>
  <c r="H790" i="9"/>
  <c r="G790" i="9"/>
  <c r="D790" i="9"/>
  <c r="C790" i="9"/>
  <c r="H789" i="9"/>
  <c r="G789" i="9"/>
  <c r="D789" i="9"/>
  <c r="C789" i="9"/>
  <c r="H788" i="9"/>
  <c r="G788" i="9"/>
  <c r="D788" i="9"/>
  <c r="C788" i="9"/>
  <c r="H787" i="9"/>
  <c r="G787" i="9"/>
  <c r="D787" i="9"/>
  <c r="C787" i="9"/>
  <c r="H786" i="9"/>
  <c r="G786" i="9"/>
  <c r="D786" i="9"/>
  <c r="C786" i="9"/>
  <c r="H785" i="9"/>
  <c r="G785" i="9"/>
  <c r="D785" i="9"/>
  <c r="C785" i="9"/>
  <c r="H784" i="9"/>
  <c r="G784" i="9"/>
  <c r="D784" i="9"/>
  <c r="C784" i="9"/>
  <c r="H783" i="9"/>
  <c r="G783" i="9"/>
  <c r="D783" i="9"/>
  <c r="C783" i="9"/>
  <c r="H782" i="9"/>
  <c r="G782" i="9"/>
  <c r="D782" i="9"/>
  <c r="C782" i="9"/>
  <c r="H781" i="9"/>
  <c r="G781" i="9"/>
  <c r="D781" i="9"/>
  <c r="C781" i="9"/>
  <c r="H780" i="9"/>
  <c r="G780" i="9"/>
  <c r="D780" i="9"/>
  <c r="C780" i="9"/>
  <c r="H779" i="9"/>
  <c r="G779" i="9"/>
  <c r="D779" i="9"/>
  <c r="C779" i="9"/>
  <c r="H778" i="9"/>
  <c r="G778" i="9"/>
  <c r="D778" i="9"/>
  <c r="C778" i="9"/>
  <c r="H777" i="9"/>
  <c r="G777" i="9"/>
  <c r="D777" i="9"/>
  <c r="C777" i="9"/>
  <c r="H776" i="9"/>
  <c r="G776" i="9"/>
  <c r="D776" i="9"/>
  <c r="C776" i="9"/>
  <c r="H775" i="9"/>
  <c r="G775" i="9"/>
  <c r="D775" i="9"/>
  <c r="C775" i="9"/>
  <c r="H774" i="9"/>
  <c r="G774" i="9"/>
  <c r="D774" i="9"/>
  <c r="C774" i="9"/>
  <c r="H773" i="9"/>
  <c r="G773" i="9"/>
  <c r="D773" i="9"/>
  <c r="C773" i="9"/>
  <c r="H772" i="9"/>
  <c r="G772" i="9"/>
  <c r="D772" i="9"/>
  <c r="C772" i="9"/>
  <c r="H771" i="9"/>
  <c r="G771" i="9"/>
  <c r="D771" i="9"/>
  <c r="C771" i="9"/>
  <c r="H770" i="9"/>
  <c r="G770" i="9"/>
  <c r="D770" i="9"/>
  <c r="C770" i="9"/>
  <c r="H769" i="9"/>
  <c r="G769" i="9"/>
  <c r="D769" i="9"/>
  <c r="C769" i="9"/>
  <c r="H768" i="9"/>
  <c r="G768" i="9"/>
  <c r="D768" i="9"/>
  <c r="C768" i="9"/>
  <c r="H767" i="9"/>
  <c r="G767" i="9"/>
  <c r="D767" i="9"/>
  <c r="C767" i="9"/>
  <c r="H766" i="9"/>
  <c r="G766" i="9"/>
  <c r="D766" i="9"/>
  <c r="C766" i="9"/>
  <c r="H765" i="9"/>
  <c r="G765" i="9"/>
  <c r="D765" i="9"/>
  <c r="C765" i="9"/>
  <c r="H764" i="9"/>
  <c r="G764" i="9"/>
  <c r="D764" i="9"/>
  <c r="C764" i="9"/>
  <c r="H763" i="9"/>
  <c r="G763" i="9"/>
  <c r="D763" i="9"/>
  <c r="C763" i="9"/>
  <c r="H762" i="9"/>
  <c r="G762" i="9"/>
  <c r="D762" i="9"/>
  <c r="C762" i="9"/>
  <c r="H761" i="9"/>
  <c r="G761" i="9"/>
  <c r="D761" i="9"/>
  <c r="C761" i="9"/>
  <c r="H760" i="9"/>
  <c r="G760" i="9"/>
  <c r="D760" i="9"/>
  <c r="C760" i="9"/>
  <c r="H759" i="9"/>
  <c r="G759" i="9"/>
  <c r="D759" i="9"/>
  <c r="C759" i="9"/>
  <c r="H758" i="9"/>
  <c r="G758" i="9"/>
  <c r="D758" i="9"/>
  <c r="C758" i="9"/>
  <c r="H757" i="9"/>
  <c r="G757" i="9"/>
  <c r="D757" i="9"/>
  <c r="C757" i="9"/>
  <c r="H756" i="9"/>
  <c r="G756" i="9"/>
  <c r="D756" i="9"/>
  <c r="C756" i="9"/>
  <c r="H755" i="9"/>
  <c r="G755" i="9"/>
  <c r="D755" i="9"/>
  <c r="C755" i="9"/>
  <c r="H754" i="9"/>
  <c r="G754" i="9"/>
  <c r="D754" i="9"/>
  <c r="C754" i="9"/>
  <c r="H753" i="9"/>
  <c r="G753" i="9"/>
  <c r="D753" i="9"/>
  <c r="C753" i="9"/>
  <c r="H752" i="9"/>
  <c r="G752" i="9"/>
  <c r="D752" i="9"/>
  <c r="C752" i="9"/>
  <c r="H751" i="9"/>
  <c r="G751" i="9"/>
  <c r="D751" i="9"/>
  <c r="C751" i="9"/>
  <c r="H750" i="9"/>
  <c r="G750" i="9"/>
  <c r="D750" i="9"/>
  <c r="C750" i="9"/>
  <c r="H749" i="9"/>
  <c r="G749" i="9"/>
  <c r="D749" i="9"/>
  <c r="C749" i="9"/>
  <c r="H748" i="9"/>
  <c r="G748" i="9"/>
  <c r="D748" i="9"/>
  <c r="C748" i="9"/>
  <c r="H747" i="9"/>
  <c r="G747" i="9"/>
  <c r="D747" i="9"/>
  <c r="C747" i="9"/>
  <c r="H746" i="9"/>
  <c r="G746" i="9"/>
  <c r="D746" i="9"/>
  <c r="C746" i="9"/>
  <c r="H745" i="9"/>
  <c r="G745" i="9"/>
  <c r="D745" i="9"/>
  <c r="C745" i="9"/>
  <c r="H744" i="9"/>
  <c r="G744" i="9"/>
  <c r="D744" i="9"/>
  <c r="C744" i="9"/>
  <c r="H743" i="9"/>
  <c r="G743" i="9"/>
  <c r="D743" i="9"/>
  <c r="C743" i="9"/>
  <c r="H742" i="9"/>
  <c r="G742" i="9"/>
  <c r="D742" i="9"/>
  <c r="C742" i="9"/>
  <c r="H741" i="9"/>
  <c r="G741" i="9"/>
  <c r="D741" i="9"/>
  <c r="C741" i="9"/>
  <c r="H740" i="9"/>
  <c r="G740" i="9"/>
  <c r="D740" i="9"/>
  <c r="C740" i="9"/>
  <c r="H739" i="9"/>
  <c r="G739" i="9"/>
  <c r="D739" i="9"/>
  <c r="C739" i="9"/>
  <c r="H738" i="9"/>
  <c r="G738" i="9"/>
  <c r="D738" i="9"/>
  <c r="C738" i="9"/>
  <c r="H737" i="9"/>
  <c r="G737" i="9"/>
  <c r="D737" i="9"/>
  <c r="C737" i="9"/>
  <c r="H736" i="9"/>
  <c r="G736" i="9"/>
  <c r="D736" i="9"/>
  <c r="C736" i="9"/>
  <c r="H735" i="9"/>
  <c r="G735" i="9"/>
  <c r="D735" i="9"/>
  <c r="C735" i="9"/>
  <c r="H734" i="9"/>
  <c r="G734" i="9"/>
  <c r="D734" i="9"/>
  <c r="C734" i="9"/>
  <c r="H733" i="9"/>
  <c r="G733" i="9"/>
  <c r="D733" i="9"/>
  <c r="C733" i="9"/>
  <c r="H732" i="9"/>
  <c r="G732" i="9"/>
  <c r="D732" i="9"/>
  <c r="C732" i="9"/>
  <c r="H731" i="9"/>
  <c r="G731" i="9"/>
  <c r="D731" i="9"/>
  <c r="C731" i="9"/>
  <c r="H730" i="9"/>
  <c r="G730" i="9"/>
  <c r="D730" i="9"/>
  <c r="C730" i="9"/>
  <c r="H729" i="9"/>
  <c r="G729" i="9"/>
  <c r="D729" i="9"/>
  <c r="C729" i="9"/>
  <c r="H728" i="9"/>
  <c r="G728" i="9"/>
  <c r="D728" i="9"/>
  <c r="C728" i="9"/>
  <c r="H727" i="9"/>
  <c r="G727" i="9"/>
  <c r="D727" i="9"/>
  <c r="C727" i="9"/>
  <c r="H726" i="9"/>
  <c r="G726" i="9"/>
  <c r="D726" i="9"/>
  <c r="C726" i="9"/>
  <c r="H725" i="9"/>
  <c r="G725" i="9"/>
  <c r="D725" i="9"/>
  <c r="C725" i="9"/>
  <c r="H724" i="9"/>
  <c r="G724" i="9"/>
  <c r="D724" i="9"/>
  <c r="C724" i="9"/>
  <c r="H723" i="9"/>
  <c r="G723" i="9"/>
  <c r="D723" i="9"/>
  <c r="C723" i="9"/>
  <c r="H722" i="9"/>
  <c r="G722" i="9"/>
  <c r="D722" i="9"/>
  <c r="C722" i="9"/>
  <c r="H721" i="9"/>
  <c r="G721" i="9"/>
  <c r="D721" i="9"/>
  <c r="C721" i="9"/>
  <c r="H720" i="9"/>
  <c r="G720" i="9"/>
  <c r="D720" i="9"/>
  <c r="C720" i="9"/>
  <c r="H719" i="9"/>
  <c r="G719" i="9"/>
  <c r="D719" i="9"/>
  <c r="C719" i="9"/>
  <c r="H718" i="9"/>
  <c r="G718" i="9"/>
  <c r="D718" i="9"/>
  <c r="C718" i="9"/>
  <c r="H717" i="9"/>
  <c r="G717" i="9"/>
  <c r="D717" i="9"/>
  <c r="C717" i="9"/>
  <c r="H716" i="9"/>
  <c r="G716" i="9"/>
  <c r="D716" i="9"/>
  <c r="C716" i="9"/>
  <c r="H715" i="9"/>
  <c r="G715" i="9"/>
  <c r="D715" i="9"/>
  <c r="C715" i="9"/>
  <c r="H714" i="9"/>
  <c r="G714" i="9"/>
  <c r="D714" i="9"/>
  <c r="C714" i="9"/>
  <c r="H713" i="9"/>
  <c r="G713" i="9"/>
  <c r="D713" i="9"/>
  <c r="C713" i="9"/>
  <c r="H712" i="9"/>
  <c r="G712" i="9"/>
  <c r="D712" i="9"/>
  <c r="C712" i="9"/>
  <c r="H711" i="9"/>
  <c r="G711" i="9"/>
  <c r="D711" i="9"/>
  <c r="C711" i="9"/>
  <c r="H710" i="9"/>
  <c r="G710" i="9"/>
  <c r="D710" i="9"/>
  <c r="C710" i="9"/>
  <c r="H709" i="9"/>
  <c r="G709" i="9"/>
  <c r="D709" i="9"/>
  <c r="C709" i="9"/>
  <c r="H708" i="9"/>
  <c r="G708" i="9"/>
  <c r="D708" i="9"/>
  <c r="C708" i="9"/>
  <c r="H707" i="9"/>
  <c r="G707" i="9"/>
  <c r="D707" i="9"/>
  <c r="C707" i="9"/>
  <c r="H706" i="9"/>
  <c r="G706" i="9"/>
  <c r="D706" i="9"/>
  <c r="C706" i="9"/>
  <c r="H705" i="9"/>
  <c r="G705" i="9"/>
  <c r="D705" i="9"/>
  <c r="C705" i="9"/>
  <c r="H704" i="9"/>
  <c r="G704" i="9"/>
  <c r="D704" i="9"/>
  <c r="C704" i="9"/>
  <c r="H703" i="9"/>
  <c r="G703" i="9"/>
  <c r="D703" i="9"/>
  <c r="C703" i="9"/>
  <c r="H702" i="9"/>
  <c r="G702" i="9"/>
  <c r="D702" i="9"/>
  <c r="C702" i="9"/>
  <c r="H701" i="9"/>
  <c r="G701" i="9"/>
  <c r="D701" i="9"/>
  <c r="C701" i="9"/>
  <c r="H700" i="9"/>
  <c r="G700" i="9"/>
  <c r="D700" i="9"/>
  <c r="C700" i="9"/>
  <c r="H699" i="9"/>
  <c r="G699" i="9"/>
  <c r="D699" i="9"/>
  <c r="C699" i="9"/>
  <c r="H698" i="9"/>
  <c r="G698" i="9"/>
  <c r="D698" i="9"/>
  <c r="C698" i="9"/>
  <c r="H697" i="9"/>
  <c r="G697" i="9"/>
  <c r="D697" i="9"/>
  <c r="C697" i="9"/>
  <c r="H696" i="9"/>
  <c r="G696" i="9"/>
  <c r="D696" i="9"/>
  <c r="C696" i="9"/>
  <c r="H695" i="9"/>
  <c r="G695" i="9"/>
  <c r="D695" i="9"/>
  <c r="C695" i="9"/>
  <c r="H694" i="9"/>
  <c r="G694" i="9"/>
  <c r="D694" i="9"/>
  <c r="C694" i="9"/>
  <c r="H693" i="9"/>
  <c r="G693" i="9"/>
  <c r="D693" i="9"/>
  <c r="C693" i="9"/>
  <c r="H692" i="9"/>
  <c r="G692" i="9"/>
  <c r="D692" i="9"/>
  <c r="C692" i="9"/>
  <c r="H691" i="9"/>
  <c r="G691" i="9"/>
  <c r="D691" i="9"/>
  <c r="C691" i="9"/>
  <c r="H690" i="9"/>
  <c r="G690" i="9"/>
  <c r="D690" i="9"/>
  <c r="C690" i="9"/>
  <c r="H689" i="9"/>
  <c r="G689" i="9"/>
  <c r="D689" i="9"/>
  <c r="C689" i="9"/>
  <c r="H688" i="9"/>
  <c r="G688" i="9"/>
  <c r="D688" i="9"/>
  <c r="C688" i="9"/>
  <c r="H687" i="9"/>
  <c r="G687" i="9"/>
  <c r="D687" i="9"/>
  <c r="C687" i="9"/>
  <c r="H686" i="9"/>
  <c r="G686" i="9"/>
  <c r="D686" i="9"/>
  <c r="C686" i="9"/>
  <c r="H685" i="9"/>
  <c r="G685" i="9"/>
  <c r="D685" i="9"/>
  <c r="C685" i="9"/>
  <c r="H684" i="9"/>
  <c r="G684" i="9"/>
  <c r="D684" i="9"/>
  <c r="C684" i="9"/>
  <c r="H683" i="9"/>
  <c r="G683" i="9"/>
  <c r="D683" i="9"/>
  <c r="C683" i="9"/>
  <c r="H682" i="9"/>
  <c r="G682" i="9"/>
  <c r="D682" i="9"/>
  <c r="C682" i="9"/>
  <c r="H681" i="9"/>
  <c r="G681" i="9"/>
  <c r="D681" i="9"/>
  <c r="C681" i="9"/>
  <c r="H680" i="9"/>
  <c r="G680" i="9"/>
  <c r="D680" i="9"/>
  <c r="C680" i="9"/>
  <c r="H679" i="9"/>
  <c r="G679" i="9"/>
  <c r="D679" i="9"/>
  <c r="C679" i="9"/>
  <c r="H678" i="9"/>
  <c r="G678" i="9"/>
  <c r="D678" i="9"/>
  <c r="C678" i="9"/>
  <c r="H677" i="9"/>
  <c r="G677" i="9"/>
  <c r="D677" i="9"/>
  <c r="C677" i="9"/>
  <c r="H676" i="9"/>
  <c r="G676" i="9"/>
  <c r="D676" i="9"/>
  <c r="C676" i="9"/>
  <c r="H675" i="9"/>
  <c r="G675" i="9"/>
  <c r="D675" i="9"/>
  <c r="C675" i="9"/>
  <c r="H674" i="9"/>
  <c r="G674" i="9"/>
  <c r="D674" i="9"/>
  <c r="C674" i="9"/>
  <c r="H673" i="9"/>
  <c r="G673" i="9"/>
  <c r="D673" i="9"/>
  <c r="C673" i="9"/>
  <c r="H672" i="9"/>
  <c r="G672" i="9"/>
  <c r="D672" i="9"/>
  <c r="C672" i="9"/>
  <c r="H671" i="9"/>
  <c r="G671" i="9"/>
  <c r="D671" i="9"/>
  <c r="C671" i="9"/>
  <c r="H670" i="9"/>
  <c r="G670" i="9"/>
  <c r="D670" i="9"/>
  <c r="C670" i="9"/>
  <c r="H669" i="9"/>
  <c r="G669" i="9"/>
  <c r="D669" i="9"/>
  <c r="C669" i="9"/>
  <c r="H668" i="9"/>
  <c r="G668" i="9"/>
  <c r="D668" i="9"/>
  <c r="C668" i="9"/>
  <c r="H667" i="9"/>
  <c r="G667" i="9"/>
  <c r="D667" i="9"/>
  <c r="C667" i="9"/>
  <c r="H666" i="9"/>
  <c r="G666" i="9"/>
  <c r="D666" i="9"/>
  <c r="C666" i="9"/>
  <c r="H665" i="9"/>
  <c r="G665" i="9"/>
  <c r="D665" i="9"/>
  <c r="C665" i="9"/>
  <c r="H664" i="9"/>
  <c r="G664" i="9"/>
  <c r="D664" i="9"/>
  <c r="C664" i="9"/>
  <c r="H663" i="9"/>
  <c r="G663" i="9"/>
  <c r="D663" i="9"/>
  <c r="C663" i="9"/>
  <c r="H662" i="9"/>
  <c r="G662" i="9"/>
  <c r="D662" i="9"/>
  <c r="C662" i="9"/>
  <c r="H661" i="9"/>
  <c r="G661" i="9"/>
  <c r="D661" i="9"/>
  <c r="C661" i="9"/>
  <c r="H660" i="9"/>
  <c r="G660" i="9"/>
  <c r="D660" i="9"/>
  <c r="C660" i="9"/>
  <c r="H659" i="9"/>
  <c r="G659" i="9"/>
  <c r="D659" i="9"/>
  <c r="C659" i="9"/>
  <c r="H658" i="9"/>
  <c r="G658" i="9"/>
  <c r="D658" i="9"/>
  <c r="C658" i="9"/>
  <c r="H657" i="9"/>
  <c r="G657" i="9"/>
  <c r="D657" i="9"/>
  <c r="C657" i="9"/>
  <c r="H656" i="9"/>
  <c r="G656" i="9"/>
  <c r="D656" i="9"/>
  <c r="C656" i="9"/>
  <c r="H655" i="9"/>
  <c r="G655" i="9"/>
  <c r="D655" i="9"/>
  <c r="C655" i="9"/>
  <c r="H654" i="9"/>
  <c r="G654" i="9"/>
  <c r="D654" i="9"/>
  <c r="C654" i="9"/>
  <c r="H653" i="9"/>
  <c r="G653" i="9"/>
  <c r="D653" i="9"/>
  <c r="C653" i="9"/>
  <c r="H652" i="9"/>
  <c r="G652" i="9"/>
  <c r="D652" i="9"/>
  <c r="C652" i="9"/>
  <c r="H651" i="9"/>
  <c r="G651" i="9"/>
  <c r="D651" i="9"/>
  <c r="C651" i="9"/>
  <c r="H650" i="9"/>
  <c r="G650" i="9"/>
  <c r="D650" i="9"/>
  <c r="C650" i="9"/>
  <c r="H649" i="9"/>
  <c r="G649" i="9"/>
  <c r="D649" i="9"/>
  <c r="C649" i="9"/>
  <c r="H648" i="9"/>
  <c r="G648" i="9"/>
  <c r="D648" i="9"/>
  <c r="C648" i="9"/>
  <c r="H647" i="9"/>
  <c r="G647" i="9"/>
  <c r="D647" i="9"/>
  <c r="C647" i="9"/>
  <c r="H646" i="9"/>
  <c r="G646" i="9"/>
  <c r="D646" i="9"/>
  <c r="C646" i="9"/>
  <c r="H645" i="9"/>
  <c r="G645" i="9"/>
  <c r="D645" i="9"/>
  <c r="C645" i="9"/>
  <c r="H644" i="9"/>
  <c r="G644" i="9"/>
  <c r="D644" i="9"/>
  <c r="C644" i="9"/>
  <c r="H643" i="9"/>
  <c r="G643" i="9"/>
  <c r="D643" i="9"/>
  <c r="C643" i="9"/>
  <c r="H642" i="9"/>
  <c r="G642" i="9"/>
  <c r="D642" i="9"/>
  <c r="C642" i="9"/>
  <c r="H641" i="9"/>
  <c r="G641" i="9"/>
  <c r="D641" i="9"/>
  <c r="C641" i="9"/>
  <c r="H640" i="9"/>
  <c r="G640" i="9"/>
  <c r="D640" i="9"/>
  <c r="C640" i="9"/>
  <c r="H639" i="9"/>
  <c r="G639" i="9"/>
  <c r="D639" i="9"/>
  <c r="C639" i="9"/>
  <c r="H638" i="9"/>
  <c r="G638" i="9"/>
  <c r="D638" i="9"/>
  <c r="C638" i="9"/>
  <c r="H637" i="9"/>
  <c r="G637" i="9"/>
  <c r="D637" i="9"/>
  <c r="C637" i="9"/>
  <c r="H636" i="9"/>
  <c r="G636" i="9"/>
  <c r="D636" i="9"/>
  <c r="C636" i="9"/>
  <c r="H635" i="9"/>
  <c r="G635" i="9"/>
  <c r="D635" i="9"/>
  <c r="C635" i="9"/>
  <c r="H634" i="9"/>
  <c r="G634" i="9"/>
  <c r="D634" i="9"/>
  <c r="C634" i="9"/>
  <c r="H633" i="9"/>
  <c r="G633" i="9"/>
  <c r="D633" i="9"/>
  <c r="C633" i="9"/>
  <c r="H632" i="9"/>
  <c r="G632" i="9"/>
  <c r="D632" i="9"/>
  <c r="C632" i="9"/>
  <c r="H631" i="9"/>
  <c r="G631" i="9"/>
  <c r="D631" i="9"/>
  <c r="C631" i="9"/>
  <c r="H630" i="9"/>
  <c r="G630" i="9"/>
  <c r="D630" i="9"/>
  <c r="C630" i="9"/>
  <c r="H629" i="9"/>
  <c r="G629" i="9"/>
  <c r="D629" i="9"/>
  <c r="C629" i="9"/>
  <c r="H628" i="9"/>
  <c r="G628" i="9"/>
  <c r="D628" i="9"/>
  <c r="C628" i="9"/>
  <c r="H627" i="9"/>
  <c r="G627" i="9"/>
  <c r="D627" i="9"/>
  <c r="C627" i="9"/>
  <c r="H626" i="9"/>
  <c r="G626" i="9"/>
  <c r="D626" i="9"/>
  <c r="C626" i="9"/>
  <c r="H625" i="9"/>
  <c r="G625" i="9"/>
  <c r="D625" i="9"/>
  <c r="C625" i="9"/>
  <c r="H624" i="9"/>
  <c r="G624" i="9"/>
  <c r="D624" i="9"/>
  <c r="C624" i="9"/>
  <c r="H623" i="9"/>
  <c r="G623" i="9"/>
  <c r="D623" i="9"/>
  <c r="C623" i="9"/>
  <c r="H622" i="9"/>
  <c r="G622" i="9"/>
  <c r="D622" i="9"/>
  <c r="C622" i="9"/>
  <c r="H621" i="9"/>
  <c r="G621" i="9"/>
  <c r="D621" i="9"/>
  <c r="C621" i="9"/>
  <c r="H620" i="9"/>
  <c r="G620" i="9"/>
  <c r="D620" i="9"/>
  <c r="C620" i="9"/>
  <c r="H619" i="9"/>
  <c r="G619" i="9"/>
  <c r="D619" i="9"/>
  <c r="C619" i="9"/>
  <c r="H618" i="9"/>
  <c r="G618" i="9"/>
  <c r="D618" i="9"/>
  <c r="C618" i="9"/>
  <c r="H617" i="9"/>
  <c r="G617" i="9"/>
  <c r="D617" i="9"/>
  <c r="C617" i="9"/>
  <c r="H616" i="9"/>
  <c r="G616" i="9"/>
  <c r="D616" i="9"/>
  <c r="C616" i="9"/>
  <c r="H615" i="9"/>
  <c r="G615" i="9"/>
  <c r="D615" i="9"/>
  <c r="C615" i="9"/>
  <c r="H614" i="9"/>
  <c r="G614" i="9"/>
  <c r="D614" i="9"/>
  <c r="C614" i="9"/>
  <c r="H613" i="9"/>
  <c r="G613" i="9"/>
  <c r="D613" i="9"/>
  <c r="C613" i="9"/>
  <c r="H612" i="9"/>
  <c r="G612" i="9"/>
  <c r="D612" i="9"/>
  <c r="C612" i="9"/>
  <c r="H611" i="9"/>
  <c r="G611" i="9"/>
  <c r="D611" i="9"/>
  <c r="C611" i="9"/>
  <c r="H610" i="9"/>
  <c r="G610" i="9"/>
  <c r="D610" i="9"/>
  <c r="C610" i="9"/>
  <c r="H609" i="9"/>
  <c r="G609" i="9"/>
  <c r="D609" i="9"/>
  <c r="C609" i="9"/>
  <c r="H608" i="9"/>
  <c r="G608" i="9"/>
  <c r="D608" i="9"/>
  <c r="C608" i="9"/>
  <c r="H607" i="9"/>
  <c r="G607" i="9"/>
  <c r="D607" i="9"/>
  <c r="C607" i="9"/>
  <c r="H606" i="9"/>
  <c r="G606" i="9"/>
  <c r="D606" i="9"/>
  <c r="C606" i="9"/>
  <c r="H605" i="9"/>
  <c r="G605" i="9"/>
  <c r="D605" i="9"/>
  <c r="C605" i="9"/>
  <c r="H604" i="9"/>
  <c r="G604" i="9"/>
  <c r="D604" i="9"/>
  <c r="C604" i="9"/>
  <c r="H603" i="9"/>
  <c r="G603" i="9"/>
  <c r="D603" i="9"/>
  <c r="C603" i="9"/>
  <c r="H602" i="9"/>
  <c r="G602" i="9"/>
  <c r="D602" i="9"/>
  <c r="C602" i="9"/>
  <c r="H601" i="9"/>
  <c r="G601" i="9"/>
  <c r="D601" i="9"/>
  <c r="C601" i="9"/>
  <c r="H600" i="9"/>
  <c r="G600" i="9"/>
  <c r="D600" i="9"/>
  <c r="C600" i="9"/>
  <c r="H599" i="9"/>
  <c r="G599" i="9"/>
  <c r="D599" i="9"/>
  <c r="C599" i="9"/>
  <c r="H598" i="9"/>
  <c r="G598" i="9"/>
  <c r="D598" i="9"/>
  <c r="C598" i="9"/>
  <c r="H597" i="9"/>
  <c r="G597" i="9"/>
  <c r="D597" i="9"/>
  <c r="C597" i="9"/>
  <c r="H596" i="9"/>
  <c r="G596" i="9"/>
  <c r="D596" i="9"/>
  <c r="C596" i="9"/>
  <c r="H595" i="9"/>
  <c r="G595" i="9"/>
  <c r="D595" i="9"/>
  <c r="C595" i="9"/>
  <c r="H594" i="9"/>
  <c r="G594" i="9"/>
  <c r="D594" i="9"/>
  <c r="C594" i="9"/>
  <c r="H593" i="9"/>
  <c r="G593" i="9"/>
  <c r="D593" i="9"/>
  <c r="C593" i="9"/>
  <c r="H592" i="9"/>
  <c r="G592" i="9"/>
  <c r="D592" i="9"/>
  <c r="C592" i="9"/>
  <c r="H591" i="9"/>
  <c r="G591" i="9"/>
  <c r="D591" i="9"/>
  <c r="C591" i="9"/>
  <c r="H590" i="9"/>
  <c r="G590" i="9"/>
  <c r="D590" i="9"/>
  <c r="C590" i="9"/>
  <c r="H589" i="9"/>
  <c r="G589" i="9"/>
  <c r="D589" i="9"/>
  <c r="C589" i="9"/>
  <c r="H588" i="9"/>
  <c r="G588" i="9"/>
  <c r="D588" i="9"/>
  <c r="C588" i="9"/>
  <c r="H587" i="9"/>
  <c r="G587" i="9"/>
  <c r="D587" i="9"/>
  <c r="C587" i="9"/>
  <c r="H586" i="9"/>
  <c r="G586" i="9"/>
  <c r="D586" i="9"/>
  <c r="C586" i="9"/>
  <c r="H585" i="9"/>
  <c r="G585" i="9"/>
  <c r="D585" i="9"/>
  <c r="C585" i="9"/>
  <c r="H584" i="9"/>
  <c r="G584" i="9"/>
  <c r="D584" i="9"/>
  <c r="C584" i="9"/>
  <c r="H583" i="9"/>
  <c r="G583" i="9"/>
  <c r="D583" i="9"/>
  <c r="C583" i="9"/>
  <c r="H582" i="9"/>
  <c r="G582" i="9"/>
  <c r="D582" i="9"/>
  <c r="C582" i="9"/>
  <c r="H581" i="9"/>
  <c r="G581" i="9"/>
  <c r="D581" i="9"/>
  <c r="C581" i="9"/>
  <c r="H580" i="9"/>
  <c r="G580" i="9"/>
  <c r="D580" i="9"/>
  <c r="C580" i="9"/>
  <c r="H579" i="9"/>
  <c r="G579" i="9"/>
  <c r="D579" i="9"/>
  <c r="C579" i="9"/>
  <c r="H578" i="9"/>
  <c r="G578" i="9"/>
  <c r="D578" i="9"/>
  <c r="C578" i="9"/>
  <c r="H577" i="9"/>
  <c r="G577" i="9"/>
  <c r="D577" i="9"/>
  <c r="C577" i="9"/>
  <c r="H576" i="9"/>
  <c r="G576" i="9"/>
  <c r="D576" i="9"/>
  <c r="C576" i="9"/>
  <c r="H575" i="9"/>
  <c r="G575" i="9"/>
  <c r="D575" i="9"/>
  <c r="C575" i="9"/>
  <c r="H574" i="9"/>
  <c r="G574" i="9"/>
  <c r="D574" i="9"/>
  <c r="C574" i="9"/>
  <c r="H573" i="9"/>
  <c r="G573" i="9"/>
  <c r="D573" i="9"/>
  <c r="C573" i="9"/>
  <c r="H572" i="9"/>
  <c r="G572" i="9"/>
  <c r="D572" i="9"/>
  <c r="C572" i="9"/>
  <c r="H571" i="9"/>
  <c r="G571" i="9"/>
  <c r="D571" i="9"/>
  <c r="C571" i="9"/>
  <c r="H570" i="9"/>
  <c r="G570" i="9"/>
  <c r="D570" i="9"/>
  <c r="C570" i="9"/>
  <c r="H569" i="9"/>
  <c r="G569" i="9"/>
  <c r="D569" i="9"/>
  <c r="C569" i="9"/>
  <c r="H568" i="9"/>
  <c r="G568" i="9"/>
  <c r="D568" i="9"/>
  <c r="C568" i="9"/>
  <c r="H567" i="9"/>
  <c r="G567" i="9"/>
  <c r="D567" i="9"/>
  <c r="C567" i="9"/>
  <c r="H566" i="9"/>
  <c r="G566" i="9"/>
  <c r="D566" i="9"/>
  <c r="C566" i="9"/>
  <c r="H565" i="9"/>
  <c r="G565" i="9"/>
  <c r="D565" i="9"/>
  <c r="C565" i="9"/>
  <c r="H564" i="9"/>
  <c r="G564" i="9"/>
  <c r="D564" i="9"/>
  <c r="C564" i="9"/>
  <c r="H563" i="9"/>
  <c r="G563" i="9"/>
  <c r="D563" i="9"/>
  <c r="C563" i="9"/>
  <c r="H562" i="9"/>
  <c r="G562" i="9"/>
  <c r="D562" i="9"/>
  <c r="C562" i="9"/>
  <c r="H561" i="9"/>
  <c r="G561" i="9"/>
  <c r="D561" i="9"/>
  <c r="C561" i="9"/>
  <c r="H560" i="9"/>
  <c r="G560" i="9"/>
  <c r="D560" i="9"/>
  <c r="C560" i="9"/>
  <c r="H559" i="9"/>
  <c r="G559" i="9"/>
  <c r="D559" i="9"/>
  <c r="C559" i="9"/>
  <c r="H558" i="9"/>
  <c r="G558" i="9"/>
  <c r="D558" i="9"/>
  <c r="C558" i="9"/>
  <c r="H557" i="9"/>
  <c r="G557" i="9"/>
  <c r="D557" i="9"/>
  <c r="C557" i="9"/>
  <c r="H556" i="9"/>
  <c r="G556" i="9"/>
  <c r="D556" i="9"/>
  <c r="C556" i="9"/>
  <c r="H555" i="9"/>
  <c r="G555" i="9"/>
  <c r="D555" i="9"/>
  <c r="C555" i="9"/>
  <c r="H554" i="9"/>
  <c r="G554" i="9"/>
  <c r="D554" i="9"/>
  <c r="C554" i="9"/>
  <c r="H553" i="9"/>
  <c r="G553" i="9"/>
  <c r="D553" i="9"/>
  <c r="C553" i="9"/>
  <c r="H552" i="9"/>
  <c r="G552" i="9"/>
  <c r="D552" i="9"/>
  <c r="C552" i="9"/>
  <c r="H551" i="9"/>
  <c r="G551" i="9"/>
  <c r="D551" i="9"/>
  <c r="C551" i="9"/>
  <c r="H550" i="9"/>
  <c r="G550" i="9"/>
  <c r="D550" i="9"/>
  <c r="C550" i="9"/>
  <c r="H549" i="9"/>
  <c r="G549" i="9"/>
  <c r="D549" i="9"/>
  <c r="C549" i="9"/>
  <c r="H548" i="9"/>
  <c r="G548" i="9"/>
  <c r="D548" i="9"/>
  <c r="C548" i="9"/>
  <c r="H547" i="9"/>
  <c r="G547" i="9"/>
  <c r="D547" i="9"/>
  <c r="C547" i="9"/>
  <c r="H546" i="9"/>
  <c r="G546" i="9"/>
  <c r="D546" i="9"/>
  <c r="C546" i="9"/>
  <c r="H545" i="9"/>
  <c r="G545" i="9"/>
  <c r="D545" i="9"/>
  <c r="C545" i="9"/>
  <c r="H544" i="9"/>
  <c r="G544" i="9"/>
  <c r="D544" i="9"/>
  <c r="C544" i="9"/>
  <c r="H543" i="9"/>
  <c r="G543" i="9"/>
  <c r="D543" i="9"/>
  <c r="C543" i="9"/>
  <c r="H542" i="9"/>
  <c r="G542" i="9"/>
  <c r="D542" i="9"/>
  <c r="C542" i="9"/>
  <c r="H541" i="9"/>
  <c r="G541" i="9"/>
  <c r="D541" i="9"/>
  <c r="C541" i="9"/>
  <c r="H540" i="9"/>
  <c r="G540" i="9"/>
  <c r="D540" i="9"/>
  <c r="C540" i="9"/>
  <c r="H539" i="9"/>
  <c r="G539" i="9"/>
  <c r="D539" i="9"/>
  <c r="C539" i="9"/>
  <c r="H538" i="9"/>
  <c r="G538" i="9"/>
  <c r="D538" i="9"/>
  <c r="C538" i="9"/>
  <c r="H537" i="9"/>
  <c r="G537" i="9"/>
  <c r="D537" i="9"/>
  <c r="C537" i="9"/>
  <c r="H536" i="9"/>
  <c r="G536" i="9"/>
  <c r="D536" i="9"/>
  <c r="C536" i="9"/>
  <c r="H535" i="9"/>
  <c r="G535" i="9"/>
  <c r="D535" i="9"/>
  <c r="C535" i="9"/>
  <c r="H534" i="9"/>
  <c r="G534" i="9"/>
  <c r="D534" i="9"/>
  <c r="C534" i="9"/>
  <c r="H533" i="9"/>
  <c r="G533" i="9"/>
  <c r="D533" i="9"/>
  <c r="C533" i="9"/>
  <c r="H532" i="9"/>
  <c r="G532" i="9"/>
  <c r="D532" i="9"/>
  <c r="C532" i="9"/>
  <c r="H531" i="9"/>
  <c r="G531" i="9"/>
  <c r="D531" i="9"/>
  <c r="C531" i="9"/>
  <c r="H530" i="9"/>
  <c r="G530" i="9"/>
  <c r="D530" i="9"/>
  <c r="C530" i="9"/>
  <c r="H529" i="9"/>
  <c r="G529" i="9"/>
  <c r="D529" i="9"/>
  <c r="C529" i="9"/>
  <c r="H528" i="9"/>
  <c r="G528" i="9"/>
  <c r="D528" i="9"/>
  <c r="C528" i="9"/>
  <c r="H527" i="9"/>
  <c r="G527" i="9"/>
  <c r="D527" i="9"/>
  <c r="C527" i="9"/>
  <c r="H526" i="9"/>
  <c r="G526" i="9"/>
  <c r="D526" i="9"/>
  <c r="C526" i="9"/>
  <c r="H525" i="9"/>
  <c r="G525" i="9"/>
  <c r="D525" i="9"/>
  <c r="C525" i="9"/>
  <c r="H524" i="9"/>
  <c r="G524" i="9"/>
  <c r="D524" i="9"/>
  <c r="C524" i="9"/>
  <c r="H523" i="9"/>
  <c r="G523" i="9"/>
  <c r="D523" i="9"/>
  <c r="C523" i="9"/>
  <c r="H522" i="9"/>
  <c r="G522" i="9"/>
  <c r="D522" i="9"/>
  <c r="C522" i="9"/>
  <c r="H521" i="9"/>
  <c r="G521" i="9"/>
  <c r="D521" i="9"/>
  <c r="C521" i="9"/>
  <c r="H520" i="9"/>
  <c r="G520" i="9"/>
  <c r="D520" i="9"/>
  <c r="C520" i="9"/>
  <c r="H519" i="9"/>
  <c r="G519" i="9"/>
  <c r="D519" i="9"/>
  <c r="C519" i="9"/>
  <c r="H518" i="9"/>
  <c r="G518" i="9"/>
  <c r="D518" i="9"/>
  <c r="C518" i="9"/>
  <c r="H517" i="9"/>
  <c r="G517" i="9"/>
  <c r="D517" i="9"/>
  <c r="C517" i="9"/>
  <c r="H516" i="9"/>
  <c r="G516" i="9"/>
  <c r="D516" i="9"/>
  <c r="C516" i="9"/>
  <c r="H515" i="9"/>
  <c r="G515" i="9"/>
  <c r="D515" i="9"/>
  <c r="C515" i="9"/>
  <c r="H514" i="9"/>
  <c r="G514" i="9"/>
  <c r="D514" i="9"/>
  <c r="C514" i="9"/>
  <c r="H513" i="9"/>
  <c r="G513" i="9"/>
  <c r="D513" i="9"/>
  <c r="C513" i="9"/>
  <c r="H512" i="9"/>
  <c r="G512" i="9"/>
  <c r="D512" i="9"/>
  <c r="C512" i="9"/>
  <c r="H511" i="9"/>
  <c r="G511" i="9"/>
  <c r="D511" i="9"/>
  <c r="C511" i="9"/>
  <c r="H510" i="9"/>
  <c r="G510" i="9"/>
  <c r="D510" i="9"/>
  <c r="C510" i="9"/>
  <c r="H509" i="9"/>
  <c r="G509" i="9"/>
  <c r="D509" i="9"/>
  <c r="C509" i="9"/>
  <c r="H508" i="9"/>
  <c r="G508" i="9"/>
  <c r="D508" i="9"/>
  <c r="C508" i="9"/>
  <c r="H507" i="9"/>
  <c r="G507" i="9"/>
  <c r="D507" i="9"/>
  <c r="C507" i="9"/>
  <c r="H506" i="9"/>
  <c r="G506" i="9"/>
  <c r="D506" i="9"/>
  <c r="C506" i="9"/>
  <c r="H505" i="9"/>
  <c r="G505" i="9"/>
  <c r="D505" i="9"/>
  <c r="C505" i="9"/>
  <c r="H504" i="9"/>
  <c r="G504" i="9"/>
  <c r="D504" i="9"/>
  <c r="C504" i="9"/>
  <c r="H503" i="9"/>
  <c r="G503" i="9"/>
  <c r="D503" i="9"/>
  <c r="C503" i="9"/>
  <c r="H502" i="9"/>
  <c r="G502" i="9"/>
  <c r="D502" i="9"/>
  <c r="C502" i="9"/>
  <c r="H501" i="9"/>
  <c r="G501" i="9"/>
  <c r="D501" i="9"/>
  <c r="C501" i="9"/>
  <c r="H500" i="9"/>
  <c r="G500" i="9"/>
  <c r="D500" i="9"/>
  <c r="C500" i="9"/>
  <c r="H499" i="9"/>
  <c r="G499" i="9"/>
  <c r="D499" i="9"/>
  <c r="C499" i="9"/>
  <c r="H498" i="9"/>
  <c r="G498" i="9"/>
  <c r="D498" i="9"/>
  <c r="C498" i="9"/>
  <c r="H497" i="9"/>
  <c r="G497" i="9"/>
  <c r="D497" i="9"/>
  <c r="C497" i="9"/>
  <c r="H496" i="9"/>
  <c r="G496" i="9"/>
  <c r="D496" i="9"/>
  <c r="C496" i="9"/>
  <c r="H495" i="9"/>
  <c r="G495" i="9"/>
  <c r="D495" i="9"/>
  <c r="C495" i="9"/>
  <c r="H494" i="9"/>
  <c r="G494" i="9"/>
  <c r="D494" i="9"/>
  <c r="C494" i="9"/>
  <c r="H493" i="9"/>
  <c r="G493" i="9"/>
  <c r="D493" i="9"/>
  <c r="C493" i="9"/>
  <c r="H492" i="9"/>
  <c r="G492" i="9"/>
  <c r="D492" i="9"/>
  <c r="C492" i="9"/>
  <c r="H491" i="9"/>
  <c r="G491" i="9"/>
  <c r="D491" i="9"/>
  <c r="C491" i="9"/>
  <c r="H490" i="9"/>
  <c r="G490" i="9"/>
  <c r="D490" i="9"/>
  <c r="C490" i="9"/>
  <c r="H489" i="9"/>
  <c r="G489" i="9"/>
  <c r="D489" i="9"/>
  <c r="C489" i="9"/>
  <c r="H488" i="9"/>
  <c r="G488" i="9"/>
  <c r="D488" i="9"/>
  <c r="C488" i="9"/>
  <c r="H487" i="9"/>
  <c r="G487" i="9"/>
  <c r="D487" i="9"/>
  <c r="C487" i="9"/>
  <c r="H486" i="9"/>
  <c r="G486" i="9"/>
  <c r="D486" i="9"/>
  <c r="C486" i="9"/>
  <c r="H485" i="9"/>
  <c r="G485" i="9"/>
  <c r="D485" i="9"/>
  <c r="C485" i="9"/>
  <c r="H484" i="9"/>
  <c r="G484" i="9"/>
  <c r="D484" i="9"/>
  <c r="C484" i="9"/>
  <c r="H483" i="9"/>
  <c r="G483" i="9"/>
  <c r="D483" i="9"/>
  <c r="C483" i="9"/>
  <c r="H482" i="9"/>
  <c r="G482" i="9"/>
  <c r="D482" i="9"/>
  <c r="C482" i="9"/>
  <c r="H481" i="9"/>
  <c r="G481" i="9"/>
  <c r="D481" i="9"/>
  <c r="C481" i="9"/>
  <c r="H480" i="9"/>
  <c r="G480" i="9"/>
  <c r="D480" i="9"/>
  <c r="C480" i="9"/>
  <c r="H479" i="9"/>
  <c r="G479" i="9"/>
  <c r="D479" i="9"/>
  <c r="C479" i="9"/>
  <c r="H478" i="9"/>
  <c r="G478" i="9"/>
  <c r="D478" i="9"/>
  <c r="C478" i="9"/>
  <c r="H477" i="9"/>
  <c r="G477" i="9"/>
  <c r="D477" i="9"/>
  <c r="C477" i="9"/>
  <c r="H476" i="9"/>
  <c r="G476" i="9"/>
  <c r="D476" i="9"/>
  <c r="C476" i="9"/>
  <c r="H475" i="9"/>
  <c r="G475" i="9"/>
  <c r="D475" i="9"/>
  <c r="C475" i="9"/>
  <c r="H474" i="9"/>
  <c r="G474" i="9"/>
  <c r="D474" i="9"/>
  <c r="C474" i="9"/>
  <c r="H473" i="9"/>
  <c r="G473" i="9"/>
  <c r="D473" i="9"/>
  <c r="C473" i="9"/>
  <c r="H472" i="9"/>
  <c r="G472" i="9"/>
  <c r="D472" i="9"/>
  <c r="C472" i="9"/>
  <c r="H471" i="9"/>
  <c r="G471" i="9"/>
  <c r="D471" i="9"/>
  <c r="C471" i="9"/>
  <c r="H470" i="9"/>
  <c r="G470" i="9"/>
  <c r="D470" i="9"/>
  <c r="C470" i="9"/>
  <c r="H469" i="9"/>
  <c r="G469" i="9"/>
  <c r="D469" i="9"/>
  <c r="C469" i="9"/>
  <c r="H468" i="9"/>
  <c r="G468" i="9"/>
  <c r="D468" i="9"/>
  <c r="C468" i="9"/>
  <c r="H467" i="9"/>
  <c r="G467" i="9"/>
  <c r="D467" i="9"/>
  <c r="C467" i="9"/>
  <c r="H466" i="9"/>
  <c r="G466" i="9"/>
  <c r="D466" i="9"/>
  <c r="C466" i="9"/>
  <c r="H465" i="9"/>
  <c r="G465" i="9"/>
  <c r="D465" i="9"/>
  <c r="C465" i="9"/>
  <c r="H464" i="9"/>
  <c r="G464" i="9"/>
  <c r="D464" i="9"/>
  <c r="C464" i="9"/>
  <c r="H463" i="9"/>
  <c r="G463" i="9"/>
  <c r="D463" i="9"/>
  <c r="C463" i="9"/>
  <c r="H462" i="9"/>
  <c r="G462" i="9"/>
  <c r="D462" i="9"/>
  <c r="C462" i="9"/>
  <c r="H461" i="9"/>
  <c r="G461" i="9"/>
  <c r="D461" i="9"/>
  <c r="C461" i="9"/>
  <c r="H460" i="9"/>
  <c r="G460" i="9"/>
  <c r="D460" i="9"/>
  <c r="C460" i="9"/>
  <c r="H459" i="9"/>
  <c r="G459" i="9"/>
  <c r="D459" i="9"/>
  <c r="C459" i="9"/>
  <c r="H458" i="9"/>
  <c r="G458" i="9"/>
  <c r="D458" i="9"/>
  <c r="C458" i="9"/>
  <c r="H457" i="9"/>
  <c r="G457" i="9"/>
  <c r="D457" i="9"/>
  <c r="C457" i="9"/>
  <c r="H456" i="9"/>
  <c r="G456" i="9"/>
  <c r="D456" i="9"/>
  <c r="C456" i="9"/>
  <c r="H455" i="9"/>
  <c r="G455" i="9"/>
  <c r="D455" i="9"/>
  <c r="C455" i="9"/>
  <c r="H454" i="9"/>
  <c r="G454" i="9"/>
  <c r="D454" i="9"/>
  <c r="C454" i="9"/>
  <c r="H453" i="9"/>
  <c r="G453" i="9"/>
  <c r="D453" i="9"/>
  <c r="C453" i="9"/>
  <c r="H452" i="9"/>
  <c r="G452" i="9"/>
  <c r="D452" i="9"/>
  <c r="C452" i="9"/>
  <c r="H451" i="9"/>
  <c r="G451" i="9"/>
  <c r="D451" i="9"/>
  <c r="C451" i="9"/>
  <c r="H450" i="9"/>
  <c r="G450" i="9"/>
  <c r="D450" i="9"/>
  <c r="C450" i="9"/>
  <c r="H449" i="9"/>
  <c r="G449" i="9"/>
  <c r="D449" i="9"/>
  <c r="C449" i="9"/>
  <c r="H448" i="9"/>
  <c r="G448" i="9"/>
  <c r="D448" i="9"/>
  <c r="C448" i="9"/>
  <c r="H447" i="9"/>
  <c r="G447" i="9"/>
  <c r="D447" i="9"/>
  <c r="C447" i="9"/>
  <c r="H446" i="9"/>
  <c r="G446" i="9"/>
  <c r="D446" i="9"/>
  <c r="C446" i="9"/>
  <c r="H445" i="9"/>
  <c r="G445" i="9"/>
  <c r="D445" i="9"/>
  <c r="C445" i="9"/>
  <c r="H444" i="9"/>
  <c r="G444" i="9"/>
  <c r="D444" i="9"/>
  <c r="C444" i="9"/>
  <c r="H443" i="9"/>
  <c r="G443" i="9"/>
  <c r="D443" i="9"/>
  <c r="C443" i="9"/>
  <c r="H442" i="9"/>
  <c r="G442" i="9"/>
  <c r="D442" i="9"/>
  <c r="C442" i="9"/>
  <c r="H441" i="9"/>
  <c r="G441" i="9"/>
  <c r="D441" i="9"/>
  <c r="C441" i="9"/>
  <c r="H440" i="9"/>
  <c r="G440" i="9"/>
  <c r="D440" i="9"/>
  <c r="C440" i="9"/>
  <c r="H439" i="9"/>
  <c r="G439" i="9"/>
  <c r="D439" i="9"/>
  <c r="C439" i="9"/>
  <c r="H438" i="9"/>
  <c r="G438" i="9"/>
  <c r="D438" i="9"/>
  <c r="C438" i="9"/>
  <c r="H437" i="9"/>
  <c r="G437" i="9"/>
  <c r="D437" i="9"/>
  <c r="C437" i="9"/>
  <c r="H436" i="9"/>
  <c r="G436" i="9"/>
  <c r="D436" i="9"/>
  <c r="C436" i="9"/>
  <c r="H435" i="9"/>
  <c r="G435" i="9"/>
  <c r="D435" i="9"/>
  <c r="C435" i="9"/>
  <c r="H434" i="9"/>
  <c r="G434" i="9"/>
  <c r="D434" i="9"/>
  <c r="C434" i="9"/>
  <c r="H433" i="9"/>
  <c r="G433" i="9"/>
  <c r="D433" i="9"/>
  <c r="C433" i="9"/>
  <c r="H432" i="9"/>
  <c r="G432" i="9"/>
  <c r="D432" i="9"/>
  <c r="C432" i="9"/>
  <c r="H431" i="9"/>
  <c r="G431" i="9"/>
  <c r="D431" i="9"/>
  <c r="C431" i="9"/>
  <c r="H430" i="9"/>
  <c r="G430" i="9"/>
  <c r="D430" i="9"/>
  <c r="C430" i="9"/>
  <c r="H429" i="9"/>
  <c r="G429" i="9"/>
  <c r="D429" i="9"/>
  <c r="C429" i="9"/>
  <c r="H428" i="9"/>
  <c r="G428" i="9"/>
  <c r="D428" i="9"/>
  <c r="C428" i="9"/>
  <c r="H427" i="9"/>
  <c r="G427" i="9"/>
  <c r="D427" i="9"/>
  <c r="C427" i="9"/>
  <c r="H426" i="9"/>
  <c r="G426" i="9"/>
  <c r="D426" i="9"/>
  <c r="C426" i="9"/>
  <c r="H425" i="9"/>
  <c r="G425" i="9"/>
  <c r="D425" i="9"/>
  <c r="C425" i="9"/>
  <c r="H424" i="9"/>
  <c r="G424" i="9"/>
  <c r="D424" i="9"/>
  <c r="C424" i="9"/>
  <c r="H423" i="9"/>
  <c r="G423" i="9"/>
  <c r="D423" i="9"/>
  <c r="C423" i="9"/>
  <c r="H422" i="9"/>
  <c r="G422" i="9"/>
  <c r="D422" i="9"/>
  <c r="C422" i="9"/>
  <c r="H421" i="9"/>
  <c r="G421" i="9"/>
  <c r="D421" i="9"/>
  <c r="C421" i="9"/>
  <c r="H420" i="9"/>
  <c r="G420" i="9"/>
  <c r="D420" i="9"/>
  <c r="C420" i="9"/>
  <c r="H419" i="9"/>
  <c r="G419" i="9"/>
  <c r="D419" i="9"/>
  <c r="C419" i="9"/>
  <c r="H418" i="9"/>
  <c r="G418" i="9"/>
  <c r="D418" i="9"/>
  <c r="C418" i="9"/>
  <c r="H417" i="9"/>
  <c r="G417" i="9"/>
  <c r="D417" i="9"/>
  <c r="C417" i="9"/>
  <c r="H416" i="9"/>
  <c r="G416" i="9"/>
  <c r="D416" i="9"/>
  <c r="C416" i="9"/>
  <c r="H415" i="9"/>
  <c r="G415" i="9"/>
  <c r="D415" i="9"/>
  <c r="C415" i="9"/>
  <c r="H414" i="9"/>
  <c r="G414" i="9"/>
  <c r="D414" i="9"/>
  <c r="C414" i="9"/>
  <c r="H413" i="9"/>
  <c r="G413" i="9"/>
  <c r="D413" i="9"/>
  <c r="C413" i="9"/>
  <c r="H412" i="9"/>
  <c r="G412" i="9"/>
  <c r="D412" i="9"/>
  <c r="C412" i="9"/>
  <c r="H411" i="9"/>
  <c r="G411" i="9"/>
  <c r="D411" i="9"/>
  <c r="C411" i="9"/>
  <c r="H410" i="9"/>
  <c r="G410" i="9"/>
  <c r="D410" i="9"/>
  <c r="C410" i="9"/>
  <c r="H409" i="9"/>
  <c r="G409" i="9"/>
  <c r="D409" i="9"/>
  <c r="C409" i="9"/>
  <c r="H408" i="9"/>
  <c r="G408" i="9"/>
  <c r="D408" i="9"/>
  <c r="C408" i="9"/>
  <c r="H407" i="9"/>
  <c r="G407" i="9"/>
  <c r="D407" i="9"/>
  <c r="C407" i="9"/>
  <c r="H406" i="9"/>
  <c r="G406" i="9"/>
  <c r="D406" i="9"/>
  <c r="C406" i="9"/>
  <c r="H405" i="9"/>
  <c r="G405" i="9"/>
  <c r="D405" i="9"/>
  <c r="C405" i="9"/>
  <c r="H404" i="9"/>
  <c r="G404" i="9"/>
  <c r="D404" i="9"/>
  <c r="C404" i="9"/>
  <c r="H403" i="9"/>
  <c r="G403" i="9"/>
  <c r="D403" i="9"/>
  <c r="C403" i="9"/>
  <c r="H402" i="9"/>
  <c r="G402" i="9"/>
  <c r="D402" i="9"/>
  <c r="C402" i="9"/>
  <c r="H401" i="9"/>
  <c r="G401" i="9"/>
  <c r="D401" i="9"/>
  <c r="C401" i="9"/>
  <c r="H400" i="9"/>
  <c r="G400" i="9"/>
  <c r="D400" i="9"/>
  <c r="C400" i="9"/>
  <c r="H399" i="9"/>
  <c r="G399" i="9"/>
  <c r="D399" i="9"/>
  <c r="C399" i="9"/>
  <c r="H398" i="9"/>
  <c r="G398" i="9"/>
  <c r="D398" i="9"/>
  <c r="C398" i="9"/>
  <c r="H397" i="9"/>
  <c r="G397" i="9"/>
  <c r="D397" i="9"/>
  <c r="C397" i="9"/>
  <c r="H396" i="9"/>
  <c r="G396" i="9"/>
  <c r="D396" i="9"/>
  <c r="C396" i="9"/>
  <c r="H395" i="9"/>
  <c r="G395" i="9"/>
  <c r="D395" i="9"/>
  <c r="C395" i="9"/>
  <c r="H394" i="9"/>
  <c r="G394" i="9"/>
  <c r="D394" i="9"/>
  <c r="C394" i="9"/>
  <c r="H393" i="9"/>
  <c r="G393" i="9"/>
  <c r="D393" i="9"/>
  <c r="C393" i="9"/>
  <c r="H392" i="9"/>
  <c r="G392" i="9"/>
  <c r="D392" i="9"/>
  <c r="C392" i="9"/>
  <c r="H391" i="9"/>
  <c r="G391" i="9"/>
  <c r="D391" i="9"/>
  <c r="C391" i="9"/>
  <c r="H390" i="9"/>
  <c r="G390" i="9"/>
  <c r="D390" i="9"/>
  <c r="C390" i="9"/>
  <c r="H389" i="9"/>
  <c r="G389" i="9"/>
  <c r="D389" i="9"/>
  <c r="C389" i="9"/>
  <c r="H388" i="9"/>
  <c r="G388" i="9"/>
  <c r="D388" i="9"/>
  <c r="C388" i="9"/>
  <c r="H387" i="9"/>
  <c r="G387" i="9"/>
  <c r="D387" i="9"/>
  <c r="C387" i="9"/>
  <c r="H386" i="9"/>
  <c r="G386" i="9"/>
  <c r="D386" i="9"/>
  <c r="C386" i="9"/>
  <c r="H385" i="9"/>
  <c r="G385" i="9"/>
  <c r="D385" i="9"/>
  <c r="C385" i="9"/>
  <c r="H384" i="9"/>
  <c r="G384" i="9"/>
  <c r="D384" i="9"/>
  <c r="C384" i="9"/>
  <c r="H383" i="9"/>
  <c r="G383" i="9"/>
  <c r="D383" i="9"/>
  <c r="C383" i="9"/>
  <c r="H382" i="9"/>
  <c r="G382" i="9"/>
  <c r="D382" i="9"/>
  <c r="C382" i="9"/>
  <c r="H381" i="9"/>
  <c r="G381" i="9"/>
  <c r="D381" i="9"/>
  <c r="C381" i="9"/>
  <c r="H380" i="9"/>
  <c r="G380" i="9"/>
  <c r="D380" i="9"/>
  <c r="C380" i="9"/>
  <c r="H379" i="9"/>
  <c r="G379" i="9"/>
  <c r="D379" i="9"/>
  <c r="C379" i="9"/>
  <c r="H378" i="9"/>
  <c r="G378" i="9"/>
  <c r="D378" i="9"/>
  <c r="C378" i="9"/>
  <c r="H377" i="9"/>
  <c r="G377" i="9"/>
  <c r="D377" i="9"/>
  <c r="C377" i="9"/>
  <c r="H376" i="9"/>
  <c r="G376" i="9"/>
  <c r="D376" i="9"/>
  <c r="C376" i="9"/>
  <c r="H375" i="9"/>
  <c r="G375" i="9"/>
  <c r="D375" i="9"/>
  <c r="C375" i="9"/>
  <c r="H374" i="9"/>
  <c r="G374" i="9"/>
  <c r="D374" i="9"/>
  <c r="C374" i="9"/>
  <c r="H373" i="9"/>
  <c r="G373" i="9"/>
  <c r="D373" i="9"/>
  <c r="C373" i="9"/>
  <c r="H372" i="9"/>
  <c r="G372" i="9"/>
  <c r="D372" i="9"/>
  <c r="C372" i="9"/>
  <c r="H371" i="9"/>
  <c r="G371" i="9"/>
  <c r="D371" i="9"/>
  <c r="C371" i="9"/>
  <c r="H370" i="9"/>
  <c r="G370" i="9"/>
  <c r="D370" i="9"/>
  <c r="C370" i="9"/>
  <c r="H369" i="9"/>
  <c r="G369" i="9"/>
  <c r="D369" i="9"/>
  <c r="C369" i="9"/>
  <c r="H368" i="9"/>
  <c r="G368" i="9"/>
  <c r="D368" i="9"/>
  <c r="C368" i="9"/>
  <c r="H367" i="9"/>
  <c r="G367" i="9"/>
  <c r="D367" i="9"/>
  <c r="C367" i="9"/>
  <c r="H366" i="9"/>
  <c r="G366" i="9"/>
  <c r="D366" i="9"/>
  <c r="C366" i="9"/>
  <c r="H365" i="9"/>
  <c r="G365" i="9"/>
  <c r="D365" i="9"/>
  <c r="C365" i="9"/>
  <c r="H364" i="9"/>
  <c r="G364" i="9"/>
  <c r="D364" i="9"/>
  <c r="C364" i="9"/>
  <c r="H363" i="9"/>
  <c r="G363" i="9"/>
  <c r="D363" i="9"/>
  <c r="C363" i="9"/>
  <c r="H362" i="9"/>
  <c r="G362" i="9"/>
  <c r="D362" i="9"/>
  <c r="C362" i="9"/>
  <c r="H361" i="9"/>
  <c r="G361" i="9"/>
  <c r="D361" i="9"/>
  <c r="C361" i="9"/>
  <c r="H360" i="9"/>
  <c r="G360" i="9"/>
  <c r="D360" i="9"/>
  <c r="C360" i="9"/>
  <c r="H359" i="9"/>
  <c r="G359" i="9"/>
  <c r="D359" i="9"/>
  <c r="C359" i="9"/>
  <c r="H358" i="9"/>
  <c r="G358" i="9"/>
  <c r="D358" i="9"/>
  <c r="C358" i="9"/>
  <c r="H357" i="9"/>
  <c r="G357" i="9"/>
  <c r="D357" i="9"/>
  <c r="C357" i="9"/>
  <c r="H356" i="9"/>
  <c r="G356" i="9"/>
  <c r="D356" i="9"/>
  <c r="C356" i="9"/>
  <c r="H355" i="9"/>
  <c r="G355" i="9"/>
  <c r="D355" i="9"/>
  <c r="C355" i="9"/>
  <c r="H354" i="9"/>
  <c r="G354" i="9"/>
  <c r="D354" i="9"/>
  <c r="C354" i="9"/>
  <c r="H353" i="9"/>
  <c r="G353" i="9"/>
  <c r="D353" i="9"/>
  <c r="C353" i="9"/>
  <c r="H352" i="9"/>
  <c r="G352" i="9"/>
  <c r="D352" i="9"/>
  <c r="C352" i="9"/>
  <c r="H351" i="9"/>
  <c r="G351" i="9"/>
  <c r="D351" i="9"/>
  <c r="C351" i="9"/>
  <c r="H350" i="9"/>
  <c r="G350" i="9"/>
  <c r="D350" i="9"/>
  <c r="C350" i="9"/>
  <c r="H349" i="9"/>
  <c r="G349" i="9"/>
  <c r="D349" i="9"/>
  <c r="C349" i="9"/>
  <c r="H348" i="9"/>
  <c r="G348" i="9"/>
  <c r="D348" i="9"/>
  <c r="C348" i="9"/>
  <c r="H347" i="9"/>
  <c r="G347" i="9"/>
  <c r="D347" i="9"/>
  <c r="C347" i="9"/>
  <c r="H346" i="9"/>
  <c r="G346" i="9"/>
  <c r="D346" i="9"/>
  <c r="C346" i="9"/>
  <c r="H345" i="9"/>
  <c r="G345" i="9"/>
  <c r="D345" i="9"/>
  <c r="C345" i="9"/>
  <c r="H344" i="9"/>
  <c r="G344" i="9"/>
  <c r="D344" i="9"/>
  <c r="C344" i="9"/>
  <c r="H343" i="9"/>
  <c r="G343" i="9"/>
  <c r="D343" i="9"/>
  <c r="C343" i="9"/>
  <c r="H342" i="9"/>
  <c r="G342" i="9"/>
  <c r="D342" i="9"/>
  <c r="C342" i="9"/>
  <c r="H341" i="9"/>
  <c r="G341" i="9"/>
  <c r="D341" i="9"/>
  <c r="C341" i="9"/>
  <c r="H340" i="9"/>
  <c r="G340" i="9"/>
  <c r="D340" i="9"/>
  <c r="C340" i="9"/>
  <c r="H339" i="9"/>
  <c r="G339" i="9"/>
  <c r="D339" i="9"/>
  <c r="C339" i="9"/>
  <c r="H338" i="9"/>
  <c r="G338" i="9"/>
  <c r="D338" i="9"/>
  <c r="C338" i="9"/>
  <c r="H337" i="9"/>
  <c r="G337" i="9"/>
  <c r="D337" i="9"/>
  <c r="C337" i="9"/>
  <c r="H336" i="9"/>
  <c r="G336" i="9"/>
  <c r="D336" i="9"/>
  <c r="C336" i="9"/>
  <c r="H335" i="9"/>
  <c r="G335" i="9"/>
  <c r="D335" i="9"/>
  <c r="C335" i="9"/>
  <c r="H334" i="9"/>
  <c r="G334" i="9"/>
  <c r="D334" i="9"/>
  <c r="C334" i="9"/>
  <c r="H333" i="9"/>
  <c r="G333" i="9"/>
  <c r="D333" i="9"/>
  <c r="C333" i="9"/>
  <c r="H332" i="9"/>
  <c r="G332" i="9"/>
  <c r="D332" i="9"/>
  <c r="C332" i="9"/>
  <c r="H331" i="9"/>
  <c r="G331" i="9"/>
  <c r="D331" i="9"/>
  <c r="C331" i="9"/>
  <c r="H330" i="9"/>
  <c r="G330" i="9"/>
  <c r="D330" i="9"/>
  <c r="C330" i="9"/>
  <c r="H329" i="9"/>
  <c r="G329" i="9"/>
  <c r="D329" i="9"/>
  <c r="C329" i="9"/>
  <c r="H328" i="9"/>
  <c r="G328" i="9"/>
  <c r="D328" i="9"/>
  <c r="C328" i="9"/>
  <c r="H327" i="9"/>
  <c r="G327" i="9"/>
  <c r="D327" i="9"/>
  <c r="C327" i="9"/>
  <c r="H326" i="9"/>
  <c r="G326" i="9"/>
  <c r="D326" i="9"/>
  <c r="C326" i="9"/>
  <c r="H325" i="9"/>
  <c r="G325" i="9"/>
  <c r="D325" i="9"/>
  <c r="C325" i="9"/>
  <c r="H324" i="9"/>
  <c r="G324" i="9"/>
  <c r="D324" i="9"/>
  <c r="C324" i="9"/>
  <c r="H323" i="9"/>
  <c r="G323" i="9"/>
  <c r="D323" i="9"/>
  <c r="C323" i="9"/>
  <c r="H322" i="9"/>
  <c r="G322" i="9"/>
  <c r="D322" i="9"/>
  <c r="C322" i="9"/>
  <c r="H321" i="9"/>
  <c r="G321" i="9"/>
  <c r="D321" i="9"/>
  <c r="C321" i="9"/>
  <c r="H320" i="9"/>
  <c r="G320" i="9"/>
  <c r="D320" i="9"/>
  <c r="C320" i="9"/>
  <c r="H319" i="9"/>
  <c r="G319" i="9"/>
  <c r="D319" i="9"/>
  <c r="C319" i="9"/>
  <c r="H318" i="9"/>
  <c r="G318" i="9"/>
  <c r="D318" i="9"/>
  <c r="C318" i="9"/>
  <c r="H317" i="9"/>
  <c r="G317" i="9"/>
  <c r="D317" i="9"/>
  <c r="C317" i="9"/>
  <c r="H316" i="9"/>
  <c r="G316" i="9"/>
  <c r="D316" i="9"/>
  <c r="C316" i="9"/>
  <c r="H315" i="9"/>
  <c r="G315" i="9"/>
  <c r="D315" i="9"/>
  <c r="C315" i="9"/>
  <c r="H314" i="9"/>
  <c r="G314" i="9"/>
  <c r="D314" i="9"/>
  <c r="C314" i="9"/>
  <c r="H313" i="9"/>
  <c r="G313" i="9"/>
  <c r="D313" i="9"/>
  <c r="C313" i="9"/>
  <c r="H312" i="9"/>
  <c r="G312" i="9"/>
  <c r="D312" i="9"/>
  <c r="C312" i="9"/>
  <c r="H311" i="9"/>
  <c r="G311" i="9"/>
  <c r="D311" i="9"/>
  <c r="C311" i="9"/>
  <c r="H310" i="9"/>
  <c r="G310" i="9"/>
  <c r="D310" i="9"/>
  <c r="C310" i="9"/>
  <c r="H309" i="9"/>
  <c r="G309" i="9"/>
  <c r="D309" i="9"/>
  <c r="C309" i="9"/>
  <c r="H308" i="9"/>
  <c r="G308" i="9"/>
  <c r="D308" i="9"/>
  <c r="C308" i="9"/>
  <c r="H307" i="9"/>
  <c r="G307" i="9"/>
  <c r="D307" i="9"/>
  <c r="C307" i="9"/>
  <c r="H306" i="9"/>
  <c r="G306" i="9"/>
  <c r="D306" i="9"/>
  <c r="C306" i="9"/>
  <c r="H305" i="9"/>
  <c r="G305" i="9"/>
  <c r="D305" i="9"/>
  <c r="C305" i="9"/>
  <c r="H304" i="9"/>
  <c r="G304" i="9"/>
  <c r="D304" i="9"/>
  <c r="C304" i="9"/>
  <c r="H303" i="9"/>
  <c r="G303" i="9"/>
  <c r="D303" i="9"/>
  <c r="C303" i="9"/>
  <c r="H302" i="9"/>
  <c r="G302" i="9"/>
  <c r="D302" i="9"/>
  <c r="C302" i="9"/>
  <c r="H301" i="9"/>
  <c r="G301" i="9"/>
  <c r="D301" i="9"/>
  <c r="C301" i="9"/>
  <c r="H300" i="9"/>
  <c r="G300" i="9"/>
  <c r="D300" i="9"/>
  <c r="C300" i="9"/>
  <c r="H299" i="9"/>
  <c r="G299" i="9"/>
  <c r="D299" i="9"/>
  <c r="C299" i="9"/>
  <c r="H298" i="9"/>
  <c r="G298" i="9"/>
  <c r="D298" i="9"/>
  <c r="C298" i="9"/>
  <c r="H297" i="9"/>
  <c r="G297" i="9"/>
  <c r="D297" i="9"/>
  <c r="C297" i="9"/>
  <c r="H296" i="9"/>
  <c r="G296" i="9"/>
  <c r="D296" i="9"/>
  <c r="C296" i="9"/>
  <c r="H295" i="9"/>
  <c r="G295" i="9"/>
  <c r="D295" i="9"/>
  <c r="C295" i="9"/>
  <c r="H294" i="9"/>
  <c r="G294" i="9"/>
  <c r="D294" i="9"/>
  <c r="C294" i="9"/>
  <c r="H293" i="9"/>
  <c r="G293" i="9"/>
  <c r="D293" i="9"/>
  <c r="C293" i="9"/>
  <c r="H292" i="9"/>
  <c r="G292" i="9"/>
  <c r="D292" i="9"/>
  <c r="C292" i="9"/>
  <c r="H291" i="9"/>
  <c r="G291" i="9"/>
  <c r="D291" i="9"/>
  <c r="C291" i="9"/>
  <c r="H290" i="9"/>
  <c r="G290" i="9"/>
  <c r="D290" i="9"/>
  <c r="C290" i="9"/>
  <c r="H289" i="9"/>
  <c r="G289" i="9"/>
  <c r="D289" i="9"/>
  <c r="C289" i="9"/>
  <c r="H288" i="9"/>
  <c r="G288" i="9"/>
  <c r="D288" i="9"/>
  <c r="C288" i="9"/>
  <c r="H287" i="9"/>
  <c r="G287" i="9"/>
  <c r="D287" i="9"/>
  <c r="C287" i="9"/>
  <c r="H286" i="9"/>
  <c r="G286" i="9"/>
  <c r="D286" i="9"/>
  <c r="C286" i="9"/>
  <c r="H285" i="9"/>
  <c r="G285" i="9"/>
  <c r="D285" i="9"/>
  <c r="C285" i="9"/>
  <c r="H284" i="9"/>
  <c r="G284" i="9"/>
  <c r="D284" i="9"/>
  <c r="C284" i="9"/>
  <c r="H283" i="9"/>
  <c r="G283" i="9"/>
  <c r="D283" i="9"/>
  <c r="C283" i="9"/>
  <c r="H282" i="9"/>
  <c r="G282" i="9"/>
  <c r="D282" i="9"/>
  <c r="C282" i="9"/>
  <c r="H281" i="9"/>
  <c r="G281" i="9"/>
  <c r="D281" i="9"/>
  <c r="C281" i="9"/>
  <c r="H280" i="9"/>
  <c r="G280" i="9"/>
  <c r="D280" i="9"/>
  <c r="C280" i="9"/>
  <c r="H279" i="9"/>
  <c r="G279" i="9"/>
  <c r="D279" i="9"/>
  <c r="C279" i="9"/>
  <c r="H278" i="9"/>
  <c r="G278" i="9"/>
  <c r="D278" i="9"/>
  <c r="C278" i="9"/>
  <c r="H277" i="9"/>
  <c r="G277" i="9"/>
  <c r="D277" i="9"/>
  <c r="C277" i="9"/>
  <c r="H276" i="9"/>
  <c r="G276" i="9"/>
  <c r="D276" i="9"/>
  <c r="C276" i="9"/>
  <c r="H275" i="9"/>
  <c r="G275" i="9"/>
  <c r="D275" i="9"/>
  <c r="C275" i="9"/>
  <c r="H274" i="9"/>
  <c r="G274" i="9"/>
  <c r="D274" i="9"/>
  <c r="C274" i="9"/>
  <c r="H273" i="9"/>
  <c r="G273" i="9"/>
  <c r="D273" i="9"/>
  <c r="C273" i="9"/>
  <c r="H272" i="9"/>
  <c r="G272" i="9"/>
  <c r="D272" i="9"/>
  <c r="C272" i="9"/>
  <c r="H271" i="9"/>
  <c r="G271" i="9"/>
  <c r="D271" i="9"/>
  <c r="C271" i="9"/>
  <c r="H270" i="9"/>
  <c r="G270" i="9"/>
  <c r="D270" i="9"/>
  <c r="C270" i="9"/>
  <c r="H269" i="9"/>
  <c r="G269" i="9"/>
  <c r="D269" i="9"/>
  <c r="C269" i="9"/>
  <c r="H268" i="9"/>
  <c r="G268" i="9"/>
  <c r="D268" i="9"/>
  <c r="C268" i="9"/>
  <c r="H267" i="9"/>
  <c r="G267" i="9"/>
  <c r="D267" i="9"/>
  <c r="C267" i="9"/>
  <c r="H266" i="9"/>
  <c r="G266" i="9"/>
  <c r="D266" i="9"/>
  <c r="C266" i="9"/>
  <c r="H265" i="9"/>
  <c r="G265" i="9"/>
  <c r="D265" i="9"/>
  <c r="C265" i="9"/>
  <c r="H264" i="9"/>
  <c r="G264" i="9"/>
  <c r="D264" i="9"/>
  <c r="C264" i="9"/>
  <c r="H263" i="9"/>
  <c r="G263" i="9"/>
  <c r="D263" i="9"/>
  <c r="C263" i="9"/>
  <c r="H262" i="9"/>
  <c r="G262" i="9"/>
  <c r="D262" i="9"/>
  <c r="C262" i="9"/>
  <c r="H261" i="9"/>
  <c r="G261" i="9"/>
  <c r="D261" i="9"/>
  <c r="C261" i="9"/>
  <c r="H260" i="9"/>
  <c r="G260" i="9"/>
  <c r="D260" i="9"/>
  <c r="C260" i="9"/>
  <c r="H259" i="9"/>
  <c r="G259" i="9"/>
  <c r="D259" i="9"/>
  <c r="C259" i="9"/>
  <c r="H258" i="9"/>
  <c r="G258" i="9"/>
  <c r="D258" i="9"/>
  <c r="C258" i="9"/>
  <c r="H257" i="9"/>
  <c r="G257" i="9"/>
  <c r="D257" i="9"/>
  <c r="C257" i="9"/>
  <c r="H256" i="9"/>
  <c r="G256" i="9"/>
  <c r="D256" i="9"/>
  <c r="C256" i="9"/>
  <c r="H255" i="9"/>
  <c r="G255" i="9"/>
  <c r="D255" i="9"/>
  <c r="C255" i="9"/>
  <c r="H254" i="9"/>
  <c r="G254" i="9"/>
  <c r="D254" i="9"/>
  <c r="C254" i="9"/>
  <c r="H253" i="9"/>
  <c r="G253" i="9"/>
  <c r="D253" i="9"/>
  <c r="C253" i="9"/>
  <c r="H252" i="9"/>
  <c r="G252" i="9"/>
  <c r="D252" i="9"/>
  <c r="C252" i="9"/>
  <c r="H251" i="9"/>
  <c r="G251" i="9"/>
  <c r="D251" i="9"/>
  <c r="C251" i="9"/>
  <c r="H250" i="9"/>
  <c r="G250" i="9"/>
  <c r="D250" i="9"/>
  <c r="C250" i="9"/>
  <c r="H249" i="9"/>
  <c r="G249" i="9"/>
  <c r="D249" i="9"/>
  <c r="C249" i="9"/>
  <c r="H248" i="9"/>
  <c r="G248" i="9"/>
  <c r="D248" i="9"/>
  <c r="C248" i="9"/>
  <c r="H247" i="9"/>
  <c r="G247" i="9"/>
  <c r="D247" i="9"/>
  <c r="C247" i="9"/>
  <c r="H246" i="9"/>
  <c r="G246" i="9"/>
  <c r="D246" i="9"/>
  <c r="C246" i="9"/>
  <c r="H245" i="9"/>
  <c r="G245" i="9"/>
  <c r="D245" i="9"/>
  <c r="C245" i="9"/>
  <c r="H244" i="9"/>
  <c r="G244" i="9"/>
  <c r="D244" i="9"/>
  <c r="C244" i="9"/>
  <c r="H243" i="9"/>
  <c r="G243" i="9"/>
  <c r="D243" i="9"/>
  <c r="C243" i="9"/>
  <c r="H242" i="9"/>
  <c r="G242" i="9"/>
  <c r="D242" i="9"/>
  <c r="C242" i="9"/>
  <c r="H241" i="9"/>
  <c r="G241" i="9"/>
  <c r="D241" i="9"/>
  <c r="C241" i="9"/>
  <c r="H240" i="9"/>
  <c r="G240" i="9"/>
  <c r="D240" i="9"/>
  <c r="C240" i="9"/>
  <c r="H239" i="9"/>
  <c r="G239" i="9"/>
  <c r="D239" i="9"/>
  <c r="C239" i="9"/>
  <c r="H238" i="9"/>
  <c r="G238" i="9"/>
  <c r="D238" i="9"/>
  <c r="C238" i="9"/>
  <c r="H237" i="9"/>
  <c r="G237" i="9"/>
  <c r="D237" i="9"/>
  <c r="C237" i="9"/>
  <c r="H236" i="9"/>
  <c r="G236" i="9"/>
  <c r="D236" i="9"/>
  <c r="C236" i="9"/>
  <c r="H235" i="9"/>
  <c r="G235" i="9"/>
  <c r="D235" i="9"/>
  <c r="C235" i="9"/>
  <c r="H234" i="9"/>
  <c r="G234" i="9"/>
  <c r="D234" i="9"/>
  <c r="C234" i="9"/>
  <c r="H233" i="9"/>
  <c r="G233" i="9"/>
  <c r="D233" i="9"/>
  <c r="C233" i="9"/>
  <c r="H232" i="9"/>
  <c r="G232" i="9"/>
  <c r="D232" i="9"/>
  <c r="C232" i="9"/>
  <c r="H231" i="9"/>
  <c r="G231" i="9"/>
  <c r="D231" i="9"/>
  <c r="C231" i="9"/>
  <c r="H230" i="9"/>
  <c r="G230" i="9"/>
  <c r="D230" i="9"/>
  <c r="C230" i="9"/>
  <c r="H229" i="9"/>
  <c r="G229" i="9"/>
  <c r="D229" i="9"/>
  <c r="C229" i="9"/>
  <c r="H228" i="9"/>
  <c r="G228" i="9"/>
  <c r="D228" i="9"/>
  <c r="C228" i="9"/>
  <c r="H227" i="9"/>
  <c r="G227" i="9"/>
  <c r="D227" i="9"/>
  <c r="C227" i="9"/>
  <c r="H226" i="9"/>
  <c r="G226" i="9"/>
  <c r="D226" i="9"/>
  <c r="C226" i="9"/>
  <c r="H225" i="9"/>
  <c r="G225" i="9"/>
  <c r="D225" i="9"/>
  <c r="C225" i="9"/>
  <c r="H224" i="9"/>
  <c r="G224" i="9"/>
  <c r="D224" i="9"/>
  <c r="C224" i="9"/>
  <c r="H223" i="9"/>
  <c r="G223" i="9"/>
  <c r="D223" i="9"/>
  <c r="C223" i="9"/>
  <c r="H222" i="9"/>
  <c r="G222" i="9"/>
  <c r="D222" i="9"/>
  <c r="C222" i="9"/>
  <c r="H221" i="9"/>
  <c r="G221" i="9"/>
  <c r="D221" i="9"/>
  <c r="C221" i="9"/>
  <c r="H220" i="9"/>
  <c r="G220" i="9"/>
  <c r="D220" i="9"/>
  <c r="C220" i="9"/>
  <c r="H219" i="9"/>
  <c r="G219" i="9"/>
  <c r="D219" i="9"/>
  <c r="C219" i="9"/>
  <c r="H218" i="9"/>
  <c r="G218" i="9"/>
  <c r="D218" i="9"/>
  <c r="C218" i="9"/>
  <c r="H217" i="9"/>
  <c r="G217" i="9"/>
  <c r="D217" i="9"/>
  <c r="C217" i="9"/>
  <c r="H216" i="9"/>
  <c r="G216" i="9"/>
  <c r="D216" i="9"/>
  <c r="C216" i="9"/>
  <c r="H215" i="9"/>
  <c r="G215" i="9"/>
  <c r="D215" i="9"/>
  <c r="C215" i="9"/>
  <c r="H214" i="9"/>
  <c r="G214" i="9"/>
  <c r="D214" i="9"/>
  <c r="C214" i="9"/>
  <c r="H213" i="9"/>
  <c r="G213" i="9"/>
  <c r="D213" i="9"/>
  <c r="C213" i="9"/>
  <c r="H212" i="9"/>
  <c r="G212" i="9"/>
  <c r="D212" i="9"/>
  <c r="C212" i="9"/>
  <c r="H211" i="9"/>
  <c r="G211" i="9"/>
  <c r="D211" i="9"/>
  <c r="C211" i="9"/>
  <c r="H210" i="9"/>
  <c r="G210" i="9"/>
  <c r="D210" i="9"/>
  <c r="C210" i="9"/>
  <c r="H209" i="9"/>
  <c r="G209" i="9"/>
  <c r="D209" i="9"/>
  <c r="C209" i="9"/>
  <c r="H208" i="9"/>
  <c r="G208" i="9"/>
  <c r="D208" i="9"/>
  <c r="C208" i="9"/>
  <c r="H207" i="9"/>
  <c r="G207" i="9"/>
  <c r="D207" i="9"/>
  <c r="C207" i="9"/>
  <c r="H206" i="9"/>
  <c r="G206" i="9"/>
  <c r="D206" i="9"/>
  <c r="C206" i="9"/>
  <c r="H205" i="9"/>
  <c r="G205" i="9"/>
  <c r="D205" i="9"/>
  <c r="C205" i="9"/>
  <c r="H204" i="9"/>
  <c r="G204" i="9"/>
  <c r="D204" i="9"/>
  <c r="C204" i="9"/>
  <c r="H203" i="9"/>
  <c r="G203" i="9"/>
  <c r="D203" i="9"/>
  <c r="C203" i="9"/>
  <c r="H202" i="9"/>
  <c r="G202" i="9"/>
  <c r="D202" i="9"/>
  <c r="C202" i="9"/>
  <c r="H201" i="9"/>
  <c r="G201" i="9"/>
  <c r="D201" i="9"/>
  <c r="C201" i="9"/>
  <c r="H200" i="9"/>
  <c r="G200" i="9"/>
  <c r="D200" i="9"/>
  <c r="C200" i="9"/>
  <c r="H199" i="9"/>
  <c r="G199" i="9"/>
  <c r="D199" i="9"/>
  <c r="C199" i="9"/>
  <c r="H198" i="9"/>
  <c r="G198" i="9"/>
  <c r="D198" i="9"/>
  <c r="C198" i="9"/>
  <c r="H197" i="9"/>
  <c r="G197" i="9"/>
  <c r="D197" i="9"/>
  <c r="C197" i="9"/>
  <c r="H196" i="9"/>
  <c r="G196" i="9"/>
  <c r="D196" i="9"/>
  <c r="C196" i="9"/>
  <c r="H195" i="9"/>
  <c r="G195" i="9"/>
  <c r="D195" i="9"/>
  <c r="C195" i="9"/>
  <c r="H194" i="9"/>
  <c r="G194" i="9"/>
  <c r="D194" i="9"/>
  <c r="C194" i="9"/>
  <c r="H193" i="9"/>
  <c r="G193" i="9"/>
  <c r="D193" i="9"/>
  <c r="C193" i="9"/>
  <c r="H192" i="9"/>
  <c r="G192" i="9"/>
  <c r="D192" i="9"/>
  <c r="C192" i="9"/>
  <c r="H191" i="9"/>
  <c r="G191" i="9"/>
  <c r="D191" i="9"/>
  <c r="C191" i="9"/>
  <c r="H190" i="9"/>
  <c r="G190" i="9"/>
  <c r="D190" i="9"/>
  <c r="C190" i="9"/>
  <c r="H189" i="9"/>
  <c r="G189" i="9"/>
  <c r="D189" i="9"/>
  <c r="C189" i="9"/>
  <c r="H188" i="9"/>
  <c r="G188" i="9"/>
  <c r="D188" i="9"/>
  <c r="C188" i="9"/>
  <c r="H187" i="9"/>
  <c r="G187" i="9"/>
  <c r="D187" i="9"/>
  <c r="C187" i="9"/>
  <c r="H186" i="9"/>
  <c r="G186" i="9"/>
  <c r="D186" i="9"/>
  <c r="C186" i="9"/>
  <c r="H185" i="9"/>
  <c r="G185" i="9"/>
  <c r="D185" i="9"/>
  <c r="C185" i="9"/>
  <c r="H184" i="9"/>
  <c r="G184" i="9"/>
  <c r="D184" i="9"/>
  <c r="C184" i="9"/>
  <c r="H183" i="9"/>
  <c r="G183" i="9"/>
  <c r="D183" i="9"/>
  <c r="C183" i="9"/>
  <c r="H182" i="9"/>
  <c r="G182" i="9"/>
  <c r="D182" i="9"/>
  <c r="C182" i="9"/>
  <c r="H181" i="9"/>
  <c r="G181" i="9"/>
  <c r="D181" i="9"/>
  <c r="C181" i="9"/>
  <c r="H180" i="9"/>
  <c r="G180" i="9"/>
  <c r="D180" i="9"/>
  <c r="C180" i="9"/>
  <c r="H179" i="9"/>
  <c r="G179" i="9"/>
  <c r="D179" i="9"/>
  <c r="C179" i="9"/>
  <c r="H178" i="9"/>
  <c r="G178" i="9"/>
  <c r="D178" i="9"/>
  <c r="C178" i="9"/>
  <c r="H177" i="9"/>
  <c r="G177" i="9"/>
  <c r="D177" i="9"/>
  <c r="C177" i="9"/>
  <c r="H176" i="9"/>
  <c r="G176" i="9"/>
  <c r="D176" i="9"/>
  <c r="C176" i="9"/>
  <c r="H175" i="9"/>
  <c r="G175" i="9"/>
  <c r="D175" i="9"/>
  <c r="C175" i="9"/>
  <c r="H174" i="9"/>
  <c r="G174" i="9"/>
  <c r="D174" i="9"/>
  <c r="C174" i="9"/>
  <c r="H173" i="9"/>
  <c r="G173" i="9"/>
  <c r="D173" i="9"/>
  <c r="C173" i="9"/>
  <c r="H172" i="9"/>
  <c r="G172" i="9"/>
  <c r="D172" i="9"/>
  <c r="C172" i="9"/>
  <c r="H171" i="9"/>
  <c r="G171" i="9"/>
  <c r="D171" i="9"/>
  <c r="C171" i="9"/>
  <c r="H170" i="9"/>
  <c r="G170" i="9"/>
  <c r="D170" i="9"/>
  <c r="C170" i="9"/>
  <c r="H169" i="9"/>
  <c r="G169" i="9"/>
  <c r="D169" i="9"/>
  <c r="C169" i="9"/>
  <c r="H168" i="9"/>
  <c r="G168" i="9"/>
  <c r="D168" i="9"/>
  <c r="C168" i="9"/>
  <c r="H167" i="9"/>
  <c r="G167" i="9"/>
  <c r="D167" i="9"/>
  <c r="C167" i="9"/>
  <c r="H166" i="9"/>
  <c r="G166" i="9"/>
  <c r="D166" i="9"/>
  <c r="C166" i="9"/>
  <c r="H165" i="9"/>
  <c r="G165" i="9"/>
  <c r="D165" i="9"/>
  <c r="C165" i="9"/>
  <c r="H164" i="9"/>
  <c r="G164" i="9"/>
  <c r="D164" i="9"/>
  <c r="C164" i="9"/>
  <c r="H163" i="9"/>
  <c r="G163" i="9"/>
  <c r="D163" i="9"/>
  <c r="C163" i="9"/>
  <c r="H162" i="9"/>
  <c r="G162" i="9"/>
  <c r="D162" i="9"/>
  <c r="C162" i="9"/>
  <c r="H161" i="9"/>
  <c r="G161" i="9"/>
  <c r="D161" i="9"/>
  <c r="C161" i="9"/>
  <c r="H160" i="9"/>
  <c r="G160" i="9"/>
  <c r="D160" i="9"/>
  <c r="C160" i="9"/>
  <c r="H159" i="9"/>
  <c r="G159" i="9"/>
  <c r="D159" i="9"/>
  <c r="C159" i="9"/>
  <c r="H158" i="9"/>
  <c r="G158" i="9"/>
  <c r="D158" i="9"/>
  <c r="C158" i="9"/>
  <c r="H157" i="9"/>
  <c r="G157" i="9"/>
  <c r="D157" i="9"/>
  <c r="C157" i="9"/>
  <c r="H156" i="9"/>
  <c r="G156" i="9"/>
  <c r="D156" i="9"/>
  <c r="C156" i="9"/>
  <c r="H155" i="9"/>
  <c r="G155" i="9"/>
  <c r="D155" i="9"/>
  <c r="C155" i="9"/>
  <c r="H154" i="9"/>
  <c r="G154" i="9"/>
  <c r="D154" i="9"/>
  <c r="C154" i="9"/>
  <c r="H153" i="9"/>
  <c r="G153" i="9"/>
  <c r="D153" i="9"/>
  <c r="C153" i="9"/>
  <c r="H152" i="9"/>
  <c r="G152" i="9"/>
  <c r="D152" i="9"/>
  <c r="C152" i="9"/>
  <c r="H151" i="9"/>
  <c r="G151" i="9"/>
  <c r="D151" i="9"/>
  <c r="C151" i="9"/>
  <c r="H150" i="9"/>
  <c r="G150" i="9"/>
  <c r="D150" i="9"/>
  <c r="C150" i="9"/>
  <c r="H149" i="9"/>
  <c r="G149" i="9"/>
  <c r="D149" i="9"/>
  <c r="C149" i="9"/>
  <c r="H148" i="9"/>
  <c r="G148" i="9"/>
  <c r="D148" i="9"/>
  <c r="C148" i="9"/>
  <c r="H147" i="9"/>
  <c r="G147" i="9"/>
  <c r="D147" i="9"/>
  <c r="C147" i="9"/>
  <c r="H146" i="9"/>
  <c r="G146" i="9"/>
  <c r="D146" i="9"/>
  <c r="C146" i="9"/>
  <c r="H145" i="9"/>
  <c r="G145" i="9"/>
  <c r="D145" i="9"/>
  <c r="C145" i="9"/>
  <c r="H144" i="9"/>
  <c r="G144" i="9"/>
  <c r="D144" i="9"/>
  <c r="C144" i="9"/>
  <c r="H143" i="9"/>
  <c r="G143" i="9"/>
  <c r="D143" i="9"/>
  <c r="C143" i="9"/>
  <c r="H142" i="9"/>
  <c r="G142" i="9"/>
  <c r="D142" i="9"/>
  <c r="C142" i="9"/>
  <c r="H141" i="9"/>
  <c r="G141" i="9"/>
  <c r="D141" i="9"/>
  <c r="C141" i="9"/>
  <c r="H140" i="9"/>
  <c r="G140" i="9"/>
  <c r="D140" i="9"/>
  <c r="C140" i="9"/>
  <c r="H139" i="9"/>
  <c r="G139" i="9"/>
  <c r="D139" i="9"/>
  <c r="C139" i="9"/>
  <c r="H138" i="9"/>
  <c r="G138" i="9"/>
  <c r="D138" i="9"/>
  <c r="C138" i="9"/>
  <c r="H137" i="9"/>
  <c r="G137" i="9"/>
  <c r="D137" i="9"/>
  <c r="C137" i="9"/>
  <c r="H136" i="9"/>
  <c r="G136" i="9"/>
  <c r="D136" i="9"/>
  <c r="C136" i="9"/>
  <c r="H135" i="9"/>
  <c r="G135" i="9"/>
  <c r="D135" i="9"/>
  <c r="C135" i="9"/>
  <c r="H134" i="9"/>
  <c r="G134" i="9"/>
  <c r="D134" i="9"/>
  <c r="C134" i="9"/>
  <c r="H133" i="9"/>
  <c r="G133" i="9"/>
  <c r="D133" i="9"/>
  <c r="C133" i="9"/>
  <c r="H132" i="9"/>
  <c r="G132" i="9"/>
  <c r="D132" i="9"/>
  <c r="C132" i="9"/>
  <c r="H131" i="9"/>
  <c r="G131" i="9"/>
  <c r="D131" i="9"/>
  <c r="C131" i="9"/>
  <c r="H130" i="9"/>
  <c r="G130" i="9"/>
  <c r="D130" i="9"/>
  <c r="C130" i="9"/>
  <c r="H129" i="9"/>
  <c r="G129" i="9"/>
  <c r="D129" i="9"/>
  <c r="C129" i="9"/>
  <c r="H128" i="9"/>
  <c r="G128" i="9"/>
  <c r="D128" i="9"/>
  <c r="C128" i="9"/>
  <c r="H127" i="9"/>
  <c r="G127" i="9"/>
  <c r="D127" i="9"/>
  <c r="C127" i="9"/>
  <c r="H126" i="9"/>
  <c r="G126" i="9"/>
  <c r="D126" i="9"/>
  <c r="C126" i="9"/>
  <c r="H125" i="9"/>
  <c r="G125" i="9"/>
  <c r="D125" i="9"/>
  <c r="C125" i="9"/>
  <c r="H124" i="9"/>
  <c r="G124" i="9"/>
  <c r="D124" i="9"/>
  <c r="C124" i="9"/>
  <c r="H123" i="9"/>
  <c r="G123" i="9"/>
  <c r="D123" i="9"/>
  <c r="C123" i="9"/>
  <c r="H122" i="9"/>
  <c r="G122" i="9"/>
  <c r="D122" i="9"/>
  <c r="C122" i="9"/>
  <c r="H121" i="9"/>
  <c r="G121" i="9"/>
  <c r="D121" i="9"/>
  <c r="C121" i="9"/>
  <c r="H120" i="9"/>
  <c r="G120" i="9"/>
  <c r="D120" i="9"/>
  <c r="C120" i="9"/>
  <c r="H119" i="9"/>
  <c r="G119" i="9"/>
  <c r="D119" i="9"/>
  <c r="C119" i="9"/>
  <c r="H118" i="9"/>
  <c r="G118" i="9"/>
  <c r="D118" i="9"/>
  <c r="C118" i="9"/>
  <c r="H117" i="9"/>
  <c r="G117" i="9"/>
  <c r="D117" i="9"/>
  <c r="C117" i="9"/>
  <c r="H116" i="9"/>
  <c r="G116" i="9"/>
  <c r="D116" i="9"/>
  <c r="C116" i="9"/>
  <c r="H115" i="9"/>
  <c r="G115" i="9"/>
  <c r="D115" i="9"/>
  <c r="C115" i="9"/>
  <c r="H114" i="9"/>
  <c r="G114" i="9"/>
  <c r="D114" i="9"/>
  <c r="C114" i="9"/>
  <c r="H113" i="9"/>
  <c r="G113" i="9"/>
  <c r="D113" i="9"/>
  <c r="C113" i="9"/>
  <c r="H112" i="9"/>
  <c r="G112" i="9"/>
  <c r="D112" i="9"/>
  <c r="C112" i="9"/>
  <c r="H111" i="9"/>
  <c r="G111" i="9"/>
  <c r="D111" i="9"/>
  <c r="C111" i="9"/>
  <c r="H110" i="9"/>
  <c r="G110" i="9"/>
  <c r="D110" i="9"/>
  <c r="C110" i="9"/>
  <c r="H109" i="9"/>
  <c r="G109" i="9"/>
  <c r="D109" i="9"/>
  <c r="C109" i="9"/>
  <c r="H108" i="9"/>
  <c r="G108" i="9"/>
  <c r="D108" i="9"/>
  <c r="C108" i="9"/>
  <c r="H107" i="9"/>
  <c r="G107" i="9"/>
  <c r="D107" i="9"/>
  <c r="C107" i="9"/>
  <c r="H106" i="9"/>
  <c r="G106" i="9"/>
  <c r="D106" i="9"/>
  <c r="C106" i="9"/>
  <c r="H105" i="9"/>
  <c r="G105" i="9"/>
  <c r="D105" i="9"/>
  <c r="C105" i="9"/>
  <c r="H104" i="9"/>
  <c r="G104" i="9"/>
  <c r="D104" i="9"/>
  <c r="C104" i="9"/>
  <c r="H103" i="9"/>
  <c r="G103" i="9"/>
  <c r="D103" i="9"/>
  <c r="C103" i="9"/>
  <c r="H102" i="9"/>
  <c r="G102" i="9"/>
  <c r="D102" i="9"/>
  <c r="C102" i="9"/>
  <c r="H101" i="9"/>
  <c r="G101" i="9"/>
  <c r="D101" i="9"/>
  <c r="C101" i="9"/>
  <c r="H100" i="9"/>
  <c r="G100" i="9"/>
  <c r="D100" i="9"/>
  <c r="C100" i="9"/>
  <c r="H99" i="9"/>
  <c r="G99" i="9"/>
  <c r="D99" i="9"/>
  <c r="C99" i="9"/>
  <c r="H98" i="9"/>
  <c r="G98" i="9"/>
  <c r="D98" i="9"/>
  <c r="C98" i="9"/>
  <c r="H97" i="9"/>
  <c r="G97" i="9"/>
  <c r="D97" i="9"/>
  <c r="C97" i="9"/>
  <c r="H96" i="9"/>
  <c r="G96" i="9"/>
  <c r="D96" i="9"/>
  <c r="C96" i="9"/>
  <c r="H95" i="9"/>
  <c r="G95" i="9"/>
  <c r="D95" i="9"/>
  <c r="C95" i="9"/>
  <c r="H94" i="9"/>
  <c r="G94" i="9"/>
  <c r="D94" i="9"/>
  <c r="C94" i="9"/>
  <c r="H93" i="9"/>
  <c r="G93" i="9"/>
  <c r="D93" i="9"/>
  <c r="C93" i="9"/>
  <c r="H92" i="9"/>
  <c r="G92" i="9"/>
  <c r="D92" i="9"/>
  <c r="C92" i="9"/>
  <c r="H91" i="9"/>
  <c r="G91" i="9"/>
  <c r="D91" i="9"/>
  <c r="C91" i="9"/>
  <c r="H90" i="9"/>
  <c r="G90" i="9"/>
  <c r="D90" i="9"/>
  <c r="C90" i="9"/>
  <c r="H89" i="9"/>
  <c r="G89" i="9"/>
  <c r="D89" i="9"/>
  <c r="C89" i="9"/>
  <c r="H88" i="9"/>
  <c r="G88" i="9"/>
  <c r="D88" i="9"/>
  <c r="C88" i="9"/>
  <c r="H87" i="9"/>
  <c r="G87" i="9"/>
  <c r="D87" i="9"/>
  <c r="C87" i="9"/>
  <c r="H86" i="9"/>
  <c r="G86" i="9"/>
  <c r="D86" i="9"/>
  <c r="C86" i="9"/>
  <c r="H85" i="9"/>
  <c r="G85" i="9"/>
  <c r="D85" i="9"/>
  <c r="C85" i="9"/>
  <c r="H84" i="9"/>
  <c r="G84" i="9"/>
  <c r="D84" i="9"/>
  <c r="C84" i="9"/>
  <c r="H83" i="9"/>
  <c r="G83" i="9"/>
  <c r="D83" i="9"/>
  <c r="C83" i="9"/>
  <c r="H82" i="9"/>
  <c r="G82" i="9"/>
  <c r="D82" i="9"/>
  <c r="C82" i="9"/>
  <c r="H81" i="9"/>
  <c r="G81" i="9"/>
  <c r="D81" i="9"/>
  <c r="C81" i="9"/>
  <c r="H80" i="9"/>
  <c r="G80" i="9"/>
  <c r="D80" i="9"/>
  <c r="C80" i="9"/>
  <c r="H79" i="9"/>
  <c r="G79" i="9"/>
  <c r="D79" i="9"/>
  <c r="C79" i="9"/>
  <c r="H78" i="9"/>
  <c r="G78" i="9"/>
  <c r="D78" i="9"/>
  <c r="C78" i="9"/>
  <c r="H77" i="9"/>
  <c r="G77" i="9"/>
  <c r="D77" i="9"/>
  <c r="C77" i="9"/>
  <c r="H76" i="9"/>
  <c r="G76" i="9"/>
  <c r="D76" i="9"/>
  <c r="C76" i="9"/>
  <c r="H75" i="9"/>
  <c r="G75" i="9"/>
  <c r="D75" i="9"/>
  <c r="C75" i="9"/>
  <c r="H74" i="9"/>
  <c r="G74" i="9"/>
  <c r="D74" i="9"/>
  <c r="C74" i="9"/>
  <c r="H73" i="9"/>
  <c r="G73" i="9"/>
  <c r="D73" i="9"/>
  <c r="C73" i="9"/>
  <c r="H72" i="9"/>
  <c r="G72" i="9"/>
  <c r="D72" i="9"/>
  <c r="C72" i="9"/>
  <c r="H71" i="9"/>
  <c r="G71" i="9"/>
  <c r="D71" i="9"/>
  <c r="C71" i="9"/>
  <c r="H70" i="9"/>
  <c r="G70" i="9"/>
  <c r="D70" i="9"/>
  <c r="C70" i="9"/>
  <c r="H69" i="9"/>
  <c r="G69" i="9"/>
  <c r="D69" i="9"/>
  <c r="C69" i="9"/>
  <c r="H68" i="9"/>
  <c r="G68" i="9"/>
  <c r="D68" i="9"/>
  <c r="C68" i="9"/>
  <c r="H67" i="9"/>
  <c r="G67" i="9"/>
  <c r="D67" i="9"/>
  <c r="C67" i="9"/>
  <c r="H66" i="9"/>
  <c r="G66" i="9"/>
  <c r="D66" i="9"/>
  <c r="C66" i="9"/>
  <c r="H65" i="9"/>
  <c r="G65" i="9"/>
  <c r="D65" i="9"/>
  <c r="C65" i="9"/>
  <c r="H64" i="9"/>
  <c r="G64" i="9"/>
  <c r="D64" i="9"/>
  <c r="C64" i="9"/>
  <c r="H63" i="9"/>
  <c r="G63" i="9"/>
  <c r="D63" i="9"/>
  <c r="C63" i="9"/>
  <c r="H62" i="9"/>
  <c r="G62" i="9"/>
  <c r="D62" i="9"/>
  <c r="C62" i="9"/>
  <c r="H61" i="9"/>
  <c r="G61" i="9"/>
  <c r="D61" i="9"/>
  <c r="C61" i="9"/>
  <c r="H60" i="9"/>
  <c r="G60" i="9"/>
  <c r="D60" i="9"/>
  <c r="C60" i="9"/>
  <c r="H59" i="9"/>
  <c r="G59" i="9"/>
  <c r="D59" i="9"/>
  <c r="C59" i="9"/>
  <c r="H58" i="9"/>
  <c r="G58" i="9"/>
  <c r="D58" i="9"/>
  <c r="C58" i="9"/>
  <c r="H57" i="9"/>
  <c r="G57" i="9"/>
  <c r="D57" i="9"/>
  <c r="C57" i="9"/>
  <c r="H56" i="9"/>
  <c r="G56" i="9"/>
  <c r="D56" i="9"/>
  <c r="C56" i="9"/>
  <c r="H55" i="9"/>
  <c r="G55" i="9"/>
  <c r="D55" i="9"/>
  <c r="C55" i="9"/>
  <c r="H54" i="9"/>
  <c r="G54" i="9"/>
  <c r="D54" i="9"/>
  <c r="C54" i="9"/>
  <c r="H53" i="9"/>
  <c r="G53" i="9"/>
  <c r="D53" i="9"/>
  <c r="C53" i="9"/>
  <c r="H52" i="9"/>
  <c r="G52" i="9"/>
  <c r="D52" i="9"/>
  <c r="C52" i="9"/>
  <c r="H51" i="9"/>
  <c r="G51" i="9"/>
  <c r="D51" i="9"/>
  <c r="C51" i="9"/>
  <c r="H50" i="9"/>
  <c r="G50" i="9"/>
  <c r="D50" i="9"/>
  <c r="C50" i="9"/>
  <c r="H49" i="9"/>
  <c r="G49" i="9"/>
  <c r="D49" i="9"/>
  <c r="C49" i="9"/>
  <c r="H48" i="9"/>
  <c r="G48" i="9"/>
  <c r="D48" i="9"/>
  <c r="C48" i="9"/>
  <c r="H47" i="9"/>
  <c r="G47" i="9"/>
  <c r="D47" i="9"/>
  <c r="C47" i="9"/>
  <c r="H46" i="9"/>
  <c r="G46" i="9"/>
  <c r="D46" i="9"/>
  <c r="C46" i="9"/>
  <c r="H45" i="9"/>
  <c r="G45" i="9"/>
  <c r="D45" i="9"/>
  <c r="C45" i="9"/>
  <c r="H44" i="9"/>
  <c r="G44" i="9"/>
  <c r="D44" i="9"/>
  <c r="C44" i="9"/>
  <c r="H43" i="9"/>
  <c r="G43" i="9"/>
  <c r="D43" i="9"/>
  <c r="C43" i="9"/>
  <c r="H42" i="9"/>
  <c r="G42" i="9"/>
  <c r="D42" i="9"/>
  <c r="C42" i="9"/>
  <c r="H41" i="9"/>
  <c r="G41" i="9"/>
  <c r="D41" i="9"/>
  <c r="C41" i="9"/>
  <c r="H40" i="9"/>
  <c r="G40" i="9"/>
  <c r="D40" i="9"/>
  <c r="C40" i="9"/>
  <c r="H39" i="9"/>
  <c r="G39" i="9"/>
  <c r="D39" i="9"/>
  <c r="C39" i="9"/>
  <c r="H38" i="9"/>
  <c r="G38" i="9"/>
  <c r="D38" i="9"/>
  <c r="C38" i="9"/>
  <c r="H37" i="9"/>
  <c r="G37" i="9"/>
  <c r="D37" i="9"/>
  <c r="C37" i="9"/>
  <c r="H36" i="9"/>
  <c r="G36" i="9"/>
  <c r="D36" i="9"/>
  <c r="C36" i="9"/>
  <c r="H35" i="9"/>
  <c r="G35" i="9"/>
  <c r="D35" i="9"/>
  <c r="C35" i="9"/>
  <c r="H34" i="9"/>
  <c r="G34" i="9"/>
  <c r="D34" i="9"/>
  <c r="C34" i="9"/>
  <c r="H33" i="9"/>
  <c r="G33" i="9"/>
  <c r="D33" i="9"/>
  <c r="C33" i="9"/>
  <c r="H32" i="9"/>
  <c r="G32" i="9"/>
  <c r="D32" i="9"/>
  <c r="C32" i="9"/>
  <c r="H31" i="9"/>
  <c r="G31" i="9"/>
  <c r="D31" i="9"/>
  <c r="C31" i="9"/>
  <c r="H30" i="9"/>
  <c r="G30" i="9"/>
  <c r="D30" i="9"/>
  <c r="C30" i="9"/>
  <c r="H29" i="9"/>
  <c r="G29" i="9"/>
  <c r="D29" i="9"/>
  <c r="C29" i="9"/>
  <c r="H28" i="9"/>
  <c r="G28" i="9"/>
  <c r="D28" i="9"/>
  <c r="C28" i="9"/>
  <c r="H27" i="9"/>
  <c r="G27" i="9"/>
  <c r="D27" i="9"/>
  <c r="C27" i="9"/>
  <c r="H26" i="9"/>
  <c r="G26" i="9"/>
  <c r="D26" i="9"/>
  <c r="C26" i="9"/>
  <c r="H25" i="9"/>
  <c r="G25" i="9"/>
  <c r="D25" i="9"/>
  <c r="C25" i="9"/>
  <c r="H24" i="9"/>
  <c r="G24" i="9"/>
  <c r="D24" i="9"/>
  <c r="C24" i="9"/>
  <c r="H23" i="9"/>
  <c r="G23" i="9"/>
  <c r="D23" i="9"/>
  <c r="C23" i="9"/>
  <c r="H22" i="9"/>
  <c r="G22" i="9"/>
  <c r="D22" i="9"/>
  <c r="C22" i="9"/>
  <c r="H21" i="9"/>
  <c r="G21" i="9"/>
  <c r="D21" i="9"/>
  <c r="C21" i="9"/>
  <c r="H20" i="9"/>
  <c r="G20" i="9"/>
  <c r="D20" i="9"/>
  <c r="C20" i="9"/>
  <c r="H19" i="9"/>
  <c r="G19" i="9"/>
  <c r="D19" i="9"/>
  <c r="C19" i="9"/>
  <c r="H18" i="9"/>
  <c r="G18" i="9"/>
  <c r="D18" i="9"/>
  <c r="C18" i="9"/>
  <c r="H17" i="9"/>
  <c r="G17" i="9"/>
  <c r="D17" i="9"/>
  <c r="C17" i="9"/>
  <c r="H16" i="9"/>
  <c r="G16" i="9"/>
  <c r="D16" i="9"/>
  <c r="C16" i="9"/>
  <c r="H15" i="9"/>
  <c r="G15" i="9"/>
  <c r="D15" i="9"/>
  <c r="C15" i="9"/>
  <c r="H14" i="9"/>
  <c r="G14" i="9"/>
  <c r="D14" i="9"/>
  <c r="C14" i="9"/>
  <c r="H13" i="9"/>
  <c r="G13" i="9"/>
  <c r="D13" i="9"/>
  <c r="C13" i="9"/>
  <c r="H12" i="9"/>
  <c r="G12" i="9"/>
  <c r="D12" i="9"/>
  <c r="C12" i="9"/>
  <c r="H11" i="9"/>
  <c r="G11" i="9"/>
  <c r="D11" i="9"/>
  <c r="C11" i="9"/>
  <c r="H10" i="9"/>
  <c r="G10" i="9"/>
  <c r="D10" i="9"/>
  <c r="C10" i="9"/>
  <c r="H9" i="9"/>
  <c r="G9" i="9"/>
  <c r="D9" i="9"/>
  <c r="C9" i="9"/>
  <c r="H8" i="9"/>
  <c r="G8" i="9"/>
  <c r="D8" i="9"/>
  <c r="C8" i="9"/>
  <c r="H7" i="9"/>
  <c r="G7" i="9"/>
  <c r="D7" i="9"/>
  <c r="C7" i="9"/>
  <c r="H6" i="9"/>
  <c r="G6" i="9"/>
  <c r="D6" i="9"/>
  <c r="C6" i="9"/>
  <c r="H5" i="9"/>
  <c r="G5" i="9"/>
  <c r="D5" i="9"/>
  <c r="C5" i="9"/>
  <c r="H4" i="9"/>
  <c r="G4" i="9"/>
  <c r="D4" i="9"/>
  <c r="C4" i="9"/>
  <c r="H3" i="9"/>
  <c r="G3" i="9"/>
  <c r="D3" i="9"/>
  <c r="C3" i="9"/>
  <c r="AN21" i="21" l="1"/>
  <c r="AN22" i="21" s="1"/>
  <c r="I231" i="18"/>
  <c r="I232" i="18" s="1"/>
  <c r="I249" i="18"/>
  <c r="I250" i="18" s="1"/>
  <c r="I234" i="18"/>
  <c r="I235" i="18" s="1"/>
  <c r="I252" i="18"/>
  <c r="I253" i="18" s="1"/>
  <c r="I237" i="18"/>
  <c r="I238" i="18" s="1"/>
  <c r="I255" i="18"/>
  <c r="I256" i="18" s="1"/>
  <c r="I240" i="18"/>
  <c r="I241" i="18" s="1"/>
  <c r="I258" i="18"/>
  <c r="I259" i="18" s="1"/>
  <c r="I243" i="18"/>
  <c r="I244" i="18" s="1"/>
  <c r="I246" i="18"/>
  <c r="I247" i="18" s="1"/>
  <c r="E13" i="13"/>
  <c r="AO21" i="21" l="1"/>
  <c r="AO22" i="21" s="1"/>
  <c r="S183" i="18"/>
  <c r="AB183" i="18"/>
  <c r="W181" i="18"/>
  <c r="AF181" i="18"/>
  <c r="V181" i="18"/>
  <c r="AE181" i="18"/>
  <c r="U183" i="18"/>
  <c r="AD183" i="18"/>
  <c r="W183" i="18"/>
  <c r="AF183" i="18"/>
  <c r="V183" i="18"/>
  <c r="AE183" i="18"/>
  <c r="U181" i="18"/>
  <c r="AD181" i="18"/>
  <c r="T183" i="18"/>
  <c r="AC183" i="18"/>
  <c r="E218" i="18"/>
  <c r="T181" i="18"/>
  <c r="AC181" i="18"/>
  <c r="S181" i="18"/>
  <c r="AB181" i="18"/>
  <c r="E14" i="13"/>
  <c r="AP21" i="21" l="1"/>
  <c r="AP22" i="21" s="1"/>
  <c r="AQ21" i="21"/>
  <c r="AQ22" i="21" s="1"/>
  <c r="E219" i="18"/>
  <c r="F191" i="18" s="1"/>
  <c r="C155" i="21" l="1" a="1"/>
  <c r="C155" i="21" s="1"/>
  <c r="D155" i="21" a="1"/>
  <c r="D155" i="21" s="1"/>
  <c r="E155" i="21" a="1"/>
  <c r="E155" i="21" s="1"/>
  <c r="AH167" i="21" l="1"/>
  <c r="AH168" i="21" s="1"/>
  <c r="AH145" i="21" s="1"/>
  <c r="AF167" i="21"/>
  <c r="AF168" i="21" s="1"/>
  <c r="AF145" i="21" s="1"/>
  <c r="AH170" i="21"/>
  <c r="AG167" i="21"/>
  <c r="AG168" i="21" s="1"/>
  <c r="AG145" i="21" s="1"/>
  <c r="AF170" i="21"/>
  <c r="AI170" i="21"/>
  <c r="AG170" i="21"/>
  <c r="AI167" i="21"/>
  <c r="AI168" i="21" s="1"/>
  <c r="AI145" i="21" s="1"/>
  <c r="AF147" i="21" l="1"/>
  <c r="AF169" i="21"/>
  <c r="AF146" i="21" s="1"/>
  <c r="AF171" i="21"/>
  <c r="AF148" i="21" s="1"/>
  <c r="AH171" i="21"/>
  <c r="AH148" i="21" s="1"/>
  <c r="AH147" i="21"/>
  <c r="AH169" i="21"/>
  <c r="AH146" i="21" s="1"/>
  <c r="AI171" i="21"/>
  <c r="AI148" i="21" s="1"/>
  <c r="AI169" i="21"/>
  <c r="AI146" i="21" s="1"/>
  <c r="AI147" i="21"/>
  <c r="AG169" i="21"/>
  <c r="AG146" i="21" s="1"/>
  <c r="AG171" i="21"/>
  <c r="AG148" i="21" s="1"/>
  <c r="AG147" i="21"/>
  <c r="B155" i="21" a="1"/>
  <c r="B155" i="21" s="1"/>
  <c r="S167" i="21" s="1"/>
  <c r="S168" i="21" s="1"/>
  <c r="S145" i="21" s="1"/>
  <c r="K167" i="21" l="1"/>
  <c r="K168" i="21" s="1"/>
  <c r="K145" i="21" s="1"/>
  <c r="T167" i="21"/>
  <c r="T168" i="21" s="1"/>
  <c r="T145" i="21" s="1"/>
  <c r="W167" i="21"/>
  <c r="W168" i="21" s="1"/>
  <c r="W145" i="21" s="1"/>
  <c r="X167" i="21"/>
  <c r="X168" i="21" s="1"/>
  <c r="X145" i="21" s="1"/>
  <c r="AA167" i="21"/>
  <c r="AA168" i="21" s="1"/>
  <c r="AA145" i="21" s="1"/>
  <c r="H167" i="21"/>
  <c r="H168" i="21" s="1"/>
  <c r="H145" i="21" s="1"/>
  <c r="AD167" i="21"/>
  <c r="AD168" i="21" s="1"/>
  <c r="AD145" i="21" s="1"/>
  <c r="O167" i="21"/>
  <c r="O168" i="21" s="1"/>
  <c r="O145" i="21" s="1"/>
  <c r="L167" i="21"/>
  <c r="L168" i="21" s="1"/>
  <c r="L145" i="21" s="1"/>
  <c r="I167" i="21"/>
  <c r="I168" i="21" s="1"/>
  <c r="I145" i="21" s="1"/>
  <c r="Z167" i="21"/>
  <c r="Z168" i="21" s="1"/>
  <c r="Z145" i="21" s="1"/>
  <c r="V167" i="21"/>
  <c r="V168" i="21" s="1"/>
  <c r="V145" i="21" s="1"/>
  <c r="AE167" i="21"/>
  <c r="AE168" i="21" s="1"/>
  <c r="AE145" i="21" s="1"/>
  <c r="Q167" i="21"/>
  <c r="Q168" i="21" s="1"/>
  <c r="Q145" i="21" s="1"/>
  <c r="F167" i="21"/>
  <c r="F168" i="21" s="1"/>
  <c r="F145" i="21" s="1"/>
  <c r="J170" i="21"/>
  <c r="AA170" i="21"/>
  <c r="H170" i="21"/>
  <c r="S170" i="21"/>
  <c r="W170" i="21"/>
  <c r="AC170" i="21"/>
  <c r="AD170" i="21"/>
  <c r="AB170" i="21"/>
  <c r="M170" i="21"/>
  <c r="O170" i="21"/>
  <c r="L170" i="21"/>
  <c r="U170" i="21"/>
  <c r="Y170" i="21"/>
  <c r="I170" i="21"/>
  <c r="Z170" i="21"/>
  <c r="T170" i="21"/>
  <c r="P170" i="21"/>
  <c r="K170" i="21"/>
  <c r="V170" i="21"/>
  <c r="R170" i="21"/>
  <c r="AE170" i="21"/>
  <c r="N170" i="21"/>
  <c r="Q170" i="21"/>
  <c r="G170" i="21"/>
  <c r="X170" i="21"/>
  <c r="F170" i="21"/>
  <c r="J167" i="21"/>
  <c r="J168" i="21" s="1"/>
  <c r="J145" i="21" s="1"/>
  <c r="AC167" i="21"/>
  <c r="AC168" i="21" s="1"/>
  <c r="AC145" i="21" s="1"/>
  <c r="AB167" i="21"/>
  <c r="AB168" i="21" s="1"/>
  <c r="AB145" i="21" s="1"/>
  <c r="M167" i="21"/>
  <c r="M168" i="21" s="1"/>
  <c r="M145" i="21" s="1"/>
  <c r="U167" i="21"/>
  <c r="U168" i="21" s="1"/>
  <c r="U145" i="21" s="1"/>
  <c r="Y167" i="21"/>
  <c r="Y168" i="21" s="1"/>
  <c r="Y145" i="21" s="1"/>
  <c r="P167" i="21"/>
  <c r="P168" i="21" s="1"/>
  <c r="P145" i="21" s="1"/>
  <c r="R167" i="21"/>
  <c r="R168" i="21" s="1"/>
  <c r="R145" i="21" s="1"/>
  <c r="N167" i="21"/>
  <c r="N168" i="21" s="1"/>
  <c r="N145" i="21" s="1"/>
  <c r="G167" i="21"/>
  <c r="G168" i="21" s="1"/>
  <c r="G145" i="21" s="1"/>
  <c r="AE169" i="21" l="1"/>
  <c r="AE146" i="21" s="1"/>
  <c r="AE147" i="21"/>
  <c r="AE171" i="21"/>
  <c r="AE148" i="21" s="1"/>
  <c r="M171" i="21"/>
  <c r="M148" i="21" s="1"/>
  <c r="M147" i="21"/>
  <c r="M169" i="21"/>
  <c r="M146" i="21" s="1"/>
  <c r="J171" i="21"/>
  <c r="J148" i="21" s="1"/>
  <c r="J147" i="21"/>
  <c r="J169" i="21"/>
  <c r="J146" i="21" s="1"/>
  <c r="G171" i="21"/>
  <c r="G148" i="21" s="1"/>
  <c r="G147" i="21"/>
  <c r="G169" i="21"/>
  <c r="G146" i="21" s="1"/>
  <c r="R171" i="21"/>
  <c r="R148" i="21" s="1"/>
  <c r="R147" i="21"/>
  <c r="R169" i="21"/>
  <c r="R146" i="21" s="1"/>
  <c r="T171" i="21"/>
  <c r="T148" i="21" s="1"/>
  <c r="T147" i="21"/>
  <c r="T169" i="21"/>
  <c r="T146" i="21" s="1"/>
  <c r="U169" i="21"/>
  <c r="U146" i="21" s="1"/>
  <c r="U147" i="21"/>
  <c r="U171" i="21"/>
  <c r="U148" i="21" s="1"/>
  <c r="AB171" i="21"/>
  <c r="AB148" i="21" s="1"/>
  <c r="AB147" i="21"/>
  <c r="AB169" i="21"/>
  <c r="AB146" i="21" s="1"/>
  <c r="S171" i="21"/>
  <c r="S148" i="21" s="1"/>
  <c r="S147" i="21"/>
  <c r="S169" i="21"/>
  <c r="S146" i="21" s="1"/>
  <c r="X147" i="21"/>
  <c r="X169" i="21"/>
  <c r="X146" i="21" s="1"/>
  <c r="X171" i="21"/>
  <c r="X148" i="21" s="1"/>
  <c r="Y171" i="21"/>
  <c r="Y148" i="21" s="1"/>
  <c r="Y147" i="21"/>
  <c r="Y169" i="21"/>
  <c r="Y146" i="21" s="1"/>
  <c r="W171" i="21"/>
  <c r="W148" i="21" s="1"/>
  <c r="W147" i="21"/>
  <c r="W169" i="21"/>
  <c r="W146" i="21" s="1"/>
  <c r="Q169" i="21"/>
  <c r="Q146" i="21" s="1"/>
  <c r="Q147" i="21"/>
  <c r="Q171" i="21"/>
  <c r="Q148" i="21" s="1"/>
  <c r="V171" i="21"/>
  <c r="V148" i="21" s="1"/>
  <c r="V147" i="21"/>
  <c r="V169" i="21"/>
  <c r="V146" i="21" s="1"/>
  <c r="Z171" i="21"/>
  <c r="Z148" i="21" s="1"/>
  <c r="Z147" i="21"/>
  <c r="Z169" i="21"/>
  <c r="Z146" i="21" s="1"/>
  <c r="L171" i="21"/>
  <c r="L148" i="21" s="1"/>
  <c r="L147" i="21"/>
  <c r="L169" i="21"/>
  <c r="L146" i="21" s="1"/>
  <c r="AD171" i="21"/>
  <c r="AD148" i="21" s="1"/>
  <c r="AD147" i="21"/>
  <c r="AD169" i="21"/>
  <c r="AD146" i="21" s="1"/>
  <c r="H171" i="21"/>
  <c r="H148" i="21" s="1"/>
  <c r="H147" i="21"/>
  <c r="H169" i="21"/>
  <c r="H146" i="21" s="1"/>
  <c r="P169" i="21"/>
  <c r="P146" i="21" s="1"/>
  <c r="P147" i="21"/>
  <c r="P171" i="21"/>
  <c r="P148" i="21" s="1"/>
  <c r="F171" i="21"/>
  <c r="F148" i="21" s="1"/>
  <c r="F147" i="21"/>
  <c r="F169" i="21"/>
  <c r="F146" i="21" s="1"/>
  <c r="N169" i="21"/>
  <c r="N146" i="21" s="1"/>
  <c r="N147" i="21"/>
  <c r="N171" i="21"/>
  <c r="N148" i="21" s="1"/>
  <c r="K147" i="21"/>
  <c r="K171" i="21"/>
  <c r="K148" i="21" s="1"/>
  <c r="K169" i="21"/>
  <c r="K146" i="21" s="1"/>
  <c r="I171" i="21"/>
  <c r="I148" i="21" s="1"/>
  <c r="I147" i="21"/>
  <c r="I169" i="21"/>
  <c r="I146" i="21" s="1"/>
  <c r="O171" i="21"/>
  <c r="O148" i="21" s="1"/>
  <c r="O147" i="21"/>
  <c r="O169" i="21"/>
  <c r="O146" i="21" s="1"/>
  <c r="AC171" i="21"/>
  <c r="AC148" i="21" s="1"/>
  <c r="AC147" i="21"/>
  <c r="AC169" i="21"/>
  <c r="AC146" i="21" s="1"/>
  <c r="AA169" i="21"/>
  <c r="AA146" i="21" s="1"/>
  <c r="AA147" i="21"/>
  <c r="AA171" i="21"/>
  <c r="AA148"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いいじま</author>
    <author>TAKASHI IIJIMA</author>
    <author>国税庁</author>
  </authors>
  <commentList>
    <comment ref="D2" authorId="0" shapeId="0" xr:uid="{00000000-0006-0000-0300-000001000000}">
      <text>
        <r>
          <rPr>
            <sz val="11"/>
            <color indexed="81"/>
            <rFont val="ＭＳ Ｐゴシック"/>
            <family val="3"/>
            <charset val="128"/>
          </rPr>
          <t>シート名が転記されます。</t>
        </r>
      </text>
    </comment>
    <comment ref="D4" authorId="0" shapeId="0" xr:uid="{00000000-0006-0000-0300-000002000000}">
      <text>
        <r>
          <rPr>
            <sz val="11"/>
            <color indexed="81"/>
            <rFont val="ＭＳ Ｐゴシック"/>
            <family val="3"/>
            <charset val="128"/>
          </rPr>
          <t>初添の日のみ（2024/1/20などといった形で）入力してください（あとは自動入力されます）</t>
        </r>
      </text>
    </comment>
    <comment ref="A7" authorId="1" shapeId="0" xr:uid="{00000000-0006-0000-0300-000003000000}">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11" authorId="1" shapeId="0" xr:uid="{00000000-0006-0000-0300-000004000000}">
      <text>
        <r>
          <rPr>
            <sz val="9"/>
            <color indexed="81"/>
            <rFont val="MS P ゴシック"/>
            <family val="3"/>
            <charset val="128"/>
          </rPr>
          <t>２日目以降に目標最高品温を超えた場合、セルがピンクに着色されます。ジャケットの冷水や氷等を使って温度を下げてください。</t>
        </r>
      </text>
    </comment>
    <comment ref="A12" authorId="1" shapeId="0" xr:uid="{00000000-0006-0000-0300-000005000000}">
      <text>
        <r>
          <rPr>
            <sz val="9"/>
            <color indexed="81"/>
            <rFont val="MS P ゴシック"/>
            <family val="3"/>
            <charset val="128"/>
          </rPr>
          <t>目標値を超えた場合、セルがピンクに着色されます。A-B直線や液化力・発酵力を見ながら、必要に応じ追水を行ってください。</t>
        </r>
      </text>
    </comment>
    <comment ref="C12" authorId="1" shapeId="0" xr:uid="{00000000-0006-0000-0300-000006000000}">
      <text>
        <r>
          <rPr>
            <sz val="9"/>
            <color indexed="81"/>
            <rFont val="MS P ゴシック"/>
            <family val="3"/>
            <charset val="128"/>
          </rPr>
          <t>ボーメと日本酒度両方を入力した場合、ボーメの値が優先されます。</t>
        </r>
      </text>
    </comment>
    <comment ref="A13" authorId="1" shapeId="0" xr:uid="{00000000-0006-0000-0300-000007000000}">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14" authorId="1" shapeId="0" xr:uid="{00000000-0006-0000-0300-000008000000}">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 ref="A15" authorId="1" shapeId="0" xr:uid="{00000000-0006-0000-0300-000009000000}">
      <text>
        <r>
          <rPr>
            <sz val="9"/>
            <color indexed="81"/>
            <rFont val="MS P ゴシック"/>
            <family val="3"/>
            <charset val="128"/>
          </rPr>
          <t>目標値を超えた場合、セルがピンクに着色されます。目標値を大きく超えた場合は、四段等によって薄めるのも一法です（10％以内のアル添程度では0.2弱しか下がりません。また除酸はお勧めしません）。</t>
        </r>
      </text>
    </comment>
    <comment ref="A16" authorId="1" shapeId="0" xr:uid="{00000000-0006-0000-0300-00000A000000}">
      <text>
        <r>
          <rPr>
            <sz val="9"/>
            <color indexed="81"/>
            <rFont val="MS P ゴシック"/>
            <family val="3"/>
            <charset val="128"/>
          </rPr>
          <t>目標値を超えた場合、セルがピンクに着色されます。目標値を大きく超えた場合は、四段等によって薄めるのも一法です（10％以内のアル添程度では0.2弱しか下がりません）。</t>
        </r>
      </text>
    </comment>
    <comment ref="A18" authorId="1" shapeId="0" xr:uid="{00000000-0006-0000-0300-00000B000000}">
      <text>
        <r>
          <rPr>
            <sz val="9"/>
            <color indexed="81"/>
            <rFont val="MS P ゴシック"/>
            <family val="3"/>
            <charset val="128"/>
          </rPr>
          <t>目標値を超えた場合、セルがピンクに着色されます。</t>
        </r>
      </text>
    </comment>
    <comment ref="A20" authorId="1" shapeId="0" xr:uid="{00000000-0006-0000-0300-00000C000000}">
      <text>
        <r>
          <rPr>
            <sz val="9"/>
            <color indexed="81"/>
            <rFont val="MS P ゴシック"/>
            <family val="3"/>
            <charset val="128"/>
          </rPr>
          <t>便宜上、エキス分－グルコースをオリゴ糖としたものであり、実際の値は異なることをご承知おき願います。
また、この計算方法だと、酵母によっては資化できるマルトースやスクロースなどもオリゴ糖扱いとなっていることにもご留意ください。</t>
        </r>
      </text>
    </comment>
    <comment ref="A22" authorId="1" shapeId="0" xr:uid="{00000000-0006-0000-0300-00000D000000}">
      <text>
        <r>
          <rPr>
            <sz val="9"/>
            <color indexed="81"/>
            <rFont val="MS P ゴシック"/>
            <family val="3"/>
            <charset val="128"/>
          </rPr>
          <t>アルコール発酵（アルコール分増加）に使用されたエキス分（グルコース）の量を発酵力と定義し、以下の式で算出しています。
　（基準日のアルコール分－基準日よりも１～５日前（I24セルで可変）のアルコール分）×1.5848
算出の関係上、２日以上のアルコール分の測定をする必要があります。
一般的に前急型のもろみは初期（５日前まで）にピークが来るとともに、絶対値も高くなる傾向があり、
前緩型のもろみは５日以降にピークが来るとともに、絶対値もそこまで高くない傾向があると考えられます。
発酵力の上位20％のセルはピンクに着色されるので、参考にしてください。
絶対値が低い場合は発酵不全になります。また、液化力と比して相対的に低すぎる場合は濃糖圧迫のおそれが出てきます。
本数値はくみ水歩合によって変動することから、くみ水歩合を100％固定として補正することも可能です（追水した場合も補正する）。補正する場合はI25セルを「補正する」にしてください。
なお、発酵力・液化力・糖化力の詳細説明は、「はじめに」をご参照ください。</t>
        </r>
      </text>
    </comment>
    <comment ref="A23" authorId="1" shapeId="0" xr:uid="{00000000-0006-0000-0300-00000E000000}">
      <text>
        <r>
          <rPr>
            <sz val="9"/>
            <color indexed="81"/>
            <rFont val="MS P ゴシック"/>
            <family val="3"/>
            <charset val="128"/>
          </rPr>
          <t>米から溶け出てきたエキス分（グルコース・オリゴ糖の合計）の量を液化力と定義し、以下の式で算出しています。
　基準日のエキス分－基準日よりも１～５日前（I24セルで可変）のエキス分＋「発酵力」
算出の関係上、２日以上のアルコール分及びボーメ（日本酒度）の測定をする必要があります。
一般的に溶けが良いもろみは、この液化力の絶対値が高くなります。絶対値が低い場合は酵素剤の使用等を検討してください。
液化力の上位20％のセルはピンクに着色されるので、参考にしてください。
発酵力と比して相対的に高すぎる場合は濃糖圧迫のおそれが出てきます。逆に、相対的に低すぎる場合は、糖の供給と発酵のバランスが崩れており、香気成分が低くなる傾向があると考えられます。
本数値はくみ水歩合によって変動することから、くみ水歩合を100％固定として補正することも可能です（追水した場合も補正する）。補正する場合はI25セルを「補正する」にしてください。
なお、発酵力・液化力・糖化力の詳細説明は、「はじめに」をご参照ください。</t>
        </r>
      </text>
    </comment>
    <comment ref="A24" authorId="1" shapeId="0" xr:uid="{00000000-0006-0000-0300-00000F000000}">
      <text>
        <r>
          <rPr>
            <sz val="9"/>
            <color indexed="81"/>
            <rFont val="MS P ゴシック"/>
            <family val="3"/>
            <charset val="128"/>
          </rPr>
          <t>米から直接溶け出てきたグルコース、及びもろみ中のオリゴ糖から出てきたグルコースの合計の量を糖化力と定義し、以下の式で算出しています。
　基準日のグルコース分－基準日よりも１～５日前（I24セルで可変）のグルコース分＋「発酵力」
算出の関係上、２日以上のアルコール分及びグルコース量の測定をする必要があります。
グルコアミラーゼ力価が高い麹を使ったもろみは、糖化力の絶対値が高くなります。絶対値が低い場合は酵素剤の使用等を検討してください。液化力の上位20％のセルはピンクに着色されるので、参考にしてください。
液化力と比して相対的に高い場合はGA比が高いということであり、香気成分が高くなる傾向があると考えられます。逆に、相対的に低い場合は、米の溶けは進んでいるものの、酵母が資化できる糖の供給は少なめということであり、香気成分が低くなる傾向・もっさりとした味わいになる傾向があると考えられます。
本数値はくみ水歩合によって変動することから、くみ水歩合を100％固定として補正することも可能です（追水した場合も補正する）。補正する場合はI25セルを「補正する」にしてください。
なお、発酵力・液化力・糖化力の詳細説明は、「はじめに」をご参照ください。</t>
        </r>
      </text>
    </comment>
    <comment ref="A25" authorId="1" shapeId="0" xr:uid="{00000000-0006-0000-0300-000010000000}">
      <text>
        <r>
          <rPr>
            <sz val="9"/>
            <color indexed="81"/>
            <rFont val="MS P ゴシック"/>
            <family val="3"/>
            <charset val="128"/>
          </rPr>
          <t>発酵力、液化力、糖化力を算出するには、基準日とそれより前の日(比較日）のアルコール及びボーメ（日本酒度）の分析が必要ですが、毎日分析していない場合もあると考えられたところ、比較日数を１～５日の間で可変することができます。
例えば毎日分析している場合、比較日数を１日にすれば前日との比較で各指標を算出しますが、１日おきに分析している場合は比較日数を２日にします。
なお計算上、比較日数が長いとその分、発酵力等の値は大きくなります(単純に言えば、比較日数１日と５日では、値が５倍になる）。従って、比較日数が違う場合の値同士を比較することにはあまり意味がないことにご留意ください。</t>
        </r>
      </text>
    </comment>
    <comment ref="AP25" authorId="1" shapeId="0" xr:uid="{00000000-0006-0000-0300-000011000000}">
      <text>
        <r>
          <rPr>
            <sz val="9"/>
            <color indexed="81"/>
            <rFont val="MS P ゴシック"/>
            <family val="3"/>
            <charset val="128"/>
          </rPr>
          <t>ボーメから日本酒度に切り替わった時（＝入力された日本酒度のうち、一番低い数字）のアルコール分及び日本酒度を元に、日本酒度が10切れるたびにアルコール分が1.8伸びると仮定し、入力した目標アルコール分になった時の日本酒度を予測しています。
この予測値と目標が大きく乖離している場合は、右の欄に簡潔な診断結果が表示されますので、それに基づき対応を検討してください。
なお留意点として</t>
        </r>
        <r>
          <rPr>
            <u/>
            <sz val="9"/>
            <color indexed="81"/>
            <rFont val="MS P ゴシック"/>
            <family val="3"/>
            <charset val="128"/>
          </rPr>
          <t>、日本酒度に切り替わった日にアルコール分が入力されていない場合は、予測値は表示されません</t>
        </r>
        <r>
          <rPr>
            <sz val="9"/>
            <color indexed="81"/>
            <rFont val="MS P ゴシック"/>
            <family val="3"/>
            <charset val="128"/>
          </rPr>
          <t xml:space="preserve">、メーターに切り替わった日は日本酒度のみ測定、次の日には日本酒度とアルコール分両方を測定したという場合は、メーターに切り替わった日（アルコール分を測定していない日）の日本酒度を削除してください。
</t>
        </r>
      </text>
    </comment>
    <comment ref="A26" authorId="1" shapeId="0" xr:uid="{00000000-0006-0000-0300-000012000000}">
      <text>
        <r>
          <rPr>
            <sz val="9"/>
            <color indexed="81"/>
            <rFont val="MS P ゴシック"/>
            <family val="3"/>
            <charset val="128"/>
          </rPr>
          <t>くみ水補正しない場合、発酵力～糖化力は、そのもろみの「現時点での状況」を示すことになります。現在のもろみがどうかということに主眼を置いた診断をする場合は、補正しない数値で判断してください。
他方、くみ水補正した発酵力～糖化力を、同じくくみ水補正した他（違う年度等）のもろみの発酵力～糖化力と比較することにより、使用した酒母の状況や米の溶け具合、麹の出来具合等を比較評価することができます。「昨年度と比べて（ないしは山田錦と●●の米を比べて）米の溶けはどうか」「酒母の作り方を変えたが、その評価はどうか」などといった、大きな視点で様々な情報を得るべく、他のもろみと比較しあう場合は、補正した数値で比較してください。</t>
        </r>
      </text>
    </comment>
    <comment ref="A27" authorId="1" shapeId="0" xr:uid="{00000000-0006-0000-0300-000013000000}">
      <text>
        <r>
          <rPr>
            <sz val="9"/>
            <color indexed="81"/>
            <rFont val="MS P ゴシック"/>
            <family val="3"/>
            <charset val="128"/>
          </rPr>
          <t>原エキスをくみ水歩合100％に割り戻すことにより、米の品種間及び収穫年度間の米の溶け具合を醪日数毎に比較することができるようになります。</t>
        </r>
      </text>
    </comment>
    <comment ref="AP27" authorId="1" shapeId="0" xr:uid="{00000000-0006-0000-0300-000014000000}">
      <text>
        <r>
          <rPr>
            <sz val="9"/>
            <color indexed="81"/>
            <rFont val="MS P ゴシック"/>
            <family val="3"/>
            <charset val="128"/>
          </rPr>
          <t>ボーメから日本酒度に切り替わった時（＝入力された日本酒度のうち、一番低い数字）のアルコール分及び日本酒度を元に、日本酒度が10切れるたびにアルコール分が1.8伸びると仮定し、入力した目標日本酒度になった時のアルコール分（度）を予測しています。
この予測値と目標が大きく乖離している場合は、右の欄に簡潔な診断結果が表示されますので、それに基づき対応を検討してください。
なお留意点として、</t>
        </r>
        <r>
          <rPr>
            <u/>
            <sz val="9"/>
            <color indexed="81"/>
            <rFont val="MS P ゴシック"/>
            <family val="3"/>
            <charset val="128"/>
          </rPr>
          <t>日本酒度に切り替わった日にアルコール分が入力されていない場合は、予測値は表示されません</t>
        </r>
        <r>
          <rPr>
            <sz val="9"/>
            <color indexed="81"/>
            <rFont val="MS P ゴシック"/>
            <family val="3"/>
            <charset val="128"/>
          </rPr>
          <t>、メーターに切り替わった日は日本酒度のみ測定、次の日には日本酒度とアルコール分両方を測定したという場合は、メーターに切り替わった日（アルコール分を測定していない日）の日本酒度を削除してください。</t>
        </r>
      </text>
    </comment>
    <comment ref="C30" authorId="1" shapeId="0" xr:uid="{00000000-0006-0000-0300-000015000000}">
      <text>
        <r>
          <rPr>
            <sz val="9"/>
            <color indexed="81"/>
            <rFont val="MS P ゴシック"/>
            <family val="3"/>
            <charset val="128"/>
          </rPr>
          <t>もろみ歩合や白米歩合を算出するためには、親容器の数量（L)を入力する必要があります。</t>
        </r>
      </text>
    </comment>
    <comment ref="C33" authorId="1" shapeId="0" xr:uid="{00000000-0006-0000-0300-000016000000}">
      <text>
        <r>
          <rPr>
            <sz val="9"/>
            <color indexed="81"/>
            <rFont val="MS P ゴシック"/>
            <family val="3"/>
            <charset val="128"/>
          </rPr>
          <t>もろみ歩合や白米歩合の算出にあたっては、枝容器の数量（L)も合算されます。</t>
        </r>
      </text>
    </comment>
    <comment ref="C36" authorId="1" shapeId="0" xr:uid="{00000000-0006-0000-0300-000017000000}">
      <text>
        <r>
          <rPr>
            <sz val="9"/>
            <color indexed="81"/>
            <rFont val="MS P ゴシック"/>
            <family val="3"/>
            <charset val="128"/>
          </rPr>
          <t>もろみ歩合や白米歩合の算出にあたっては、枝容器の数量（L)も合算されます。</t>
        </r>
      </text>
    </comment>
    <comment ref="A37" authorId="1" shapeId="0" xr:uid="{00000000-0006-0000-0300-000018000000}">
      <text>
        <r>
          <rPr>
            <sz val="9"/>
            <color indexed="81"/>
            <rFont val="MS P ゴシック"/>
            <family val="3"/>
            <charset val="128"/>
          </rPr>
          <t>親容器の数量（L)と仕込配合の総米を入力すると計算されます。
枝容器の数量は親容器の数量に合算されます。</t>
        </r>
      </text>
    </comment>
    <comment ref="S37" authorId="0" shapeId="0" xr:uid="{00000000-0006-0000-0300-000019000000}">
      <text>
        <r>
          <rPr>
            <sz val="11"/>
            <color indexed="81"/>
            <rFont val="ＭＳ Ｐゴシック"/>
            <family val="3"/>
            <charset val="128"/>
          </rPr>
          <t>原料白米合計に対する酒母白米合計の割合。通常６～８％で、量を減らして前緩にする方法もありますが、健全な発酵の観点からはお勧めできません。</t>
        </r>
      </text>
    </comment>
    <comment ref="AK37" authorId="0" shapeId="0" xr:uid="{00000000-0006-0000-0300-00001A000000}">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A38" authorId="2" shapeId="0" xr:uid="{00000000-0006-0000-0300-00001B000000}">
      <text>
        <r>
          <rPr>
            <sz val="9"/>
            <color indexed="81"/>
            <rFont val="ＭＳ Ｐゴシック"/>
            <family val="3"/>
            <charset val="128"/>
          </rPr>
          <t>初添まで、仲添まで、留添までの白米使用量と仕込水使用量を基に算出された歩合です。</t>
        </r>
      </text>
    </comment>
    <comment ref="S38" authorId="0" shapeId="0" xr:uid="{00000000-0006-0000-0300-00001C000000}">
      <text>
        <r>
          <rPr>
            <sz val="11"/>
            <color indexed="81"/>
            <rFont val="ＭＳ Ｐゴシック"/>
            <family val="3"/>
            <charset val="128"/>
          </rPr>
          <t>原料白米合計に対する麹（白米換算重量）合計の割合。通常22～23％で、低温長期にする場合は20～22％にします。味を乗せたいときは多めにしますが、麹の精米歩合や力価にも拠りますので、一概には言えません。</t>
        </r>
      </text>
    </comment>
    <comment ref="AK38" authorId="0" shapeId="0" xr:uid="{00000000-0006-0000-0300-00001D000000}">
      <text>
        <r>
          <rPr>
            <sz val="11"/>
            <color indexed="81"/>
            <rFont val="ＭＳ Ｐゴシック"/>
            <family val="3"/>
            <charset val="128"/>
          </rPr>
          <t>濃淡指数の各区分が1.5で区切られていることに鑑み、目標値よりも±0.75以下である場合を「概ね目標通り」とし、それ以外については目標よりも「軽快」「やや軽快」「やや濃醇」「濃醇」としています。</t>
        </r>
      </text>
    </comment>
    <comment ref="S39" authorId="0" shapeId="0" xr:uid="{00000000-0006-0000-0300-00001E000000}">
      <text>
        <r>
          <rPr>
            <sz val="11"/>
            <color indexed="81"/>
            <rFont val="ＭＳ Ｐゴシック"/>
            <family val="3"/>
            <charset val="128"/>
          </rPr>
          <t>原料白米合計に対するくみ水合計の割合。
通常は留添までの総米（三段総米）の重量に対するくみ水量の割合をいうので、ここではその数値を出しています。</t>
        </r>
      </text>
    </comment>
    <comment ref="AK39" authorId="0" shapeId="0" xr:uid="{00000000-0006-0000-0300-00001F000000}">
      <text>
        <r>
          <rPr>
            <sz val="11"/>
            <color indexed="81"/>
            <rFont val="ＭＳ Ｐゴシック"/>
            <family val="3"/>
            <charset val="128"/>
          </rPr>
          <t>シブ予測係数比の各区分が0.5で区切られていることに鑑み、目標値よりも±0.25以下である場合を「概ね目標通り」とし、それ以外については目標よりも「キレがある」「ややキレがある」「やややわらかい」「やわらかい」としています。</t>
        </r>
      </text>
    </comment>
    <comment ref="AO39" authorId="1" shapeId="0" xr:uid="{00000000-0006-0000-0300-000020000000}">
      <text>
        <r>
          <rPr>
            <sz val="9"/>
            <color indexed="81"/>
            <rFont val="MS P ゴシック"/>
            <family val="3"/>
            <charset val="128"/>
          </rPr>
          <t>新甘辛度～グルコース比は、それらに用いる項目（酸度、アミノ酸度、グルコース、アルコール分）それぞれを最後に測定した（経過簿に数値を最後に入力した）値を用いて算出します。
従って、結果として、それぞれの項目で、違うもろみ日数の値を採用して算出されることがあることを予めご承知おきください。
（例えばアルコールとグルコースは〇日目の値を採用したが、酸度等その他の項目は●日目の値を採用して各種項目を算出することなどが生じます）</t>
        </r>
      </text>
    </comment>
    <comment ref="S71" authorId="1" shapeId="0" xr:uid="{00000000-0006-0000-0300-000021000000}">
      <text>
        <r>
          <rPr>
            <sz val="9"/>
            <color indexed="81"/>
            <rFont val="MS P ゴシック"/>
            <family val="3"/>
            <charset val="128"/>
          </rPr>
          <t>もろみ経過簿に入力した追水量（L)の合計が自動記入されます。</t>
        </r>
      </text>
    </comment>
    <comment ref="V74" authorId="2" shapeId="0" xr:uid="{00000000-0006-0000-0300-000022000000}">
      <text>
        <r>
          <rPr>
            <sz val="9"/>
            <color indexed="81"/>
            <rFont val="ＭＳ Ｐゴシック"/>
            <family val="3"/>
            <charset val="128"/>
          </rPr>
          <t>『アルコール添加』の「添加アルコール数量（L) 」と「添加アルコール分(度)」に入力した数値から算出された値が自動転記されるので入力不要です。</t>
        </r>
      </text>
    </comment>
    <comment ref="H84" authorId="1" shapeId="0" xr:uid="{00000000-0006-0000-0300-000023000000}">
      <text>
        <r>
          <rPr>
            <sz val="9"/>
            <color indexed="81"/>
            <rFont val="MS P ゴシック"/>
            <family val="3"/>
            <charset val="128"/>
          </rPr>
          <t>便宜上、くみ水総量（追水や四段の水を含んだ量）から算出しています。</t>
        </r>
      </text>
    </comment>
    <comment ref="AN109" authorId="1" shapeId="0" xr:uid="{2BC306CF-7956-48EA-9D15-E9A950EF6164}">
      <text>
        <r>
          <rPr>
            <sz val="9"/>
            <color indexed="81"/>
            <rFont val="MS P ゴシック"/>
            <family val="3"/>
            <charset val="128"/>
          </rPr>
          <t>かすの実重量を直接測定した場合は入力不要です。</t>
        </r>
      </text>
    </comment>
    <comment ref="AN111" authorId="1" shapeId="0" xr:uid="{F1536AEF-FF03-4BB3-9722-4B2D6A90B6A6}">
      <text>
        <r>
          <rPr>
            <sz val="9"/>
            <color indexed="81"/>
            <rFont val="MS P ゴシック"/>
            <family val="3"/>
            <charset val="128"/>
          </rPr>
          <t>通常は1.1を使用します。
1.1とする場合においては、入力不要です。</t>
        </r>
      </text>
    </comment>
    <comment ref="AN112" authorId="1" shapeId="0" xr:uid="{D92B3612-8571-4392-AB9E-771700907817}">
      <text>
        <r>
          <rPr>
            <sz val="9"/>
            <color indexed="81"/>
            <rFont val="MS P ゴシック"/>
            <family val="3"/>
            <charset val="128"/>
          </rPr>
          <t>かす換算率に数字が入力されていない場合は、かす換算率を1.1として算出します。</t>
        </r>
      </text>
    </comment>
    <comment ref="AN114" authorId="0" shapeId="0" xr:uid="{36ECBCB2-DBF9-4AC2-BB49-D94215451C8C}">
      <text>
        <r>
          <rPr>
            <sz val="11"/>
            <color indexed="81"/>
            <rFont val="ＭＳ Ｐゴシック"/>
            <family val="3"/>
            <charset val="128"/>
          </rPr>
          <t>留仕込直後に、白米が占めるもろみ数量の割合をいい、留即時歩合ともいいます。
（留即時もろみL－くみ水L）／白米kg
仕込配合以外に、親容器の留添時の数量を入力する必要があります。</t>
        </r>
      </text>
    </comment>
    <comment ref="AT114" authorId="0" shapeId="0" xr:uid="{870971AF-3F71-48BB-92C2-977A6360E047}">
      <text>
        <r>
          <rPr>
            <sz val="11"/>
            <color indexed="81"/>
            <rFont val="ＭＳ Ｐゴシック"/>
            <family val="3"/>
            <charset val="128"/>
          </rPr>
          <t>原料の白米重量に対するかす重量の割合
仕込配合以外に、かすの表に数字を入力する必要があります。</t>
        </r>
      </text>
    </comment>
    <comment ref="AN115" authorId="0" shapeId="0" xr:uid="{DCD29ECA-F4DB-499D-9B28-4A805026F2AE}">
      <text>
        <r>
          <rPr>
            <sz val="11"/>
            <color indexed="81"/>
            <rFont val="ＭＳ Ｐゴシック"/>
            <family val="3"/>
            <charset val="128"/>
          </rPr>
          <t>白米100kgあたりもろみ数量が何Lになるかを表す歩合。
もろみL／白米kg
仕込配合以外に、もろみ上槽直前の表に数量を入力する必要があります。</t>
        </r>
      </text>
    </comment>
    <comment ref="AT115" authorId="0" shapeId="0" xr:uid="{FC9B4D89-136A-4703-8817-16F7D6F592BB}">
      <text>
        <r>
          <rPr>
            <sz val="11"/>
            <color indexed="81"/>
            <rFont val="ＭＳ Ｐゴシック"/>
            <family val="3"/>
            <charset val="128"/>
          </rPr>
          <t>上槽前のもろみにおいて、原料白米100kgが何Lになったかを表す歩合。
（上槽前もろみL－くみ水L－添加アルコールL－原料清酒L－原料かす換算L）／白米kg
ここでは原料清酒、原料かすは使用していないものとしています。
仕込配合以外に、もろみ上槽直前の表・アルコール添加の表に数量を入力する必要があります。</t>
        </r>
      </text>
    </comment>
    <comment ref="AN116" authorId="0" shapeId="0" xr:uid="{25E7D567-1B08-49F2-B28F-2CB1CB6CE2DC}">
      <text>
        <r>
          <rPr>
            <sz val="11"/>
            <color indexed="81"/>
            <rFont val="ＭＳ Ｐゴシック"/>
            <family val="3"/>
            <charset val="128"/>
          </rPr>
          <t>原料として使用した清酒を差し引いて、もろみ100Lから得られた清酒のL数を表す歩合。
（清酒L－原料清酒L）/（上槽前もろみL－原料清酒L）
ここでは原料清酒は使用していないものとしています。
製成事績の表、及びもろみ上槽直前の表に数量を入力する必要があります。</t>
        </r>
      </text>
    </comment>
    <comment ref="AT116" authorId="0" shapeId="0" xr:uid="{93BBEADC-D34D-45DD-8BD1-05E0B444C631}">
      <text>
        <r>
          <rPr>
            <sz val="11"/>
            <color indexed="81"/>
            <rFont val="ＭＳ Ｐゴシック"/>
            <family val="3"/>
            <charset val="128"/>
          </rPr>
          <t>もろみ中の純アルコールが、上槽後にどれほど清酒中の純アルコールとして得られたかを示す歩合
（清酒純アルコールL－原料清酒純アルコールL）／（上槽前純アルコールL－原料清酒純アルコールL）
ここでは原料清酒は使用していないものとしています。
もろみ上槽直前の表及び製成事績の表に数量及びアルコール度を入力する必要があります。</t>
        </r>
      </text>
    </comment>
    <comment ref="AN117" authorId="0" shapeId="0" xr:uid="{3AE8EA5A-1EE9-4EB4-895E-0B689CD19900}">
      <text>
        <r>
          <rPr>
            <sz val="11"/>
            <color indexed="81"/>
            <rFont val="ＭＳ Ｐゴシック"/>
            <family val="3"/>
            <charset val="128"/>
          </rPr>
          <t>原料白米100kgから製成した清酒Lの割合
（清酒L－原料清酒L）／白米kg
ここでは原料清酒は使用していないものとしています。
仕込配合以外に、製成事績の表に数量を入力する必要があります。</t>
        </r>
      </text>
    </comment>
    <comment ref="AT117" authorId="0" shapeId="0" xr:uid="{73E415ED-EA47-4D83-8D1D-0A4C1A7713FC}">
      <text>
        <r>
          <rPr>
            <sz val="11"/>
            <color indexed="81"/>
            <rFont val="ＭＳ Ｐゴシック"/>
            <family val="3"/>
            <charset val="128"/>
          </rPr>
          <t>原料白米だけ（くみ水などを除く）から製成された清酒の割合
（清酒L－くみ水L－アルコールL－原料清酒L）／白米kg
ここでは原料清酒は使用していないものとしています。
仕込配合以外に、アルコール添加の表及び製成事績の表に数量を入力する必要があります。</t>
        </r>
      </text>
    </comment>
    <comment ref="F118" authorId="1" shapeId="0" xr:uid="{196C123F-886C-47A9-86FF-8C54A51BB63F}">
      <text>
        <r>
          <rPr>
            <sz val="9"/>
            <color indexed="81"/>
            <rFont val="MS P ゴシック"/>
            <family val="3"/>
            <charset val="128"/>
          </rPr>
          <t>くみ水100％に補正した原エキスで、この数値を他のもろみの数値と比較することにより、米の溶け具合が比較できます。</t>
        </r>
      </text>
    </comment>
    <comment ref="AN118" authorId="0" shapeId="0" xr:uid="{880C4491-02A9-47D1-9504-BEC23854B9A9}">
      <text>
        <r>
          <rPr>
            <sz val="11"/>
            <color indexed="81"/>
            <rFont val="ＭＳ Ｐゴシック"/>
            <family val="3"/>
            <charset val="128"/>
          </rPr>
          <t>原料白米合計に対するくみ水合計の割合。
通常は留添までの総米（三段総米）の重量に対するくみ水量の割合をいいますが、ここではすべての総米とくみ水から計算しています。
教科書には120～130％と書いてありますが、吟醸酒（高精白）だと140％以上、追水入れて150%以上でも構いません。原エキスやA-B直線から判断しましょう。</t>
        </r>
      </text>
    </comment>
    <comment ref="AT118" authorId="0" shapeId="0" xr:uid="{889BD975-C2B9-4920-A26D-6CABD9CFA147}">
      <text>
        <r>
          <rPr>
            <sz val="11"/>
            <color indexed="81"/>
            <rFont val="ＭＳ Ｐゴシック"/>
            <family val="3"/>
            <charset val="128"/>
          </rPr>
          <t>原料白米に対する、上槽までにもろみに使われた水や添加した液体（原料アルコールや原料清酒）の総体積の割合。アル添していない場合は、くみ水歩合と同じ値になります。
（くみ水L＋原料アルコールL＋原料清酒L）／白米kg
ここでは原料清酒は使用していないものとしています。</t>
        </r>
      </text>
    </comment>
    <comment ref="T186" authorId="0" shapeId="0" xr:uid="{00000000-0006-0000-0300-000032000000}">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AD186" authorId="0" shapeId="0" xr:uid="{00000000-0006-0000-0300-000033000000}">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T187" authorId="0" shapeId="0" xr:uid="{00000000-0006-0000-0300-000034000000}">
      <text>
        <r>
          <rPr>
            <sz val="11"/>
            <color indexed="81"/>
            <rFont val="ＭＳ Ｐゴシック"/>
            <family val="3"/>
            <charset val="128"/>
          </rPr>
          <t>濃淡指数の各区分が1.5で区切られていることに鑑み、目標値よりも±0.75以下である場合を「概ね目標通り」とし、それ以外については目標よりも「軽快」「やや軽快」「やや濃醇」「濃醇」としています。</t>
        </r>
      </text>
    </comment>
    <comment ref="AD187" authorId="0" shapeId="0" xr:uid="{00000000-0006-0000-0300-000035000000}">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T188" authorId="0" shapeId="0" xr:uid="{00000000-0006-0000-0300-000036000000}">
      <text>
        <r>
          <rPr>
            <sz val="11"/>
            <color indexed="81"/>
            <rFont val="ＭＳ Ｐゴシック"/>
            <family val="3"/>
            <charset val="128"/>
          </rPr>
          <t>シブ予測係数比の各区分が0.5で区切られていることに鑑み、目標値よりも±0.25以下である場合を「概ね目標通り」とし、それ以外については目標よりも「キレがある」「ややキレがある」「やややわらかい」「やわらかい」としています。</t>
        </r>
      </text>
    </comment>
    <comment ref="F191" authorId="0" shapeId="0" xr:uid="{00000000-0006-0000-0300-000037000000}">
      <text>
        <r>
          <rPr>
            <sz val="11"/>
            <color indexed="81"/>
            <rFont val="ＭＳ Ｐゴシック"/>
            <family val="3"/>
            <charset val="128"/>
          </rPr>
          <t>エキス分が1.5848消費された時に、アルコール分が１度出るということに鑑み、原エキスが目標値よりも±２である（アルコール分で目標よりも１度以上のズレが生じることになる）場合に「目標よりも溶けなかった」ないしは「目標よりも溶けた」と判定することとしています。ただし、理想とするA-B直線の時の原エキス分とも比較して総合判断する必要があることにも留意してください。
また、原エキスは（上槽直前ではなく）もろみ初期において溶けが進んでいるか否かの判断にも使用できます（例えば５～10日の原エキスの伸びが悪い場合は、酵素剤を打つとかの対応ができる。酵素剤はアルコール分が低いときのほうが効果が高い！）。従って、出来れば５日目くらいからはアルコールと比重（ボーメ）を測定することをお勧めし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田中宏典</author>
    <author>TAKASHI IIJIMA</author>
    <author>国税庁</author>
  </authors>
  <commentList>
    <comment ref="C15" authorId="0" shapeId="0" xr:uid="{00000000-0006-0000-0100-000001000000}">
      <text>
        <r>
          <rPr>
            <sz val="9"/>
            <color indexed="81"/>
            <rFont val="MS P ゴシック"/>
            <family val="3"/>
            <charset val="128"/>
          </rPr>
          <t>新甘辛度とは、酒類総合研究所が定義した度数で、味の甘辛の判定に使用します。
　算出方法：グルコース－酸度
　　～0.2：辛口　～1.0：やや辛口　～1.8：やや甘口　1.9～：甘口</t>
        </r>
      </text>
    </comment>
    <comment ref="C17" authorId="0" shapeId="0" xr:uid="{00000000-0006-0000-0100-000002000000}">
      <text>
        <r>
          <rPr>
            <sz val="9"/>
            <color indexed="81"/>
            <rFont val="MS P ゴシック"/>
            <family val="3"/>
            <charset val="128"/>
          </rPr>
          <t>濃淡指数とは、宮城県酒造組合が規定した指数で、味の濃さの判定に使用します。
　算出方法：　（酸度 ＋ アミノ酸度 ＋ グルコース） × アルコール分 ÷ 10
　　　　　　　　～5.00：軽快 　　～6.50：やや軽快　　～8.00：やや濃醇　　8.01～：濃醇</t>
        </r>
      </text>
    </comment>
    <comment ref="C19" authorId="0" shapeId="0" xr:uid="{00000000-0006-0000-0100-000003000000}">
      <text>
        <r>
          <rPr>
            <sz val="9"/>
            <color indexed="81"/>
            <rFont val="MS P ゴシック"/>
            <family val="3"/>
            <charset val="128"/>
          </rPr>
          <t>シブ予測係数比とは、宮城県酒造組合が規定した係数で、味の柔らかさの判定に使用します。
　算出方法：　（アミノ酸度 ＋ グルコース － 酸度） ÷ 酸度
　　　　　　　　～0.50：キレがある　　 　　～1.00：ややキレがある
　　　　　　　　～1.50：やややわらかい 　　1.51～：やわらかい</t>
        </r>
      </text>
    </comment>
    <comment ref="C21" authorId="0" shapeId="0" xr:uid="{00000000-0006-0000-0100-000004000000}">
      <text>
        <r>
          <rPr>
            <sz val="9"/>
            <color indexed="81"/>
            <rFont val="MS P ゴシック"/>
            <family val="3"/>
            <charset val="128"/>
          </rPr>
          <t>アミノ酸度比とは、宮城県酒造組合が規定した係数で、味タイプとお薦めの飲み方の判定に使用します。
　算出方法：　アミノ酸度 ÷ 酸度
　　　　　　　1.00を目安として小さい値ほどより冷やに適する傾向、大きい値ほどより燗に適する傾向
　　　　　　　0.8以下：磯の香りの穏やかな料理及び出汁のあっさりとした料理
　　　　　　　0.8以上：磯の香りの強めな料理及び出汁のしっかりした料理</t>
        </r>
      </text>
    </comment>
    <comment ref="C23" authorId="0" shapeId="0" xr:uid="{00000000-0006-0000-0100-000005000000}">
      <text>
        <r>
          <rPr>
            <sz val="9"/>
            <color indexed="81"/>
            <rFont val="MS P ゴシック"/>
            <family val="3"/>
            <charset val="128"/>
          </rPr>
          <t>グルコース比とは、宮城県酒造組合が規定した係数で、味タイプとお薦めの飲み方の判定に使用します。
　算出方法：　グルコース濃度 ÷ 酸度
　　　　　　　1.00を目安として　小さい値ほどより燗に適する傾向、出汁のあっさりした料理に合う。
　　　　　　　　　　　　　　　　大きい値ほどより冷やに適する傾向、出汁のしっかりした料理に合う。</t>
        </r>
      </text>
    </comment>
    <comment ref="A25" authorId="1" shapeId="0" xr:uid="{00000000-0006-0000-0100-000006000000}">
      <text>
        <r>
          <rPr>
            <sz val="9"/>
            <color indexed="81"/>
            <rFont val="MS P ゴシック"/>
            <family val="3"/>
            <charset val="128"/>
          </rPr>
          <t>理想とするもろみ経過直線２つ（溶けたものと溶けなかったもの。上限・下限）の経過を入力してください。
入力ポイントは２点以上とし、日数の順に入力してください（そうでないとグラフの描画がうまくいきません）。</t>
        </r>
      </text>
    </comment>
    <comment ref="D26" authorId="2" shapeId="0" xr:uid="{00000000-0006-0000-0100-000007000000}">
      <text>
        <r>
          <rPr>
            <sz val="9"/>
            <color indexed="81"/>
            <rFont val="ＭＳ Ｐゴシック"/>
            <family val="3"/>
            <charset val="128"/>
          </rPr>
          <t>ボーメ値で入力してください。日本酒度単位では入力できません。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国税庁</author>
    <author>作成者</author>
  </authors>
  <commentList>
    <comment ref="H4" authorId="0" shapeId="0" xr:uid="{0F539BA4-3710-49EE-AE49-73470CBA4F99}">
      <text>
        <r>
          <rPr>
            <sz val="9"/>
            <color indexed="81"/>
            <rFont val="MS P ゴシック"/>
            <family val="3"/>
            <charset val="128"/>
          </rPr>
          <t>現時点では、四段の数値は100％への追水補正の対象となっていません。ご了承ください。</t>
        </r>
      </text>
    </comment>
    <comment ref="I8" authorId="1" shapeId="0" xr:uid="{27708675-9454-408E-913F-535C8D07BD79}">
      <text>
        <r>
          <rPr>
            <sz val="9"/>
            <color indexed="81"/>
            <rFont val="MS P ゴシック"/>
            <family val="3"/>
            <charset val="128"/>
          </rPr>
          <t>もろみ経過簿に入力した追水量（L)の合計が自動記入されます。</t>
        </r>
      </text>
    </comment>
    <comment ref="A11" authorId="1" shapeId="0" xr:uid="{6A63D452-1101-4EEE-8E33-6BC508D1A729}">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12" authorId="1" shapeId="0" xr:uid="{55304D3A-7A23-48E9-A905-D85CB3338837}">
      <text>
        <r>
          <rPr>
            <sz val="9"/>
            <color indexed="81"/>
            <rFont val="MS P ゴシック"/>
            <family val="3"/>
            <charset val="128"/>
          </rPr>
          <t>目標値を超えた場合、セルがピンクに着色されます。A-B直線や液化力・発酵力を見ながら、必要に応じ追水を行ってください。</t>
        </r>
      </text>
    </comment>
    <comment ref="C12" authorId="1" shapeId="0" xr:uid="{67BBE347-843D-4E28-B13A-B41FDA976437}">
      <text>
        <r>
          <rPr>
            <sz val="9"/>
            <color indexed="81"/>
            <rFont val="MS P ゴシック"/>
            <family val="3"/>
            <charset val="128"/>
          </rPr>
          <t>ボーメと日本酒度両方を入力した場合、ボーメの値が優先されます。</t>
        </r>
      </text>
    </comment>
    <comment ref="A13" authorId="1" shapeId="0" xr:uid="{ABE3C0E4-70C3-472A-8670-9D59F58D967F}">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14" authorId="1" shapeId="0" xr:uid="{332493C0-3B4D-4E6B-B76B-9CDFF558DDA3}">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 ref="A19" authorId="1" shapeId="0" xr:uid="{C4910E72-A4E9-4B43-A7C2-6C30C09557FB}">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I54" authorId="1" shapeId="0" xr:uid="{31DEA3E2-EE61-48C3-B0D4-308D53A7B242}">
      <text>
        <r>
          <rPr>
            <sz val="9"/>
            <color indexed="81"/>
            <rFont val="MS P ゴシック"/>
            <family val="3"/>
            <charset val="128"/>
          </rPr>
          <t>もろみ経過簿に入力した追水量（L)の合計が自動記入されます。</t>
        </r>
      </text>
    </comment>
    <comment ref="A57" authorId="1" shapeId="0" xr:uid="{AAE06611-59A2-44D5-A363-E431A40F0A27}">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58" authorId="1" shapeId="0" xr:uid="{044777FF-2E31-4F62-963E-F190B2F2C862}">
      <text>
        <r>
          <rPr>
            <sz val="9"/>
            <color indexed="81"/>
            <rFont val="MS P ゴシック"/>
            <family val="3"/>
            <charset val="128"/>
          </rPr>
          <t>目標値を超えた場合、セルがピンクに着色されます。A-B直線や液化力・発酵力を見ながら、必要に応じ追水を行ってください。</t>
        </r>
      </text>
    </comment>
    <comment ref="C58" authorId="1" shapeId="0" xr:uid="{225AFCCE-DC55-4150-9423-E8086AC909F0}">
      <text>
        <r>
          <rPr>
            <sz val="9"/>
            <color indexed="81"/>
            <rFont val="MS P ゴシック"/>
            <family val="3"/>
            <charset val="128"/>
          </rPr>
          <t>ボーメと日本酒度両方を入力した場合、ボーメの値が優先されます。</t>
        </r>
      </text>
    </comment>
    <comment ref="A59" authorId="1" shapeId="0" xr:uid="{880B3A2E-1B7A-46D7-B1B7-C21F6D8629B6}">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60" authorId="1" shapeId="0" xr:uid="{3EBAE793-44A3-4DE1-88F9-D445C23B45B8}">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 ref="A65" authorId="1" shapeId="0" xr:uid="{C226052D-BF3F-42FB-8484-5AECD3E4E2EA}">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I96" authorId="1" shapeId="0" xr:uid="{DE35304A-5750-4585-B48B-C5337952CBF7}">
      <text>
        <r>
          <rPr>
            <sz val="9"/>
            <color indexed="81"/>
            <rFont val="MS P ゴシック"/>
            <family val="3"/>
            <charset val="128"/>
          </rPr>
          <t>もろみ経過簿に入力した追水量（L)の合計が自動記入されます。</t>
        </r>
      </text>
    </comment>
    <comment ref="A99" authorId="1" shapeId="0" xr:uid="{5E0D21EB-C440-4BD0-A524-C2D1D4A38751}">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100" authorId="1" shapeId="0" xr:uid="{87389299-1288-4D20-A556-83A3C671F1B6}">
      <text>
        <r>
          <rPr>
            <sz val="9"/>
            <color indexed="81"/>
            <rFont val="MS P ゴシック"/>
            <family val="3"/>
            <charset val="128"/>
          </rPr>
          <t>目標値を超えた場合、セルがピンクに着色されます。A-B直線や液化力・発酵力を見ながら、必要に応じ追水を行ってください。</t>
        </r>
      </text>
    </comment>
    <comment ref="C100" authorId="1" shapeId="0" xr:uid="{D6032D2C-F38B-44B4-B269-B41F43BAE990}">
      <text>
        <r>
          <rPr>
            <sz val="9"/>
            <color indexed="81"/>
            <rFont val="MS P ゴシック"/>
            <family val="3"/>
            <charset val="128"/>
          </rPr>
          <t>ボーメと日本酒度両方を入力した場合、ボーメの値が優先されます。</t>
        </r>
      </text>
    </comment>
    <comment ref="A101" authorId="1" shapeId="0" xr:uid="{1756B50A-9CD8-4952-921D-043394DDEE8C}">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102" authorId="1" shapeId="0" xr:uid="{5C7DC804-B62E-4D4A-B044-CD65BCD38CBC}">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 ref="A107" authorId="1" shapeId="0" xr:uid="{15E7C215-CDBC-45B9-A755-8141FAF94050}">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I138" authorId="1" shapeId="0" xr:uid="{A08111BC-6035-420D-8721-360302842292}">
      <text>
        <r>
          <rPr>
            <sz val="9"/>
            <color indexed="81"/>
            <rFont val="MS P ゴシック"/>
            <family val="3"/>
            <charset val="128"/>
          </rPr>
          <t>もろみ経過簿に入力した追水量（L)の合計が自動記入されます。</t>
        </r>
      </text>
    </comment>
    <comment ref="A141" authorId="1" shapeId="0" xr:uid="{89C10F64-A07C-4B98-A361-6499B925C246}">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142" authorId="1" shapeId="0" xr:uid="{A718965B-0815-4983-9933-D3971AA3D618}">
      <text>
        <r>
          <rPr>
            <sz val="9"/>
            <color indexed="81"/>
            <rFont val="MS P ゴシック"/>
            <family val="3"/>
            <charset val="128"/>
          </rPr>
          <t>目標値を超えた場合、セルがピンクに着色されます。A-B直線や液化力・発酵力を見ながら、必要に応じ追水を行ってください。</t>
        </r>
      </text>
    </comment>
    <comment ref="C142" authorId="1" shapeId="0" xr:uid="{4C1983F8-DBDD-4554-B840-15A7967E9141}">
      <text>
        <r>
          <rPr>
            <sz val="9"/>
            <color indexed="81"/>
            <rFont val="MS P ゴシック"/>
            <family val="3"/>
            <charset val="128"/>
          </rPr>
          <t>ボーメと日本酒度両方を入力した場合、ボーメの値が優先されます。</t>
        </r>
      </text>
    </comment>
    <comment ref="A143" authorId="1" shapeId="0" xr:uid="{7CF49949-1DD3-4253-9AD8-1F761855D01F}">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144" authorId="1" shapeId="0" xr:uid="{CF14D651-2008-498E-A37C-A17FD795AF9E}">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 ref="A149" authorId="1" shapeId="0" xr:uid="{377DE11A-A432-4B93-90D3-28D1A98C6F22}">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I180" authorId="1" shapeId="0" xr:uid="{A8FCEA29-DD60-4FF4-AAE0-7AB0F3D51751}">
      <text>
        <r>
          <rPr>
            <sz val="9"/>
            <color indexed="81"/>
            <rFont val="MS P ゴシック"/>
            <family val="3"/>
            <charset val="128"/>
          </rPr>
          <t>もろみ経過簿に入力した追水量（L)の合計が自動記入されます。</t>
        </r>
      </text>
    </comment>
    <comment ref="A183" authorId="1" shapeId="0" xr:uid="{F2751B3A-1E55-45C6-A850-5C2CFA2DDB37}">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184" authorId="1" shapeId="0" xr:uid="{C2D95536-F9F1-4981-9D47-617692D3395F}">
      <text>
        <r>
          <rPr>
            <sz val="9"/>
            <color indexed="81"/>
            <rFont val="MS P ゴシック"/>
            <family val="3"/>
            <charset val="128"/>
          </rPr>
          <t>目標値を超えた場合、セルがピンクに着色されます。A-B直線や液化力・発酵力を見ながら、必要に応じ追水を行ってください。</t>
        </r>
      </text>
    </comment>
    <comment ref="C184" authorId="1" shapeId="0" xr:uid="{39EDC443-F8D3-416A-B3B0-8D2844D523F5}">
      <text>
        <r>
          <rPr>
            <sz val="9"/>
            <color indexed="81"/>
            <rFont val="MS P ゴシック"/>
            <family val="3"/>
            <charset val="128"/>
          </rPr>
          <t>ボーメと日本酒度両方を入力した場合、ボーメの値が優先されます。</t>
        </r>
      </text>
    </comment>
    <comment ref="A185" authorId="1" shapeId="0" xr:uid="{B33E25D3-7BDF-4B79-86F1-1D5FDDC77B36}">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186" authorId="1" shapeId="0" xr:uid="{FB1E94EC-225E-4928-8D6C-7D5A0CADA7EA}">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 ref="A191" authorId="1" shapeId="0" xr:uid="{91CADFEF-BB4F-4F6D-ACC0-7A5AAE48B6C5}">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I222" authorId="1" shapeId="0" xr:uid="{12C78058-80C1-44A8-99CE-6FA12477D271}">
      <text>
        <r>
          <rPr>
            <sz val="9"/>
            <color indexed="81"/>
            <rFont val="MS P ゴシック"/>
            <family val="3"/>
            <charset val="128"/>
          </rPr>
          <t>もろみ経過簿に入力した追水量（L)の合計が自動記入されます。</t>
        </r>
      </text>
    </comment>
    <comment ref="A225" authorId="1" shapeId="0" xr:uid="{415BB7D2-4AD3-4694-90D5-288230DDAFC8}">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226" authorId="1" shapeId="0" xr:uid="{38E3B31D-2448-4A0D-8207-8580B8FAC865}">
      <text>
        <r>
          <rPr>
            <sz val="9"/>
            <color indexed="81"/>
            <rFont val="MS P ゴシック"/>
            <family val="3"/>
            <charset val="128"/>
          </rPr>
          <t>目標値を超えた場合、セルがピンクに着色されます。A-B直線や液化力・発酵力を見ながら、必要に応じ追水を行ってください。</t>
        </r>
      </text>
    </comment>
    <comment ref="C226" authorId="1" shapeId="0" xr:uid="{DF46845D-F143-4A37-AD81-FC50EF530E12}">
      <text>
        <r>
          <rPr>
            <sz val="9"/>
            <color indexed="81"/>
            <rFont val="MS P ゴシック"/>
            <family val="3"/>
            <charset val="128"/>
          </rPr>
          <t>ボーメと日本酒度両方を入力した場合、ボーメの値が優先されます。</t>
        </r>
      </text>
    </comment>
    <comment ref="A227" authorId="1" shapeId="0" xr:uid="{33E0CBA4-C664-46C1-A9E7-A5A36F591A9C}">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228" authorId="1" shapeId="0" xr:uid="{278ED1B2-23F7-4C8B-B03B-3DA49A99A27D}">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 ref="A233" authorId="1" shapeId="0" xr:uid="{4A9A0D80-0A48-4E51-9AE7-B0CC4F413F99}">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I264" authorId="1" shapeId="0" xr:uid="{E3AF4C72-EEE5-4A00-AB96-BE6E706EA52E}">
      <text>
        <r>
          <rPr>
            <sz val="9"/>
            <color indexed="81"/>
            <rFont val="MS P ゴシック"/>
            <family val="3"/>
            <charset val="128"/>
          </rPr>
          <t>もろみ経過簿に入力した追水量（L)の合計が自動記入されます。</t>
        </r>
      </text>
    </comment>
    <comment ref="A267" authorId="1" shapeId="0" xr:uid="{643BB09C-BB9D-42DE-874A-8A1C03E5B2C2}">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268" authorId="1" shapeId="0" xr:uid="{D37135C2-EC16-484E-86F8-4B8763023A6A}">
      <text>
        <r>
          <rPr>
            <sz val="9"/>
            <color indexed="81"/>
            <rFont val="MS P ゴシック"/>
            <family val="3"/>
            <charset val="128"/>
          </rPr>
          <t>目標値を超えた場合、セルがピンクに着色されます。A-B直線や液化力・発酵力を見ながら、必要に応じ追水を行ってください。</t>
        </r>
      </text>
    </comment>
    <comment ref="C268" authorId="1" shapeId="0" xr:uid="{1021AA8D-1188-4D60-B23B-D7DC9534CC88}">
      <text>
        <r>
          <rPr>
            <sz val="9"/>
            <color indexed="81"/>
            <rFont val="MS P ゴシック"/>
            <family val="3"/>
            <charset val="128"/>
          </rPr>
          <t>ボーメと日本酒度両方を入力した場合、ボーメの値が優先されます。</t>
        </r>
      </text>
    </comment>
    <comment ref="A269" authorId="1" shapeId="0" xr:uid="{9900C9D0-E34A-4654-9E89-3342398EDC0B}">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270" authorId="1" shapeId="0" xr:uid="{74FCB8BE-62C9-4386-8E2A-715459DC915C}">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 ref="A275" authorId="1" shapeId="0" xr:uid="{2D119BD3-9090-4EB5-85E5-595A9CC1D5D3}">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I306" authorId="1" shapeId="0" xr:uid="{11E69311-E290-4E23-B903-EB9F792F72C9}">
      <text>
        <r>
          <rPr>
            <sz val="9"/>
            <color indexed="81"/>
            <rFont val="MS P ゴシック"/>
            <family val="3"/>
            <charset val="128"/>
          </rPr>
          <t>もろみ経過簿に入力した追水量（L)の合計が自動記入されます。</t>
        </r>
      </text>
    </comment>
    <comment ref="A309" authorId="1" shapeId="0" xr:uid="{A7249EDA-E95F-4A12-A831-29DD5F515647}">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310" authorId="1" shapeId="0" xr:uid="{FBEE9216-F801-4F5E-AC0B-3062364DF081}">
      <text>
        <r>
          <rPr>
            <sz val="9"/>
            <color indexed="81"/>
            <rFont val="MS P ゴシック"/>
            <family val="3"/>
            <charset val="128"/>
          </rPr>
          <t>目標値を超えた場合、セルがピンクに着色されます。A-B直線や液化力・発酵力を見ながら、必要に応じ追水を行ってください。</t>
        </r>
      </text>
    </comment>
    <comment ref="C310" authorId="1" shapeId="0" xr:uid="{2CAE7B59-0A35-41A5-9707-759EA4B736C9}">
      <text>
        <r>
          <rPr>
            <sz val="9"/>
            <color indexed="81"/>
            <rFont val="MS P ゴシック"/>
            <family val="3"/>
            <charset val="128"/>
          </rPr>
          <t>ボーメと日本酒度両方を入力した場合、ボーメの値が優先されます。</t>
        </r>
      </text>
    </comment>
    <comment ref="A311" authorId="1" shapeId="0" xr:uid="{3B617590-3FC2-4B08-B8EA-D85586033E8E}">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312" authorId="1" shapeId="0" xr:uid="{0CEEDAE3-588A-42D5-938A-D50FC18C88EA}">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 ref="A317" authorId="1" shapeId="0" xr:uid="{6D4A48C6-366E-424C-A8FC-5E036D10F767}">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I348" authorId="1" shapeId="0" xr:uid="{096625CB-30BC-4B16-A323-B4753F1A0D89}">
      <text>
        <r>
          <rPr>
            <sz val="9"/>
            <color indexed="81"/>
            <rFont val="MS P ゴシック"/>
            <family val="3"/>
            <charset val="128"/>
          </rPr>
          <t>もろみ経過簿に入力した追水量（L)の合計が自動記入されます。</t>
        </r>
      </text>
    </comment>
    <comment ref="A351" authorId="1" shapeId="0" xr:uid="{C078B1C8-2C9B-4665-BC83-BEE3C50A096C}">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352" authorId="1" shapeId="0" xr:uid="{F67EDD2F-A6E9-449A-9D13-81715715D514}">
      <text>
        <r>
          <rPr>
            <sz val="9"/>
            <color indexed="81"/>
            <rFont val="MS P ゴシック"/>
            <family val="3"/>
            <charset val="128"/>
          </rPr>
          <t>目標値を超えた場合、セルがピンクに着色されます。A-B直線や液化力・発酵力を見ながら、必要に応じ追水を行ってください。</t>
        </r>
      </text>
    </comment>
    <comment ref="C352" authorId="1" shapeId="0" xr:uid="{45048376-38B7-4099-B5E3-6F25D0F6C229}">
      <text>
        <r>
          <rPr>
            <sz val="9"/>
            <color indexed="81"/>
            <rFont val="MS P ゴシック"/>
            <family val="3"/>
            <charset val="128"/>
          </rPr>
          <t>ボーメと日本酒度両方を入力した場合、ボーメの値が優先されます。</t>
        </r>
      </text>
    </comment>
    <comment ref="A353" authorId="1" shapeId="0" xr:uid="{5753400C-FC41-492A-8FF4-F361B63EAD52}">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354" authorId="1" shapeId="0" xr:uid="{D37D2F5E-3FDE-4449-8302-7077BF84A471}">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 ref="A359" authorId="1" shapeId="0" xr:uid="{9722CBB6-105D-4822-99FD-2711E586C3D0}">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I390" authorId="1" shapeId="0" xr:uid="{AC3FFECC-46C9-4B34-85C1-543529E85A44}">
      <text>
        <r>
          <rPr>
            <sz val="9"/>
            <color indexed="81"/>
            <rFont val="MS P ゴシック"/>
            <family val="3"/>
            <charset val="128"/>
          </rPr>
          <t>もろみ経過簿に入力した追水量（L)の合計が自動記入されます。</t>
        </r>
      </text>
    </comment>
    <comment ref="A393" authorId="1" shapeId="0" xr:uid="{18105EC9-94F9-46DB-8D41-7591911962D5}">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394" authorId="1" shapeId="0" xr:uid="{0A87C7D4-2805-49E6-81A2-A248CC2BEE50}">
      <text>
        <r>
          <rPr>
            <sz val="9"/>
            <color indexed="81"/>
            <rFont val="MS P ゴシック"/>
            <family val="3"/>
            <charset val="128"/>
          </rPr>
          <t>目標値を超えた場合、セルがピンクに着色されます。A-B直線や液化力・発酵力を見ながら、必要に応じ追水を行ってください。</t>
        </r>
      </text>
    </comment>
    <comment ref="C394" authorId="1" shapeId="0" xr:uid="{01D80039-390C-45D4-9623-D80976799357}">
      <text>
        <r>
          <rPr>
            <sz val="9"/>
            <color indexed="81"/>
            <rFont val="MS P ゴシック"/>
            <family val="3"/>
            <charset val="128"/>
          </rPr>
          <t>ボーメと日本酒度両方を入力した場合、ボーメの値が優先されます。</t>
        </r>
      </text>
    </comment>
    <comment ref="A395" authorId="1" shapeId="0" xr:uid="{FD94E08F-05CE-464B-BD30-482540F0CA18}">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396" authorId="1" shapeId="0" xr:uid="{D4BEB6DF-0DB5-42E0-AFF6-24DDAA532135}">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 ref="I428" authorId="1" shapeId="0" xr:uid="{08622D6F-F6F7-4F14-ACD7-204EDFC25D50}">
      <text>
        <r>
          <rPr>
            <sz val="9"/>
            <color indexed="81"/>
            <rFont val="MS P ゴシック"/>
            <family val="3"/>
            <charset val="128"/>
          </rPr>
          <t>もろみ経過簿に入力した追水量（L)の合計が自動記入されます。</t>
        </r>
      </text>
    </comment>
    <comment ref="A431" authorId="1" shapeId="0" xr:uid="{73C64C43-B046-40E3-973E-5E1426477263}">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432" authorId="1" shapeId="0" xr:uid="{07017A58-9773-452B-B4DC-3F0A2D79846F}">
      <text>
        <r>
          <rPr>
            <sz val="9"/>
            <color indexed="81"/>
            <rFont val="MS P ゴシック"/>
            <family val="3"/>
            <charset val="128"/>
          </rPr>
          <t>目標値を超えた場合、セルがピンクに着色されます。A-B直線や液化力・発酵力を見ながら、必要に応じ追水を行ってください。</t>
        </r>
      </text>
    </comment>
    <comment ref="C432" authorId="1" shapeId="0" xr:uid="{09BE8B0A-202E-478C-9788-66499654DB42}">
      <text>
        <r>
          <rPr>
            <sz val="9"/>
            <color indexed="81"/>
            <rFont val="MS P ゴシック"/>
            <family val="3"/>
            <charset val="128"/>
          </rPr>
          <t>ボーメと日本酒度両方を入力した場合、ボーメの値が優先されます。</t>
        </r>
      </text>
    </comment>
    <comment ref="A433" authorId="1" shapeId="0" xr:uid="{5376AF42-26E2-4856-8FBE-8C928BE3D92F}">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434" authorId="1" shapeId="0" xr:uid="{9123D3A3-605D-416D-9DC1-BEFC608DE360}">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List>
</comments>
</file>

<file path=xl/sharedStrings.xml><?xml version="1.0" encoding="utf-8"?>
<sst xmlns="http://schemas.openxmlformats.org/spreadsheetml/2006/main" count="1578" uniqueCount="446">
  <si>
    <t>酸度</t>
    <rPh sb="0" eb="2">
      <t>サンド</t>
    </rPh>
    <phoneticPr fontId="1"/>
  </si>
  <si>
    <t>ボーメ</t>
    <phoneticPr fontId="1"/>
  </si>
  <si>
    <t>日本酒度</t>
    <rPh sb="0" eb="3">
      <t>ニホンシュ</t>
    </rPh>
    <rPh sb="3" eb="4">
      <t>ド</t>
    </rPh>
    <phoneticPr fontId="1"/>
  </si>
  <si>
    <t>エキス分</t>
    <rPh sb="3" eb="4">
      <t>ブン</t>
    </rPh>
    <phoneticPr fontId="1"/>
  </si>
  <si>
    <t>新甘辛度</t>
    <rPh sb="0" eb="1">
      <t>シン</t>
    </rPh>
    <rPh sb="1" eb="3">
      <t>アマカラ</t>
    </rPh>
    <rPh sb="3" eb="4">
      <t>ド</t>
    </rPh>
    <phoneticPr fontId="1"/>
  </si>
  <si>
    <t>目標値</t>
    <rPh sb="0" eb="3">
      <t>モクヒョウチ</t>
    </rPh>
    <phoneticPr fontId="1"/>
  </si>
  <si>
    <t>最高BMD</t>
    <rPh sb="0" eb="2">
      <t>サイコウ</t>
    </rPh>
    <phoneticPr fontId="1"/>
  </si>
  <si>
    <t>最高ボーメ</t>
    <rPh sb="0" eb="2">
      <t>サイコウ</t>
    </rPh>
    <phoneticPr fontId="1"/>
  </si>
  <si>
    <t>A（AB直線）</t>
    <rPh sb="4" eb="6">
      <t>チョクセン</t>
    </rPh>
    <phoneticPr fontId="1"/>
  </si>
  <si>
    <t>B（AB直線）</t>
    <rPh sb="4" eb="6">
      <t>チョクセン</t>
    </rPh>
    <phoneticPr fontId="1"/>
  </si>
  <si>
    <t>目標値入力フォーム</t>
    <rPh sb="0" eb="3">
      <t>モクヒョウチ</t>
    </rPh>
    <rPh sb="3" eb="5">
      <t>ニュウリョク</t>
    </rPh>
    <phoneticPr fontId="3"/>
  </si>
  <si>
    <t>A（AB直線２）</t>
    <rPh sb="4" eb="6">
      <t>チョクセン</t>
    </rPh>
    <phoneticPr fontId="1"/>
  </si>
  <si>
    <t>B（AB直線2）</t>
    <rPh sb="4" eb="6">
      <t>チョクセン</t>
    </rPh>
    <phoneticPr fontId="1"/>
  </si>
  <si>
    <t>仕込み号数</t>
    <rPh sb="0" eb="2">
      <t>シコ</t>
    </rPh>
    <rPh sb="3" eb="5">
      <t>ゴウスウ</t>
    </rPh>
    <phoneticPr fontId="1"/>
  </si>
  <si>
    <t>初添</t>
    <rPh sb="0" eb="1">
      <t>ハツ</t>
    </rPh>
    <rPh sb="1" eb="2">
      <t>ソ</t>
    </rPh>
    <phoneticPr fontId="1"/>
  </si>
  <si>
    <t>踊</t>
    <rPh sb="0" eb="1">
      <t>オド</t>
    </rPh>
    <phoneticPr fontId="1"/>
  </si>
  <si>
    <t>仲添</t>
    <rPh sb="0" eb="1">
      <t>ナカ</t>
    </rPh>
    <rPh sb="1" eb="2">
      <t>ソ</t>
    </rPh>
    <phoneticPr fontId="1"/>
  </si>
  <si>
    <t>日順</t>
    <rPh sb="0" eb="1">
      <t>ヒ</t>
    </rPh>
    <rPh sb="1" eb="2">
      <t>ジュン</t>
    </rPh>
    <phoneticPr fontId="1"/>
  </si>
  <si>
    <t>操作</t>
    <rPh sb="0" eb="2">
      <t>ソウサ</t>
    </rPh>
    <phoneticPr fontId="1"/>
  </si>
  <si>
    <t>月日</t>
    <rPh sb="0" eb="1">
      <t>ツキ</t>
    </rPh>
    <rPh sb="1" eb="2">
      <t>ヒ</t>
    </rPh>
    <phoneticPr fontId="1"/>
  </si>
  <si>
    <t>時刻</t>
    <rPh sb="0" eb="1">
      <t>トキ</t>
    </rPh>
    <rPh sb="1" eb="2">
      <t>コク</t>
    </rPh>
    <phoneticPr fontId="1"/>
  </si>
  <si>
    <t>留添</t>
    <rPh sb="0" eb="1">
      <t>トメ</t>
    </rPh>
    <rPh sb="1" eb="2">
      <t>テン</t>
    </rPh>
    <phoneticPr fontId="1"/>
  </si>
  <si>
    <t>水</t>
    <rPh sb="0" eb="1">
      <t>ミズ</t>
    </rPh>
    <phoneticPr fontId="1"/>
  </si>
  <si>
    <t>こうじ</t>
    <phoneticPr fontId="1"/>
  </si>
  <si>
    <t>仕込</t>
    <rPh sb="0" eb="2">
      <t>シコミ</t>
    </rPh>
    <phoneticPr fontId="1"/>
  </si>
  <si>
    <t>荒がい</t>
    <rPh sb="0" eb="1">
      <t>アラ</t>
    </rPh>
    <phoneticPr fontId="1"/>
  </si>
  <si>
    <t>分</t>
    <rPh sb="0" eb="1">
      <t>ワ</t>
    </rPh>
    <phoneticPr fontId="1"/>
  </si>
  <si>
    <t>状ぼう</t>
    <rPh sb="0" eb="1">
      <t>ジョウ</t>
    </rPh>
    <phoneticPr fontId="1"/>
  </si>
  <si>
    <t>アルコール分（度）</t>
    <rPh sb="5" eb="6">
      <t>ブン</t>
    </rPh>
    <rPh sb="7" eb="8">
      <t>ド</t>
    </rPh>
    <phoneticPr fontId="1"/>
  </si>
  <si>
    <t>Alc%（新）</t>
    <rPh sb="5" eb="6">
      <t>シン</t>
    </rPh>
    <phoneticPr fontId="3"/>
  </si>
  <si>
    <t>d15</t>
    <phoneticPr fontId="3"/>
  </si>
  <si>
    <t>slope</t>
    <phoneticPr fontId="3"/>
  </si>
  <si>
    <t>intercept</t>
    <phoneticPr fontId="3"/>
  </si>
  <si>
    <t>d(15/15)</t>
    <phoneticPr fontId="3"/>
  </si>
  <si>
    <t>使うのは比重の方のみ</t>
    <rPh sb="0" eb="1">
      <t>ツカ</t>
    </rPh>
    <rPh sb="4" eb="6">
      <t>ヒジュウ</t>
    </rPh>
    <rPh sb="7" eb="8">
      <t>ホウ</t>
    </rPh>
    <phoneticPr fontId="1"/>
  </si>
  <si>
    <t>日本酒度の比重換算</t>
    <rPh sb="0" eb="3">
      <t>ニホンシュ</t>
    </rPh>
    <rPh sb="3" eb="4">
      <t>ド</t>
    </rPh>
    <rPh sb="5" eb="7">
      <t>ヒジュウ</t>
    </rPh>
    <rPh sb="7" eb="9">
      <t>カンサン</t>
    </rPh>
    <phoneticPr fontId="1"/>
  </si>
  <si>
    <t>アルコール分の比重換算</t>
    <rPh sb="5" eb="6">
      <t>ブン</t>
    </rPh>
    <rPh sb="7" eb="9">
      <t>ヒジュウ</t>
    </rPh>
    <rPh sb="9" eb="11">
      <t>カンサン</t>
    </rPh>
    <phoneticPr fontId="1"/>
  </si>
  <si>
    <t>最高BMD目標</t>
    <rPh sb="0" eb="2">
      <t>サイコウ</t>
    </rPh>
    <rPh sb="5" eb="7">
      <t>モクヒョウ</t>
    </rPh>
    <phoneticPr fontId="1"/>
  </si>
  <si>
    <t>一番最後のグルコース濃度</t>
    <rPh sb="0" eb="2">
      <t>イチバン</t>
    </rPh>
    <rPh sb="2" eb="4">
      <t>サイゴ</t>
    </rPh>
    <rPh sb="10" eb="12">
      <t>ノウド</t>
    </rPh>
    <phoneticPr fontId="1"/>
  </si>
  <si>
    <t>一番最後の酸度</t>
    <rPh sb="0" eb="2">
      <t>イチバン</t>
    </rPh>
    <rPh sb="2" eb="4">
      <t>サイゴ</t>
    </rPh>
    <rPh sb="5" eb="7">
      <t>サンド</t>
    </rPh>
    <phoneticPr fontId="1"/>
  </si>
  <si>
    <t>一番最後のアルコール分</t>
    <rPh sb="0" eb="2">
      <t>イチバン</t>
    </rPh>
    <rPh sb="2" eb="4">
      <t>サイゴ</t>
    </rPh>
    <rPh sb="10" eb="11">
      <t>ブン</t>
    </rPh>
    <phoneticPr fontId="1"/>
  </si>
  <si>
    <t>一番最後のアミノ酸度</t>
    <rPh sb="0" eb="2">
      <t>イチバン</t>
    </rPh>
    <rPh sb="2" eb="4">
      <t>サイゴ</t>
    </rPh>
    <rPh sb="8" eb="9">
      <t>サン</t>
    </rPh>
    <rPh sb="9" eb="10">
      <t>ド</t>
    </rPh>
    <phoneticPr fontId="1"/>
  </si>
  <si>
    <t>原エキス直線１</t>
    <rPh sb="0" eb="1">
      <t>ゲン</t>
    </rPh>
    <rPh sb="4" eb="6">
      <t>チョクセン</t>
    </rPh>
    <phoneticPr fontId="1"/>
  </si>
  <si>
    <t>原エキス直線２</t>
    <rPh sb="0" eb="1">
      <t>ゲン</t>
    </rPh>
    <rPh sb="4" eb="6">
      <t>チョクセン</t>
    </rPh>
    <phoneticPr fontId="1"/>
  </si>
  <si>
    <t>日本酒度（自動計算）</t>
    <rPh sb="0" eb="3">
      <t>ニホンシュ</t>
    </rPh>
    <rPh sb="3" eb="4">
      <t>ド</t>
    </rPh>
    <rPh sb="5" eb="7">
      <t>ジドウ</t>
    </rPh>
    <rPh sb="7" eb="9">
      <t>ケイサン</t>
    </rPh>
    <phoneticPr fontId="1"/>
  </si>
  <si>
    <t>親容器</t>
    <rPh sb="0" eb="1">
      <t>オヤ</t>
    </rPh>
    <rPh sb="1" eb="3">
      <t>ヨウキ</t>
    </rPh>
    <phoneticPr fontId="1"/>
  </si>
  <si>
    <t>号</t>
    <rPh sb="0" eb="1">
      <t>ゴウ</t>
    </rPh>
    <phoneticPr fontId="1"/>
  </si>
  <si>
    <t>深</t>
    <rPh sb="0" eb="1">
      <t>フカ</t>
    </rPh>
    <phoneticPr fontId="1"/>
  </si>
  <si>
    <t>枝容器</t>
    <rPh sb="0" eb="1">
      <t>エダ</t>
    </rPh>
    <rPh sb="1" eb="3">
      <t>ヨウキ</t>
    </rPh>
    <phoneticPr fontId="1"/>
  </si>
  <si>
    <t>酒母</t>
    <rPh sb="0" eb="2">
      <t>シュボ</t>
    </rPh>
    <phoneticPr fontId="1"/>
  </si>
  <si>
    <t>留添</t>
    <rPh sb="0" eb="1">
      <t>トメ</t>
    </rPh>
    <rPh sb="1" eb="2">
      <t>ソ</t>
    </rPh>
    <phoneticPr fontId="1"/>
  </si>
  <si>
    <t>四段</t>
    <rPh sb="0" eb="2">
      <t>ヨダン</t>
    </rPh>
    <phoneticPr fontId="1"/>
  </si>
  <si>
    <t>こうじ米（Kg）</t>
    <rPh sb="3" eb="4">
      <t>コメ</t>
    </rPh>
    <phoneticPr fontId="1"/>
  </si>
  <si>
    <t>計</t>
    <rPh sb="0" eb="1">
      <t>ケイ</t>
    </rPh>
    <phoneticPr fontId="1"/>
  </si>
  <si>
    <t>追水合計</t>
    <rPh sb="0" eb="1">
      <t>オ</t>
    </rPh>
    <rPh sb="1" eb="2">
      <t>ミズ</t>
    </rPh>
    <rPh sb="2" eb="4">
      <t>ゴウケイ</t>
    </rPh>
    <phoneticPr fontId="1"/>
  </si>
  <si>
    <t>アルコール量</t>
    <rPh sb="5" eb="6">
      <t>リョウ</t>
    </rPh>
    <phoneticPr fontId="1"/>
  </si>
  <si>
    <t>酒母米</t>
    <rPh sb="0" eb="2">
      <t>シュボ</t>
    </rPh>
    <rPh sb="2" eb="3">
      <t>マイ</t>
    </rPh>
    <phoneticPr fontId="1"/>
  </si>
  <si>
    <t>こうじ米</t>
    <rPh sb="3" eb="4">
      <t>マイ</t>
    </rPh>
    <phoneticPr fontId="1"/>
  </si>
  <si>
    <t>掛米</t>
    <rPh sb="0" eb="1">
      <t>カケ</t>
    </rPh>
    <rPh sb="1" eb="2">
      <t>マイ</t>
    </rPh>
    <phoneticPr fontId="1"/>
  </si>
  <si>
    <t>精米歩合（％）</t>
    <rPh sb="0" eb="2">
      <t>セイマイ</t>
    </rPh>
    <rPh sb="2" eb="4">
      <t>ブアイ</t>
    </rPh>
    <phoneticPr fontId="1"/>
  </si>
  <si>
    <t>原エキス</t>
    <rPh sb="0" eb="1">
      <t>ゲン</t>
    </rPh>
    <phoneticPr fontId="1"/>
  </si>
  <si>
    <t>使用酵母</t>
    <rPh sb="0" eb="2">
      <t>シヨウ</t>
    </rPh>
    <rPh sb="2" eb="4">
      <t>コウボ</t>
    </rPh>
    <phoneticPr fontId="1"/>
  </si>
  <si>
    <t>経過簿</t>
    <rPh sb="0" eb="2">
      <t>ケイカ</t>
    </rPh>
    <rPh sb="2" eb="3">
      <t>ボ</t>
    </rPh>
    <phoneticPr fontId="1"/>
  </si>
  <si>
    <t>仕込配合</t>
    <rPh sb="0" eb="2">
      <t>シコミ</t>
    </rPh>
    <rPh sb="2" eb="4">
      <t>ハイゴウ</t>
    </rPh>
    <phoneticPr fontId="1"/>
  </si>
  <si>
    <t>名古屋国税局鑑定官室　作成</t>
    <rPh sb="0" eb="3">
      <t>ナゴヤ</t>
    </rPh>
    <rPh sb="3" eb="6">
      <t>コクゼイキョク</t>
    </rPh>
    <rPh sb="6" eb="8">
      <t>カンテイ</t>
    </rPh>
    <rPh sb="8" eb="9">
      <t>カン</t>
    </rPh>
    <rPh sb="9" eb="10">
      <t>シツ</t>
    </rPh>
    <rPh sb="11" eb="13">
      <t>サクセイ</t>
    </rPh>
    <phoneticPr fontId="1"/>
  </si>
  <si>
    <t>どちらか１つを記入</t>
    <rPh sb="7" eb="9">
      <t>キニュウ</t>
    </rPh>
    <phoneticPr fontId="1"/>
  </si>
  <si>
    <t>作業メモ等</t>
    <rPh sb="0" eb="2">
      <t>サギョウ</t>
    </rPh>
    <rPh sb="4" eb="5">
      <t>トウ</t>
    </rPh>
    <phoneticPr fontId="1"/>
  </si>
  <si>
    <t>種類</t>
    <rPh sb="0" eb="2">
      <t>シュルイ</t>
    </rPh>
    <phoneticPr fontId="1"/>
  </si>
  <si>
    <t>記号</t>
    <rPh sb="0" eb="2">
      <t>キゴウ</t>
    </rPh>
    <phoneticPr fontId="1"/>
  </si>
  <si>
    <t>順号</t>
    <rPh sb="0" eb="1">
      <t>ジュン</t>
    </rPh>
    <rPh sb="1" eb="2">
      <t>ゴウ</t>
    </rPh>
    <phoneticPr fontId="1"/>
  </si>
  <si>
    <t>個数</t>
    <rPh sb="0" eb="2">
      <t>コスウ</t>
    </rPh>
    <phoneticPr fontId="1"/>
  </si>
  <si>
    <t>原料水の
加工方法</t>
    <rPh sb="0" eb="2">
      <t>ゲンリョウ</t>
    </rPh>
    <rPh sb="2" eb="3">
      <t>スイ</t>
    </rPh>
    <rPh sb="5" eb="7">
      <t>カコウ</t>
    </rPh>
    <rPh sb="7" eb="9">
      <t>ホウホウ</t>
    </rPh>
    <phoneticPr fontId="1"/>
  </si>
  <si>
    <t>加工剤</t>
    <rPh sb="0" eb="2">
      <t>カコウ</t>
    </rPh>
    <rPh sb="2" eb="3">
      <t>ザイ</t>
    </rPh>
    <phoneticPr fontId="1"/>
  </si>
  <si>
    <t>品名</t>
    <rPh sb="0" eb="2">
      <t>ヒンメイ</t>
    </rPh>
    <phoneticPr fontId="1"/>
  </si>
  <si>
    <t>区分</t>
    <rPh sb="0" eb="2">
      <t>クブン</t>
    </rPh>
    <phoneticPr fontId="1"/>
  </si>
  <si>
    <t>産地</t>
    <rPh sb="0" eb="2">
      <t>サンチ</t>
    </rPh>
    <phoneticPr fontId="1"/>
  </si>
  <si>
    <t>品種</t>
    <rPh sb="0" eb="2">
      <t>ヒンシュ</t>
    </rPh>
    <phoneticPr fontId="1"/>
  </si>
  <si>
    <t>等級</t>
    <rPh sb="0" eb="2">
      <t>トウキュウ</t>
    </rPh>
    <phoneticPr fontId="1"/>
  </si>
  <si>
    <t>浸せき（漬）</t>
    <rPh sb="0" eb="1">
      <t>ヒタ</t>
    </rPh>
    <rPh sb="4" eb="5">
      <t>ヅケ</t>
    </rPh>
    <phoneticPr fontId="1"/>
  </si>
  <si>
    <t>水切</t>
    <rPh sb="0" eb="2">
      <t>ミズキ</t>
    </rPh>
    <phoneticPr fontId="1"/>
  </si>
  <si>
    <t>蒸し</t>
    <rPh sb="0" eb="1">
      <t>ム</t>
    </rPh>
    <phoneticPr fontId="1"/>
  </si>
  <si>
    <t>時間（分）</t>
    <rPh sb="0" eb="2">
      <t>ジカン</t>
    </rPh>
    <rPh sb="3" eb="4">
      <t>フン</t>
    </rPh>
    <phoneticPr fontId="1"/>
  </si>
  <si>
    <t>米以外の原料の重量(kg）</t>
    <rPh sb="0" eb="1">
      <t>コメ</t>
    </rPh>
    <rPh sb="1" eb="3">
      <t>イガイ</t>
    </rPh>
    <rPh sb="4" eb="6">
      <t>ゲンリョウ</t>
    </rPh>
    <rPh sb="7" eb="9">
      <t>ジュウリョウ</t>
    </rPh>
    <phoneticPr fontId="1"/>
  </si>
  <si>
    <t>容器番号</t>
    <rPh sb="0" eb="2">
      <t>ヨウキ</t>
    </rPh>
    <rPh sb="2" eb="4">
      <t>バンゴウ</t>
    </rPh>
    <phoneticPr fontId="1"/>
  </si>
  <si>
    <t>添加月日</t>
    <rPh sb="0" eb="2">
      <t>テンカ</t>
    </rPh>
    <rPh sb="2" eb="4">
      <t>ツキヒ</t>
    </rPh>
    <phoneticPr fontId="1"/>
  </si>
  <si>
    <t>添加前後</t>
    <rPh sb="0" eb="2">
      <t>テンカ</t>
    </rPh>
    <rPh sb="2" eb="4">
      <t>ゼンゴ</t>
    </rPh>
    <phoneticPr fontId="1"/>
  </si>
  <si>
    <t>深</t>
    <rPh sb="0" eb="1">
      <t>フカシ</t>
    </rPh>
    <phoneticPr fontId="1"/>
  </si>
  <si>
    <t>前</t>
    <rPh sb="0" eb="1">
      <t>マエ</t>
    </rPh>
    <phoneticPr fontId="1"/>
  </si>
  <si>
    <t>後</t>
    <rPh sb="0" eb="1">
      <t>アト</t>
    </rPh>
    <phoneticPr fontId="1"/>
  </si>
  <si>
    <t>酸性プロテアーゼ</t>
    <rPh sb="0" eb="2">
      <t>サンセイ</t>
    </rPh>
    <phoneticPr fontId="1"/>
  </si>
  <si>
    <t>グルコアミラーゼ</t>
    <phoneticPr fontId="1"/>
  </si>
  <si>
    <t>酸性カルボキシ
ペプチターゼ</t>
    <rPh sb="0" eb="2">
      <t>サンセイ</t>
    </rPh>
    <phoneticPr fontId="1"/>
  </si>
  <si>
    <t>使用数量(g)</t>
    <rPh sb="0" eb="2">
      <t>シヨウ</t>
    </rPh>
    <rPh sb="2" eb="4">
      <t>スウリョウ</t>
    </rPh>
    <phoneticPr fontId="1"/>
  </si>
  <si>
    <t>こしき置き前
重量（kg）</t>
    <rPh sb="3" eb="4">
      <t>オ</t>
    </rPh>
    <rPh sb="5" eb="6">
      <t>マエ</t>
    </rPh>
    <rPh sb="7" eb="9">
      <t>ジュウリョウ</t>
    </rPh>
    <phoneticPr fontId="1"/>
  </si>
  <si>
    <t>米処理</t>
    <rPh sb="0" eb="1">
      <t>マイ</t>
    </rPh>
    <rPh sb="1" eb="3">
      <t>ショリ</t>
    </rPh>
    <phoneticPr fontId="1"/>
  </si>
  <si>
    <t>掛米（Kg）</t>
    <rPh sb="0" eb="1">
      <t>カケ</t>
    </rPh>
    <rPh sb="1" eb="2">
      <t>マイ</t>
    </rPh>
    <phoneticPr fontId="1"/>
  </si>
  <si>
    <t>白米水分
（％）</t>
    <rPh sb="0" eb="2">
      <t>ハクマイ</t>
    </rPh>
    <rPh sb="2" eb="4">
      <t>スイブン</t>
    </rPh>
    <phoneticPr fontId="1"/>
  </si>
  <si>
    <t>蒸し出し即時
重量（kg）</t>
    <rPh sb="0" eb="1">
      <t>ム</t>
    </rPh>
    <rPh sb="2" eb="3">
      <t>ダ</t>
    </rPh>
    <rPh sb="4" eb="6">
      <t>ソクジ</t>
    </rPh>
    <rPh sb="7" eb="9">
      <t>ジュウリョウ</t>
    </rPh>
    <phoneticPr fontId="1"/>
  </si>
  <si>
    <t>もろみ上槽直前</t>
  </si>
  <si>
    <t>品温（℃）</t>
    <rPh sb="0" eb="2">
      <t>ヒンオン</t>
    </rPh>
    <phoneticPr fontId="1"/>
  </si>
  <si>
    <t>アルコール度</t>
    <rPh sb="5" eb="6">
      <t>ド</t>
    </rPh>
    <phoneticPr fontId="1"/>
  </si>
  <si>
    <t>一番最後の数量</t>
    <rPh sb="0" eb="2">
      <t>イチバン</t>
    </rPh>
    <rPh sb="2" eb="4">
      <t>サイゴ</t>
    </rPh>
    <rPh sb="5" eb="7">
      <t>スウリョウ</t>
    </rPh>
    <phoneticPr fontId="1"/>
  </si>
  <si>
    <t>一番最後の深</t>
    <rPh sb="0" eb="2">
      <t>イチバン</t>
    </rPh>
    <rPh sb="2" eb="4">
      <t>サイゴ</t>
    </rPh>
    <rPh sb="5" eb="6">
      <t>フカ</t>
    </rPh>
    <phoneticPr fontId="1"/>
  </si>
  <si>
    <t>一番最後の温度</t>
    <rPh sb="0" eb="2">
      <t>イチバン</t>
    </rPh>
    <rPh sb="2" eb="4">
      <t>サイゴ</t>
    </rPh>
    <rPh sb="5" eb="7">
      <t>オンド</t>
    </rPh>
    <phoneticPr fontId="1"/>
  </si>
  <si>
    <t>一番最後の日本酒度</t>
    <rPh sb="0" eb="2">
      <t>イチバン</t>
    </rPh>
    <rPh sb="2" eb="4">
      <t>サイゴ</t>
    </rPh>
    <rPh sb="5" eb="8">
      <t>ニホンシュ</t>
    </rPh>
    <rPh sb="8" eb="9">
      <t>ド</t>
    </rPh>
    <phoneticPr fontId="1"/>
  </si>
  <si>
    <t>製成事績</t>
    <rPh sb="0" eb="2">
      <t>セイセイ</t>
    </rPh>
    <rPh sb="2" eb="4">
      <t>ジセキ</t>
    </rPh>
    <phoneticPr fontId="1"/>
  </si>
  <si>
    <t>製成月日</t>
    <rPh sb="0" eb="2">
      <t>セイセイ</t>
    </rPh>
    <rPh sb="2" eb="4">
      <t>ツキヒ</t>
    </rPh>
    <phoneticPr fontId="1"/>
  </si>
  <si>
    <t>月日</t>
    <rPh sb="0" eb="2">
      <t>ツキヒ</t>
    </rPh>
    <phoneticPr fontId="1"/>
  </si>
  <si>
    <t>総重量(kg）</t>
    <rPh sb="0" eb="3">
      <t>ソウジュウリョウ</t>
    </rPh>
    <phoneticPr fontId="1"/>
  </si>
  <si>
    <t>風袋（kg）</t>
    <rPh sb="0" eb="2">
      <t>フウタイ</t>
    </rPh>
    <phoneticPr fontId="1"/>
  </si>
  <si>
    <t>かす換算率</t>
    <rPh sb="2" eb="4">
      <t>カンサン</t>
    </rPh>
    <rPh sb="4" eb="5">
      <t>リツ</t>
    </rPh>
    <phoneticPr fontId="1"/>
  </si>
  <si>
    <t>かす</t>
    <phoneticPr fontId="1"/>
  </si>
  <si>
    <t>使用こうじ</t>
    <rPh sb="0" eb="2">
      <t>シヨウ</t>
    </rPh>
    <phoneticPr fontId="1"/>
  </si>
  <si>
    <t>白米歩合</t>
    <rPh sb="0" eb="2">
      <t>ハクマイ</t>
    </rPh>
    <rPh sb="2" eb="4">
      <t>ブアイ</t>
    </rPh>
    <phoneticPr fontId="1"/>
  </si>
  <si>
    <t>製成歩合
（％）</t>
    <rPh sb="0" eb="2">
      <t>セイセイ</t>
    </rPh>
    <rPh sb="2" eb="4">
      <t>ブアイ</t>
    </rPh>
    <phoneticPr fontId="1"/>
  </si>
  <si>
    <t>合計</t>
    <rPh sb="0" eb="2">
      <t>ゴウケイ</t>
    </rPh>
    <phoneticPr fontId="1"/>
  </si>
  <si>
    <t>シブ予測係数比</t>
    <rPh sb="2" eb="4">
      <t>ヨソク</t>
    </rPh>
    <rPh sb="4" eb="6">
      <t>ケイスウ</t>
    </rPh>
    <rPh sb="6" eb="7">
      <t>ヒ</t>
    </rPh>
    <phoneticPr fontId="1"/>
  </si>
  <si>
    <t>かす歩合</t>
    <rPh sb="2" eb="4">
      <t>ブアイ</t>
    </rPh>
    <phoneticPr fontId="1"/>
  </si>
  <si>
    <t>もろみ歩合</t>
    <rPh sb="3" eb="5">
      <t>ブアイ</t>
    </rPh>
    <phoneticPr fontId="1"/>
  </si>
  <si>
    <t>もろみたれ歩合</t>
    <rPh sb="5" eb="7">
      <t>ブアイ</t>
    </rPh>
    <phoneticPr fontId="1"/>
  </si>
  <si>
    <t>清酒歩合</t>
    <rPh sb="0" eb="2">
      <t>セイシュ</t>
    </rPh>
    <rPh sb="2" eb="4">
      <t>ブアイ</t>
    </rPh>
    <phoneticPr fontId="1"/>
  </si>
  <si>
    <t>総水歩合</t>
    <rPh sb="0" eb="1">
      <t>ソウ</t>
    </rPh>
    <rPh sb="1" eb="2">
      <t>ミズ</t>
    </rPh>
    <rPh sb="2" eb="4">
      <t>ブアイ</t>
    </rPh>
    <phoneticPr fontId="1"/>
  </si>
  <si>
    <t>肉たれ歩合</t>
    <rPh sb="0" eb="1">
      <t>ニク</t>
    </rPh>
    <rPh sb="3" eb="5">
      <t>ブアイ</t>
    </rPh>
    <phoneticPr fontId="1"/>
  </si>
  <si>
    <t>純アルコールたれ歩合</t>
    <rPh sb="0" eb="1">
      <t>ジュン</t>
    </rPh>
    <rPh sb="8" eb="10">
      <t>ブアイ</t>
    </rPh>
    <phoneticPr fontId="1"/>
  </si>
  <si>
    <t>もろみ熟成歩合</t>
    <rPh sb="3" eb="5">
      <t>ジュクセイ</t>
    </rPh>
    <rPh sb="5" eb="7">
      <t>ブアイ</t>
    </rPh>
    <phoneticPr fontId="1"/>
  </si>
  <si>
    <t>日本酒度の比重換算</t>
    <phoneticPr fontId="1"/>
  </si>
  <si>
    <t>アルコールの比重換算</t>
    <rPh sb="6" eb="8">
      <t>ヒジュウ</t>
    </rPh>
    <rPh sb="8" eb="10">
      <t>カンザン</t>
    </rPh>
    <phoneticPr fontId="1"/>
  </si>
  <si>
    <t>くみ水歩合（総量）</t>
    <rPh sb="2" eb="3">
      <t>ミズ</t>
    </rPh>
    <rPh sb="3" eb="5">
      <t>ブアイ</t>
    </rPh>
    <rPh sb="6" eb="8">
      <t>ソウリョウ</t>
    </rPh>
    <phoneticPr fontId="1"/>
  </si>
  <si>
    <t>【アルコール分と比重の換算表】</t>
    <rPh sb="6" eb="7">
      <t>ブン</t>
    </rPh>
    <rPh sb="8" eb="10">
      <t>ヒジュウ</t>
    </rPh>
    <rPh sb="11" eb="13">
      <t>カンサン</t>
    </rPh>
    <rPh sb="13" eb="14">
      <t>ヒョウ</t>
    </rPh>
    <phoneticPr fontId="1"/>
  </si>
  <si>
    <t>もろみのボーメ（日本酒度もボーメ変換</t>
    <rPh sb="8" eb="11">
      <t>ニホンシュ</t>
    </rPh>
    <rPh sb="11" eb="12">
      <t>ド</t>
    </rPh>
    <rPh sb="16" eb="18">
      <t>ヘンカン</t>
    </rPh>
    <phoneticPr fontId="1"/>
  </si>
  <si>
    <t>ボーメ目標
（使用していない？）</t>
    <rPh sb="3" eb="5">
      <t>モクヒョウ</t>
    </rPh>
    <rPh sb="7" eb="9">
      <t>シヨウ</t>
    </rPh>
    <phoneticPr fontId="1"/>
  </si>
  <si>
    <t>最高ボーメ目標
（使用していない？）</t>
    <rPh sb="0" eb="2">
      <t>サイコウ</t>
    </rPh>
    <rPh sb="5" eb="7">
      <t>モクヒョウ</t>
    </rPh>
    <rPh sb="9" eb="11">
      <t>シヨウ</t>
    </rPh>
    <phoneticPr fontId="1"/>
  </si>
  <si>
    <t>日本酒度目標
（使用していない？）</t>
    <rPh sb="0" eb="3">
      <t>ニホンシュ</t>
    </rPh>
    <rPh sb="3" eb="4">
      <t>ド</t>
    </rPh>
    <rPh sb="4" eb="6">
      <t>モクヒョウ</t>
    </rPh>
    <rPh sb="8" eb="10">
      <t>シヨウ</t>
    </rPh>
    <phoneticPr fontId="1"/>
  </si>
  <si>
    <t>アルコール目標
（使用していない？）</t>
    <rPh sb="5" eb="7">
      <t>モクヒョウ</t>
    </rPh>
    <rPh sb="9" eb="11">
      <t>シヨウ</t>
    </rPh>
    <phoneticPr fontId="1"/>
  </si>
  <si>
    <t>【A-B直線グラフ描画用】</t>
    <rPh sb="4" eb="6">
      <t>チョクセン</t>
    </rPh>
    <rPh sb="9" eb="12">
      <t>ビョウガヨウ</t>
    </rPh>
    <phoneticPr fontId="1"/>
  </si>
  <si>
    <t>【BMD直線、原エキスグラフ描画用）</t>
    <rPh sb="4" eb="6">
      <t>チョクセン</t>
    </rPh>
    <rPh sb="7" eb="8">
      <t>ゲン</t>
    </rPh>
    <rPh sb="14" eb="17">
      <t>ビョウガヨウ</t>
    </rPh>
    <phoneticPr fontId="1"/>
  </si>
  <si>
    <t>これをもとにもろみのエキス分計算</t>
    <rPh sb="13" eb="14">
      <t>ブン</t>
    </rPh>
    <rPh sb="14" eb="16">
      <t>ケイサン</t>
    </rPh>
    <phoneticPr fontId="1"/>
  </si>
  <si>
    <t>目標値１</t>
    <rPh sb="0" eb="3">
      <t>モクヒョウチ</t>
    </rPh>
    <phoneticPr fontId="1"/>
  </si>
  <si>
    <t>目標値２</t>
    <rPh sb="0" eb="3">
      <t>モクヒョウチ</t>
    </rPh>
    <phoneticPr fontId="1"/>
  </si>
  <si>
    <t>↑上の数値をとるための関数が、グルコースとその他で異なります（グルコース以外の関数のほうが簡単）</t>
    <rPh sb="1" eb="2">
      <t>ウエ</t>
    </rPh>
    <rPh sb="3" eb="5">
      <t>スウチ</t>
    </rPh>
    <rPh sb="11" eb="13">
      <t>カンスウ</t>
    </rPh>
    <rPh sb="23" eb="24">
      <t>タ</t>
    </rPh>
    <rPh sb="25" eb="26">
      <t>コト</t>
    </rPh>
    <rPh sb="36" eb="38">
      <t>イガイ</t>
    </rPh>
    <rPh sb="39" eb="41">
      <t>カンスウ</t>
    </rPh>
    <rPh sb="45" eb="47">
      <t>カンタン</t>
    </rPh>
    <phoneticPr fontId="1"/>
  </si>
  <si>
    <t>【製成事績の表の計算式】</t>
    <rPh sb="1" eb="3">
      <t>セイセイ</t>
    </rPh>
    <rPh sb="3" eb="5">
      <t>ジセキ</t>
    </rPh>
    <rPh sb="6" eb="7">
      <t>ヒョウ</t>
    </rPh>
    <rPh sb="8" eb="11">
      <t>ケイサンシキ</t>
    </rPh>
    <phoneticPr fontId="1"/>
  </si>
  <si>
    <t>【原エキス、新甘辛度、シブ値などの自動計算用計算式】　※もろみ経過簿に記載の最後の数値を引っ張ってくるための関数　※一部「もろみ上槽直前」の表にも使用。</t>
    <rPh sb="1" eb="2">
      <t>ゲン</t>
    </rPh>
    <rPh sb="6" eb="7">
      <t>シン</t>
    </rPh>
    <rPh sb="7" eb="9">
      <t>アマカラ</t>
    </rPh>
    <rPh sb="9" eb="10">
      <t>ド</t>
    </rPh>
    <rPh sb="13" eb="14">
      <t>チ</t>
    </rPh>
    <rPh sb="17" eb="19">
      <t>ジドウ</t>
    </rPh>
    <rPh sb="19" eb="22">
      <t>ケイサンヨウ</t>
    </rPh>
    <rPh sb="22" eb="25">
      <t>ケイサンシキ</t>
    </rPh>
    <rPh sb="31" eb="33">
      <t>ケイカ</t>
    </rPh>
    <rPh sb="33" eb="34">
      <t>ボ</t>
    </rPh>
    <rPh sb="35" eb="37">
      <t>キサイ</t>
    </rPh>
    <rPh sb="38" eb="40">
      <t>サイゴ</t>
    </rPh>
    <rPh sb="41" eb="43">
      <t>スウチ</t>
    </rPh>
    <rPh sb="44" eb="45">
      <t>ヒ</t>
    </rPh>
    <rPh sb="46" eb="47">
      <t>パ</t>
    </rPh>
    <rPh sb="54" eb="56">
      <t>カンスウ</t>
    </rPh>
    <rPh sb="58" eb="60">
      <t>イチブ</t>
    </rPh>
    <rPh sb="64" eb="66">
      <t>ジョウソウ</t>
    </rPh>
    <rPh sb="66" eb="68">
      <t>チョクゼン</t>
    </rPh>
    <rPh sb="70" eb="71">
      <t>ヒョウ</t>
    </rPh>
    <rPh sb="73" eb="75">
      <t>シヨウ</t>
    </rPh>
    <phoneticPr fontId="1"/>
  </si>
  <si>
    <t>　40列の「最高BMD」は、ここの計算式を使わず、セル内に直接関数を入れて計算（表示）している。なお、「D40」と「D41」は配列数式のため、ctrl+shiftを押しながらEnterで決定すること（他のところにもこういうセルあり、注意）</t>
    <rPh sb="3" eb="4">
      <t>レツ</t>
    </rPh>
    <rPh sb="6" eb="8">
      <t>サイコウ</t>
    </rPh>
    <rPh sb="17" eb="20">
      <t>ケイサンシキ</t>
    </rPh>
    <rPh sb="21" eb="22">
      <t>ツカ</t>
    </rPh>
    <rPh sb="27" eb="28">
      <t>ナイ</t>
    </rPh>
    <rPh sb="29" eb="31">
      <t>チョクセツ</t>
    </rPh>
    <rPh sb="31" eb="33">
      <t>カンスウ</t>
    </rPh>
    <rPh sb="34" eb="35">
      <t>イ</t>
    </rPh>
    <rPh sb="37" eb="39">
      <t>ケイサン</t>
    </rPh>
    <rPh sb="40" eb="42">
      <t>ヒョウジ</t>
    </rPh>
    <phoneticPr fontId="1"/>
  </si>
  <si>
    <t>No.</t>
    <phoneticPr fontId="1"/>
  </si>
  <si>
    <t>目標名</t>
    <rPh sb="0" eb="2">
      <t>モクヒョウ</t>
    </rPh>
    <rPh sb="2" eb="3">
      <t>メイ</t>
    </rPh>
    <phoneticPr fontId="1"/>
  </si>
  <si>
    <t>最高品温（℃）</t>
    <rPh sb="0" eb="2">
      <t>サイコウ</t>
    </rPh>
    <rPh sb="2" eb="4">
      <t>ヒンオン</t>
    </rPh>
    <phoneticPr fontId="1"/>
  </si>
  <si>
    <t>濃淡指数</t>
    <rPh sb="0" eb="2">
      <t>ノウタン</t>
    </rPh>
    <rPh sb="2" eb="4">
      <t>シスウ</t>
    </rPh>
    <phoneticPr fontId="1"/>
  </si>
  <si>
    <t>もろみ
経過</t>
    <rPh sb="4" eb="6">
      <t>ケイカ</t>
    </rPh>
    <phoneticPr fontId="1"/>
  </si>
  <si>
    <t>アミノ酸度比</t>
    <rPh sb="3" eb="5">
      <t>サンド</t>
    </rPh>
    <rPh sb="5" eb="6">
      <t>ヒ</t>
    </rPh>
    <phoneticPr fontId="1"/>
  </si>
  <si>
    <t>グルコース比</t>
    <rPh sb="5" eb="6">
      <t>ヒ</t>
    </rPh>
    <phoneticPr fontId="1"/>
  </si>
  <si>
    <t>上槽
直前</t>
    <rPh sb="0" eb="2">
      <t>ジョウソウ</t>
    </rPh>
    <rPh sb="3" eb="5">
      <t>チョクゼン</t>
    </rPh>
    <phoneticPr fontId="1"/>
  </si>
  <si>
    <t>製成酒に関する各種目標数値</t>
    <rPh sb="0" eb="2">
      <t>セイセイ</t>
    </rPh>
    <rPh sb="2" eb="3">
      <t>シュ</t>
    </rPh>
    <rPh sb="4" eb="5">
      <t>カン</t>
    </rPh>
    <rPh sb="7" eb="9">
      <t>カクシュ</t>
    </rPh>
    <rPh sb="9" eb="11">
      <t>モクヒョウ</t>
    </rPh>
    <rPh sb="11" eb="13">
      <t>スウチ</t>
    </rPh>
    <phoneticPr fontId="1"/>
  </si>
  <si>
    <t>理想とする（許容する）アルコール及びボーメの範囲（A-B直線の範囲）</t>
    <rPh sb="0" eb="2">
      <t>リソウ</t>
    </rPh>
    <rPh sb="6" eb="8">
      <t>キョヨウ</t>
    </rPh>
    <rPh sb="16" eb="17">
      <t>オヨ</t>
    </rPh>
    <rPh sb="22" eb="24">
      <t>ハンイ</t>
    </rPh>
    <rPh sb="28" eb="30">
      <t>チョクセン</t>
    </rPh>
    <rPh sb="31" eb="33">
      <t>ハンイ</t>
    </rPh>
    <phoneticPr fontId="1"/>
  </si>
  <si>
    <t>理想直線１（溶けた場合）</t>
    <rPh sb="0" eb="2">
      <t>リソウ</t>
    </rPh>
    <rPh sb="2" eb="4">
      <t>チョクセン</t>
    </rPh>
    <rPh sb="6" eb="7">
      <t>ト</t>
    </rPh>
    <rPh sb="9" eb="11">
      <t>バアイ</t>
    </rPh>
    <phoneticPr fontId="1"/>
  </si>
  <si>
    <t>理想直線２（溶けなかった場合）</t>
    <rPh sb="0" eb="2">
      <t>リソウ</t>
    </rPh>
    <rPh sb="2" eb="4">
      <t>チョクセン</t>
    </rPh>
    <rPh sb="6" eb="7">
      <t>ト</t>
    </rPh>
    <rPh sb="12" eb="14">
      <t>バアイ</t>
    </rPh>
    <phoneticPr fontId="1"/>
  </si>
  <si>
    <t>吟醸１</t>
    <rPh sb="0" eb="2">
      <t>ギンジョウ</t>
    </rPh>
    <phoneticPr fontId="1"/>
  </si>
  <si>
    <t>グルコース（g/100ml）</t>
    <phoneticPr fontId="1"/>
  </si>
  <si>
    <t>アミノ酸度（ml）</t>
  </si>
  <si>
    <t>酸度（ml）</t>
    <rPh sb="0" eb="2">
      <t>サンド</t>
    </rPh>
    <phoneticPr fontId="1"/>
  </si>
  <si>
    <t>【目標値について】</t>
    <rPh sb="1" eb="4">
      <t>モクヒョウチ</t>
    </rPh>
    <phoneticPr fontId="1"/>
  </si>
  <si>
    <t>アミノ酸度（ml）</t>
    <rPh sb="3" eb="4">
      <t>サン</t>
    </rPh>
    <rPh sb="4" eb="5">
      <t>ド</t>
    </rPh>
    <phoneticPr fontId="1"/>
  </si>
  <si>
    <t>BMD</t>
    <phoneticPr fontId="1"/>
  </si>
  <si>
    <t>原エキス分</t>
    <rPh sb="0" eb="1">
      <t>ゲン</t>
    </rPh>
    <rPh sb="4" eb="5">
      <t>ブン</t>
    </rPh>
    <phoneticPr fontId="1"/>
  </si>
  <si>
    <t>数量（L）</t>
    <rPh sb="0" eb="2">
      <t>スウリョウ</t>
    </rPh>
    <phoneticPr fontId="1"/>
  </si>
  <si>
    <t>もろみ歩合（％）</t>
    <rPh sb="3" eb="5">
      <t>ブアイ</t>
    </rPh>
    <phoneticPr fontId="1"/>
  </si>
  <si>
    <t>くみ水（L）</t>
    <rPh sb="2" eb="3">
      <t>ミズ</t>
    </rPh>
    <phoneticPr fontId="1"/>
  </si>
  <si>
    <t>総米（ｋｇ）</t>
    <rPh sb="0" eb="1">
      <t>ソウ</t>
    </rPh>
    <rPh sb="1" eb="2">
      <t>マイ</t>
    </rPh>
    <phoneticPr fontId="1"/>
  </si>
  <si>
    <t>最高BMD時の日数</t>
    <rPh sb="0" eb="2">
      <t>サイコウ</t>
    </rPh>
    <rPh sb="5" eb="6">
      <t>ジ</t>
    </rPh>
    <rPh sb="7" eb="9">
      <t>ニッスウ</t>
    </rPh>
    <phoneticPr fontId="1"/>
  </si>
  <si>
    <t>G/α比</t>
    <rPh sb="3" eb="4">
      <t>ヒ</t>
    </rPh>
    <phoneticPr fontId="1"/>
  </si>
  <si>
    <t>四段仕込の種類
及び数量（kg、L）</t>
    <rPh sb="0" eb="2">
      <t>ヨダン</t>
    </rPh>
    <rPh sb="2" eb="4">
      <t>シコミ</t>
    </rPh>
    <rPh sb="5" eb="7">
      <t>シュルイ</t>
    </rPh>
    <rPh sb="8" eb="9">
      <t>オヨ</t>
    </rPh>
    <rPh sb="10" eb="12">
      <t>スウリョウ</t>
    </rPh>
    <phoneticPr fontId="1"/>
  </si>
  <si>
    <t>こしき置き前
吸水率（％）</t>
    <rPh sb="3" eb="4">
      <t>オ</t>
    </rPh>
    <rPh sb="5" eb="6">
      <t>マエ</t>
    </rPh>
    <rPh sb="7" eb="9">
      <t>キュウスイ</t>
    </rPh>
    <rPh sb="9" eb="10">
      <t>リツ</t>
    </rPh>
    <phoneticPr fontId="1"/>
  </si>
  <si>
    <t>蒸し出し即時
吸水率（％）</t>
    <rPh sb="7" eb="9">
      <t>キュウスイ</t>
    </rPh>
    <rPh sb="9" eb="10">
      <t>リツ</t>
    </rPh>
    <phoneticPr fontId="1"/>
  </si>
  <si>
    <t>かす換算数量（L）</t>
    <rPh sb="2" eb="4">
      <t>カンサン</t>
    </rPh>
    <rPh sb="4" eb="6">
      <t>スウリョウ</t>
    </rPh>
    <phoneticPr fontId="1"/>
  </si>
  <si>
    <t>実重量(kg）</t>
    <rPh sb="0" eb="1">
      <t>ジツ</t>
    </rPh>
    <rPh sb="1" eb="3">
      <t>ジュウリョウ</t>
    </rPh>
    <phoneticPr fontId="1"/>
  </si>
  <si>
    <t>原エキス分</t>
    <rPh sb="0" eb="1">
      <t>ハラ</t>
    </rPh>
    <rPh sb="4" eb="5">
      <t>ブン</t>
    </rPh>
    <phoneticPr fontId="1"/>
  </si>
  <si>
    <t>1回目</t>
    <rPh sb="1" eb="3">
      <t>カイメ</t>
    </rPh>
    <phoneticPr fontId="1"/>
  </si>
  <si>
    <t>２回目</t>
    <rPh sb="1" eb="3">
      <t>カイメ</t>
    </rPh>
    <phoneticPr fontId="1"/>
  </si>
  <si>
    <t>３回目</t>
    <rPh sb="1" eb="3">
      <t>カイメ</t>
    </rPh>
    <phoneticPr fontId="1"/>
  </si>
  <si>
    <t>４回目</t>
    <rPh sb="1" eb="3">
      <t>カイメ</t>
    </rPh>
    <phoneticPr fontId="1"/>
  </si>
  <si>
    <t>５回目</t>
    <rPh sb="1" eb="3">
      <t>カイメ</t>
    </rPh>
    <phoneticPr fontId="1"/>
  </si>
  <si>
    <t>６回目</t>
    <rPh sb="1" eb="3">
      <t>カイメ</t>
    </rPh>
    <phoneticPr fontId="1"/>
  </si>
  <si>
    <t>７回目</t>
    <rPh sb="1" eb="3">
      <t>カイメ</t>
    </rPh>
    <phoneticPr fontId="1"/>
  </si>
  <si>
    <t>８回目</t>
    <rPh sb="1" eb="3">
      <t>カイメ</t>
    </rPh>
    <phoneticPr fontId="1"/>
  </si>
  <si>
    <t>９回目</t>
    <rPh sb="1" eb="3">
      <t>カイメ</t>
    </rPh>
    <phoneticPr fontId="1"/>
  </si>
  <si>
    <t>１０回目</t>
    <rPh sb="2" eb="4">
      <t>カイメ</t>
    </rPh>
    <phoneticPr fontId="1"/>
  </si>
  <si>
    <t>〇日目</t>
    <rPh sb="1" eb="2">
      <t>ニチ</t>
    </rPh>
    <rPh sb="2" eb="3">
      <t>メ</t>
    </rPh>
    <phoneticPr fontId="1"/>
  </si>
  <si>
    <t>汲水歩合</t>
    <phoneticPr fontId="1"/>
  </si>
  <si>
    <t>留即時</t>
    <rPh sb="0" eb="1">
      <t>トメ</t>
    </rPh>
    <rPh sb="1" eb="2">
      <t>ソク</t>
    </rPh>
    <rPh sb="2" eb="3">
      <t>ジ</t>
    </rPh>
    <phoneticPr fontId="1"/>
  </si>
  <si>
    <t>追水１</t>
    <rPh sb="0" eb="1">
      <t>オ</t>
    </rPh>
    <rPh sb="1" eb="2">
      <t>ミズ</t>
    </rPh>
    <phoneticPr fontId="1"/>
  </si>
  <si>
    <t>追水２</t>
    <rPh sb="0" eb="1">
      <t>オ</t>
    </rPh>
    <rPh sb="1" eb="2">
      <t>ミズ</t>
    </rPh>
    <phoneticPr fontId="1"/>
  </si>
  <si>
    <t>追水３</t>
    <rPh sb="0" eb="1">
      <t>オ</t>
    </rPh>
    <rPh sb="1" eb="2">
      <t>ミズ</t>
    </rPh>
    <phoneticPr fontId="1"/>
  </si>
  <si>
    <t>追水４</t>
    <rPh sb="0" eb="1">
      <t>オ</t>
    </rPh>
    <rPh sb="1" eb="2">
      <t>ミズ</t>
    </rPh>
    <phoneticPr fontId="1"/>
  </si>
  <si>
    <t>追水５</t>
    <rPh sb="0" eb="1">
      <t>オ</t>
    </rPh>
    <rPh sb="1" eb="2">
      <t>ミズ</t>
    </rPh>
    <phoneticPr fontId="1"/>
  </si>
  <si>
    <t>追水６</t>
    <rPh sb="0" eb="1">
      <t>オ</t>
    </rPh>
    <rPh sb="1" eb="2">
      <t>ミズ</t>
    </rPh>
    <phoneticPr fontId="1"/>
  </si>
  <si>
    <t>追水７</t>
    <rPh sb="0" eb="1">
      <t>オ</t>
    </rPh>
    <rPh sb="1" eb="2">
      <t>ミズ</t>
    </rPh>
    <phoneticPr fontId="1"/>
  </si>
  <si>
    <t>追水８</t>
    <rPh sb="0" eb="1">
      <t>オ</t>
    </rPh>
    <rPh sb="1" eb="2">
      <t>ミズ</t>
    </rPh>
    <phoneticPr fontId="1"/>
  </si>
  <si>
    <t>追水９</t>
    <rPh sb="0" eb="1">
      <t>オ</t>
    </rPh>
    <rPh sb="1" eb="2">
      <t>ミズ</t>
    </rPh>
    <phoneticPr fontId="1"/>
  </si>
  <si>
    <t>追水１０</t>
    <rPh sb="0" eb="1">
      <t>オ</t>
    </rPh>
    <rPh sb="1" eb="2">
      <t>ミズ</t>
    </rPh>
    <phoneticPr fontId="1"/>
  </si>
  <si>
    <t>追水無効アルコール分</t>
    <rPh sb="0" eb="1">
      <t>オ</t>
    </rPh>
    <rPh sb="1" eb="2">
      <t>ミズ</t>
    </rPh>
    <rPh sb="2" eb="4">
      <t>ムコウ</t>
    </rPh>
    <rPh sb="9" eb="10">
      <t>ブン</t>
    </rPh>
    <phoneticPr fontId="1"/>
  </si>
  <si>
    <t>追水無効エキス分</t>
    <rPh sb="0" eb="1">
      <t>オ</t>
    </rPh>
    <rPh sb="1" eb="2">
      <t>ミズ</t>
    </rPh>
    <rPh sb="2" eb="4">
      <t>ムコウ</t>
    </rPh>
    <rPh sb="7" eb="8">
      <t>ブン</t>
    </rPh>
    <phoneticPr fontId="1"/>
  </si>
  <si>
    <t>追水無効グルコース</t>
    <rPh sb="0" eb="1">
      <t>オ</t>
    </rPh>
    <rPh sb="1" eb="2">
      <t>ミズ</t>
    </rPh>
    <rPh sb="2" eb="4">
      <t>ムコウ</t>
    </rPh>
    <phoneticPr fontId="1"/>
  </si>
  <si>
    <t>オリゴ糖</t>
    <rPh sb="3" eb="4">
      <t>トウ</t>
    </rPh>
    <phoneticPr fontId="1"/>
  </si>
  <si>
    <t>（汲水100％換算）</t>
    <rPh sb="1" eb="2">
      <t>ク</t>
    </rPh>
    <rPh sb="2" eb="3">
      <t>ミズ</t>
    </rPh>
    <rPh sb="7" eb="9">
      <t>カンサン</t>
    </rPh>
    <phoneticPr fontId="1"/>
  </si>
  <si>
    <t>発酵力</t>
  </si>
  <si>
    <t>液化力</t>
    <rPh sb="0" eb="2">
      <t>エキカ</t>
    </rPh>
    <rPh sb="2" eb="3">
      <t>リョク</t>
    </rPh>
    <phoneticPr fontId="1"/>
  </si>
  <si>
    <t>糖化力</t>
    <rPh sb="0" eb="2">
      <t>トウカ</t>
    </rPh>
    <rPh sb="2" eb="3">
      <t>リョク</t>
    </rPh>
    <phoneticPr fontId="1"/>
  </si>
  <si>
    <t>発酵力・液化力・糖化力算出のための比較日数</t>
    <rPh sb="4" eb="6">
      <t>エキカ</t>
    </rPh>
    <rPh sb="6" eb="7">
      <t>リョク</t>
    </rPh>
    <rPh sb="8" eb="10">
      <t>トウカ</t>
    </rPh>
    <rPh sb="10" eb="11">
      <t>リョク</t>
    </rPh>
    <rPh sb="11" eb="13">
      <t>サンシュツ</t>
    </rPh>
    <rPh sb="17" eb="19">
      <t>ヒカク</t>
    </rPh>
    <rPh sb="19" eb="21">
      <t>ニッスウ</t>
    </rPh>
    <phoneticPr fontId="1"/>
  </si>
  <si>
    <t>日</t>
    <rPh sb="0" eb="1">
      <t>ニチ</t>
    </rPh>
    <phoneticPr fontId="1"/>
  </si>
  <si>
    <t>最高ボーメ時の日数</t>
    <rPh sb="0" eb="2">
      <t>サイコウ</t>
    </rPh>
    <rPh sb="5" eb="6">
      <t>ジ</t>
    </rPh>
    <rPh sb="7" eb="9">
      <t>ニッスウ</t>
    </rPh>
    <phoneticPr fontId="1"/>
  </si>
  <si>
    <t>追水量（L)</t>
    <rPh sb="0" eb="1">
      <t>オ</t>
    </rPh>
    <rPh sb="1" eb="2">
      <t>ミズ</t>
    </rPh>
    <rPh sb="2" eb="3">
      <t>リョウ</t>
    </rPh>
    <phoneticPr fontId="1"/>
  </si>
  <si>
    <t>【発酵力等関係：追水無効化参照セル】</t>
    <rPh sb="1" eb="3">
      <t>ハッコウ</t>
    </rPh>
    <rPh sb="3" eb="4">
      <t>リョク</t>
    </rPh>
    <rPh sb="4" eb="5">
      <t>トウ</t>
    </rPh>
    <rPh sb="5" eb="7">
      <t>カンケイ</t>
    </rPh>
    <rPh sb="8" eb="9">
      <t>オ</t>
    </rPh>
    <rPh sb="9" eb="10">
      <t>ミズ</t>
    </rPh>
    <rPh sb="10" eb="12">
      <t>ムコウ</t>
    </rPh>
    <rPh sb="12" eb="13">
      <t>カ</t>
    </rPh>
    <rPh sb="13" eb="15">
      <t>サンショウ</t>
    </rPh>
    <phoneticPr fontId="1"/>
  </si>
  <si>
    <t>換算なし</t>
    <rPh sb="0" eb="2">
      <t>カンサン</t>
    </rPh>
    <phoneticPr fontId="1"/>
  </si>
  <si>
    <t>発酵力（g/100ml）</t>
    <rPh sb="0" eb="2">
      <t>ハッコウ</t>
    </rPh>
    <rPh sb="2" eb="3">
      <t>リョク</t>
    </rPh>
    <phoneticPr fontId="1"/>
  </si>
  <si>
    <t>エキス分（g/100ml）</t>
    <rPh sb="3" eb="4">
      <t>ブン</t>
    </rPh>
    <phoneticPr fontId="1"/>
  </si>
  <si>
    <t>原エキス分（g/100ml）</t>
    <rPh sb="0" eb="1">
      <t>ゲン</t>
    </rPh>
    <rPh sb="4" eb="5">
      <t>ブン</t>
    </rPh>
    <phoneticPr fontId="1"/>
  </si>
  <si>
    <t>オリゴ糖（g/100ml）</t>
    <rPh sb="3" eb="4">
      <t>トウ</t>
    </rPh>
    <phoneticPr fontId="1"/>
  </si>
  <si>
    <t>液化力（g/100ml）</t>
    <rPh sb="0" eb="2">
      <t>エキカ</t>
    </rPh>
    <rPh sb="2" eb="3">
      <t>リョク</t>
    </rPh>
    <phoneticPr fontId="1"/>
  </si>
  <si>
    <t>糖化力（g/100ml）</t>
    <rPh sb="0" eb="2">
      <t>トウカ</t>
    </rPh>
    <rPh sb="2" eb="3">
      <t>リョク</t>
    </rPh>
    <phoneticPr fontId="1"/>
  </si>
  <si>
    <t>発酵力・液化力・糖化力のくみ水補正（100％換算）</t>
    <rPh sb="4" eb="6">
      <t>エキカ</t>
    </rPh>
    <rPh sb="6" eb="7">
      <t>リョク</t>
    </rPh>
    <rPh sb="8" eb="10">
      <t>トウカ</t>
    </rPh>
    <rPh sb="10" eb="11">
      <t>リョク</t>
    </rPh>
    <rPh sb="14" eb="15">
      <t>ミズ</t>
    </rPh>
    <rPh sb="15" eb="17">
      <t>ホセイ</t>
    </rPh>
    <rPh sb="22" eb="24">
      <t>カンサン</t>
    </rPh>
    <phoneticPr fontId="1"/>
  </si>
  <si>
    <t>【目標時のもろみ日本酒度予想　】</t>
    <rPh sb="1" eb="3">
      <t>モクヒョウ</t>
    </rPh>
    <rPh sb="3" eb="4">
      <t>ジ</t>
    </rPh>
    <rPh sb="8" eb="11">
      <t>ニホンシュ</t>
    </rPh>
    <rPh sb="11" eb="12">
      <t>ド</t>
    </rPh>
    <rPh sb="12" eb="14">
      <t>ヨソウ</t>
    </rPh>
    <phoneticPr fontId="1"/>
  </si>
  <si>
    <t>メーターになった時の日本酒度</t>
    <rPh sb="8" eb="9">
      <t>トキ</t>
    </rPh>
    <rPh sb="10" eb="13">
      <t>ニホンシュ</t>
    </rPh>
    <rPh sb="13" eb="14">
      <t>ド</t>
    </rPh>
    <phoneticPr fontId="1"/>
  </si>
  <si>
    <t>上記の時のアルコール分</t>
    <rPh sb="0" eb="2">
      <t>ジョウキ</t>
    </rPh>
    <rPh sb="3" eb="4">
      <t>トキ</t>
    </rPh>
    <rPh sb="10" eb="11">
      <t>ブン</t>
    </rPh>
    <phoneticPr fontId="1"/>
  </si>
  <si>
    <t>比重換算</t>
    <rPh sb="0" eb="2">
      <t>ヒジュウ</t>
    </rPh>
    <rPh sb="2" eb="4">
      <t>カンサン</t>
    </rPh>
    <phoneticPr fontId="1"/>
  </si>
  <si>
    <t>実際の最高ボーメ</t>
    <rPh sb="0" eb="2">
      <t>ジッサイ</t>
    </rPh>
    <rPh sb="3" eb="5">
      <t>サイコウ</t>
    </rPh>
    <phoneticPr fontId="1"/>
  </si>
  <si>
    <t>目標の最高ボーメ</t>
    <rPh sb="0" eb="2">
      <t>モクヒョウ</t>
    </rPh>
    <rPh sb="3" eb="5">
      <t>サイコウ</t>
    </rPh>
    <phoneticPr fontId="1"/>
  </si>
  <si>
    <t>目標の最高BMD</t>
    <rPh sb="0" eb="2">
      <t>モクヒョウ</t>
    </rPh>
    <rPh sb="3" eb="5">
      <t>サイコウ</t>
    </rPh>
    <phoneticPr fontId="1"/>
  </si>
  <si>
    <t>実際の最高BMD</t>
    <rPh sb="0" eb="2">
      <t>ジッサイ</t>
    </rPh>
    <rPh sb="3" eb="5">
      <t>サイコウ</t>
    </rPh>
    <phoneticPr fontId="1"/>
  </si>
  <si>
    <t>【最高BMD、最高ボーメ関係】</t>
    <rPh sb="1" eb="3">
      <t>サイコウ</t>
    </rPh>
    <rPh sb="7" eb="9">
      <t>サイコウ</t>
    </rPh>
    <rPh sb="12" eb="14">
      <t>カンケイ</t>
    </rPh>
    <phoneticPr fontId="1"/>
  </si>
  <si>
    <t>【変更履歴・作成者】</t>
    <rPh sb="1" eb="3">
      <t>ヘンコウ</t>
    </rPh>
    <rPh sb="3" eb="5">
      <t>リレキ</t>
    </rPh>
    <rPh sb="6" eb="9">
      <t>サクセイシャ</t>
    </rPh>
    <phoneticPr fontId="1"/>
  </si>
  <si>
    <t>日付</t>
    <rPh sb="0" eb="2">
      <t>ヒヅケ</t>
    </rPh>
    <phoneticPr fontId="1"/>
  </si>
  <si>
    <t>作成者</t>
    <rPh sb="0" eb="3">
      <t>サクセイシャ</t>
    </rPh>
    <phoneticPr fontId="1"/>
  </si>
  <si>
    <t>内容</t>
    <rPh sb="0" eb="2">
      <t>ナイヨウ</t>
    </rPh>
    <phoneticPr fontId="1"/>
  </si>
  <si>
    <t>Ver</t>
    <phoneticPr fontId="1"/>
  </si>
  <si>
    <t>飯島隆、田中宏典</t>
    <rPh sb="0" eb="2">
      <t>イイジマ</t>
    </rPh>
    <rPh sb="2" eb="3">
      <t>タカシ</t>
    </rPh>
    <rPh sb="4" eb="6">
      <t>タナカ</t>
    </rPh>
    <rPh sb="6" eb="8">
      <t>ヒロノリ</t>
    </rPh>
    <phoneticPr fontId="1"/>
  </si>
  <si>
    <t>βバージョンリリース。</t>
    <phoneticPr fontId="1"/>
  </si>
  <si>
    <t>目標値を複数セットできるようにした。発酵力・液化力・糖化力を表示できるようにした。個別計算ツール部分を削除した。その他細かい修正等。</t>
    <rPh sb="0" eb="3">
      <t>モクヒョウチ</t>
    </rPh>
    <rPh sb="4" eb="6">
      <t>フクスウ</t>
    </rPh>
    <rPh sb="18" eb="20">
      <t>ハッコウ</t>
    </rPh>
    <rPh sb="20" eb="29">
      <t>リョク・エキカリョク・トウカリョク</t>
    </rPh>
    <rPh sb="30" eb="32">
      <t>ヒョウジ</t>
    </rPh>
    <rPh sb="41" eb="43">
      <t>コベツ</t>
    </rPh>
    <rPh sb="43" eb="45">
      <t>ケイサン</t>
    </rPh>
    <rPh sb="48" eb="50">
      <t>ブブン</t>
    </rPh>
    <rPh sb="51" eb="53">
      <t>サクジョ</t>
    </rPh>
    <rPh sb="58" eb="59">
      <t>タ</t>
    </rPh>
    <rPh sb="59" eb="60">
      <t>コマ</t>
    </rPh>
    <rPh sb="62" eb="64">
      <t>シュウセイ</t>
    </rPh>
    <rPh sb="64" eb="65">
      <t>トウ</t>
    </rPh>
    <phoneticPr fontId="1"/>
  </si>
  <si>
    <t>酒母歩合（％）</t>
    <rPh sb="0" eb="2">
      <t>シュボ</t>
    </rPh>
    <rPh sb="2" eb="4">
      <t>ブアイ</t>
    </rPh>
    <phoneticPr fontId="1"/>
  </si>
  <si>
    <t>こうじ歩合（％）</t>
    <rPh sb="3" eb="5">
      <t>ブアイ</t>
    </rPh>
    <phoneticPr fontId="1"/>
  </si>
  <si>
    <t>初添総米を１とした時の比率</t>
    <phoneticPr fontId="1"/>
  </si>
  <si>
    <t>酒母総米を１とした時の比率</t>
    <rPh sb="0" eb="2">
      <t>シュボ</t>
    </rPh>
    <rPh sb="2" eb="3">
      <t>ソウ</t>
    </rPh>
    <rPh sb="3" eb="4">
      <t>マイ</t>
    </rPh>
    <rPh sb="9" eb="10">
      <t>トキ</t>
    </rPh>
    <rPh sb="11" eb="13">
      <t>ヒリツ</t>
    </rPh>
    <phoneticPr fontId="1"/>
  </si>
  <si>
    <t>添加アルコール数量（L）</t>
    <rPh sb="0" eb="2">
      <t>テンカ</t>
    </rPh>
    <rPh sb="7" eb="9">
      <t>スウリョウ</t>
    </rPh>
    <phoneticPr fontId="1"/>
  </si>
  <si>
    <t>純アルコール数量（L）</t>
    <rPh sb="0" eb="1">
      <t>ジュン</t>
    </rPh>
    <rPh sb="6" eb="8">
      <t>スウリョウ</t>
    </rPh>
    <phoneticPr fontId="1"/>
  </si>
  <si>
    <t>添加アルコール重量(kg）</t>
    <rPh sb="0" eb="2">
      <t>テンカ</t>
    </rPh>
    <rPh sb="7" eb="9">
      <t>ジュウリョウ</t>
    </rPh>
    <phoneticPr fontId="1"/>
  </si>
  <si>
    <t>増加数量（L）</t>
    <rPh sb="0" eb="2">
      <t>ゾウカ</t>
    </rPh>
    <rPh sb="2" eb="4">
      <t>スウリョウ</t>
    </rPh>
    <phoneticPr fontId="1"/>
  </si>
  <si>
    <t>増加歩合（％）</t>
    <rPh sb="0" eb="2">
      <t>ゾウカ</t>
    </rPh>
    <rPh sb="2" eb="4">
      <t>ブアイ</t>
    </rPh>
    <phoneticPr fontId="1"/>
  </si>
  <si>
    <t>※各目標値を入力してください。オレンジ色のセルは自動計算されますので、入力不要です。未入力は「０」として取り扱われます。</t>
    <rPh sb="1" eb="2">
      <t>カク</t>
    </rPh>
    <rPh sb="2" eb="5">
      <t>モクヒョウチ</t>
    </rPh>
    <rPh sb="6" eb="8">
      <t>ニュウリョク</t>
    </rPh>
    <rPh sb="19" eb="20">
      <t>イロ</t>
    </rPh>
    <rPh sb="24" eb="26">
      <t>ジドウ</t>
    </rPh>
    <rPh sb="26" eb="28">
      <t>ケイサン</t>
    </rPh>
    <rPh sb="35" eb="37">
      <t>ニュウリョク</t>
    </rPh>
    <rPh sb="37" eb="39">
      <t>フヨウ</t>
    </rPh>
    <rPh sb="42" eb="45">
      <t>ミニュウリョク</t>
    </rPh>
    <rPh sb="52" eb="53">
      <t>ト</t>
    </rPh>
    <rPh sb="54" eb="55">
      <t>アツカ</t>
    </rPh>
    <phoneticPr fontId="3"/>
  </si>
  <si>
    <t>くみ水歩合（％）</t>
    <rPh sb="2" eb="3">
      <t>ミズ</t>
    </rPh>
    <rPh sb="3" eb="5">
      <t>ブアイ</t>
    </rPh>
    <phoneticPr fontId="1"/>
  </si>
  <si>
    <t>くみ水歩合（％）（四段除く）</t>
    <rPh sb="2" eb="3">
      <t>ミズ</t>
    </rPh>
    <rPh sb="3" eb="5">
      <t>ブアイ</t>
    </rPh>
    <rPh sb="9" eb="11">
      <t>ヨダン</t>
    </rPh>
    <rPh sb="11" eb="12">
      <t>ノゾ</t>
    </rPh>
    <phoneticPr fontId="1"/>
  </si>
  <si>
    <t>アルコール（L)（30％換算）</t>
    <rPh sb="12" eb="14">
      <t>カンサン</t>
    </rPh>
    <phoneticPr fontId="1"/>
  </si>
  <si>
    <t>酵素剤</t>
    <rPh sb="0" eb="2">
      <t>コウソ</t>
    </rPh>
    <rPh sb="2" eb="3">
      <t>ザイ</t>
    </rPh>
    <phoneticPr fontId="1"/>
  </si>
  <si>
    <t>使用日</t>
    <rPh sb="0" eb="2">
      <t>シヨウ</t>
    </rPh>
    <rPh sb="2" eb="3">
      <t>ビ</t>
    </rPh>
    <phoneticPr fontId="1"/>
  </si>
  <si>
    <t>使用数量（ｇ）</t>
    <rPh sb="0" eb="2">
      <t>シヨウ</t>
    </rPh>
    <rPh sb="2" eb="3">
      <t>スウ</t>
    </rPh>
    <rPh sb="3" eb="4">
      <t>リョウ</t>
    </rPh>
    <phoneticPr fontId="1"/>
  </si>
  <si>
    <t>添加アルコール分（度）</t>
    <rPh sb="0" eb="2">
      <t>テンカ</t>
    </rPh>
    <rPh sb="7" eb="8">
      <t>ブン</t>
    </rPh>
    <rPh sb="9" eb="10">
      <t>ド</t>
    </rPh>
    <phoneticPr fontId="1"/>
  </si>
  <si>
    <t>（留意事項）</t>
    <rPh sb="1" eb="3">
      <t>リュウイ</t>
    </rPh>
    <rPh sb="3" eb="5">
      <t>ジコウ</t>
    </rPh>
    <phoneticPr fontId="1"/>
  </si>
  <si>
    <t>↑上2つのセルは使用しないことにした</t>
    <rPh sb="1" eb="2">
      <t>ウエ</t>
    </rPh>
    <rPh sb="8" eb="10">
      <t>シヨウ</t>
    </rPh>
    <phoneticPr fontId="1"/>
  </si>
  <si>
    <t>【上槽直前の表の計算式】</t>
    <rPh sb="1" eb="3">
      <t>ジョウソウ</t>
    </rPh>
    <rPh sb="3" eb="5">
      <t>チョクゼン</t>
    </rPh>
    <rPh sb="6" eb="7">
      <t>ヒョウ</t>
    </rPh>
    <rPh sb="8" eb="11">
      <t>ケイサンシキ</t>
    </rPh>
    <phoneticPr fontId="1"/>
  </si>
  <si>
    <t>原エキス分(くみみず補正）</t>
    <rPh sb="0" eb="1">
      <t>ゲン</t>
    </rPh>
    <rPh sb="4" eb="5">
      <t>ブン</t>
    </rPh>
    <rPh sb="10" eb="12">
      <t>ホセイ</t>
    </rPh>
    <phoneticPr fontId="1"/>
  </si>
  <si>
    <t>←四段のくみ水も考慮</t>
    <rPh sb="1" eb="3">
      <t>ヨダン</t>
    </rPh>
    <rPh sb="6" eb="7">
      <t>ミズ</t>
    </rPh>
    <rPh sb="8" eb="10">
      <t>コウリョ</t>
    </rPh>
    <phoneticPr fontId="1"/>
  </si>
  <si>
    <t>原エキス（くみ水100％補正）</t>
    <rPh sb="0" eb="1">
      <t>ゲン</t>
    </rPh>
    <rPh sb="7" eb="8">
      <t>ミズ</t>
    </rPh>
    <rPh sb="12" eb="14">
      <t>ホセイ</t>
    </rPh>
    <phoneticPr fontId="1"/>
  </si>
  <si>
    <t>検温</t>
    <rPh sb="0" eb="2">
      <t>ケンオン</t>
    </rPh>
    <phoneticPr fontId="1"/>
  </si>
  <si>
    <t>酒母こうじ</t>
    <rPh sb="0" eb="2">
      <t>シュボ</t>
    </rPh>
    <phoneticPr fontId="1"/>
  </si>
  <si>
    <t>添こうじ</t>
    <rPh sb="0" eb="1">
      <t>ソ</t>
    </rPh>
    <phoneticPr fontId="1"/>
  </si>
  <si>
    <t>仲こうじ</t>
    <rPh sb="0" eb="1">
      <t>ナカ</t>
    </rPh>
    <phoneticPr fontId="1"/>
  </si>
  <si>
    <t>留こうじ</t>
    <rPh sb="0" eb="1">
      <t>トメ</t>
    </rPh>
    <phoneticPr fontId="1"/>
  </si>
  <si>
    <t>日数</t>
    <rPh sb="0" eb="1">
      <t>ヒ</t>
    </rPh>
    <rPh sb="1" eb="2">
      <t>スウ</t>
    </rPh>
    <phoneticPr fontId="1"/>
  </si>
  <si>
    <t>アルコール分</t>
    <rPh sb="5" eb="6">
      <t>ブン</t>
    </rPh>
    <phoneticPr fontId="1"/>
  </si>
  <si>
    <t>原エキス計算</t>
    <rPh sb="0" eb="1">
      <t>ゲン</t>
    </rPh>
    <rPh sb="4" eb="6">
      <t>ケイサン</t>
    </rPh>
    <phoneticPr fontId="1"/>
  </si>
  <si>
    <t>ボーメを日本酒度に</t>
    <rPh sb="4" eb="7">
      <t>ニホンシュ</t>
    </rPh>
    <rPh sb="7" eb="8">
      <t>ド</t>
    </rPh>
    <phoneticPr fontId="1"/>
  </si>
  <si>
    <t>エキス</t>
    <phoneticPr fontId="1"/>
  </si>
  <si>
    <t>日数</t>
    <rPh sb="0" eb="2">
      <t>ニッスウ</t>
    </rPh>
    <phoneticPr fontId="1"/>
  </si>
  <si>
    <t>【原エキスグラフにおける目標値用】</t>
    <rPh sb="1" eb="2">
      <t>ゲン</t>
    </rPh>
    <rPh sb="12" eb="15">
      <t>モクヒョウチ</t>
    </rPh>
    <rPh sb="15" eb="16">
      <t>ヨウ</t>
    </rPh>
    <phoneticPr fontId="1"/>
  </si>
  <si>
    <t>αアミラーゼ</t>
    <phoneticPr fontId="1"/>
  </si>
  <si>
    <t>1000L当りの
使用数量(g)</t>
    <rPh sb="5" eb="6">
      <t>アタ</t>
    </rPh>
    <rPh sb="9" eb="11">
      <t>シヨウ</t>
    </rPh>
    <rPh sb="11" eb="13">
      <t>スウリョウ</t>
    </rPh>
    <phoneticPr fontId="1"/>
  </si>
  <si>
    <t>酒母掛米</t>
    <rPh sb="0" eb="1">
      <t>サケ</t>
    </rPh>
    <rPh sb="1" eb="2">
      <t>ハハ</t>
    </rPh>
    <rPh sb="2" eb="3">
      <t>カ</t>
    </rPh>
    <rPh sb="3" eb="4">
      <t>コメ</t>
    </rPh>
    <phoneticPr fontId="1"/>
  </si>
  <si>
    <t>浸漬後
吸水率（％）
（自動計算）</t>
    <rPh sb="0" eb="2">
      <t>シンセキ</t>
    </rPh>
    <rPh sb="2" eb="3">
      <t>ゴ</t>
    </rPh>
    <rPh sb="4" eb="6">
      <t>キュウスイ</t>
    </rPh>
    <rPh sb="6" eb="7">
      <t>リツ</t>
    </rPh>
    <rPh sb="12" eb="14">
      <t>ジドウ</t>
    </rPh>
    <rPh sb="14" eb="16">
      <t>ケイサン</t>
    </rPh>
    <phoneticPr fontId="1"/>
  </si>
  <si>
    <t>純アルコール数量(L)</t>
    <rPh sb="0" eb="1">
      <t>ジュン</t>
    </rPh>
    <rPh sb="6" eb="8">
      <t>スウリョウ</t>
    </rPh>
    <phoneticPr fontId="1"/>
  </si>
  <si>
    <t>（参考）もろみ製造に係るその他記録事項</t>
    <rPh sb="1" eb="3">
      <t>サンコウ</t>
    </rPh>
    <rPh sb="7" eb="9">
      <t>セイゾウ</t>
    </rPh>
    <rPh sb="10" eb="11">
      <t>カカ</t>
    </rPh>
    <rPh sb="14" eb="15">
      <t>タ</t>
    </rPh>
    <rPh sb="15" eb="17">
      <t>キロク</t>
    </rPh>
    <rPh sb="17" eb="19">
      <t>ジコウ</t>
    </rPh>
    <phoneticPr fontId="1"/>
  </si>
  <si>
    <t>室温（℃）</t>
    <rPh sb="0" eb="2">
      <t>シツオン</t>
    </rPh>
    <phoneticPr fontId="1"/>
  </si>
  <si>
    <t>温度（℃）</t>
    <rPh sb="0" eb="2">
      <t>オンド</t>
    </rPh>
    <phoneticPr fontId="1"/>
  </si>
  <si>
    <t>浸漬後
白米水分（％）
（自動計算）</t>
    <rPh sb="0" eb="2">
      <t>シンセキ</t>
    </rPh>
    <rPh sb="2" eb="3">
      <t>ゴ</t>
    </rPh>
    <rPh sb="4" eb="6">
      <t>ハクマイ</t>
    </rPh>
    <rPh sb="6" eb="8">
      <t>スイブン</t>
    </rPh>
    <rPh sb="13" eb="15">
      <t>ジドウ</t>
    </rPh>
    <rPh sb="15" eb="17">
      <t>ケイサン</t>
    </rPh>
    <phoneticPr fontId="1"/>
  </si>
  <si>
    <t>こしき置き前
白米水分（％）</t>
    <rPh sb="3" eb="4">
      <t>オ</t>
    </rPh>
    <rPh sb="5" eb="6">
      <t>マエ</t>
    </rPh>
    <rPh sb="7" eb="9">
      <t>ハクマイ</t>
    </rPh>
    <rPh sb="9" eb="11">
      <t>スイブン</t>
    </rPh>
    <phoneticPr fontId="1"/>
  </si>
  <si>
    <t>蒸し出し即時
白米水分（％）</t>
    <rPh sb="7" eb="9">
      <t>ハクマイ</t>
    </rPh>
    <rPh sb="9" eb="11">
      <t>スイブン</t>
    </rPh>
    <phoneticPr fontId="1"/>
  </si>
  <si>
    <t>浸漬後
重量（kg）</t>
    <phoneticPr fontId="1"/>
  </si>
  <si>
    <t>浸せき前
重量（kg）</t>
    <rPh sb="0" eb="1">
      <t>ヒタ</t>
    </rPh>
    <rPh sb="3" eb="4">
      <t>マエ</t>
    </rPh>
    <rPh sb="5" eb="7">
      <t>ジュウリョウ</t>
    </rPh>
    <phoneticPr fontId="1"/>
  </si>
  <si>
    <t>原エキス分のくみ水補正（100％換算）</t>
    <rPh sb="0" eb="1">
      <t>ハラ</t>
    </rPh>
    <rPh sb="4" eb="5">
      <t>ブン</t>
    </rPh>
    <rPh sb="8" eb="9">
      <t>ミズ</t>
    </rPh>
    <rPh sb="9" eb="11">
      <t>ホセイ</t>
    </rPh>
    <rPh sb="16" eb="18">
      <t>カンサン</t>
    </rPh>
    <phoneticPr fontId="1"/>
  </si>
  <si>
    <t>補正する</t>
  </si>
  <si>
    <t>仕込名</t>
    <rPh sb="0" eb="2">
      <t>シコミ</t>
    </rPh>
    <rPh sb="2" eb="3">
      <t>メイ</t>
    </rPh>
    <phoneticPr fontId="1"/>
  </si>
  <si>
    <t>グレースケール</t>
    <phoneticPr fontId="1"/>
  </si>
  <si>
    <t>カラー</t>
  </si>
  <si>
    <t>原エキス直線１(100%)</t>
    <rPh sb="0" eb="1">
      <t>ゲン</t>
    </rPh>
    <rPh sb="4" eb="6">
      <t>チョクセン</t>
    </rPh>
    <phoneticPr fontId="1"/>
  </si>
  <si>
    <t>原エキス直線２(100%)</t>
    <rPh sb="0" eb="1">
      <t>ゲン</t>
    </rPh>
    <rPh sb="4" eb="6">
      <t>チョクセン</t>
    </rPh>
    <phoneticPr fontId="1"/>
  </si>
  <si>
    <t>田中宏典</t>
    <rPh sb="0" eb="2">
      <t>タナカ</t>
    </rPh>
    <rPh sb="2" eb="4">
      <t>ヒロノリ</t>
    </rPh>
    <phoneticPr fontId="1"/>
  </si>
  <si>
    <t>しない</t>
  </si>
  <si>
    <t>今回の仕込み</t>
    <rPh sb="0" eb="2">
      <t>コンカイ</t>
    </rPh>
    <rPh sb="3" eb="5">
      <t>シコミ</t>
    </rPh>
    <phoneticPr fontId="29"/>
  </si>
  <si>
    <t>酵母名</t>
    <rPh sb="0" eb="2">
      <t>コウボ</t>
    </rPh>
    <rPh sb="2" eb="3">
      <t>メイ</t>
    </rPh>
    <phoneticPr fontId="29"/>
  </si>
  <si>
    <t>米の品種</t>
    <rPh sb="0" eb="1">
      <t>コメ</t>
    </rPh>
    <rPh sb="2" eb="4">
      <t>ヒンシュ</t>
    </rPh>
    <phoneticPr fontId="29"/>
  </si>
  <si>
    <t>精米歩合</t>
    <rPh sb="0" eb="2">
      <t>セイマイ</t>
    </rPh>
    <rPh sb="2" eb="4">
      <t>ブアイ</t>
    </rPh>
    <phoneticPr fontId="29"/>
  </si>
  <si>
    <t>メモ欄</t>
    <rPh sb="2" eb="3">
      <t>ラン</t>
    </rPh>
    <phoneticPr fontId="29"/>
  </si>
  <si>
    <t>目標原エキス分100％換算値</t>
    <rPh sb="0" eb="2">
      <t>モクヒョウ</t>
    </rPh>
    <rPh sb="2" eb="3">
      <t>ハラ</t>
    </rPh>
    <rPh sb="6" eb="7">
      <t>ブン</t>
    </rPh>
    <rPh sb="11" eb="13">
      <t>カンサン</t>
    </rPh>
    <rPh sb="13" eb="14">
      <t>アタイ</t>
    </rPh>
    <phoneticPr fontId="1"/>
  </si>
  <si>
    <t>目標アルコールエキス分100％換算値</t>
    <rPh sb="0" eb="2">
      <t>モクヒョウ</t>
    </rPh>
    <rPh sb="10" eb="11">
      <t>ブン</t>
    </rPh>
    <rPh sb="15" eb="17">
      <t>カンサン</t>
    </rPh>
    <rPh sb="17" eb="18">
      <t>アタイ</t>
    </rPh>
    <phoneticPr fontId="1"/>
  </si>
  <si>
    <t>目標エキス分100％換算値</t>
    <rPh sb="0" eb="2">
      <t>モクヒョウ</t>
    </rPh>
    <rPh sb="5" eb="6">
      <t>ブン</t>
    </rPh>
    <rPh sb="10" eb="12">
      <t>カンサン</t>
    </rPh>
    <rPh sb="12" eb="13">
      <t>アタイ</t>
    </rPh>
    <phoneticPr fontId="1"/>
  </si>
  <si>
    <t>目標発酵度</t>
    <rPh sb="0" eb="2">
      <t>モクヒョウ</t>
    </rPh>
    <rPh sb="2" eb="4">
      <t>ハッコウ</t>
    </rPh>
    <rPh sb="4" eb="5">
      <t>ド</t>
    </rPh>
    <phoneticPr fontId="1"/>
  </si>
  <si>
    <t>アルコールエキス分100%換算値</t>
    <rPh sb="8" eb="9">
      <t>ブン</t>
    </rPh>
    <rPh sb="13" eb="16">
      <t>カンサンアタイ</t>
    </rPh>
    <phoneticPr fontId="1"/>
  </si>
  <si>
    <t>エキス分100%換算値</t>
    <rPh sb="3" eb="4">
      <t>ブン</t>
    </rPh>
    <rPh sb="8" eb="10">
      <t>カンサン</t>
    </rPh>
    <rPh sb="10" eb="11">
      <t>アタイ</t>
    </rPh>
    <phoneticPr fontId="1"/>
  </si>
  <si>
    <t>原エキス分100%換算値</t>
    <rPh sb="0" eb="1">
      <t>ゲン</t>
    </rPh>
    <rPh sb="4" eb="5">
      <t>ブン</t>
    </rPh>
    <rPh sb="9" eb="11">
      <t>カンサン</t>
    </rPh>
    <rPh sb="11" eb="12">
      <t>アタイ</t>
    </rPh>
    <phoneticPr fontId="1"/>
  </si>
  <si>
    <t>発酵度</t>
    <rPh sb="0" eb="2">
      <t>ハッコウ</t>
    </rPh>
    <rPh sb="2" eb="3">
      <t>ド</t>
    </rPh>
    <phoneticPr fontId="1"/>
  </si>
  <si>
    <t>１１回目</t>
    <rPh sb="2" eb="4">
      <t>カイメ</t>
    </rPh>
    <phoneticPr fontId="1"/>
  </si>
  <si>
    <t>１２回目</t>
    <rPh sb="2" eb="4">
      <t>カイメ</t>
    </rPh>
    <phoneticPr fontId="1"/>
  </si>
  <si>
    <t>１３回目</t>
    <rPh sb="2" eb="4">
      <t>カイメ</t>
    </rPh>
    <phoneticPr fontId="1"/>
  </si>
  <si>
    <t>１４回目</t>
    <rPh sb="2" eb="4">
      <t>カイメ</t>
    </rPh>
    <phoneticPr fontId="1"/>
  </si>
  <si>
    <t>１５回目</t>
    <rPh sb="2" eb="4">
      <t>カイメ</t>
    </rPh>
    <phoneticPr fontId="1"/>
  </si>
  <si>
    <t>１６回目</t>
    <rPh sb="2" eb="4">
      <t>カイメ</t>
    </rPh>
    <phoneticPr fontId="1"/>
  </si>
  <si>
    <t>１７回目</t>
    <rPh sb="2" eb="4">
      <t>カイメ</t>
    </rPh>
    <phoneticPr fontId="1"/>
  </si>
  <si>
    <t>１８回目</t>
    <rPh sb="2" eb="4">
      <t>カイメ</t>
    </rPh>
    <phoneticPr fontId="1"/>
  </si>
  <si>
    <t>１９回目</t>
    <rPh sb="2" eb="4">
      <t>カイメ</t>
    </rPh>
    <phoneticPr fontId="1"/>
  </si>
  <si>
    <t>２０回目</t>
    <rPh sb="2" eb="4">
      <t>カイメ</t>
    </rPh>
    <phoneticPr fontId="1"/>
  </si>
  <si>
    <t>追水１１</t>
    <rPh sb="0" eb="1">
      <t>オ</t>
    </rPh>
    <rPh sb="1" eb="2">
      <t>ミズ</t>
    </rPh>
    <phoneticPr fontId="1"/>
  </si>
  <si>
    <t>追水１２</t>
    <rPh sb="0" eb="1">
      <t>オ</t>
    </rPh>
    <rPh sb="1" eb="2">
      <t>ミズ</t>
    </rPh>
    <phoneticPr fontId="1"/>
  </si>
  <si>
    <t>追水１３</t>
    <rPh sb="0" eb="1">
      <t>オ</t>
    </rPh>
    <rPh sb="1" eb="2">
      <t>ミズ</t>
    </rPh>
    <phoneticPr fontId="1"/>
  </si>
  <si>
    <t>追水１４</t>
    <rPh sb="0" eb="1">
      <t>オ</t>
    </rPh>
    <rPh sb="1" eb="2">
      <t>ミズ</t>
    </rPh>
    <phoneticPr fontId="1"/>
  </si>
  <si>
    <t>追水１５</t>
    <rPh sb="0" eb="1">
      <t>オ</t>
    </rPh>
    <rPh sb="1" eb="2">
      <t>ミズ</t>
    </rPh>
    <phoneticPr fontId="1"/>
  </si>
  <si>
    <t>追水１６</t>
    <rPh sb="0" eb="1">
      <t>オ</t>
    </rPh>
    <rPh sb="1" eb="2">
      <t>ミズ</t>
    </rPh>
    <phoneticPr fontId="1"/>
  </si>
  <si>
    <t>追水１７</t>
    <rPh sb="0" eb="1">
      <t>オ</t>
    </rPh>
    <rPh sb="1" eb="2">
      <t>ミズ</t>
    </rPh>
    <phoneticPr fontId="1"/>
  </si>
  <si>
    <t>追水１８</t>
    <rPh sb="0" eb="1">
      <t>オ</t>
    </rPh>
    <rPh sb="1" eb="2">
      <t>ミズ</t>
    </rPh>
    <phoneticPr fontId="1"/>
  </si>
  <si>
    <t>追水１９</t>
    <rPh sb="0" eb="1">
      <t>オ</t>
    </rPh>
    <rPh sb="1" eb="2">
      <t>ミズ</t>
    </rPh>
    <phoneticPr fontId="1"/>
  </si>
  <si>
    <t>追水２０</t>
    <rPh sb="0" eb="1">
      <t>オ</t>
    </rPh>
    <rPh sb="1" eb="2">
      <t>ミズ</t>
    </rPh>
    <phoneticPr fontId="1"/>
  </si>
  <si>
    <t>発酵エキス分</t>
    <rPh sb="0" eb="2">
      <t>ハッコウ</t>
    </rPh>
    <rPh sb="5" eb="6">
      <t>ブン</t>
    </rPh>
    <phoneticPr fontId="1"/>
  </si>
  <si>
    <t>発酵エキス分100%（g/100ml）</t>
    <rPh sb="0" eb="2">
      <t>ハッコウ</t>
    </rPh>
    <rPh sb="5" eb="6">
      <t>ブン</t>
    </rPh>
    <phoneticPr fontId="1"/>
  </si>
  <si>
    <t>残エキス分100%（g/100ml）</t>
    <rPh sb="0" eb="1">
      <t>ザン</t>
    </rPh>
    <rPh sb="4" eb="5">
      <t>ブン</t>
    </rPh>
    <phoneticPr fontId="1"/>
  </si>
  <si>
    <t>原エキス分100%（g/100ml）</t>
    <rPh sb="0" eb="1">
      <t>ゲン</t>
    </rPh>
    <rPh sb="4" eb="5">
      <t>ブン</t>
    </rPh>
    <phoneticPr fontId="1"/>
  </si>
  <si>
    <t>真正発酵度</t>
    <rPh sb="0" eb="2">
      <t>シンセイ</t>
    </rPh>
    <rPh sb="2" eb="4">
      <t>ハッコウ</t>
    </rPh>
    <rPh sb="4" eb="5">
      <t>ド</t>
    </rPh>
    <phoneticPr fontId="1"/>
  </si>
  <si>
    <t>発酵エキス分100%（目標）</t>
    <rPh sb="0" eb="2">
      <t>ハッコウ</t>
    </rPh>
    <rPh sb="5" eb="6">
      <t>ブン</t>
    </rPh>
    <rPh sb="11" eb="13">
      <t>モクヒョウ</t>
    </rPh>
    <phoneticPr fontId="1"/>
  </si>
  <si>
    <t>残エキス分100%（目標）</t>
    <rPh sb="0" eb="1">
      <t>ザン</t>
    </rPh>
    <rPh sb="4" eb="5">
      <t>ブン</t>
    </rPh>
    <phoneticPr fontId="1"/>
  </si>
  <si>
    <t>原エキス分100%（目標）</t>
    <rPh sb="0" eb="1">
      <t>ゲン</t>
    </rPh>
    <rPh sb="4" eb="5">
      <t>ブン</t>
    </rPh>
    <phoneticPr fontId="1"/>
  </si>
  <si>
    <t>真正発酵度（目標）</t>
    <rPh sb="0" eb="2">
      <t>シンセイ</t>
    </rPh>
    <rPh sb="2" eb="4">
      <t>ハッコウ</t>
    </rPh>
    <rPh sb="4" eb="5">
      <t>ド</t>
    </rPh>
    <rPh sb="6" eb="8">
      <t>モクヒョウ</t>
    </rPh>
    <phoneticPr fontId="29"/>
  </si>
  <si>
    <t>比較もろみ１</t>
    <rPh sb="0" eb="2">
      <t>ヒカク</t>
    </rPh>
    <phoneticPr fontId="29"/>
  </si>
  <si>
    <t>比較もろみ２</t>
    <rPh sb="0" eb="2">
      <t>ヒカク</t>
    </rPh>
    <phoneticPr fontId="29"/>
  </si>
  <si>
    <t>比較もろみ３</t>
    <rPh sb="0" eb="2">
      <t>ヒカク</t>
    </rPh>
    <phoneticPr fontId="29"/>
  </si>
  <si>
    <t>比較もろみ４</t>
    <rPh sb="0" eb="2">
      <t>ヒカク</t>
    </rPh>
    <phoneticPr fontId="29"/>
  </si>
  <si>
    <t>比較もろみ５</t>
    <rPh sb="0" eb="2">
      <t>ヒカク</t>
    </rPh>
    <phoneticPr fontId="29"/>
  </si>
  <si>
    <t>比較もろみ６</t>
    <rPh sb="0" eb="2">
      <t>ヒカク</t>
    </rPh>
    <phoneticPr fontId="29"/>
  </si>
  <si>
    <t>比較もろみ７</t>
    <rPh sb="0" eb="2">
      <t>ヒカク</t>
    </rPh>
    <phoneticPr fontId="29"/>
  </si>
  <si>
    <t>比較もろみ８</t>
    <rPh sb="0" eb="2">
      <t>ヒカク</t>
    </rPh>
    <phoneticPr fontId="29"/>
  </si>
  <si>
    <t>総水量</t>
    <rPh sb="0" eb="1">
      <t>ソウ</t>
    </rPh>
    <rPh sb="1" eb="2">
      <t>ミズ</t>
    </rPh>
    <rPh sb="2" eb="3">
      <t>リョウ</t>
    </rPh>
    <phoneticPr fontId="29"/>
  </si>
  <si>
    <t>汲水歩合</t>
    <rPh sb="0" eb="1">
      <t>ク</t>
    </rPh>
    <rPh sb="1" eb="2">
      <t>ミズ</t>
    </rPh>
    <rPh sb="2" eb="4">
      <t>ブアイ</t>
    </rPh>
    <phoneticPr fontId="29"/>
  </si>
  <si>
    <t>上槽時（アル添時）の各成分値予測</t>
    <rPh sb="0" eb="1">
      <t>ウエ</t>
    </rPh>
    <rPh sb="2" eb="3">
      <t>ジ</t>
    </rPh>
    <rPh sb="6" eb="7">
      <t>テン</t>
    </rPh>
    <rPh sb="7" eb="8">
      <t>ジ</t>
    </rPh>
    <rPh sb="10" eb="13">
      <t>カクセイブン</t>
    </rPh>
    <rPh sb="13" eb="14">
      <t>チ</t>
    </rPh>
    <rPh sb="14" eb="16">
      <t>ヨソク</t>
    </rPh>
    <phoneticPr fontId="29"/>
  </si>
  <si>
    <t>アルコール分</t>
    <rPh sb="5" eb="6">
      <t>ブン</t>
    </rPh>
    <phoneticPr fontId="29"/>
  </si>
  <si>
    <t>発酵度(%)</t>
    <rPh sb="0" eb="2">
      <t>ハッコウ</t>
    </rPh>
    <rPh sb="2" eb="3">
      <t>ド</t>
    </rPh>
    <phoneticPr fontId="29"/>
  </si>
  <si>
    <t>日本酒度</t>
    <rPh sb="0" eb="3">
      <t>ニホンシュ</t>
    </rPh>
    <rPh sb="3" eb="4">
      <t>ド</t>
    </rPh>
    <phoneticPr fontId="29"/>
  </si>
  <si>
    <t>汲水歩合(%)</t>
    <rPh sb="0" eb="1">
      <t>ク</t>
    </rPh>
    <rPh sb="1" eb="2">
      <t>ミズ</t>
    </rPh>
    <rPh sb="2" eb="4">
      <t>ブアイ</t>
    </rPh>
    <phoneticPr fontId="29"/>
  </si>
  <si>
    <t>エキス分</t>
    <rPh sb="3" eb="4">
      <t>ブン</t>
    </rPh>
    <phoneticPr fontId="29"/>
  </si>
  <si>
    <t>原エキス分</t>
    <rPh sb="0" eb="1">
      <t>ハラ</t>
    </rPh>
    <rPh sb="4" eb="5">
      <t>ブン</t>
    </rPh>
    <phoneticPr fontId="29"/>
  </si>
  <si>
    <t>追水量（""を０に変換)</t>
    <rPh sb="0" eb="1">
      <t>オ</t>
    </rPh>
    <rPh sb="1" eb="2">
      <t>ミズ</t>
    </rPh>
    <rPh sb="2" eb="3">
      <t>リョウ</t>
    </rPh>
    <rPh sb="9" eb="11">
      <t>ヘンカン</t>
    </rPh>
    <phoneticPr fontId="1"/>
  </si>
  <si>
    <t>原エキス分100%</t>
    <rPh sb="0" eb="1">
      <t>ハラ</t>
    </rPh>
    <rPh sb="4" eb="5">
      <t>ブン</t>
    </rPh>
    <phoneticPr fontId="29"/>
  </si>
  <si>
    <t>上限</t>
    <rPh sb="0" eb="2">
      <t>ジョウゲン</t>
    </rPh>
    <phoneticPr fontId="29"/>
  </si>
  <si>
    <t>発酵度</t>
    <rPh sb="0" eb="2">
      <t>ハッコウ</t>
    </rPh>
    <rPh sb="2" eb="3">
      <t>ド</t>
    </rPh>
    <phoneticPr fontId="1"/>
  </si>
  <si>
    <t/>
  </si>
  <si>
    <t>もろみエールについて</t>
    <phoneticPr fontId="1"/>
  </si>
  <si>
    <t>グレースケールでの表示を可能とした。</t>
    <rPh sb="9" eb="11">
      <t>ヒョウジ</t>
    </rPh>
    <rPh sb="12" eb="14">
      <t>カノウ</t>
    </rPh>
    <phoneticPr fontId="1"/>
  </si>
  <si>
    <t>もろみエールVer1.0と合体したことにより、もろみエールVer2へ名称の変更。
醪経過描画ツールともろみエールが連動。液化力、発酵力、糖化力の欄を削除。日々の汲水歩合を表示。追水補正が20回まで可能。</t>
    <rPh sb="13" eb="15">
      <t>ガッタイ</t>
    </rPh>
    <rPh sb="34" eb="36">
      <t>メイショウ</t>
    </rPh>
    <rPh sb="37" eb="39">
      <t>ヘンコウ</t>
    </rPh>
    <rPh sb="41" eb="46">
      <t>モロミケイカビョウガ</t>
    </rPh>
    <rPh sb="57" eb="59">
      <t>レンドウ</t>
    </rPh>
    <rPh sb="60" eb="62">
      <t>エキカ</t>
    </rPh>
    <rPh sb="62" eb="63">
      <t>リョク</t>
    </rPh>
    <rPh sb="64" eb="66">
      <t>ハッコウ</t>
    </rPh>
    <rPh sb="66" eb="67">
      <t>リョク</t>
    </rPh>
    <rPh sb="68" eb="70">
      <t>トウカ</t>
    </rPh>
    <rPh sb="70" eb="71">
      <t>リョク</t>
    </rPh>
    <rPh sb="72" eb="73">
      <t>ラン</t>
    </rPh>
    <rPh sb="74" eb="76">
      <t>サクジョ</t>
    </rPh>
    <rPh sb="77" eb="79">
      <t>ヒビ</t>
    </rPh>
    <rPh sb="80" eb="81">
      <t>ク</t>
    </rPh>
    <rPh sb="81" eb="82">
      <t>ミズ</t>
    </rPh>
    <rPh sb="82" eb="84">
      <t>ブアイ</t>
    </rPh>
    <rPh sb="85" eb="87">
      <t>ヒョウジ</t>
    </rPh>
    <rPh sb="88" eb="89">
      <t>ツイ</t>
    </rPh>
    <rPh sb="89" eb="90">
      <t>ミズ</t>
    </rPh>
    <rPh sb="90" eb="92">
      <t>ホセイ</t>
    </rPh>
    <rPh sb="95" eb="96">
      <t>カイ</t>
    </rPh>
    <rPh sb="98" eb="100">
      <t>カノウ</t>
    </rPh>
    <phoneticPr fontId="1"/>
  </si>
  <si>
    <t>仕込名</t>
    <rPh sb="0" eb="2">
      <t>シコミ</t>
    </rPh>
    <rPh sb="2" eb="3">
      <t>メイ</t>
    </rPh>
    <phoneticPr fontId="29"/>
  </si>
  <si>
    <t>見本例</t>
    <rPh sb="0" eb="2">
      <t>ミホン</t>
    </rPh>
    <rPh sb="2" eb="3">
      <t>レイ</t>
    </rPh>
    <phoneticPr fontId="1"/>
  </si>
  <si>
    <t>操作方法</t>
    <rPh sb="0" eb="2">
      <t>ソウサ</t>
    </rPh>
    <rPh sb="2" eb="4">
      <t>ホウホウ</t>
    </rPh>
    <phoneticPr fontId="1"/>
  </si>
  <si>
    <t>【比較する醪経過の追加】
　各グラフをクリックすると、フィルターボタン（漏斗の形のボタン）が表示されますので、そちらをクリックしたうえで、グラフに表示させたい醪経過を選択し、「適用」をクリックすると、グラフ上に別の醪経過の推移が表示され、比較することができます。</t>
    <rPh sb="1" eb="3">
      <t>ヒカク</t>
    </rPh>
    <rPh sb="5" eb="6">
      <t>モロミ</t>
    </rPh>
    <rPh sb="6" eb="8">
      <t>ケイカ</t>
    </rPh>
    <rPh sb="9" eb="11">
      <t>ツイカ</t>
    </rPh>
    <rPh sb="14" eb="15">
      <t>カク</t>
    </rPh>
    <rPh sb="36" eb="38">
      <t>ロウト</t>
    </rPh>
    <rPh sb="39" eb="40">
      <t>カタチ</t>
    </rPh>
    <rPh sb="46" eb="48">
      <t>ヒョウジ</t>
    </rPh>
    <rPh sb="73" eb="75">
      <t>ヒョウジ</t>
    </rPh>
    <rPh sb="79" eb="80">
      <t>モロミ</t>
    </rPh>
    <rPh sb="80" eb="82">
      <t>ケイカ</t>
    </rPh>
    <rPh sb="83" eb="85">
      <t>センタク</t>
    </rPh>
    <rPh sb="88" eb="90">
      <t>テキヨウ</t>
    </rPh>
    <rPh sb="103" eb="104">
      <t>ジョウ</t>
    </rPh>
    <rPh sb="105" eb="106">
      <t>ベツ</t>
    </rPh>
    <rPh sb="107" eb="110">
      <t>モロミケイカ</t>
    </rPh>
    <rPh sb="111" eb="113">
      <t>スイイ</t>
    </rPh>
    <rPh sb="114" eb="116">
      <t>ヒョウジ</t>
    </rPh>
    <rPh sb="119" eb="121">
      <t>ヒカク</t>
    </rPh>
    <phoneticPr fontId="1"/>
  </si>
  <si>
    <t xml:space="preserve">【入力情報が自動転記】
　続いて、「原エキス分100％・発酵度など」のタブに移ります。
　仕込名称、仕込配合、追水量、ボーメ（日本酒度）、アルコール度数が転記されていることが確認できます。
【原エキス分100％・発酵度などの数値】
　仕込配合、ボーメ（日本酒度）及びアルコール度数から原エキス分100％や発酵度のほか、日々の汲水歩合が表示されていることを確認できます。
【目標値の設定】
　原エキス分100％の目標値は自社の米の溶け具合を指標にしてください。ほとんどの出品酒の場合、発酵度は80程度に収束します。アルコールエキス分100％とエキス分100％の数値は原エキス分100％と発酵度の値から求めることができます。
</t>
    <rPh sb="1" eb="3">
      <t>ニュウリョク</t>
    </rPh>
    <rPh sb="3" eb="5">
      <t>ジョウホウ</t>
    </rPh>
    <rPh sb="6" eb="8">
      <t>ジドウ</t>
    </rPh>
    <rPh sb="8" eb="10">
      <t>テンキ</t>
    </rPh>
    <rPh sb="13" eb="14">
      <t>ツヅ</t>
    </rPh>
    <rPh sb="18" eb="19">
      <t>ハラ</t>
    </rPh>
    <rPh sb="22" eb="23">
      <t>ブン</t>
    </rPh>
    <rPh sb="28" eb="30">
      <t>ハッコウ</t>
    </rPh>
    <rPh sb="30" eb="31">
      <t>ド</t>
    </rPh>
    <rPh sb="38" eb="39">
      <t>ウツ</t>
    </rPh>
    <rPh sb="45" eb="47">
      <t>シコミ</t>
    </rPh>
    <rPh sb="47" eb="49">
      <t>メイショウ</t>
    </rPh>
    <rPh sb="50" eb="52">
      <t>シコミ</t>
    </rPh>
    <rPh sb="52" eb="54">
      <t>ハイゴウ</t>
    </rPh>
    <rPh sb="55" eb="56">
      <t>オ</t>
    </rPh>
    <rPh sb="56" eb="57">
      <t>ミズ</t>
    </rPh>
    <rPh sb="57" eb="58">
      <t>リョウ</t>
    </rPh>
    <rPh sb="63" eb="66">
      <t>ニホンシュ</t>
    </rPh>
    <rPh sb="66" eb="67">
      <t>ド</t>
    </rPh>
    <rPh sb="74" eb="76">
      <t>ドスウ</t>
    </rPh>
    <rPh sb="77" eb="79">
      <t>テンキ</t>
    </rPh>
    <rPh sb="87" eb="89">
      <t>カクニン</t>
    </rPh>
    <rPh sb="96" eb="97">
      <t>ハラ</t>
    </rPh>
    <rPh sb="100" eb="101">
      <t>ブン</t>
    </rPh>
    <rPh sb="106" eb="109">
      <t>ハッコウド</t>
    </rPh>
    <rPh sb="112" eb="114">
      <t>スウチ</t>
    </rPh>
    <rPh sb="117" eb="119">
      <t>シコミ</t>
    </rPh>
    <rPh sb="119" eb="121">
      <t>ハイゴウ</t>
    </rPh>
    <rPh sb="126" eb="130">
      <t>ニホンシュド</t>
    </rPh>
    <rPh sb="131" eb="132">
      <t>オヨ</t>
    </rPh>
    <rPh sb="138" eb="140">
      <t>ドスウ</t>
    </rPh>
    <rPh sb="142" eb="143">
      <t>ハラ</t>
    </rPh>
    <rPh sb="146" eb="147">
      <t>ブン</t>
    </rPh>
    <rPh sb="152" eb="155">
      <t>ハッコウド</t>
    </rPh>
    <rPh sb="159" eb="161">
      <t>ヒビ</t>
    </rPh>
    <rPh sb="162" eb="163">
      <t>ク</t>
    </rPh>
    <rPh sb="163" eb="164">
      <t>ミズ</t>
    </rPh>
    <rPh sb="164" eb="166">
      <t>ブアイ</t>
    </rPh>
    <rPh sb="167" eb="169">
      <t>ヒョウジ</t>
    </rPh>
    <rPh sb="177" eb="179">
      <t>カクニン</t>
    </rPh>
    <rPh sb="186" eb="189">
      <t>モクヒョウチ</t>
    </rPh>
    <rPh sb="190" eb="192">
      <t>セッテイ</t>
    </rPh>
    <rPh sb="195" eb="196">
      <t>ハラ</t>
    </rPh>
    <rPh sb="199" eb="200">
      <t>ブン</t>
    </rPh>
    <rPh sb="205" eb="208">
      <t>モクヒョウチ</t>
    </rPh>
    <rPh sb="209" eb="211">
      <t>ジシャ</t>
    </rPh>
    <rPh sb="212" eb="213">
      <t>コメ</t>
    </rPh>
    <rPh sb="214" eb="215">
      <t>ト</t>
    </rPh>
    <rPh sb="216" eb="218">
      <t>グアイ</t>
    </rPh>
    <rPh sb="219" eb="221">
      <t>シヒョウ</t>
    </rPh>
    <rPh sb="234" eb="236">
      <t>シュッピン</t>
    </rPh>
    <rPh sb="236" eb="237">
      <t>シュ</t>
    </rPh>
    <rPh sb="238" eb="240">
      <t>バアイ</t>
    </rPh>
    <rPh sb="241" eb="243">
      <t>ハッコウ</t>
    </rPh>
    <rPh sb="243" eb="244">
      <t>ド</t>
    </rPh>
    <rPh sb="247" eb="249">
      <t>テイド</t>
    </rPh>
    <rPh sb="250" eb="252">
      <t>シュウソク</t>
    </rPh>
    <rPh sb="264" eb="265">
      <t>ブン</t>
    </rPh>
    <rPh sb="273" eb="274">
      <t>ブン</t>
    </rPh>
    <rPh sb="279" eb="281">
      <t>スウチ</t>
    </rPh>
    <rPh sb="282" eb="283">
      <t>ハラ</t>
    </rPh>
    <rPh sb="286" eb="287">
      <t>ブン</t>
    </rPh>
    <rPh sb="292" eb="294">
      <t>ハッコウ</t>
    </rPh>
    <rPh sb="294" eb="295">
      <t>ド</t>
    </rPh>
    <rPh sb="296" eb="297">
      <t>アタイ</t>
    </rPh>
    <rPh sb="299" eb="300">
      <t>モト</t>
    </rPh>
    <phoneticPr fontId="1"/>
  </si>
  <si>
    <t xml:space="preserve">【比較用の醪経過簿の入力】
　今回の仕込と比較するための過去の醪経過がありましたら、そちらの入力をします。具体的には、酒造年度の違う仕込みや、原料処理方法を変更した仕込みなどになります。
　入力項目は、仕込名称、仕込配合、追水量、ボーメ（日本酒度）、アルコール度数が必須となります。
　その結果、原エキス分100％や発酵度等が自動計算の上、表示されます
　比較用の醪経過の入力は全部で８個までセットすることができます。入力した結果は「比較グラフ」タブ内のグラフに表示されます。
</t>
    <rPh sb="1" eb="4">
      <t>ヒカクヨウ</t>
    </rPh>
    <rPh sb="5" eb="6">
      <t>モロミ</t>
    </rPh>
    <rPh sb="6" eb="8">
      <t>ケイカ</t>
    </rPh>
    <rPh sb="8" eb="9">
      <t>ボ</t>
    </rPh>
    <rPh sb="10" eb="12">
      <t>ニュウリョク</t>
    </rPh>
    <rPh sb="15" eb="17">
      <t>コンカイ</t>
    </rPh>
    <rPh sb="18" eb="20">
      <t>シコミ</t>
    </rPh>
    <rPh sb="21" eb="23">
      <t>ヒカク</t>
    </rPh>
    <rPh sb="28" eb="30">
      <t>カコ</t>
    </rPh>
    <rPh sb="31" eb="32">
      <t>モロミ</t>
    </rPh>
    <rPh sb="32" eb="34">
      <t>ケイカ</t>
    </rPh>
    <rPh sb="46" eb="48">
      <t>ニュウリョク</t>
    </rPh>
    <rPh sb="53" eb="56">
      <t>グタイテキ</t>
    </rPh>
    <rPh sb="59" eb="61">
      <t>シュゾウ</t>
    </rPh>
    <rPh sb="61" eb="63">
      <t>ネンド</t>
    </rPh>
    <rPh sb="64" eb="65">
      <t>チガ</t>
    </rPh>
    <rPh sb="66" eb="68">
      <t>シコミ</t>
    </rPh>
    <rPh sb="71" eb="73">
      <t>ゲンリョウ</t>
    </rPh>
    <rPh sb="73" eb="75">
      <t>ショリ</t>
    </rPh>
    <rPh sb="75" eb="77">
      <t>ホウホウ</t>
    </rPh>
    <rPh sb="78" eb="80">
      <t>ヘンコウ</t>
    </rPh>
    <rPh sb="82" eb="84">
      <t>シコミ</t>
    </rPh>
    <rPh sb="95" eb="97">
      <t>ニュウリョク</t>
    </rPh>
    <rPh sb="97" eb="99">
      <t>コウモク</t>
    </rPh>
    <rPh sb="101" eb="103">
      <t>シコミ</t>
    </rPh>
    <rPh sb="103" eb="105">
      <t>メイショウ</t>
    </rPh>
    <rPh sb="106" eb="108">
      <t>シコミ</t>
    </rPh>
    <rPh sb="108" eb="110">
      <t>ハイゴウ</t>
    </rPh>
    <rPh sb="111" eb="112">
      <t>オ</t>
    </rPh>
    <rPh sb="112" eb="113">
      <t>ミズ</t>
    </rPh>
    <rPh sb="113" eb="114">
      <t>リョウ</t>
    </rPh>
    <rPh sb="119" eb="122">
      <t>ニホンシュ</t>
    </rPh>
    <rPh sb="122" eb="123">
      <t>ド</t>
    </rPh>
    <rPh sb="130" eb="132">
      <t>ドスウ</t>
    </rPh>
    <rPh sb="133" eb="135">
      <t>ヒッス</t>
    </rPh>
    <rPh sb="145" eb="147">
      <t>ケッカ</t>
    </rPh>
    <rPh sb="148" eb="149">
      <t>ハラ</t>
    </rPh>
    <rPh sb="152" eb="153">
      <t>ブン</t>
    </rPh>
    <rPh sb="158" eb="161">
      <t>ハッコウド</t>
    </rPh>
    <rPh sb="161" eb="162">
      <t>ナド</t>
    </rPh>
    <rPh sb="163" eb="165">
      <t>ジドウ</t>
    </rPh>
    <rPh sb="165" eb="167">
      <t>ケイサン</t>
    </rPh>
    <rPh sb="168" eb="169">
      <t>ウエ</t>
    </rPh>
    <rPh sb="170" eb="172">
      <t>ヒョウジ</t>
    </rPh>
    <rPh sb="180" eb="183">
      <t>ヒカクヨウ</t>
    </rPh>
    <rPh sb="184" eb="185">
      <t>モロミ</t>
    </rPh>
    <rPh sb="185" eb="187">
      <t>ケイカ</t>
    </rPh>
    <rPh sb="188" eb="190">
      <t>ニュウリョク</t>
    </rPh>
    <rPh sb="191" eb="193">
      <t>ゼンブ</t>
    </rPh>
    <rPh sb="195" eb="196">
      <t>コ</t>
    </rPh>
    <rPh sb="211" eb="213">
      <t>ニュウリョク</t>
    </rPh>
    <rPh sb="215" eb="217">
      <t>ケッカ</t>
    </rPh>
    <rPh sb="219" eb="221">
      <t>ヒカク</t>
    </rPh>
    <rPh sb="227" eb="228">
      <t>ナイ</t>
    </rPh>
    <rPh sb="233" eb="235">
      <t>ヒョウジ</t>
    </rPh>
    <phoneticPr fontId="1"/>
  </si>
  <si>
    <t>調味液製造</t>
    <rPh sb="0" eb="2">
      <t>チョウミ</t>
    </rPh>
    <rPh sb="2" eb="3">
      <t>エキ</t>
    </rPh>
    <rPh sb="3" eb="5">
      <t>セイゾウ</t>
    </rPh>
    <phoneticPr fontId="1"/>
  </si>
  <si>
    <t>アルコール</t>
    <phoneticPr fontId="1"/>
  </si>
  <si>
    <t>ぶどう糖</t>
    <rPh sb="3" eb="4">
      <t>トウ</t>
    </rPh>
    <phoneticPr fontId="1"/>
  </si>
  <si>
    <t>水あめ</t>
    <rPh sb="0" eb="1">
      <t>ミズ</t>
    </rPh>
    <phoneticPr fontId="1"/>
  </si>
  <si>
    <t>グルタミン酸ソーダ</t>
    <rPh sb="5" eb="6">
      <t>サン</t>
    </rPh>
    <phoneticPr fontId="1"/>
  </si>
  <si>
    <t>乳酸</t>
    <rPh sb="0" eb="2">
      <t>ニュウサン</t>
    </rPh>
    <phoneticPr fontId="1"/>
  </si>
  <si>
    <t>こはく酸</t>
    <rPh sb="3" eb="4">
      <t>サン</t>
    </rPh>
    <phoneticPr fontId="1"/>
  </si>
  <si>
    <t>水</t>
    <rPh sb="0" eb="1">
      <t>ミズ</t>
    </rPh>
    <phoneticPr fontId="1"/>
  </si>
  <si>
    <t>原料</t>
    <rPh sb="0" eb="2">
      <t>ゲンリョウ</t>
    </rPh>
    <phoneticPr fontId="1"/>
  </si>
  <si>
    <t>計</t>
    <rPh sb="0" eb="1">
      <t>ケイ</t>
    </rPh>
    <phoneticPr fontId="1"/>
  </si>
  <si>
    <t>記号</t>
    <rPh sb="0" eb="2">
      <t>キゴウ</t>
    </rPh>
    <phoneticPr fontId="1"/>
  </si>
  <si>
    <t>順号</t>
    <rPh sb="0" eb="1">
      <t>ジュン</t>
    </rPh>
    <rPh sb="1" eb="2">
      <t>ゴウ</t>
    </rPh>
    <phoneticPr fontId="1"/>
  </si>
  <si>
    <t>製造月日</t>
    <rPh sb="0" eb="4">
      <t>セイゾウガッピ</t>
    </rPh>
    <phoneticPr fontId="1"/>
  </si>
  <si>
    <t>容器番号</t>
    <rPh sb="0" eb="4">
      <t>ヨウキバンゴウ</t>
    </rPh>
    <phoneticPr fontId="1"/>
  </si>
  <si>
    <t>深</t>
    <rPh sb="0" eb="1">
      <t>フカ</t>
    </rPh>
    <phoneticPr fontId="1"/>
  </si>
  <si>
    <t>数量(L)</t>
    <rPh sb="0" eb="2">
      <t>スウリョウ</t>
    </rPh>
    <phoneticPr fontId="1"/>
  </si>
  <si>
    <t>アルコール分</t>
    <rPh sb="5" eb="6">
      <t>ブン</t>
    </rPh>
    <phoneticPr fontId="1"/>
  </si>
  <si>
    <t>日本酒度</t>
    <rPh sb="0" eb="4">
      <t>ニホンシュド</t>
    </rPh>
    <phoneticPr fontId="1"/>
  </si>
  <si>
    <t>ボーメ</t>
    <phoneticPr fontId="1"/>
  </si>
  <si>
    <t>酸度</t>
    <rPh sb="0" eb="2">
      <t>サンド</t>
    </rPh>
    <phoneticPr fontId="1"/>
  </si>
  <si>
    <t>使用月日</t>
    <rPh sb="0" eb="4">
      <t>シヨウガッピ</t>
    </rPh>
    <phoneticPr fontId="1"/>
  </si>
  <si>
    <t>もろみ順号</t>
    <rPh sb="3" eb="5">
      <t>ジュンゴウ</t>
    </rPh>
    <phoneticPr fontId="1"/>
  </si>
  <si>
    <t>使用後深</t>
    <rPh sb="0" eb="3">
      <t>シヨウゴ</t>
    </rPh>
    <rPh sb="3" eb="4">
      <t>フカ</t>
    </rPh>
    <phoneticPr fontId="1"/>
  </si>
  <si>
    <t>重量(g)</t>
    <rPh sb="0" eb="2">
      <t>ジュウリョウ</t>
    </rPh>
    <phoneticPr fontId="1"/>
  </si>
  <si>
    <t>使用数量(L)</t>
    <rPh sb="0" eb="4">
      <t>シヨウスウリョウ</t>
    </rPh>
    <phoneticPr fontId="1"/>
  </si>
  <si>
    <t>使用後数量(L)</t>
    <rPh sb="0" eb="3">
      <t>シヨウゴ</t>
    </rPh>
    <rPh sb="3" eb="5">
      <t>スウリョウ</t>
    </rPh>
    <phoneticPr fontId="1"/>
  </si>
  <si>
    <t>添加</t>
    <rPh sb="0" eb="2">
      <t>テンカ</t>
    </rPh>
    <phoneticPr fontId="1"/>
  </si>
  <si>
    <t>白米1000kg当り使用数(L)</t>
    <rPh sb="0" eb="2">
      <t>ハクマイ</t>
    </rPh>
    <rPh sb="8" eb="9">
      <t>アタ</t>
    </rPh>
    <rPh sb="10" eb="13">
      <t>シヨウスウ</t>
    </rPh>
    <phoneticPr fontId="1"/>
  </si>
  <si>
    <t>もろみ１ｋL当り欠減(L)</t>
    <rPh sb="6" eb="7">
      <t>アタ</t>
    </rPh>
    <rPh sb="8" eb="10">
      <t>ケツゲン</t>
    </rPh>
    <phoneticPr fontId="1"/>
  </si>
  <si>
    <t>白米1000kg当り純ｱﾙｺｰﾙ収得量(L)</t>
    <rPh sb="0" eb="2">
      <t>ハクマイ</t>
    </rPh>
    <rPh sb="8" eb="9">
      <t>アタ</t>
    </rPh>
    <rPh sb="10" eb="11">
      <t>ジュン</t>
    </rPh>
    <rPh sb="16" eb="19">
      <t>シュウトクリョウ</t>
    </rPh>
    <phoneticPr fontId="1"/>
  </si>
  <si>
    <t>添加数量合計</t>
    <rPh sb="0" eb="6">
      <t>テンカスウリョウゴウケイ</t>
    </rPh>
    <phoneticPr fontId="1"/>
  </si>
  <si>
    <t>合併生成
もろみ</t>
    <rPh sb="0" eb="2">
      <t>ガッペイ</t>
    </rPh>
    <rPh sb="2" eb="4">
      <t>セイセイ</t>
    </rPh>
    <phoneticPr fontId="1"/>
  </si>
  <si>
    <t>仕込
順号</t>
    <rPh sb="0" eb="2">
      <t>シコ</t>
    </rPh>
    <rPh sb="3" eb="4">
      <t>ジュン</t>
    </rPh>
    <rPh sb="4" eb="5">
      <t>ゴウ</t>
    </rPh>
    <phoneticPr fontId="1"/>
  </si>
  <si>
    <t>号</t>
    <rPh sb="0" eb="1">
      <t>ゴウ</t>
    </rPh>
    <phoneticPr fontId="1"/>
  </si>
  <si>
    <t>自第</t>
    <rPh sb="0" eb="1">
      <t>ジ</t>
    </rPh>
    <rPh sb="1" eb="2">
      <t>ダイ</t>
    </rPh>
    <phoneticPr fontId="1"/>
  </si>
  <si>
    <t>至第</t>
    <rPh sb="0" eb="1">
      <t>イタ</t>
    </rPh>
    <rPh sb="1" eb="2">
      <t>ダイ</t>
    </rPh>
    <phoneticPr fontId="1"/>
  </si>
  <si>
    <t>もろみ
数量(L)</t>
    <rPh sb="4" eb="6">
      <t>スウリョウ</t>
    </rPh>
    <phoneticPr fontId="1"/>
  </si>
  <si>
    <t>純アルコール
数量（L）</t>
    <rPh sb="0" eb="1">
      <t>ジュン</t>
    </rPh>
    <rPh sb="7" eb="9">
      <t>スウリョウ</t>
    </rPh>
    <phoneticPr fontId="1"/>
  </si>
  <si>
    <t>総米(kg)</t>
    <rPh sb="0" eb="2">
      <t>ソウマイ</t>
    </rPh>
    <phoneticPr fontId="1"/>
  </si>
  <si>
    <t>※白色のセルに入力してください。オレンジ色のセルは自動計算されますので入力不要です。</t>
    <rPh sb="1" eb="3">
      <t>シロイロ</t>
    </rPh>
    <rPh sb="7" eb="9">
      <t>ニュウリョク</t>
    </rPh>
    <rPh sb="20" eb="21">
      <t>イロ</t>
    </rPh>
    <rPh sb="25" eb="27">
      <t>ジドウ</t>
    </rPh>
    <rPh sb="27" eb="29">
      <t>ケイサン</t>
    </rPh>
    <rPh sb="35" eb="37">
      <t>ニュウリョク</t>
    </rPh>
    <rPh sb="37" eb="39">
      <t>フヨウ</t>
    </rPh>
    <phoneticPr fontId="1"/>
  </si>
  <si>
    <t>【まず最初に】
　〇号のタブの名称を仕込名に変えます。
（注意点1）
　もろみエールVer3は１つのエクセルファイルで１つの仕込みと対応しています。従って、仕込みの数に応じてファイル数が増えることになります。経過簿の追加にはエクセルファイル（ブック）のコピーをお願いします。
（注意点２）
　オレンジで網掛けしている箇所は自動で計算されて表示される箇所であるため、入力することができません。オレンジ色の配色が目に刺激的である場合は、グレースケール欄を操作してください。</t>
    <rPh sb="3" eb="5">
      <t>サイショ</t>
    </rPh>
    <rPh sb="10" eb="11">
      <t>ゴウ</t>
    </rPh>
    <rPh sb="15" eb="17">
      <t>メイショウ</t>
    </rPh>
    <rPh sb="18" eb="20">
      <t>シコミ</t>
    </rPh>
    <rPh sb="20" eb="21">
      <t>メイ</t>
    </rPh>
    <rPh sb="22" eb="23">
      <t>カ</t>
    </rPh>
    <rPh sb="29" eb="32">
      <t>チュウイテン</t>
    </rPh>
    <rPh sb="104" eb="106">
      <t>ケイカ</t>
    </rPh>
    <rPh sb="106" eb="107">
      <t>ボ</t>
    </rPh>
    <rPh sb="108" eb="110">
      <t>ツイカ</t>
    </rPh>
    <rPh sb="139" eb="142">
      <t>チュウイテン</t>
    </rPh>
    <rPh sb="151" eb="153">
      <t>アミカ</t>
    </rPh>
    <rPh sb="158" eb="160">
      <t>カショ</t>
    </rPh>
    <rPh sb="161" eb="163">
      <t>ジドウ</t>
    </rPh>
    <rPh sb="164" eb="166">
      <t>ケイサン</t>
    </rPh>
    <rPh sb="169" eb="171">
      <t>ヒョウジ</t>
    </rPh>
    <rPh sb="174" eb="176">
      <t>カショ</t>
    </rPh>
    <rPh sb="182" eb="184">
      <t>ニュウリョク</t>
    </rPh>
    <rPh sb="199" eb="200">
      <t>イロ</t>
    </rPh>
    <rPh sb="201" eb="203">
      <t>ハイショク</t>
    </rPh>
    <rPh sb="204" eb="205">
      <t>メ</t>
    </rPh>
    <rPh sb="206" eb="209">
      <t>シゲキテキ</t>
    </rPh>
    <rPh sb="212" eb="214">
      <t>バアイ</t>
    </rPh>
    <rPh sb="223" eb="224">
      <t>ラン</t>
    </rPh>
    <rPh sb="225" eb="227">
      <t>ソウサ</t>
    </rPh>
    <phoneticPr fontId="1"/>
  </si>
  <si>
    <t>【必要最小限の入力事項その１】
　仕込配合を記入します。
（注意点１）
数値以外は入力できないよう設定されています。数値以外は一番下にある作業メモ欄にご記入ください。
（注意点２）
　左の画面には例えば、米の品種や精米歩合などを記入する欄がありますが、記載の有無に関係なく、ツールは動きます。備忘目的として御記入ください。</t>
    <rPh sb="1" eb="6">
      <t>ヒツヨウサイショウゲン</t>
    </rPh>
    <rPh sb="7" eb="9">
      <t>ニュウリョク</t>
    </rPh>
    <rPh sb="9" eb="11">
      <t>ジコウ</t>
    </rPh>
    <rPh sb="17" eb="19">
      <t>シコミ</t>
    </rPh>
    <rPh sb="19" eb="21">
      <t>ハイゴウ</t>
    </rPh>
    <rPh sb="22" eb="24">
      <t>キニュウ</t>
    </rPh>
    <rPh sb="30" eb="33">
      <t>チュウイテン</t>
    </rPh>
    <rPh sb="36" eb="38">
      <t>スウチ</t>
    </rPh>
    <rPh sb="38" eb="40">
      <t>イガイ</t>
    </rPh>
    <rPh sb="41" eb="43">
      <t>ニュウリョク</t>
    </rPh>
    <rPh sb="49" eb="51">
      <t>セッテイ</t>
    </rPh>
    <rPh sb="58" eb="60">
      <t>スウチ</t>
    </rPh>
    <rPh sb="60" eb="62">
      <t>イガイ</t>
    </rPh>
    <rPh sb="63" eb="66">
      <t>イチバンシタ</t>
    </rPh>
    <rPh sb="69" eb="71">
      <t>サギョウ</t>
    </rPh>
    <rPh sb="73" eb="74">
      <t>ラン</t>
    </rPh>
    <rPh sb="76" eb="78">
      <t>キニュウ</t>
    </rPh>
    <rPh sb="85" eb="88">
      <t>チュウイテン</t>
    </rPh>
    <rPh sb="92" eb="93">
      <t>ヒダリ</t>
    </rPh>
    <rPh sb="94" eb="96">
      <t>ガメン</t>
    </rPh>
    <rPh sb="98" eb="99">
      <t>タト</t>
    </rPh>
    <rPh sb="102" eb="103">
      <t>コメ</t>
    </rPh>
    <rPh sb="104" eb="106">
      <t>ヒンシュ</t>
    </rPh>
    <rPh sb="107" eb="109">
      <t>セイマイ</t>
    </rPh>
    <rPh sb="109" eb="111">
      <t>ブアイ</t>
    </rPh>
    <rPh sb="114" eb="116">
      <t>キニュウ</t>
    </rPh>
    <rPh sb="118" eb="119">
      <t>ラン</t>
    </rPh>
    <rPh sb="126" eb="128">
      <t>キサイ</t>
    </rPh>
    <rPh sb="129" eb="131">
      <t>ウム</t>
    </rPh>
    <rPh sb="132" eb="134">
      <t>カンケイ</t>
    </rPh>
    <rPh sb="141" eb="142">
      <t>ウゴ</t>
    </rPh>
    <rPh sb="146" eb="148">
      <t>ビボウ</t>
    </rPh>
    <rPh sb="148" eb="150">
      <t>モクテキ</t>
    </rPh>
    <rPh sb="153" eb="156">
      <t>ゴキニュウ</t>
    </rPh>
    <phoneticPr fontId="1"/>
  </si>
  <si>
    <t>対玄米利用率</t>
    <rPh sb="0" eb="1">
      <t>タイ</t>
    </rPh>
    <rPh sb="1" eb="3">
      <t>ゲンマイ</t>
    </rPh>
    <rPh sb="3" eb="6">
      <t>リヨウリツ</t>
    </rPh>
    <phoneticPr fontId="1"/>
  </si>
  <si>
    <t>白米利用率</t>
    <rPh sb="0" eb="2">
      <t>ハクマイ</t>
    </rPh>
    <rPh sb="2" eb="5">
      <t>リヨウリツ</t>
    </rPh>
    <phoneticPr fontId="1"/>
  </si>
  <si>
    <t>↓左詰めで入力してください</t>
    <rPh sb="1" eb="2">
      <t>ヒダリ</t>
    </rPh>
    <rPh sb="2" eb="3">
      <t>ツ</t>
    </rPh>
    <rPh sb="5" eb="7">
      <t>ニュウリョク</t>
    </rPh>
    <phoneticPr fontId="1"/>
  </si>
  <si>
    <t>←(総米欄について)もろみの合併又は分割を行った場合は総米量を手入力してください</t>
    <rPh sb="2" eb="3">
      <t>ソウ</t>
    </rPh>
    <rPh sb="3" eb="4">
      <t>マイ</t>
    </rPh>
    <rPh sb="4" eb="5">
      <t>ラン</t>
    </rPh>
    <phoneticPr fontId="1"/>
  </si>
  <si>
    <t>白米利用率</t>
    <rPh sb="0" eb="2">
      <t>ハクマイ</t>
    </rPh>
    <rPh sb="2" eb="5">
      <t>リヨウリツ</t>
    </rPh>
    <phoneticPr fontId="1"/>
  </si>
  <si>
    <t>対玄米利用率</t>
    <rPh sb="0" eb="1">
      <t>タイ</t>
    </rPh>
    <rPh sb="1" eb="3">
      <t>ゲンマイ</t>
    </rPh>
    <rPh sb="3" eb="6">
      <t>リヨウリツ</t>
    </rPh>
    <phoneticPr fontId="1"/>
  </si>
  <si>
    <r>
      <t xml:space="preserve">普通酒
</t>
    </r>
    <r>
      <rPr>
        <sz val="6"/>
        <color theme="1"/>
        <rFont val="ＭＳ Ｐゴシック"/>
        <family val="3"/>
        <charset val="128"/>
        <scheme val="minor"/>
      </rPr>
      <t>（糖類不使用に限る）</t>
    </r>
    <rPh sb="0" eb="2">
      <t>フツウ</t>
    </rPh>
    <rPh sb="2" eb="3">
      <t>シュ</t>
    </rPh>
    <rPh sb="5" eb="7">
      <t>トウルイ</t>
    </rPh>
    <rPh sb="7" eb="10">
      <t>フシヨウ</t>
    </rPh>
    <rPh sb="11" eb="12">
      <t>カギ</t>
    </rPh>
    <phoneticPr fontId="1"/>
  </si>
  <si>
    <t>↑</t>
    <phoneticPr fontId="1"/>
  </si>
  <si>
    <t>純米吟醸酒</t>
    <rPh sb="0" eb="2">
      <t>ジュンマイ</t>
    </rPh>
    <rPh sb="2" eb="4">
      <t>ギンジョウ</t>
    </rPh>
    <rPh sb="4" eb="5">
      <t>サケ</t>
    </rPh>
    <phoneticPr fontId="1"/>
  </si>
  <si>
    <t>吟醸酒</t>
    <rPh sb="0" eb="2">
      <t>ギンジョウ</t>
    </rPh>
    <rPh sb="2" eb="3">
      <t>サケ</t>
    </rPh>
    <phoneticPr fontId="1"/>
  </si>
  <si>
    <t>純米酒</t>
    <rPh sb="0" eb="2">
      <t>ジュンマイ</t>
    </rPh>
    <rPh sb="2" eb="3">
      <t>サケ</t>
    </rPh>
    <phoneticPr fontId="1"/>
  </si>
  <si>
    <t>本醸造酒</t>
    <rPh sb="0" eb="3">
      <t>ホンジョウゾウ</t>
    </rPh>
    <rPh sb="3" eb="4">
      <t>サケ</t>
    </rPh>
    <phoneticPr fontId="1"/>
  </si>
  <si>
    <t>過去のデータから利用率が上位10%以内となる場合を「かなり高い」、上位30%以内を「高い」、下位10%以内を「かなり低い」、下位30%以内を「低い」と表示しています</t>
    <rPh sb="0" eb="2">
      <t>カコ</t>
    </rPh>
    <rPh sb="8" eb="11">
      <t>リヨウリツ</t>
    </rPh>
    <rPh sb="12" eb="14">
      <t>ジョウイ</t>
    </rPh>
    <rPh sb="17" eb="19">
      <t>イナイ</t>
    </rPh>
    <rPh sb="22" eb="24">
      <t>バアイ</t>
    </rPh>
    <rPh sb="29" eb="30">
      <t>タカ</t>
    </rPh>
    <rPh sb="33" eb="35">
      <t>ジョウイ</t>
    </rPh>
    <rPh sb="38" eb="40">
      <t>イナイ</t>
    </rPh>
    <rPh sb="42" eb="43">
      <t>タカ</t>
    </rPh>
    <rPh sb="46" eb="48">
      <t>カイ</t>
    </rPh>
    <rPh sb="51" eb="53">
      <t>イナイ</t>
    </rPh>
    <rPh sb="58" eb="59">
      <t>ヒク</t>
    </rPh>
    <rPh sb="62" eb="64">
      <t>カイ</t>
    </rPh>
    <rPh sb="67" eb="69">
      <t>イナイ</t>
    </rPh>
    <rPh sb="71" eb="72">
      <t>ヒク</t>
    </rPh>
    <rPh sb="75" eb="77">
      <t>ヒョウジ</t>
    </rPh>
    <phoneticPr fontId="1"/>
  </si>
  <si>
    <t>ｱﾙｺｰﾙ以外の副原料を使用した場合は正しく表示されません。また、液化仕込みなどの特殊な製造法も正しく表示されない恐れがあります</t>
    <rPh sb="16" eb="18">
      <t>バアイ</t>
    </rPh>
    <rPh sb="33" eb="35">
      <t>エキカ</t>
    </rPh>
    <rPh sb="35" eb="37">
      <t>シコ</t>
    </rPh>
    <rPh sb="41" eb="43">
      <t>トクシュ</t>
    </rPh>
    <rPh sb="44" eb="47">
      <t>セイゾウホウ</t>
    </rPh>
    <rPh sb="48" eb="49">
      <t>タダ</t>
    </rPh>
    <rPh sb="51" eb="53">
      <t>ヒョウジ</t>
    </rPh>
    <rPh sb="57" eb="58">
      <t>オソ</t>
    </rPh>
    <phoneticPr fontId="1"/>
  </si>
  <si>
    <t>下限</t>
    <rPh sb="0" eb="2">
      <t>カゲン</t>
    </rPh>
    <phoneticPr fontId="29"/>
  </si>
  <si>
    <t>全国金賞中間</t>
    <rPh sb="0" eb="2">
      <t>ゼンコク</t>
    </rPh>
    <rPh sb="2" eb="4">
      <t>キンショウ</t>
    </rPh>
    <rPh sb="4" eb="6">
      <t>チュウカン</t>
    </rPh>
    <phoneticPr fontId="1"/>
  </si>
  <si>
    <t>原エキス分100%</t>
    <rPh sb="0" eb="1">
      <t>ゲン</t>
    </rPh>
    <rPh sb="4" eb="5">
      <t>ブン</t>
    </rPh>
    <phoneticPr fontId="1"/>
  </si>
  <si>
    <t>全国金賞中間</t>
    <rPh sb="0" eb="2">
      <t>ゼンコク</t>
    </rPh>
    <rPh sb="2" eb="4">
      <t>キンショウ</t>
    </rPh>
    <rPh sb="4" eb="6">
      <t>チュウカン</t>
    </rPh>
    <phoneticPr fontId="1"/>
  </si>
  <si>
    <t>原エキス分100%</t>
    <phoneticPr fontId="1"/>
  </si>
  <si>
    <t>ｱﾙｺｰﾙｴｷｽ分100%</t>
    <rPh sb="8" eb="9">
      <t>ブン</t>
    </rPh>
    <phoneticPr fontId="1"/>
  </si>
  <si>
    <t>R4,5全国金賞下限</t>
    <rPh sb="4" eb="6">
      <t>ゼンコク</t>
    </rPh>
    <rPh sb="6" eb="8">
      <t>キンショウ</t>
    </rPh>
    <rPh sb="8" eb="10">
      <t>カゲン</t>
    </rPh>
    <phoneticPr fontId="1"/>
  </si>
  <si>
    <t>R4,5全国金賞上限</t>
    <rPh sb="4" eb="6">
      <t>ゼンコク</t>
    </rPh>
    <rPh sb="6" eb="8">
      <t>キンショウ</t>
    </rPh>
    <rPh sb="8" eb="10">
      <t>ジョウゲン</t>
    </rPh>
    <phoneticPr fontId="1"/>
  </si>
  <si>
    <t>【参考】
　「目標値」タブでは、目標とする最高BMD、最高ボーメの他、上槽前（アルコール添加前）のスペック（日本酒度やアルコール分等）を設定できます。
　その他、AB直線の収まってほしい幅なども設定できます。
　このタブで設定したものは、「〇号」タブ内の「目標名」にてプルダウンで番号を選択すると、その番号にて設定された列の目標値を「今回のグラフ」ワークシート内のBMD曲線やAB直線等のグラフで目標値としてライン表示されます。</t>
    <rPh sb="1" eb="3">
      <t>サンコウ</t>
    </rPh>
    <rPh sb="7" eb="10">
      <t>モクヒョウチ</t>
    </rPh>
    <rPh sb="16" eb="18">
      <t>モクヒョウ</t>
    </rPh>
    <rPh sb="21" eb="23">
      <t>サイコウ</t>
    </rPh>
    <rPh sb="27" eb="29">
      <t>サイコウ</t>
    </rPh>
    <rPh sb="33" eb="34">
      <t>ホカ</t>
    </rPh>
    <rPh sb="35" eb="36">
      <t>ウエ</t>
    </rPh>
    <rPh sb="128" eb="130">
      <t>モクヒョウ</t>
    </rPh>
    <rPh sb="130" eb="131">
      <t>メイ</t>
    </rPh>
    <rPh sb="140" eb="142">
      <t>バンゴウ</t>
    </rPh>
    <rPh sb="143" eb="145">
      <t>センタク</t>
    </rPh>
    <rPh sb="151" eb="153">
      <t>バンゴウ</t>
    </rPh>
    <rPh sb="155" eb="157">
      <t>セッテイ</t>
    </rPh>
    <rPh sb="160" eb="161">
      <t>レツ</t>
    </rPh>
    <rPh sb="162" eb="165">
      <t>モクヒョウチ</t>
    </rPh>
    <rPh sb="167" eb="169">
      <t>コンカイ</t>
    </rPh>
    <rPh sb="180" eb="181">
      <t>ナイ</t>
    </rPh>
    <phoneticPr fontId="1"/>
  </si>
  <si>
    <t>Ver3.2</t>
    <phoneticPr fontId="1"/>
  </si>
  <si>
    <t xml:space="preserve">【はじめに】
　もろみエールは、一般的な醪経過簿をベースとし、各種分析値を入力することにより醸造理論に基づいた管理指標を自動計算するツールです。もろみ管理に広く利用されているA-B直線やBMDのほか、後述する「原エキス分100％」や「発酵度」といった独自指標を設けています。
　Ver3.1では、名古屋国税局管内清酒製造者より令和４、５酒造年度全国新酒鑑評会出品酒のデータをご提供いただき、「原エキス分100％」と「発酵度」の最大値と最小値を、比較グラフとして表示可能にしました。また、新指標として後述する「原料米利用率」を導入しました。
　なお、本ツールの正確性・妥当性等については細心の注意を払っておりますが、その保証をするものではありません。
</t>
    <rPh sb="75" eb="77">
      <t>カンリ</t>
    </rPh>
    <rPh sb="78" eb="79">
      <t>ヒロ</t>
    </rPh>
    <rPh sb="80" eb="82">
      <t>リヨウ</t>
    </rPh>
    <rPh sb="100" eb="102">
      <t>コウジュツ</t>
    </rPh>
    <rPh sb="107" eb="108">
      <t>ブン</t>
    </rPh>
    <rPh sb="117" eb="118">
      <t>ド</t>
    </rPh>
    <rPh sb="125" eb="127">
      <t>ドクジ</t>
    </rPh>
    <rPh sb="127" eb="129">
      <t>シヒョウ</t>
    </rPh>
    <rPh sb="130" eb="131">
      <t>モウ</t>
    </rPh>
    <rPh sb="181" eb="182">
      <t>シュ</t>
    </rPh>
    <rPh sb="188" eb="190">
      <t>テイキョウ</t>
    </rPh>
    <rPh sb="215" eb="216">
      <t>チ</t>
    </rPh>
    <rPh sb="219" eb="220">
      <t>チ</t>
    </rPh>
    <rPh sb="222" eb="224">
      <t>ヒカク</t>
    </rPh>
    <rPh sb="230" eb="232">
      <t>ヒョウジ</t>
    </rPh>
    <rPh sb="232" eb="234">
      <t>カノウ</t>
    </rPh>
    <rPh sb="249" eb="251">
      <t>コウジュツ</t>
    </rPh>
    <rPh sb="274" eb="275">
      <t>ホン</t>
    </rPh>
    <rPh sb="279" eb="282">
      <t>セイカクセイ</t>
    </rPh>
    <rPh sb="283" eb="286">
      <t>ダトウセイ</t>
    </rPh>
    <rPh sb="286" eb="287">
      <t>トウ</t>
    </rPh>
    <rPh sb="292" eb="294">
      <t>サイシン</t>
    </rPh>
    <rPh sb="295" eb="297">
      <t>チュウイ</t>
    </rPh>
    <rPh sb="298" eb="299">
      <t>ハラ</t>
    </rPh>
    <rPh sb="309" eb="311">
      <t>ホショウ</t>
    </rPh>
    <phoneticPr fontId="1"/>
  </si>
  <si>
    <t xml:space="preserve">【原エキス分100％とは】
　原エキス分を汲水歩合100％に換算したものです。
　原エキス分100％＝原エキス分×汲水歩合÷100
　仕込配合（特に汲水歩合）が異なっている醸造年度間や、異なる製造場間でも同じスケールで比較可能です。
  米の収穫年度ごとの溶けやすさや、原料処理法が米の溶け具合に与える影響を、数値化してとらえることが期待されます。
【発酵度とは】
　各醪日数時点での原エキス分100％に対する、アルコールに変換されたエキス分（アルコールエキス分100％）の比率です。
　発酵度＝アルコールエキス分100％÷原エキス分100％
　令和４、５酒造年度全国新酒鑑評会の出品酒の多くが最終的な発酵度が80に収束していることから、これを終点として考え、終点に向けて発酵がどのように進んでいるのか、終点まであと何日かという考えで使用することを想定しています。
【比較グラフ】　
　令和４、５酒造年度全国新酒鑑評会の金賞受賞酒は原エキス分100％が大きい（米が良く溶けた）ものもあれば、原エキス分100％が小さい（米があまり溶けなかった）ものもありましたが、発酵度に関して大きくな差はなく、平均的な値をとることが分かりつつあります。自社の発酵管理（糖化と発酵のバランス）がどの程度なのかを本グラフで知ることができます。
【原料米利用率とは】
　原料米のデンプンが清酒中のアルコール及びエキスとして利用された割合をエキス換算にて表した数値です。
　原価計算等の経済的な面だけでなく、味わいの多寡など酒質管理の面における指標となることが期待されます。
　過去の清酒製造状況等調査データから、利用率の値が統計的に上位10%に該当するものを「かなり高い」、上位30％に該当するものを「高い」、上位30％から下位30％の間に該当するものを「標準的」、下位30%に該当するものを「低い」、下位10％に該当するものを「かなり低い」と表示します。
</t>
    <rPh sb="86" eb="88">
      <t>ジョウゾウ</t>
    </rPh>
    <rPh sb="88" eb="90">
      <t>ネンド</t>
    </rPh>
    <rPh sb="90" eb="91">
      <t>カン</t>
    </rPh>
    <rPh sb="93" eb="94">
      <t>コト</t>
    </rPh>
    <rPh sb="96" eb="98">
      <t>セイゾウ</t>
    </rPh>
    <rPh sb="98" eb="99">
      <t>ジョウ</t>
    </rPh>
    <rPh sb="121" eb="123">
      <t>シュウカク</t>
    </rPh>
    <rPh sb="123" eb="125">
      <t>ネンド</t>
    </rPh>
    <rPh sb="167" eb="169">
      <t>キタイ</t>
    </rPh>
    <rPh sb="384" eb="386">
      <t>ヒカク</t>
    </rPh>
    <rPh sb="488" eb="489">
      <t>オオ</t>
    </rPh>
    <rPh sb="492" eb="493">
      <t>サ</t>
    </rPh>
    <rPh sb="497" eb="499">
      <t>ヘイキン</t>
    </rPh>
    <rPh sb="499" eb="500">
      <t>テキ</t>
    </rPh>
    <rPh sb="501" eb="502">
      <t>アタイ</t>
    </rPh>
    <rPh sb="563" eb="565">
      <t>ゲンリョウ</t>
    </rPh>
    <rPh sb="565" eb="566">
      <t>マイ</t>
    </rPh>
    <rPh sb="566" eb="569">
      <t>リヨウリツ</t>
    </rPh>
    <rPh sb="574" eb="576">
      <t>ゲンリョウ</t>
    </rPh>
    <rPh sb="576" eb="577">
      <t>マイ</t>
    </rPh>
    <rPh sb="583" eb="585">
      <t>セイシュ</t>
    </rPh>
    <rPh sb="585" eb="586">
      <t>チュウ</t>
    </rPh>
    <rPh sb="592" eb="593">
      <t>オヨ</t>
    </rPh>
    <rPh sb="600" eb="602">
      <t>リヨウ</t>
    </rPh>
    <rPh sb="605" eb="607">
      <t>ワリアイ</t>
    </rPh>
    <rPh sb="611" eb="613">
      <t>カンザン</t>
    </rPh>
    <rPh sb="615" eb="616">
      <t>アラワ</t>
    </rPh>
    <rPh sb="618" eb="620">
      <t>スウチ</t>
    </rPh>
    <rPh sb="625" eb="627">
      <t>ゲンカ</t>
    </rPh>
    <rPh sb="627" eb="629">
      <t>ケイサン</t>
    </rPh>
    <rPh sb="629" eb="630">
      <t>トウ</t>
    </rPh>
    <rPh sb="631" eb="634">
      <t>ケイザイテキ</t>
    </rPh>
    <rPh sb="635" eb="636">
      <t>メン</t>
    </rPh>
    <rPh sb="642" eb="643">
      <t>アジ</t>
    </rPh>
    <rPh sb="646" eb="648">
      <t>タカ</t>
    </rPh>
    <rPh sb="650" eb="651">
      <t>シュ</t>
    </rPh>
    <rPh sb="651" eb="652">
      <t>シツ</t>
    </rPh>
    <rPh sb="652" eb="654">
      <t>カンリ</t>
    </rPh>
    <rPh sb="655" eb="656">
      <t>メン</t>
    </rPh>
    <rPh sb="660" eb="662">
      <t>シヒョウ</t>
    </rPh>
    <rPh sb="668" eb="670">
      <t>キタイ</t>
    </rPh>
    <rPh sb="677" eb="679">
      <t>カコ</t>
    </rPh>
    <rPh sb="680" eb="682">
      <t>セイシュ</t>
    </rPh>
    <rPh sb="682" eb="684">
      <t>セイゾウ</t>
    </rPh>
    <rPh sb="684" eb="686">
      <t>ジョウキョウ</t>
    </rPh>
    <rPh sb="686" eb="687">
      <t>トウ</t>
    </rPh>
    <rPh sb="687" eb="689">
      <t>チョウサ</t>
    </rPh>
    <rPh sb="695" eb="698">
      <t>リヨウリツ</t>
    </rPh>
    <rPh sb="699" eb="700">
      <t>アタイ</t>
    </rPh>
    <phoneticPr fontId="1"/>
  </si>
  <si>
    <t xml:space="preserve">【技術相談について】　
　本ツールに基づく技術相談をご希望される方は、各種数値を記入した本ファイルを鑑定官室メールアドレス（kantei@nag.nta.go.jp）まで送信の上、鑑定官室あて電話でご連絡いただきますようお願い申し上げます（電話番号０５２－９５１－３５１１(代表)）。
　また、本ツール以外の技術相談についても随時応じております。お酒の製造でお困りの点等がございましたら上記メールアドレスや電話番号にお気軽にご連絡ください。
</t>
    <rPh sb="1" eb="3">
      <t>ギジュツ</t>
    </rPh>
    <rPh sb="3" eb="5">
      <t>ソウダン</t>
    </rPh>
    <rPh sb="13" eb="14">
      <t>ホン</t>
    </rPh>
    <rPh sb="18" eb="19">
      <t>モト</t>
    </rPh>
    <rPh sb="21" eb="23">
      <t>ギジュツ</t>
    </rPh>
    <rPh sb="23" eb="25">
      <t>ソウダン</t>
    </rPh>
    <rPh sb="35" eb="37">
      <t>カクシュ</t>
    </rPh>
    <rPh sb="37" eb="39">
      <t>スウチ</t>
    </rPh>
    <rPh sb="40" eb="42">
      <t>キニュウ</t>
    </rPh>
    <rPh sb="44" eb="45">
      <t>ホン</t>
    </rPh>
    <rPh sb="50" eb="52">
      <t>カンテイ</t>
    </rPh>
    <rPh sb="52" eb="53">
      <t>カン</t>
    </rPh>
    <rPh sb="53" eb="54">
      <t>シツ</t>
    </rPh>
    <rPh sb="85" eb="87">
      <t>ソウシン</t>
    </rPh>
    <rPh sb="88" eb="89">
      <t>ウエ</t>
    </rPh>
    <rPh sb="96" eb="98">
      <t>デンワ</t>
    </rPh>
    <rPh sb="137" eb="139">
      <t>ダイヒョウ</t>
    </rPh>
    <rPh sb="147" eb="148">
      <t>ホン</t>
    </rPh>
    <rPh sb="151" eb="153">
      <t>イガイ</t>
    </rPh>
    <rPh sb="154" eb="156">
      <t>ギジュツ</t>
    </rPh>
    <rPh sb="156" eb="158">
      <t>ソウダン</t>
    </rPh>
    <rPh sb="193" eb="195">
      <t>ジョウキ</t>
    </rPh>
    <rPh sb="203" eb="205">
      <t>デンワ</t>
    </rPh>
    <rPh sb="205" eb="207">
      <t>バンゴウ</t>
    </rPh>
    <rPh sb="209" eb="211">
      <t>キガル</t>
    </rPh>
    <rPh sb="213" eb="215">
      <t>レンラク</t>
    </rPh>
    <phoneticPr fontId="1"/>
  </si>
  <si>
    <t>原料利用率欄等を追加。</t>
    <rPh sb="0" eb="2">
      <t>ゲンリョウ</t>
    </rPh>
    <rPh sb="2" eb="5">
      <t>リヨウリツ</t>
    </rPh>
    <rPh sb="5" eb="6">
      <t>ラン</t>
    </rPh>
    <rPh sb="6" eb="7">
      <t>トウ</t>
    </rPh>
    <rPh sb="8" eb="10">
      <t>ツイカ</t>
    </rPh>
    <phoneticPr fontId="1"/>
  </si>
  <si>
    <t>田島健一郎、相澤常滋</t>
    <rPh sb="0" eb="5">
      <t>タジマケンイチロウ</t>
    </rPh>
    <rPh sb="6" eb="8">
      <t>アイザワ</t>
    </rPh>
    <rPh sb="8" eb="9">
      <t>ツネ</t>
    </rPh>
    <rPh sb="9" eb="10">
      <t>シゲル</t>
    </rPh>
    <phoneticPr fontId="1"/>
  </si>
  <si>
    <t>名古屋局HP掲載用に体裁を整えた。</t>
    <rPh sb="0" eb="3">
      <t>ナゴヤ</t>
    </rPh>
    <rPh sb="3" eb="4">
      <t>キョク</t>
    </rPh>
    <rPh sb="6" eb="8">
      <t>ケイサイ</t>
    </rPh>
    <rPh sb="8" eb="9">
      <t>ヨウ</t>
    </rPh>
    <rPh sb="10" eb="12">
      <t>テイサイ</t>
    </rPh>
    <rPh sb="13" eb="14">
      <t>トトノ</t>
    </rPh>
    <phoneticPr fontId="1"/>
  </si>
  <si>
    <t>田中淳</t>
    <rPh sb="0" eb="2">
      <t>タナカ</t>
    </rPh>
    <rPh sb="2" eb="3">
      <t>ジュン</t>
    </rPh>
    <phoneticPr fontId="1"/>
  </si>
  <si>
    <t>【必要最小限の入力事項その２】
　・日々の追水添加量　　　・日々のボーメ（日本酒度）
　・アルコール度数　を入力します。
　その結果、BMD、エキス分、原エキス分が計算されて表示されます。
（注意点）
　数値以外は入力できないよう設定されています。数値以外は一番下にある作業メモ欄にご記入ください。
（注意点２）
　醪経過描画ツールVer2に掲載していました液化力、発酵力、糖化力の指標は非表示にしています。また、このワークシートは設定により演算式を変更できないようにワークシートの保護の設定をしています。これらの指標を表示されたい方はツールバーの「校閲→ワークシートの解除」にて「nagoyakantei」パスワードを入力すると保護が解除されますので、再表示させてください。</t>
    <rPh sb="1" eb="3">
      <t>ヒツヨウ</t>
    </rPh>
    <rPh sb="3" eb="6">
      <t>サイショウゲン</t>
    </rPh>
    <rPh sb="7" eb="9">
      <t>ニュウリョク</t>
    </rPh>
    <rPh sb="9" eb="11">
      <t>ジコウ</t>
    </rPh>
    <rPh sb="18" eb="20">
      <t>ヒビ</t>
    </rPh>
    <rPh sb="21" eb="22">
      <t>オ</t>
    </rPh>
    <rPh sb="22" eb="23">
      <t>ミズ</t>
    </rPh>
    <rPh sb="23" eb="25">
      <t>テンカ</t>
    </rPh>
    <rPh sb="25" eb="26">
      <t>リョウ</t>
    </rPh>
    <rPh sb="30" eb="32">
      <t>ヒビ</t>
    </rPh>
    <rPh sb="37" eb="40">
      <t>ニホンシュ</t>
    </rPh>
    <rPh sb="40" eb="41">
      <t>ド</t>
    </rPh>
    <rPh sb="50" eb="52">
      <t>ドスウ</t>
    </rPh>
    <rPh sb="54" eb="56">
      <t>ニュウリョク</t>
    </rPh>
    <rPh sb="64" eb="66">
      <t>ケッカ</t>
    </rPh>
    <rPh sb="74" eb="75">
      <t>ブン</t>
    </rPh>
    <rPh sb="76" eb="77">
      <t>ハラ</t>
    </rPh>
    <rPh sb="80" eb="81">
      <t>ブン</t>
    </rPh>
    <rPh sb="82" eb="84">
      <t>ケイサン</t>
    </rPh>
    <rPh sb="87" eb="89">
      <t>ヒョウジ</t>
    </rPh>
    <rPh sb="96" eb="99">
      <t>チュウイテン</t>
    </rPh>
    <rPh sb="151" eb="154">
      <t>チュウイテン</t>
    </rPh>
    <rPh sb="158" eb="163">
      <t>モロミケイカビョウガ</t>
    </rPh>
    <rPh sb="171" eb="173">
      <t>ケイサイ</t>
    </rPh>
    <rPh sb="179" eb="181">
      <t>エキカ</t>
    </rPh>
    <rPh sb="181" eb="182">
      <t>リョク</t>
    </rPh>
    <rPh sb="183" eb="185">
      <t>ハッコウ</t>
    </rPh>
    <rPh sb="185" eb="186">
      <t>リョク</t>
    </rPh>
    <rPh sb="187" eb="189">
      <t>トウカ</t>
    </rPh>
    <rPh sb="189" eb="190">
      <t>リョク</t>
    </rPh>
    <rPh sb="191" eb="193">
      <t>シヒョウ</t>
    </rPh>
    <rPh sb="194" eb="197">
      <t>ヒヒョウジ</t>
    </rPh>
    <rPh sb="216" eb="218">
      <t>セッテイ</t>
    </rPh>
    <rPh sb="221" eb="224">
      <t>エンザンシキ</t>
    </rPh>
    <rPh sb="225" eb="227">
      <t>ヘンコウ</t>
    </rPh>
    <rPh sb="241" eb="243">
      <t>ホゴ</t>
    </rPh>
    <rPh sb="244" eb="246">
      <t>セッテイ</t>
    </rPh>
    <rPh sb="257" eb="259">
      <t>シヒョウ</t>
    </rPh>
    <rPh sb="260" eb="262">
      <t>ヒョウジ</t>
    </rPh>
    <rPh sb="266" eb="267">
      <t>カタ</t>
    </rPh>
    <rPh sb="275" eb="277">
      <t>コウエツ</t>
    </rPh>
    <rPh sb="285" eb="287">
      <t>カイジョ</t>
    </rPh>
    <rPh sb="310" eb="312">
      <t>ニュウリョク</t>
    </rPh>
    <rPh sb="315" eb="317">
      <t>ホゴ</t>
    </rPh>
    <rPh sb="318" eb="320">
      <t>カイジョ</t>
    </rPh>
    <rPh sb="327" eb="328">
      <t>サイ</t>
    </rPh>
    <rPh sb="328" eb="330">
      <t>ヒョウジ</t>
    </rPh>
    <phoneticPr fontId="1"/>
  </si>
  <si>
    <t>【醪経過の比較】
　発酵度、原エキス分100％及びアルコールエキス分100％の推移が他の醪と比較することができます。
　デフォルトとして、令和４、５酒造年度全国新酒鑑評会の名古屋国税局管内製造者の金賞受賞酒の最大値、最小値、平均値を記していますので、自社の米の溶け具合や発酵の進み方が高いのか低いのかを把握することができます。
【金賞のポイント】
　原エキス分100％及びアルコールエキス分100％、発酵度ともになだらかな曲線をとり、もろみにストレスを与えない経過である傾向があります。</t>
    <rPh sb="1" eb="2">
      <t>モロミ</t>
    </rPh>
    <rPh sb="2" eb="4">
      <t>ケイカ</t>
    </rPh>
    <rPh sb="5" eb="7">
      <t>ヒカク</t>
    </rPh>
    <rPh sb="10" eb="12">
      <t>ハッコウ</t>
    </rPh>
    <rPh sb="12" eb="13">
      <t>ド</t>
    </rPh>
    <rPh sb="14" eb="15">
      <t>ハラ</t>
    </rPh>
    <rPh sb="18" eb="19">
      <t>ブン</t>
    </rPh>
    <rPh sb="23" eb="24">
      <t>オヨ</t>
    </rPh>
    <rPh sb="33" eb="34">
      <t>ブン</t>
    </rPh>
    <rPh sb="39" eb="41">
      <t>スイイ</t>
    </rPh>
    <rPh sb="42" eb="43">
      <t>ホカ</t>
    </rPh>
    <rPh sb="44" eb="45">
      <t>モロミ</t>
    </rPh>
    <rPh sb="46" eb="48">
      <t>ヒカク</t>
    </rPh>
    <rPh sb="69" eb="71">
      <t>レイワ</t>
    </rPh>
    <rPh sb="74" eb="76">
      <t>シュゾウ</t>
    </rPh>
    <rPh sb="76" eb="78">
      <t>ネンド</t>
    </rPh>
    <rPh sb="78" eb="80">
      <t>ゼンコク</t>
    </rPh>
    <rPh sb="80" eb="82">
      <t>シンシュ</t>
    </rPh>
    <rPh sb="82" eb="85">
      <t>カンピョウカイ</t>
    </rPh>
    <rPh sb="86" eb="92">
      <t>ナゴヤコクゼイキョク</t>
    </rPh>
    <rPh sb="92" eb="94">
      <t>カンナイ</t>
    </rPh>
    <rPh sb="94" eb="97">
      <t>セイゾウシャ</t>
    </rPh>
    <rPh sb="98" eb="100">
      <t>キンショウ</t>
    </rPh>
    <rPh sb="100" eb="102">
      <t>ジュショウ</t>
    </rPh>
    <rPh sb="102" eb="103">
      <t>シュ</t>
    </rPh>
    <rPh sb="104" eb="106">
      <t>サイダイ</t>
    </rPh>
    <rPh sb="106" eb="107">
      <t>アタイ</t>
    </rPh>
    <rPh sb="108" eb="110">
      <t>サイショウ</t>
    </rPh>
    <rPh sb="110" eb="111">
      <t>アタイ</t>
    </rPh>
    <rPh sb="112" eb="114">
      <t>ヘイキン</t>
    </rPh>
    <rPh sb="114" eb="115">
      <t>チ</t>
    </rPh>
    <rPh sb="116" eb="117">
      <t>シル</t>
    </rPh>
    <rPh sb="125" eb="127">
      <t>ジシャ</t>
    </rPh>
    <rPh sb="128" eb="129">
      <t>コメ</t>
    </rPh>
    <rPh sb="130" eb="131">
      <t>ト</t>
    </rPh>
    <rPh sb="132" eb="134">
      <t>グアイ</t>
    </rPh>
    <rPh sb="135" eb="137">
      <t>ハッコウ</t>
    </rPh>
    <rPh sb="138" eb="139">
      <t>スス</t>
    </rPh>
    <rPh sb="140" eb="141">
      <t>カタ</t>
    </rPh>
    <rPh sb="142" eb="143">
      <t>タカ</t>
    </rPh>
    <rPh sb="146" eb="147">
      <t>ヒク</t>
    </rPh>
    <rPh sb="151" eb="153">
      <t>ハアク</t>
    </rPh>
    <rPh sb="166" eb="168">
      <t>キンショウ</t>
    </rPh>
    <rPh sb="176" eb="177">
      <t>ハラ</t>
    </rPh>
    <rPh sb="180" eb="181">
      <t>ブン</t>
    </rPh>
    <rPh sb="185" eb="186">
      <t>オヨ</t>
    </rPh>
    <rPh sb="195" eb="196">
      <t>ブン</t>
    </rPh>
    <rPh sb="201" eb="203">
      <t>ハッコウ</t>
    </rPh>
    <rPh sb="203" eb="204">
      <t>ド</t>
    </rPh>
    <rPh sb="212" eb="214">
      <t>キョクセン</t>
    </rPh>
    <rPh sb="227" eb="228">
      <t>アタ</t>
    </rPh>
    <rPh sb="231" eb="233">
      <t>ケイカ</t>
    </rPh>
    <rPh sb="236" eb="238">
      <t>ケイコウ</t>
    </rPh>
    <phoneticPr fontId="1"/>
  </si>
  <si>
    <t>（もろみ熟成歩合、肉たれ歩合、総水歩合、白米1000kg当り純アルコール収得量、白米利用</t>
    <phoneticPr fontId="1"/>
  </si>
  <si>
    <t>率、対玄米利用率欄について）もろみ及び製成において合併又は分割を行ったときは手計算</t>
    <phoneticPr fontId="1"/>
  </si>
  <si>
    <t>で入力してください。</t>
    <phoneticPr fontId="1"/>
  </si>
  <si>
    <t xml:space="preserve">【出典等】
　　濃淡指数、シブ予測係数比等：宮城県酒造組合、宮城県産業技術総合センター食品バイオ技術部
　　白米水分と吸水率の変換式：福島県ハイテクプラザ
</t>
    <rPh sb="1" eb="3">
      <t>シュッテン</t>
    </rPh>
    <rPh sb="3" eb="4">
      <t>トウ</t>
    </rPh>
    <rPh sb="8" eb="10">
      <t>ノウタン</t>
    </rPh>
    <rPh sb="10" eb="12">
      <t>シスウ</t>
    </rPh>
    <rPh sb="15" eb="17">
      <t>ヨソク</t>
    </rPh>
    <rPh sb="17" eb="19">
      <t>ケイスウ</t>
    </rPh>
    <rPh sb="19" eb="20">
      <t>ヒ</t>
    </rPh>
    <rPh sb="20" eb="21">
      <t>トウ</t>
    </rPh>
    <rPh sb="22" eb="25">
      <t>ミヤギケン</t>
    </rPh>
    <rPh sb="25" eb="27">
      <t>シュゾウ</t>
    </rPh>
    <rPh sb="27" eb="29">
      <t>クミアイ</t>
    </rPh>
    <rPh sb="30" eb="33">
      <t>ミヤギケン</t>
    </rPh>
    <rPh sb="33" eb="35">
      <t>サンギョウ</t>
    </rPh>
    <rPh sb="35" eb="37">
      <t>ギジュツ</t>
    </rPh>
    <rPh sb="37" eb="39">
      <t>ソウゴウ</t>
    </rPh>
    <rPh sb="43" eb="45">
      <t>ショクヒン</t>
    </rPh>
    <rPh sb="48" eb="50">
      <t>ギジュツ</t>
    </rPh>
    <rPh sb="50" eb="51">
      <t>ブ</t>
    </rPh>
    <rPh sb="54" eb="56">
      <t>ハクマイ</t>
    </rPh>
    <rPh sb="56" eb="58">
      <t>スイブン</t>
    </rPh>
    <rPh sb="59" eb="61">
      <t>キュウスイ</t>
    </rPh>
    <rPh sb="61" eb="62">
      <t>リツ</t>
    </rPh>
    <rPh sb="63" eb="65">
      <t>ヘンカン</t>
    </rPh>
    <rPh sb="65" eb="66">
      <t>シキ</t>
    </rPh>
    <rPh sb="67" eb="70">
      <t>フクシマケン</t>
    </rPh>
    <phoneticPr fontId="1"/>
  </si>
  <si>
    <t>【今回の仕込経過の確認】
　原エキス分100％、アルコールエキス分100％、エキス分100％及び発酵度を１つのグラフとして確認することができます。
　目標値に向かって、順調に進んでいるかの確認ができます。
【上槽時（アル添時）の各成分値予測】
　上槽時の目標値（原エキス分100％、発酵度及び汲水歩合）を入力すると、その条件でのボーメ（日本酒度）及びアルコール度数が算出されます。
　醪末期の上槽タイミングを決める際は、グラフの推移から翌日の原エキス分100％と発酵度を予測し、入力してください。
　翌日の予想（ボーメ（日本酒度）及びアルコール度数）が算出されるので、上槽のタイミングを決める際の参考になります。</t>
    <rPh sb="1" eb="3">
      <t>コンカイ</t>
    </rPh>
    <rPh sb="4" eb="6">
      <t>シコミ</t>
    </rPh>
    <rPh sb="6" eb="8">
      <t>ケイカ</t>
    </rPh>
    <rPh sb="9" eb="11">
      <t>カクニン</t>
    </rPh>
    <rPh sb="14" eb="15">
      <t>ハラ</t>
    </rPh>
    <rPh sb="18" eb="19">
      <t>ブン</t>
    </rPh>
    <rPh sb="32" eb="33">
      <t>ブン</t>
    </rPh>
    <rPh sb="41" eb="42">
      <t>ブン</t>
    </rPh>
    <rPh sb="46" eb="47">
      <t>オヨ</t>
    </rPh>
    <rPh sb="48" eb="50">
      <t>ハッコウ</t>
    </rPh>
    <rPh sb="50" eb="51">
      <t>ド</t>
    </rPh>
    <rPh sb="61" eb="63">
      <t>カクニン</t>
    </rPh>
    <rPh sb="75" eb="78">
      <t>モクヒョウチ</t>
    </rPh>
    <rPh sb="79" eb="80">
      <t>ム</t>
    </rPh>
    <rPh sb="84" eb="86">
      <t>ジュンチョウ</t>
    </rPh>
    <rPh sb="87" eb="88">
      <t>スス</t>
    </rPh>
    <rPh sb="94" eb="96">
      <t>カクニン</t>
    </rPh>
    <rPh sb="105" eb="107">
      <t>ジョウソウ</t>
    </rPh>
    <rPh sb="107" eb="108">
      <t>ジ</t>
    </rPh>
    <rPh sb="111" eb="112">
      <t>テン</t>
    </rPh>
    <rPh sb="112" eb="113">
      <t>ジ</t>
    </rPh>
    <rPh sb="115" eb="118">
      <t>カクセイブン</t>
    </rPh>
    <rPh sb="118" eb="119">
      <t>チ</t>
    </rPh>
    <rPh sb="119" eb="121">
      <t>ヨソク</t>
    </rPh>
    <rPh sb="124" eb="126">
      <t>ジョウソウ</t>
    </rPh>
    <rPh sb="126" eb="127">
      <t>ジ</t>
    </rPh>
    <rPh sb="128" eb="130">
      <t>モクヒョウ</t>
    </rPh>
    <rPh sb="130" eb="131">
      <t>チ</t>
    </rPh>
    <rPh sb="145" eb="146">
      <t>オヨ</t>
    </rPh>
    <rPh sb="147" eb="149">
      <t>クミミズ</t>
    </rPh>
    <rPh sb="149" eb="151">
      <t>ブアイ</t>
    </rPh>
    <rPh sb="153" eb="155">
      <t>ニュウリョク</t>
    </rPh>
    <rPh sb="161" eb="163">
      <t>ジョウケン</t>
    </rPh>
    <rPh sb="174" eb="175">
      <t>オヨ</t>
    </rPh>
    <rPh sb="184" eb="186">
      <t>サンシュツ</t>
    </rPh>
    <rPh sb="193" eb="196">
      <t>モロミマッキ</t>
    </rPh>
    <rPh sb="197" eb="199">
      <t>ジョウソウ</t>
    </rPh>
    <rPh sb="205" eb="206">
      <t>キ</t>
    </rPh>
    <rPh sb="208" eb="209">
      <t>サイ</t>
    </rPh>
    <rPh sb="215" eb="217">
      <t>スイイ</t>
    </rPh>
    <rPh sb="219" eb="221">
      <t>ヨクジツ</t>
    </rPh>
    <rPh sb="222" eb="223">
      <t>ハラ</t>
    </rPh>
    <rPh sb="226" eb="227">
      <t>ブン</t>
    </rPh>
    <rPh sb="232" eb="234">
      <t>ハッコウ</t>
    </rPh>
    <rPh sb="234" eb="235">
      <t>ド</t>
    </rPh>
    <rPh sb="236" eb="238">
      <t>ヨソク</t>
    </rPh>
    <rPh sb="240" eb="242">
      <t>ニュウリョク</t>
    </rPh>
    <rPh sb="251" eb="253">
      <t>ヨクジツ</t>
    </rPh>
    <rPh sb="254" eb="256">
      <t>ヨソウ</t>
    </rPh>
    <rPh sb="266" eb="267">
      <t>オヨ</t>
    </rPh>
    <rPh sb="277" eb="279">
      <t>サンシュツ</t>
    </rPh>
    <rPh sb="285" eb="286">
      <t>ウエ</t>
    </rPh>
    <rPh sb="294" eb="295">
      <t>キ</t>
    </rPh>
    <rPh sb="297" eb="298">
      <t>サイ</t>
    </rPh>
    <rPh sb="299" eb="301">
      <t>サンコウ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</si>
</sst>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000_ "/>
    <numFmt numFmtId="177" formatCode="0.00_ "/>
    <numFmt numFmtId="178" formatCode="0.0_ "/>
    <numFmt numFmtId="179" formatCode="m/d;@"/>
    <numFmt numFmtId="180" formatCode="h:mm;@"/>
    <numFmt numFmtId="181" formatCode="0.00000_);[Red]\(0.00000\)"/>
    <numFmt numFmtId="182" formatCode="0.00000_ "/>
    <numFmt numFmtId="183" formatCode="0.0_);[Red]\(0.0\)"/>
    <numFmt numFmtId="184" formatCode="0_ "/>
    <numFmt numFmtId="185" formatCode="0.0%"/>
    <numFmt numFmtId="186" formatCode="yyyy/m/d;@"/>
    <numFmt numFmtId="187" formatCode="0.0"/>
  </numFmts>
  <fonts count="35">
    <font>
      <sz val="11"/>
      <color theme="1"/>
      <name val="ＭＳ Ｐゴシック"/>
      <family val="2"/>
      <charset val="128"/>
      <scheme val="minor"/>
    </font>
    <font>
      <sz val="6"/>
      <name val="ＭＳ Ｐゴシック"/>
      <family val="2"/>
      <charset val="128"/>
      <scheme val="minor"/>
    </font>
    <font>
      <sz val="18"/>
      <color theme="1"/>
      <name val="ＭＳ Ｐゴシック"/>
      <family val="3"/>
      <charset val="128"/>
      <scheme val="minor"/>
    </font>
    <font>
      <sz val="6"/>
      <name val="ＭＳ Ｐゴシック"/>
      <family val="3"/>
      <charset val="128"/>
    </font>
    <font>
      <sz val="11"/>
      <name val="ＭＳ Ｐゴシック"/>
      <family val="3"/>
      <charset val="128"/>
    </font>
    <font>
      <sz val="9"/>
      <name val="ＭＳ Ｐゴシック"/>
      <family val="3"/>
      <charset val="128"/>
    </font>
    <font>
      <sz val="11"/>
      <color indexed="81"/>
      <name val="ＭＳ Ｐゴシック"/>
      <family val="3"/>
      <charset val="128"/>
    </font>
    <font>
      <sz val="8"/>
      <color theme="1"/>
      <name val="ＭＳ Ｐゴシック"/>
      <family val="3"/>
      <charset val="128"/>
      <scheme val="minor"/>
    </font>
    <font>
      <sz val="12"/>
      <color theme="1"/>
      <name val="ＭＳ Ｐゴシック"/>
      <family val="2"/>
      <charset val="128"/>
      <scheme val="minor"/>
    </font>
    <font>
      <sz val="12"/>
      <color theme="1"/>
      <name val="ＭＳ Ｐゴシック"/>
      <family val="3"/>
      <charset val="128"/>
      <scheme val="minor"/>
    </font>
    <font>
      <sz val="18"/>
      <color theme="1"/>
      <name val="ＭＳ Ｐゴシック"/>
      <family val="2"/>
      <charset val="128"/>
      <scheme val="minor"/>
    </font>
    <font>
      <sz val="10"/>
      <color theme="1"/>
      <name val="ＭＳ Ｐゴシック"/>
      <family val="3"/>
      <charset val="128"/>
      <scheme val="minor"/>
    </font>
    <font>
      <sz val="11"/>
      <color theme="1"/>
      <name val="ＭＳ Ｐゴシック"/>
      <family val="3"/>
      <charset val="128"/>
      <scheme val="minor"/>
    </font>
    <font>
      <sz val="16"/>
      <color theme="1"/>
      <name val="ＭＳ Ｐゴシック"/>
      <family val="2"/>
      <charset val="128"/>
      <scheme val="minor"/>
    </font>
    <font>
      <sz val="9"/>
      <color theme="1"/>
      <name val="ＭＳ Ｐゴシック"/>
      <family val="3"/>
      <charset val="128"/>
      <scheme val="minor"/>
    </font>
    <font>
      <sz val="12"/>
      <color rgb="FFFF0000"/>
      <name val="ＭＳ Ｐゴシック"/>
      <family val="3"/>
      <charset val="128"/>
      <scheme val="minor"/>
    </font>
    <font>
      <sz val="12"/>
      <name val="ＭＳ Ｐゴシック"/>
      <family val="3"/>
      <charset val="128"/>
      <scheme val="minor"/>
    </font>
    <font>
      <sz val="9"/>
      <color theme="1"/>
      <name val="ＭＳ Ｐゴシック"/>
      <family val="2"/>
      <charset val="128"/>
      <scheme val="minor"/>
    </font>
    <font>
      <sz val="9"/>
      <color indexed="81"/>
      <name val="MS P ゴシック"/>
      <family val="3"/>
      <charset val="128"/>
    </font>
    <font>
      <sz val="8"/>
      <color theme="1"/>
      <name val="ＭＳ Ｐゴシック"/>
      <family val="2"/>
      <charset val="128"/>
      <scheme val="minor"/>
    </font>
    <font>
      <sz val="11"/>
      <name val="ＭＳ Ｐゴシック"/>
      <family val="3"/>
      <charset val="128"/>
      <scheme val="minor"/>
    </font>
    <font>
      <u/>
      <sz val="9"/>
      <color indexed="81"/>
      <name val="MS P ゴシック"/>
      <family val="3"/>
      <charset val="128"/>
    </font>
    <font>
      <sz val="11"/>
      <name val="ＭＳ Ｐゴシック"/>
      <family val="2"/>
      <charset val="128"/>
      <scheme val="minor"/>
    </font>
    <font>
      <sz val="9"/>
      <color indexed="81"/>
      <name val="ＭＳ Ｐゴシック"/>
      <family val="3"/>
      <charset val="128"/>
    </font>
    <font>
      <sz val="16"/>
      <color theme="1"/>
      <name val="ＭＳ Ｐゴシック"/>
      <family val="3"/>
      <charset val="128"/>
      <scheme val="minor"/>
    </font>
    <font>
      <sz val="14"/>
      <color theme="1"/>
      <name val="ＭＳ Ｐゴシック"/>
      <family val="2"/>
      <charset val="128"/>
      <scheme val="minor"/>
    </font>
    <font>
      <sz val="14"/>
      <color theme="1"/>
      <name val="ＭＳ Ｐゴシック"/>
      <family val="3"/>
      <charset val="128"/>
      <scheme val="minor"/>
    </font>
    <font>
      <sz val="11"/>
      <color theme="1"/>
      <name val="ＭＳ Ｐゴシック"/>
      <family val="2"/>
      <scheme val="minor"/>
    </font>
    <font>
      <sz val="16"/>
      <color theme="1"/>
      <name val="ＭＳ Ｐゴシック"/>
      <family val="2"/>
      <scheme val="minor"/>
    </font>
    <font>
      <sz val="6"/>
      <name val="ＭＳ Ｐゴシック"/>
      <family val="3"/>
      <charset val="128"/>
      <scheme val="minor"/>
    </font>
    <font>
      <sz val="12"/>
      <color theme="1"/>
      <name val="ＭＳ Ｐゴシック"/>
      <family val="2"/>
      <scheme val="minor"/>
    </font>
    <font>
      <sz val="12"/>
      <name val="ＭＳ Ｐゴシック"/>
      <family val="2"/>
      <charset val="128"/>
      <scheme val="minor"/>
    </font>
    <font>
      <sz val="10"/>
      <color theme="1"/>
      <name val="ＭＳ Ｐゴシック"/>
      <family val="2"/>
      <charset val="128"/>
      <scheme val="minor"/>
    </font>
    <font>
      <sz val="18"/>
      <color rgb="FFFF0000"/>
      <name val="ＭＳ Ｐゴシック"/>
      <family val="2"/>
      <charset val="128"/>
      <scheme val="minor"/>
    </font>
    <font>
      <sz val="6"/>
      <color theme="1"/>
      <name val="ＭＳ Ｐゴシック"/>
      <family val="3"/>
      <charset val="128"/>
      <scheme val="minor"/>
    </font>
  </fonts>
  <fills count="17">
    <fill>
      <patternFill patternType="none"/>
    </fill>
    <fill>
      <patternFill patternType="gray125"/>
    </fill>
    <fill>
      <patternFill patternType="solid">
        <fgColor theme="6" tint="0.59999389629810485"/>
        <bgColor indexed="64"/>
      </patternFill>
    </fill>
    <fill>
      <patternFill patternType="solid">
        <fgColor rgb="FFFFC00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theme="4" tint="0.59999389629810485"/>
        <bgColor theme="4" tint="0.79998168889431442"/>
      </patternFill>
    </fill>
    <fill>
      <patternFill patternType="solid">
        <fgColor theme="0" tint="-0.14996795556505021"/>
        <bgColor indexed="64"/>
      </patternFill>
    </fill>
    <fill>
      <patternFill patternType="solid">
        <fgColor theme="7"/>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diagonal/>
    </border>
    <border>
      <left style="thin">
        <color indexed="64"/>
      </left>
      <right/>
      <top/>
      <bottom style="medium">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top style="thin">
        <color theme="4" tint="0.39997558519241921"/>
      </top>
      <bottom style="thin">
        <color theme="4" tint="0.39997558519241921"/>
      </bottom>
      <diagonal/>
    </border>
    <border>
      <left style="thin">
        <color indexed="64"/>
      </left>
      <right style="thin">
        <color indexed="64"/>
      </right>
      <top/>
      <bottom/>
      <diagonal/>
    </border>
    <border>
      <left/>
      <right style="thin">
        <color indexed="64"/>
      </right>
      <top style="medium">
        <color indexed="64"/>
      </top>
      <bottom/>
      <diagonal/>
    </border>
  </borders>
  <cellStyleXfs count="3">
    <xf numFmtId="0" fontId="0" fillId="0" borderId="0">
      <alignment vertical="center"/>
    </xf>
    <xf numFmtId="0" fontId="4" fillId="0" borderId="0"/>
    <xf numFmtId="0" fontId="27" fillId="0" borderId="0"/>
  </cellStyleXfs>
  <cellXfs count="1077">
    <xf numFmtId="0" fontId="0" fillId="0" borderId="0" xfId="0">
      <alignment vertical="center"/>
    </xf>
    <xf numFmtId="0" fontId="0" fillId="4" borderId="0" xfId="0" applyFill="1">
      <alignment vertical="center"/>
    </xf>
    <xf numFmtId="0" fontId="0" fillId="0" borderId="0" xfId="0" applyAlignment="1">
      <alignment horizontal="center" vertical="center"/>
    </xf>
    <xf numFmtId="0" fontId="0" fillId="5" borderId="0" xfId="0" applyFill="1">
      <alignment vertical="center"/>
    </xf>
    <xf numFmtId="0" fontId="0" fillId="0" borderId="0" xfId="0" applyFill="1">
      <alignment vertical="center"/>
    </xf>
    <xf numFmtId="0" fontId="0" fillId="6" borderId="0" xfId="0" applyFill="1">
      <alignment vertical="center"/>
    </xf>
    <xf numFmtId="0" fontId="0" fillId="4" borderId="0" xfId="0" applyFill="1" applyBorder="1" applyAlignment="1">
      <alignment horizontal="center" vertical="center"/>
    </xf>
    <xf numFmtId="0" fontId="5" fillId="0" borderId="0" xfId="1" applyFont="1" applyAlignment="1">
      <alignment horizontal="right" vertical="center"/>
    </xf>
    <xf numFmtId="177" fontId="5" fillId="0" borderId="0" xfId="1" applyNumberFormat="1" applyFont="1" applyAlignment="1">
      <alignment horizontal="right" vertical="center"/>
    </xf>
    <xf numFmtId="178" fontId="4" fillId="0" borderId="13" xfId="1" applyNumberFormat="1" applyBorder="1" applyAlignment="1">
      <alignment vertical="center"/>
    </xf>
    <xf numFmtId="181" fontId="4" fillId="0" borderId="13" xfId="1" applyNumberFormat="1" applyBorder="1" applyAlignment="1">
      <alignment horizontal="right" vertical="center"/>
    </xf>
    <xf numFmtId="182" fontId="4" fillId="0" borderId="14" xfId="1" applyNumberFormat="1" applyBorder="1" applyAlignment="1">
      <alignment vertical="center"/>
    </xf>
    <xf numFmtId="182" fontId="4" fillId="0" borderId="15" xfId="1" applyNumberFormat="1" applyBorder="1" applyAlignment="1">
      <alignment vertical="center"/>
    </xf>
    <xf numFmtId="0" fontId="4" fillId="0" borderId="0" xfId="1" applyAlignment="1">
      <alignment vertical="center"/>
    </xf>
    <xf numFmtId="178" fontId="4" fillId="0" borderId="16" xfId="1" applyNumberFormat="1" applyBorder="1" applyAlignment="1">
      <alignment vertical="center"/>
    </xf>
    <xf numFmtId="181" fontId="4" fillId="0" borderId="16" xfId="1" applyNumberFormat="1" applyBorder="1" applyAlignment="1">
      <alignment vertical="center"/>
    </xf>
    <xf numFmtId="178" fontId="4" fillId="0" borderId="17" xfId="1" applyNumberFormat="1" applyBorder="1" applyAlignment="1">
      <alignment vertical="center"/>
    </xf>
    <xf numFmtId="181" fontId="4" fillId="0" borderId="17" xfId="1" applyNumberFormat="1" applyBorder="1" applyAlignment="1">
      <alignment vertical="center"/>
    </xf>
    <xf numFmtId="178" fontId="4" fillId="0" borderId="16" xfId="1" applyNumberFormat="1" applyFill="1" applyBorder="1" applyAlignment="1">
      <alignment vertical="center"/>
    </xf>
    <xf numFmtId="181" fontId="4" fillId="0" borderId="13" xfId="1" applyNumberFormat="1" applyBorder="1" applyAlignment="1">
      <alignment vertical="center"/>
    </xf>
    <xf numFmtId="178" fontId="4" fillId="0" borderId="16" xfId="1" applyNumberFormat="1" applyFill="1" applyBorder="1" applyAlignment="1">
      <alignment vertical="center" wrapText="1"/>
    </xf>
    <xf numFmtId="181" fontId="4" fillId="0" borderId="16" xfId="1" applyNumberFormat="1" applyBorder="1" applyAlignment="1">
      <alignment vertical="center" wrapText="1"/>
    </xf>
    <xf numFmtId="183" fontId="4" fillId="0" borderId="16" xfId="1" applyNumberFormat="1" applyFill="1" applyBorder="1" applyAlignment="1">
      <alignment vertical="center"/>
    </xf>
    <xf numFmtId="183" fontId="4" fillId="0" borderId="17" xfId="1" applyNumberFormat="1" applyFill="1" applyBorder="1" applyAlignment="1">
      <alignment vertical="center"/>
    </xf>
    <xf numFmtId="183" fontId="4" fillId="0" borderId="17" xfId="1" applyNumberFormat="1" applyBorder="1" applyAlignment="1">
      <alignment vertical="center"/>
    </xf>
    <xf numFmtId="183" fontId="4" fillId="0" borderId="16" xfId="1" applyNumberFormat="1" applyBorder="1" applyAlignment="1">
      <alignment vertical="center"/>
    </xf>
    <xf numFmtId="183" fontId="4" fillId="0" borderId="13" xfId="1" applyNumberFormat="1" applyBorder="1" applyAlignment="1">
      <alignment vertical="center"/>
    </xf>
    <xf numFmtId="181" fontId="4" fillId="0" borderId="16" xfId="1" applyNumberFormat="1" applyFill="1" applyBorder="1" applyAlignment="1">
      <alignment vertical="center"/>
    </xf>
    <xf numFmtId="178" fontId="4" fillId="0" borderId="17" xfId="1" applyNumberFormat="1" applyFill="1" applyBorder="1" applyAlignment="1">
      <alignment vertical="center"/>
    </xf>
    <xf numFmtId="181" fontId="4" fillId="0" borderId="17" xfId="1" applyNumberFormat="1" applyFill="1" applyBorder="1" applyAlignment="1">
      <alignment vertical="center"/>
    </xf>
    <xf numFmtId="182" fontId="4" fillId="0" borderId="14" xfId="1" applyNumberFormat="1" applyBorder="1" applyAlignment="1">
      <alignment horizontal="right" vertical="center"/>
    </xf>
    <xf numFmtId="181" fontId="4" fillId="0" borderId="0" xfId="1" applyNumberFormat="1" applyAlignment="1">
      <alignment vertical="center"/>
    </xf>
    <xf numFmtId="177" fontId="4" fillId="0" borderId="0" xfId="1" applyNumberFormat="1" applyAlignment="1">
      <alignment vertical="center"/>
    </xf>
    <xf numFmtId="0" fontId="5" fillId="3" borderId="0" xfId="1" applyFont="1" applyFill="1" applyAlignment="1">
      <alignment horizontal="right" vertical="center"/>
    </xf>
    <xf numFmtId="177" fontId="5" fillId="3" borderId="0" xfId="1" applyNumberFormat="1" applyFont="1" applyFill="1" applyAlignment="1">
      <alignment horizontal="right" vertical="center"/>
    </xf>
    <xf numFmtId="0" fontId="5" fillId="0" borderId="0" xfId="1" applyFont="1" applyAlignment="1">
      <alignment horizontal="left" vertical="center"/>
    </xf>
    <xf numFmtId="0" fontId="0" fillId="0" borderId="1" xfId="0" applyFill="1" applyBorder="1">
      <alignment vertical="center"/>
    </xf>
    <xf numFmtId="0" fontId="0" fillId="4" borderId="0" xfId="0" applyFill="1" applyAlignment="1">
      <alignment horizontal="left" vertical="center"/>
    </xf>
    <xf numFmtId="0" fontId="0" fillId="4" borderId="0" xfId="0" applyFill="1" applyAlignment="1">
      <alignment horizontal="center" vertical="center"/>
    </xf>
    <xf numFmtId="184" fontId="0" fillId="4" borderId="0" xfId="0" applyNumberFormat="1" applyFill="1" applyBorder="1" applyAlignment="1">
      <alignment horizontal="center" vertical="center"/>
    </xf>
    <xf numFmtId="0" fontId="0" fillId="4" borderId="0" xfId="0" applyFill="1" applyBorder="1" applyAlignment="1">
      <alignment vertical="top"/>
    </xf>
    <xf numFmtId="178" fontId="0" fillId="4" borderId="0" xfId="0" applyNumberFormat="1" applyFill="1" applyAlignment="1">
      <alignment horizontal="center" vertical="center"/>
    </xf>
    <xf numFmtId="0" fontId="0" fillId="0" borderId="0" xfId="0" applyFill="1" applyBorder="1" applyAlignment="1">
      <alignment horizontal="center" vertical="center"/>
    </xf>
    <xf numFmtId="0" fontId="0" fillId="4" borderId="0" xfId="0" applyFill="1" applyBorder="1" applyAlignment="1">
      <alignment horizontal="left" vertical="center"/>
    </xf>
    <xf numFmtId="0" fontId="9" fillId="5" borderId="1" xfId="0" applyFont="1" applyFill="1" applyBorder="1" applyAlignment="1">
      <alignment horizontal="center" vertical="center" shrinkToFit="1"/>
    </xf>
    <xf numFmtId="0" fontId="9" fillId="6" borderId="1" xfId="0" applyFont="1" applyFill="1" applyBorder="1" applyAlignment="1">
      <alignment horizontal="center" vertical="center" shrinkToFit="1"/>
    </xf>
    <xf numFmtId="178" fontId="9" fillId="5" borderId="1" xfId="0" applyNumberFormat="1" applyFont="1" applyFill="1" applyBorder="1" applyAlignment="1">
      <alignment horizontal="center" vertical="center" shrinkToFit="1"/>
    </xf>
    <xf numFmtId="178" fontId="9" fillId="7" borderId="1" xfId="0" applyNumberFormat="1" applyFont="1" applyFill="1" applyBorder="1" applyAlignment="1">
      <alignment horizontal="center" vertical="center" shrinkToFit="1"/>
    </xf>
    <xf numFmtId="176" fontId="9" fillId="7" borderId="1" xfId="0" applyNumberFormat="1" applyFont="1" applyFill="1" applyBorder="1" applyAlignment="1">
      <alignment horizontal="center" vertical="center" shrinkToFit="1"/>
    </xf>
    <xf numFmtId="0" fontId="9" fillId="0" borderId="0" xfId="0" applyFont="1" applyAlignment="1">
      <alignment horizontal="center" vertical="center"/>
    </xf>
    <xf numFmtId="0" fontId="9" fillId="0" borderId="0" xfId="0" applyFont="1">
      <alignment vertical="center"/>
    </xf>
    <xf numFmtId="0" fontId="9" fillId="0" borderId="0" xfId="0" applyFont="1" applyAlignment="1">
      <alignment horizontal="center" vertical="center" shrinkToFit="1"/>
    </xf>
    <xf numFmtId="0" fontId="9" fillId="0" borderId="0" xfId="0" applyFont="1" applyFill="1" applyAlignment="1">
      <alignment vertical="center" shrinkToFit="1"/>
    </xf>
    <xf numFmtId="0" fontId="9" fillId="0" borderId="0" xfId="0" applyFont="1" applyFill="1" applyBorder="1" applyAlignment="1">
      <alignment horizontal="center" vertical="center" shrinkToFit="1"/>
    </xf>
    <xf numFmtId="0" fontId="9" fillId="0" borderId="0" xfId="0" applyFont="1" applyFill="1" applyBorder="1" applyAlignment="1">
      <alignment vertical="center" shrinkToFit="1"/>
    </xf>
    <xf numFmtId="0" fontId="2" fillId="0" borderId="0" xfId="0" applyFont="1">
      <alignment vertical="center"/>
    </xf>
    <xf numFmtId="185" fontId="9" fillId="0" borderId="0" xfId="0" applyNumberFormat="1" applyFont="1" applyFill="1" applyBorder="1" applyAlignment="1">
      <alignment horizontal="center" vertical="center" shrinkToFit="1"/>
    </xf>
    <xf numFmtId="0" fontId="0" fillId="9" borderId="0" xfId="0" applyFill="1">
      <alignment vertical="center"/>
    </xf>
    <xf numFmtId="0" fontId="0" fillId="7" borderId="0" xfId="0" applyFill="1">
      <alignment vertical="center"/>
    </xf>
    <xf numFmtId="0" fontId="8" fillId="0" borderId="0" xfId="0" applyFont="1">
      <alignment vertical="center"/>
    </xf>
    <xf numFmtId="0" fontId="13" fillId="0" borderId="0" xfId="0" applyFont="1">
      <alignment vertical="center"/>
    </xf>
    <xf numFmtId="0" fontId="0" fillId="0" borderId="0" xfId="0" applyBorder="1" applyAlignment="1">
      <alignment vertical="center"/>
    </xf>
    <xf numFmtId="0" fontId="9" fillId="0" borderId="0" xfId="0" applyFont="1" applyBorder="1" applyAlignment="1">
      <alignment horizontal="left" vertical="center"/>
    </xf>
    <xf numFmtId="0" fontId="8" fillId="0" borderId="0" xfId="0" applyFont="1" applyAlignment="1">
      <alignment horizontal="left" vertical="center"/>
    </xf>
    <xf numFmtId="0" fontId="9" fillId="0" borderId="28" xfId="0" applyFont="1" applyBorder="1" applyAlignment="1">
      <alignment horizontal="center" vertical="center" shrinkToFit="1"/>
    </xf>
    <xf numFmtId="0" fontId="9" fillId="0" borderId="29" xfId="0" applyFont="1" applyBorder="1" applyAlignment="1">
      <alignment horizontal="center" vertical="center" shrinkToFit="1"/>
    </xf>
    <xf numFmtId="0" fontId="9" fillId="9" borderId="28" xfId="0" applyFont="1" applyFill="1" applyBorder="1" applyAlignment="1">
      <alignment horizontal="center" vertical="center" shrinkToFit="1"/>
    </xf>
    <xf numFmtId="0" fontId="9" fillId="5" borderId="28" xfId="0" applyFont="1" applyFill="1" applyBorder="1" applyAlignment="1">
      <alignment horizontal="center" vertical="center" shrinkToFit="1"/>
    </xf>
    <xf numFmtId="0" fontId="9" fillId="5" borderId="29" xfId="0" applyFont="1" applyFill="1" applyBorder="1" applyAlignment="1">
      <alignment horizontal="center" vertical="center" shrinkToFit="1"/>
    </xf>
    <xf numFmtId="0" fontId="9" fillId="7" borderId="28" xfId="0" applyFont="1" applyFill="1" applyBorder="1" applyAlignment="1">
      <alignment horizontal="center" vertical="center" shrinkToFit="1"/>
    </xf>
    <xf numFmtId="0" fontId="9" fillId="7" borderId="29" xfId="0" applyFont="1" applyFill="1" applyBorder="1" applyAlignment="1">
      <alignment horizontal="center" vertical="center" shrinkToFit="1"/>
    </xf>
    <xf numFmtId="0" fontId="9" fillId="6" borderId="28" xfId="0" applyFont="1" applyFill="1" applyBorder="1" applyAlignment="1">
      <alignment horizontal="center" vertical="center" shrinkToFit="1"/>
    </xf>
    <xf numFmtId="0" fontId="9" fillId="6" borderId="29" xfId="0" applyFont="1" applyFill="1" applyBorder="1" applyAlignment="1">
      <alignment horizontal="center" vertical="center" shrinkToFit="1"/>
    </xf>
    <xf numFmtId="178" fontId="9" fillId="5" borderId="28" xfId="0" applyNumberFormat="1" applyFont="1" applyFill="1" applyBorder="1" applyAlignment="1">
      <alignment horizontal="center" vertical="center" shrinkToFit="1"/>
    </xf>
    <xf numFmtId="178" fontId="9" fillId="5" borderId="29" xfId="0" applyNumberFormat="1" applyFont="1" applyFill="1" applyBorder="1" applyAlignment="1">
      <alignment horizontal="center" vertical="center" shrinkToFit="1"/>
    </xf>
    <xf numFmtId="178" fontId="9" fillId="3" borderId="28" xfId="0" applyNumberFormat="1" applyFont="1" applyFill="1" applyBorder="1" applyAlignment="1">
      <alignment horizontal="center" vertical="center" shrinkToFit="1"/>
    </xf>
    <xf numFmtId="178" fontId="9" fillId="7" borderId="28" xfId="0" applyNumberFormat="1" applyFont="1" applyFill="1" applyBorder="1" applyAlignment="1">
      <alignment horizontal="center" vertical="center" shrinkToFit="1"/>
    </xf>
    <xf numFmtId="178" fontId="9" fillId="7" borderId="29" xfId="0" applyNumberFormat="1" applyFont="1" applyFill="1" applyBorder="1" applyAlignment="1">
      <alignment horizontal="center" vertical="center" shrinkToFit="1"/>
    </xf>
    <xf numFmtId="0" fontId="9" fillId="7" borderId="42" xfId="0" applyFont="1" applyFill="1" applyBorder="1" applyAlignment="1">
      <alignment horizontal="center" vertical="center" shrinkToFit="1"/>
    </xf>
    <xf numFmtId="0" fontId="9" fillId="6" borderId="42" xfId="0" applyFont="1" applyFill="1" applyBorder="1" applyAlignment="1">
      <alignment horizontal="center" vertical="center" shrinkToFit="1"/>
    </xf>
    <xf numFmtId="178" fontId="9" fillId="5" borderId="42" xfId="0" applyNumberFormat="1" applyFont="1" applyFill="1" applyBorder="1" applyAlignment="1">
      <alignment horizontal="center" vertical="center" shrinkToFit="1"/>
    </xf>
    <xf numFmtId="178" fontId="9" fillId="7" borderId="42" xfId="0" applyNumberFormat="1" applyFont="1" applyFill="1" applyBorder="1" applyAlignment="1">
      <alignment horizontal="center" vertical="center" shrinkToFit="1"/>
    </xf>
    <xf numFmtId="176" fontId="9" fillId="7" borderId="28" xfId="0" applyNumberFormat="1" applyFont="1" applyFill="1" applyBorder="1" applyAlignment="1">
      <alignment horizontal="center" vertical="center" shrinkToFit="1"/>
    </xf>
    <xf numFmtId="176" fontId="9" fillId="7" borderId="29" xfId="0" applyNumberFormat="1" applyFont="1" applyFill="1" applyBorder="1" applyAlignment="1">
      <alignment horizontal="center" vertical="center" shrinkToFit="1"/>
    </xf>
    <xf numFmtId="177" fontId="9" fillId="3" borderId="54" xfId="0" applyNumberFormat="1" applyFont="1" applyFill="1" applyBorder="1" applyAlignment="1">
      <alignment vertical="center" shrinkToFit="1"/>
    </xf>
    <xf numFmtId="0" fontId="0" fillId="0" borderId="0" xfId="0" applyBorder="1" applyAlignment="1">
      <alignment vertical="top"/>
    </xf>
    <xf numFmtId="0" fontId="0" fillId="0" borderId="0" xfId="0" applyBorder="1">
      <alignment vertical="center"/>
    </xf>
    <xf numFmtId="0" fontId="15" fillId="9" borderId="28" xfId="0" applyFont="1" applyFill="1" applyBorder="1" applyAlignment="1">
      <alignment horizontal="center" vertical="center" shrinkToFit="1"/>
    </xf>
    <xf numFmtId="0" fontId="15" fillId="5" borderId="1" xfId="0" applyFont="1" applyFill="1" applyBorder="1" applyAlignment="1">
      <alignment horizontal="center" vertical="center" shrinkToFit="1"/>
    </xf>
    <xf numFmtId="0" fontId="15" fillId="5" borderId="29" xfId="0" applyFont="1" applyFill="1" applyBorder="1" applyAlignment="1">
      <alignment horizontal="center" vertical="center" shrinkToFit="1"/>
    </xf>
    <xf numFmtId="0" fontId="15" fillId="5" borderId="42" xfId="0" applyFont="1" applyFill="1" applyBorder="1" applyAlignment="1">
      <alignment horizontal="center" vertical="center" shrinkToFit="1"/>
    </xf>
    <xf numFmtId="0" fontId="15" fillId="5" borderId="28" xfId="0" applyFont="1" applyFill="1" applyBorder="1" applyAlignment="1">
      <alignment horizontal="center" vertical="center" shrinkToFit="1"/>
    </xf>
    <xf numFmtId="0" fontId="9" fillId="0" borderId="42" xfId="0" applyFont="1" applyBorder="1" applyAlignment="1" applyProtection="1">
      <alignment horizontal="center" vertical="center" shrinkToFit="1"/>
      <protection locked="0"/>
    </xf>
    <xf numFmtId="0" fontId="9" fillId="0" borderId="28" xfId="0" applyFont="1" applyBorder="1" applyAlignment="1" applyProtection="1">
      <alignment horizontal="center" vertical="center" shrinkToFit="1"/>
      <protection locked="0"/>
    </xf>
    <xf numFmtId="0" fontId="9" fillId="0" borderId="29" xfId="0" applyFont="1" applyBorder="1" applyAlignment="1" applyProtection="1">
      <alignment horizontal="center" vertical="center" shrinkToFit="1"/>
      <protection locked="0"/>
    </xf>
    <xf numFmtId="178" fontId="9" fillId="0" borderId="28" xfId="0" applyNumberFormat="1" applyFont="1" applyBorder="1" applyAlignment="1" applyProtection="1">
      <alignment horizontal="center" vertical="center" shrinkToFit="1"/>
      <protection locked="0"/>
    </xf>
    <xf numFmtId="178" fontId="9" fillId="0" borderId="1" xfId="0" applyNumberFormat="1" applyFont="1" applyBorder="1" applyAlignment="1" applyProtection="1">
      <alignment horizontal="center" vertical="center" shrinkToFit="1"/>
      <protection locked="0"/>
    </xf>
    <xf numFmtId="178" fontId="9" fillId="0" borderId="29" xfId="0" applyNumberFormat="1" applyFont="1" applyBorder="1" applyAlignment="1" applyProtection="1">
      <alignment horizontal="center" vertical="center" shrinkToFit="1"/>
      <protection locked="0"/>
    </xf>
    <xf numFmtId="178" fontId="9" fillId="0" borderId="42" xfId="0" applyNumberFormat="1" applyFont="1" applyBorder="1" applyAlignment="1" applyProtection="1">
      <alignment horizontal="center" vertical="center" shrinkToFit="1"/>
      <protection locked="0"/>
    </xf>
    <xf numFmtId="0" fontId="9" fillId="0" borderId="25" xfId="0" applyFont="1" applyFill="1" applyBorder="1" applyAlignment="1" applyProtection="1">
      <alignment horizontal="center" vertical="center" shrinkToFit="1"/>
      <protection locked="0"/>
    </xf>
    <xf numFmtId="0" fontId="9" fillId="0" borderId="26" xfId="0" applyFont="1" applyFill="1" applyBorder="1" applyAlignment="1" applyProtection="1">
      <alignment horizontal="center" vertical="center" shrinkToFit="1"/>
      <protection locked="0"/>
    </xf>
    <xf numFmtId="0" fontId="9" fillId="0" borderId="27" xfId="0" applyFont="1" applyFill="1" applyBorder="1" applyAlignment="1" applyProtection="1">
      <alignment horizontal="center" vertical="center" shrinkToFit="1"/>
      <protection locked="0"/>
    </xf>
    <xf numFmtId="0" fontId="9" fillId="0" borderId="25" xfId="0" applyFont="1" applyFill="1" applyBorder="1" applyAlignment="1" applyProtection="1">
      <alignment vertical="center" shrinkToFit="1"/>
      <protection locked="0"/>
    </xf>
    <xf numFmtId="0" fontId="9" fillId="0" borderId="26" xfId="0" applyFont="1" applyFill="1" applyBorder="1" applyAlignment="1" applyProtection="1">
      <alignment vertical="center" shrinkToFit="1"/>
      <protection locked="0"/>
    </xf>
    <xf numFmtId="0" fontId="9" fillId="0" borderId="27" xfId="0" applyFont="1" applyFill="1" applyBorder="1" applyAlignment="1" applyProtection="1">
      <alignment vertical="center" shrinkToFit="1"/>
      <protection locked="0"/>
    </xf>
    <xf numFmtId="0" fontId="9" fillId="0" borderId="28" xfId="0" applyFont="1" applyFill="1" applyBorder="1" applyAlignment="1" applyProtection="1">
      <alignment vertical="center" shrinkToFit="1"/>
      <protection locked="0"/>
    </xf>
    <xf numFmtId="0" fontId="9" fillId="0" borderId="1" xfId="0" applyFont="1" applyFill="1" applyBorder="1" applyAlignment="1" applyProtection="1">
      <alignment vertical="center" shrinkToFit="1"/>
      <protection locked="0"/>
    </xf>
    <xf numFmtId="0" fontId="9" fillId="0" borderId="29" xfId="0" applyFont="1" applyFill="1" applyBorder="1" applyAlignment="1" applyProtection="1">
      <alignment vertical="center" shrinkToFit="1"/>
      <protection locked="0"/>
    </xf>
    <xf numFmtId="0" fontId="9" fillId="0" borderId="39" xfId="0" applyFont="1" applyFill="1" applyBorder="1" applyAlignment="1" applyProtection="1">
      <alignment vertical="center" shrinkToFit="1"/>
      <protection locked="0"/>
    </xf>
    <xf numFmtId="0" fontId="9" fillId="0" borderId="40" xfId="0" applyFont="1" applyFill="1" applyBorder="1" applyAlignment="1" applyProtection="1">
      <alignment vertical="center" shrinkToFit="1"/>
      <protection locked="0"/>
    </xf>
    <xf numFmtId="0" fontId="9" fillId="0" borderId="36" xfId="0" applyFont="1" applyFill="1" applyBorder="1" applyAlignment="1" applyProtection="1">
      <alignment vertical="center" shrinkToFit="1"/>
      <protection locked="0"/>
    </xf>
    <xf numFmtId="178" fontId="16" fillId="0" borderId="28" xfId="0" applyNumberFormat="1" applyFont="1" applyBorder="1" applyAlignment="1" applyProtection="1">
      <alignment horizontal="center" vertical="center" shrinkToFit="1"/>
      <protection locked="0"/>
    </xf>
    <xf numFmtId="178" fontId="16" fillId="0" borderId="1" xfId="0" applyNumberFormat="1" applyFont="1" applyBorder="1" applyAlignment="1" applyProtection="1">
      <alignment horizontal="center" vertical="center" shrinkToFit="1"/>
      <protection locked="0"/>
    </xf>
    <xf numFmtId="178" fontId="16" fillId="0" borderId="29" xfId="0" applyNumberFormat="1" applyFont="1" applyBorder="1" applyAlignment="1" applyProtection="1">
      <alignment horizontal="center" vertical="center" shrinkToFit="1"/>
      <protection locked="0"/>
    </xf>
    <xf numFmtId="178" fontId="16" fillId="0" borderId="42" xfId="0" applyNumberFormat="1" applyFont="1" applyBorder="1" applyAlignment="1" applyProtection="1">
      <alignment horizontal="center" vertical="center" shrinkToFit="1"/>
      <protection locked="0"/>
    </xf>
    <xf numFmtId="0" fontId="0" fillId="5" borderId="1" xfId="0" applyFill="1" applyBorder="1" applyAlignment="1">
      <alignment horizontal="center" vertical="center"/>
    </xf>
    <xf numFmtId="0" fontId="0" fillId="5" borderId="0" xfId="0" applyFill="1" applyBorder="1" applyAlignment="1">
      <alignment horizontal="center" vertical="center"/>
    </xf>
    <xf numFmtId="0" fontId="0" fillId="4" borderId="1" xfId="0" applyFill="1" applyBorder="1">
      <alignment vertical="center"/>
    </xf>
    <xf numFmtId="0" fontId="0" fillId="0" borderId="0" xfId="0" applyFill="1" applyBorder="1">
      <alignment vertical="center"/>
    </xf>
    <xf numFmtId="0" fontId="9" fillId="4" borderId="0" xfId="0" applyFont="1" applyFill="1" applyBorder="1" applyAlignment="1">
      <alignment horizontal="center" vertical="center" shrinkToFit="1"/>
    </xf>
    <xf numFmtId="178" fontId="9" fillId="7" borderId="0" xfId="0" applyNumberFormat="1" applyFont="1" applyFill="1" applyBorder="1" applyAlignment="1">
      <alignment horizontal="center" vertical="center" shrinkToFit="1"/>
    </xf>
    <xf numFmtId="176" fontId="9" fillId="7" borderId="0" xfId="0" applyNumberFormat="1" applyFont="1" applyFill="1" applyBorder="1" applyAlignment="1">
      <alignment horizontal="center" vertical="center" shrinkToFit="1"/>
    </xf>
    <xf numFmtId="0" fontId="0" fillId="10" borderId="41" xfId="0" applyFill="1" applyBorder="1" applyAlignment="1">
      <alignment horizontal="center" vertical="center"/>
    </xf>
    <xf numFmtId="178" fontId="0" fillId="3" borderId="42" xfId="0" applyNumberFormat="1" applyFill="1" applyBorder="1" applyAlignment="1">
      <alignment vertical="center" shrinkToFit="1"/>
    </xf>
    <xf numFmtId="178" fontId="0" fillId="3" borderId="18" xfId="0" applyNumberFormat="1" applyFill="1" applyBorder="1" applyAlignment="1">
      <alignment vertical="center" shrinkToFit="1"/>
    </xf>
    <xf numFmtId="178" fontId="0" fillId="3" borderId="47" xfId="0" applyNumberFormat="1" applyFill="1" applyBorder="1" applyAlignment="1">
      <alignment vertical="center" shrinkToFit="1"/>
    </xf>
    <xf numFmtId="178" fontId="9" fillId="3" borderId="30" xfId="0" applyNumberFormat="1" applyFont="1" applyFill="1" applyBorder="1" applyAlignment="1">
      <alignment horizontal="center" vertical="center" shrinkToFit="1"/>
    </xf>
    <xf numFmtId="178" fontId="9" fillId="3" borderId="2" xfId="0" applyNumberFormat="1" applyFont="1" applyFill="1" applyBorder="1" applyAlignment="1">
      <alignment horizontal="center" vertical="center" shrinkToFit="1"/>
    </xf>
    <xf numFmtId="0" fontId="9" fillId="0" borderId="1" xfId="0" applyFont="1" applyBorder="1" applyAlignment="1">
      <alignment horizontal="center" vertical="center" shrinkToFit="1"/>
    </xf>
    <xf numFmtId="0" fontId="9" fillId="8" borderId="1" xfId="0" applyFont="1" applyFill="1" applyBorder="1" applyAlignment="1">
      <alignment horizontal="center" vertical="center" shrinkToFit="1"/>
    </xf>
    <xf numFmtId="178" fontId="9" fillId="4" borderId="28" xfId="0" applyNumberFormat="1" applyFont="1" applyFill="1" applyBorder="1" applyAlignment="1">
      <alignment horizontal="center" vertical="center" shrinkToFit="1"/>
    </xf>
    <xf numFmtId="178" fontId="9" fillId="4" borderId="1" xfId="0" applyNumberFormat="1" applyFont="1" applyFill="1" applyBorder="1" applyAlignment="1">
      <alignment horizontal="center" vertical="center" shrinkToFit="1"/>
    </xf>
    <xf numFmtId="178" fontId="9" fillId="4" borderId="29" xfId="0" applyNumberFormat="1" applyFont="1" applyFill="1" applyBorder="1" applyAlignment="1">
      <alignment horizontal="center" vertical="center" shrinkToFit="1"/>
    </xf>
    <xf numFmtId="178" fontId="9" fillId="4" borderId="42" xfId="0" applyNumberFormat="1" applyFont="1" applyFill="1" applyBorder="1" applyAlignment="1">
      <alignment horizontal="center" vertical="center" shrinkToFit="1"/>
    </xf>
    <xf numFmtId="0" fontId="9" fillId="0" borderId="4" xfId="0" applyFont="1" applyBorder="1" applyAlignment="1" applyProtection="1">
      <alignment horizontal="center" vertical="center" shrinkToFit="1"/>
      <protection locked="0"/>
    </xf>
    <xf numFmtId="0" fontId="9" fillId="4" borderId="31" xfId="0" applyFont="1" applyFill="1" applyBorder="1" applyAlignment="1">
      <alignment horizontal="center" vertical="center" shrinkToFit="1"/>
    </xf>
    <xf numFmtId="178" fontId="0" fillId="3" borderId="1" xfId="0" applyNumberFormat="1" applyFill="1" applyBorder="1" applyAlignment="1">
      <alignment horizontal="center" vertical="center" shrinkToFit="1"/>
    </xf>
    <xf numFmtId="178" fontId="0" fillId="3" borderId="63" xfId="0" applyNumberFormat="1" applyFill="1" applyBorder="1" applyAlignment="1">
      <alignment horizontal="center" vertical="center" shrinkToFit="1"/>
    </xf>
    <xf numFmtId="180" fontId="9" fillId="0" borderId="1" xfId="0" applyNumberFormat="1" applyFont="1" applyBorder="1" applyAlignment="1" applyProtection="1">
      <alignment horizontal="center" vertical="center" shrinkToFit="1"/>
      <protection locked="0"/>
    </xf>
    <xf numFmtId="180" fontId="9" fillId="0" borderId="29" xfId="0" applyNumberFormat="1" applyFont="1" applyBorder="1" applyAlignment="1" applyProtection="1">
      <alignment horizontal="center" vertical="center" shrinkToFit="1"/>
      <protection locked="0"/>
    </xf>
    <xf numFmtId="180" fontId="9" fillId="0" borderId="4" xfId="0" applyNumberFormat="1" applyFont="1" applyBorder="1" applyAlignment="1" applyProtection="1">
      <alignment horizontal="center" vertical="center" shrinkToFit="1"/>
      <protection locked="0"/>
    </xf>
    <xf numFmtId="0" fontId="9" fillId="0" borderId="4" xfId="0" applyFont="1" applyBorder="1" applyAlignment="1">
      <alignment horizontal="center" vertical="center" shrinkToFit="1"/>
    </xf>
    <xf numFmtId="178" fontId="16" fillId="0" borderId="4" xfId="0" applyNumberFormat="1" applyFont="1" applyBorder="1" applyAlignment="1" applyProtection="1">
      <alignment horizontal="center" vertical="center" shrinkToFit="1"/>
      <protection locked="0"/>
    </xf>
    <xf numFmtId="178" fontId="9" fillId="0" borderId="4" xfId="0" applyNumberFormat="1" applyFont="1" applyBorder="1" applyAlignment="1" applyProtection="1">
      <alignment horizontal="center" vertical="center" shrinkToFit="1"/>
      <protection locked="0"/>
    </xf>
    <xf numFmtId="180" fontId="9" fillId="0" borderId="28" xfId="0" applyNumberFormat="1" applyFont="1" applyBorder="1" applyAlignment="1" applyProtection="1">
      <alignment horizontal="center" vertical="center" shrinkToFit="1"/>
      <protection locked="0"/>
    </xf>
    <xf numFmtId="180" fontId="9" fillId="0" borderId="42" xfId="0" applyNumberFormat="1" applyFont="1" applyBorder="1" applyAlignment="1" applyProtection="1">
      <alignment horizontal="center" vertical="center" shrinkToFit="1"/>
      <protection locked="0"/>
    </xf>
    <xf numFmtId="0" fontId="9" fillId="0" borderId="42" xfId="0" applyFont="1" applyBorder="1" applyAlignment="1">
      <alignment horizontal="center" vertical="center" shrinkToFit="1"/>
    </xf>
    <xf numFmtId="0" fontId="9" fillId="4" borderId="64" xfId="0" applyFont="1" applyFill="1" applyBorder="1" applyAlignment="1">
      <alignment horizontal="center" vertical="center" shrinkToFit="1"/>
    </xf>
    <xf numFmtId="178" fontId="0" fillId="0" borderId="1" xfId="0" applyNumberFormat="1" applyBorder="1" applyAlignment="1">
      <alignment horizontal="center" vertical="center" shrinkToFit="1"/>
    </xf>
    <xf numFmtId="0" fontId="9" fillId="0" borderId="46" xfId="0" applyFont="1" applyFill="1" applyBorder="1" applyAlignment="1" applyProtection="1">
      <alignment horizontal="center" vertical="center" shrinkToFit="1"/>
      <protection locked="0"/>
    </xf>
    <xf numFmtId="0" fontId="9" fillId="0" borderId="47" xfId="0" applyFont="1" applyFill="1" applyBorder="1" applyAlignment="1" applyProtection="1">
      <alignment horizontal="center" vertical="center" shrinkToFit="1"/>
      <protection locked="0"/>
    </xf>
    <xf numFmtId="178" fontId="9" fillId="0" borderId="0" xfId="0" applyNumberFormat="1" applyFont="1" applyFill="1" applyBorder="1" applyAlignment="1">
      <alignment horizontal="center" vertical="center" shrinkToFit="1"/>
    </xf>
    <xf numFmtId="178" fontId="0" fillId="3" borderId="0" xfId="0" applyNumberFormat="1" applyFill="1" applyBorder="1" applyAlignment="1">
      <alignment horizontal="center" vertical="center" shrinkToFit="1"/>
    </xf>
    <xf numFmtId="0" fontId="9" fillId="0" borderId="8" xfId="0" applyFont="1" applyFill="1" applyBorder="1" applyAlignment="1">
      <alignment horizontal="center" vertical="center" shrinkToFit="1"/>
    </xf>
    <xf numFmtId="0" fontId="9" fillId="0" borderId="9" xfId="0" applyFont="1" applyFill="1" applyBorder="1" applyAlignment="1">
      <alignment horizontal="center" vertical="center" shrinkToFit="1"/>
    </xf>
    <xf numFmtId="0" fontId="9" fillId="0" borderId="70" xfId="0" applyFont="1" applyFill="1" applyBorder="1" applyAlignment="1">
      <alignment horizontal="center" vertical="center" shrinkToFit="1"/>
    </xf>
    <xf numFmtId="0" fontId="9" fillId="4" borderId="0" xfId="0" applyFont="1" applyFill="1" applyBorder="1" applyAlignment="1">
      <alignment horizontal="center" vertical="center" wrapText="1" shrinkToFit="1"/>
    </xf>
    <xf numFmtId="0" fontId="9" fillId="4" borderId="0" xfId="0" applyFont="1" applyFill="1" applyBorder="1" applyAlignment="1">
      <alignment horizontal="left" vertical="center"/>
    </xf>
    <xf numFmtId="178" fontId="9" fillId="4" borderId="0" xfId="0" applyNumberFormat="1" applyFont="1" applyFill="1" applyBorder="1" applyAlignment="1">
      <alignment horizontal="center" vertical="center" shrinkToFit="1"/>
    </xf>
    <xf numFmtId="0" fontId="0" fillId="0" borderId="0" xfId="0" applyAlignment="1">
      <alignment horizontal="left" vertical="center"/>
    </xf>
    <xf numFmtId="0" fontId="0" fillId="0" borderId="0" xfId="0" applyAlignment="1">
      <alignment horizontal="center" vertical="center" shrinkToFit="1"/>
    </xf>
    <xf numFmtId="0" fontId="8" fillId="4" borderId="0" xfId="0" applyFont="1" applyFill="1" applyBorder="1" applyAlignment="1">
      <alignment horizontal="center" vertical="center" shrinkToFit="1"/>
    </xf>
    <xf numFmtId="184" fontId="9" fillId="3" borderId="0" xfId="0" applyNumberFormat="1" applyFont="1" applyFill="1" applyBorder="1" applyAlignment="1">
      <alignment horizontal="center" vertical="center" shrinkToFit="1"/>
    </xf>
    <xf numFmtId="184" fontId="9" fillId="3" borderId="1" xfId="0" applyNumberFormat="1" applyFont="1" applyFill="1" applyBorder="1" applyAlignment="1">
      <alignment vertical="center" shrinkToFit="1"/>
    </xf>
    <xf numFmtId="184" fontId="9" fillId="3" borderId="18" xfId="0" applyNumberFormat="1" applyFont="1" applyFill="1" applyBorder="1" applyAlignment="1">
      <alignment vertical="center" shrinkToFit="1"/>
    </xf>
    <xf numFmtId="184" fontId="9" fillId="3" borderId="4" xfId="0" applyNumberFormat="1" applyFont="1" applyFill="1" applyBorder="1" applyAlignment="1">
      <alignment vertical="center" shrinkToFit="1"/>
    </xf>
    <xf numFmtId="178" fontId="9" fillId="0" borderId="1" xfId="0" applyNumberFormat="1" applyFont="1" applyFill="1" applyBorder="1" applyAlignment="1" applyProtection="1">
      <alignment horizontal="center" vertical="center" shrinkToFit="1"/>
      <protection locked="0"/>
    </xf>
    <xf numFmtId="178" fontId="9" fillId="0" borderId="29" xfId="0" applyNumberFormat="1" applyFont="1" applyFill="1" applyBorder="1" applyAlignment="1" applyProtection="1">
      <alignment horizontal="center" vertical="center" shrinkToFit="1"/>
      <protection locked="0"/>
    </xf>
    <xf numFmtId="14" fontId="0" fillId="0" borderId="1" xfId="0" applyNumberFormat="1" applyBorder="1" applyAlignment="1">
      <alignment horizontal="left" vertical="center"/>
    </xf>
    <xf numFmtId="178" fontId="0" fillId="0" borderId="1" xfId="0" applyNumberFormat="1" applyBorder="1" applyAlignment="1">
      <alignment horizontal="left" vertical="center" shrinkToFit="1"/>
    </xf>
    <xf numFmtId="0" fontId="0" fillId="4" borderId="0" xfId="0" applyFill="1" applyAlignment="1">
      <alignment horizontal="center" vertical="center" shrinkToFit="1"/>
    </xf>
    <xf numFmtId="0" fontId="0" fillId="4" borderId="0" xfId="0" applyFill="1" applyBorder="1" applyAlignment="1">
      <alignment vertical="top" shrinkToFit="1"/>
    </xf>
    <xf numFmtId="0" fontId="0" fillId="4" borderId="0" xfId="0" applyFill="1" applyAlignment="1">
      <alignment horizontal="left" vertical="center" shrinkToFit="1"/>
    </xf>
    <xf numFmtId="0" fontId="0" fillId="4" borderId="0" xfId="0" applyFill="1" applyAlignment="1">
      <alignment vertical="center" shrinkToFit="1"/>
    </xf>
    <xf numFmtId="178" fontId="0" fillId="4" borderId="0" xfId="0" applyNumberFormat="1" applyFill="1" applyAlignment="1">
      <alignment horizontal="center" vertical="center" shrinkToFit="1"/>
    </xf>
    <xf numFmtId="0" fontId="9" fillId="0" borderId="0" xfId="0" applyFont="1" applyFill="1" applyAlignment="1">
      <alignment vertical="center"/>
    </xf>
    <xf numFmtId="180" fontId="9" fillId="0" borderId="3" xfId="0" applyNumberFormat="1" applyFont="1" applyBorder="1" applyAlignment="1" applyProtection="1">
      <alignment horizontal="center" vertical="center" shrinkToFit="1"/>
      <protection locked="0"/>
    </xf>
    <xf numFmtId="0" fontId="9" fillId="0" borderId="3" xfId="0" applyFont="1" applyBorder="1" applyAlignment="1">
      <alignment horizontal="center" vertical="center" shrinkToFit="1"/>
    </xf>
    <xf numFmtId="0" fontId="9" fillId="0" borderId="3" xfId="0" applyFont="1" applyBorder="1" applyAlignment="1" applyProtection="1">
      <alignment horizontal="center" vertical="center" shrinkToFit="1"/>
      <protection locked="0"/>
    </xf>
    <xf numFmtId="178" fontId="9" fillId="0" borderId="3" xfId="0" applyNumberFormat="1" applyFont="1" applyBorder="1" applyAlignment="1" applyProtection="1">
      <alignment horizontal="center" vertical="center" shrinkToFit="1"/>
      <protection locked="0"/>
    </xf>
    <xf numFmtId="178" fontId="16" fillId="0" borderId="3" xfId="0" applyNumberFormat="1" applyFont="1" applyBorder="1" applyAlignment="1" applyProtection="1">
      <alignment horizontal="center" vertical="center" shrinkToFit="1"/>
      <protection locked="0"/>
    </xf>
    <xf numFmtId="178" fontId="9" fillId="4" borderId="3" xfId="0" applyNumberFormat="1" applyFont="1" applyFill="1" applyBorder="1" applyAlignment="1">
      <alignment horizontal="center" vertical="center" shrinkToFit="1"/>
    </xf>
    <xf numFmtId="0" fontId="0" fillId="0" borderId="8" xfId="0" applyBorder="1" applyAlignment="1">
      <alignment horizontal="center" vertical="center"/>
    </xf>
    <xf numFmtId="0" fontId="0" fillId="0" borderId="0" xfId="0" applyBorder="1" applyAlignment="1">
      <alignment horizontal="center" vertical="center"/>
    </xf>
    <xf numFmtId="178" fontId="0" fillId="3" borderId="42" xfId="0" applyNumberFormat="1" applyFill="1" applyBorder="1" applyAlignment="1">
      <alignment horizontal="center" vertical="center" shrinkToFit="1"/>
    </xf>
    <xf numFmtId="178" fontId="0" fillId="3" borderId="18" xfId="0" applyNumberFormat="1" applyFill="1" applyBorder="1" applyAlignment="1">
      <alignment horizontal="center" vertical="center" shrinkToFit="1"/>
    </xf>
    <xf numFmtId="178" fontId="0" fillId="3" borderId="47" xfId="0" applyNumberFormat="1" applyFill="1" applyBorder="1" applyAlignment="1">
      <alignment horizontal="center" vertical="center" shrinkToFit="1"/>
    </xf>
    <xf numFmtId="0" fontId="9" fillId="0" borderId="33" xfId="0" applyFont="1" applyFill="1" applyBorder="1" applyAlignment="1" applyProtection="1">
      <alignment horizontal="right" vertical="center" shrinkToFit="1"/>
      <protection locked="0"/>
    </xf>
    <xf numFmtId="0" fontId="9" fillId="0" borderId="57" xfId="0" applyFont="1" applyFill="1" applyBorder="1" applyAlignment="1" applyProtection="1">
      <alignment horizontal="center" vertical="center" shrinkToFit="1"/>
      <protection locked="0"/>
    </xf>
    <xf numFmtId="0" fontId="9" fillId="0" borderId="67" xfId="0" applyFont="1" applyFill="1" applyBorder="1" applyAlignment="1" applyProtection="1">
      <alignment horizontal="center" vertical="center" shrinkToFit="1"/>
      <protection locked="0"/>
    </xf>
    <xf numFmtId="0" fontId="9" fillId="0" borderId="68" xfId="0" applyFont="1" applyFill="1" applyBorder="1" applyAlignment="1" applyProtection="1">
      <alignment horizontal="center" vertical="center" shrinkToFit="1"/>
      <protection locked="0"/>
    </xf>
    <xf numFmtId="0" fontId="9" fillId="0" borderId="7" xfId="0" applyFont="1" applyFill="1" applyBorder="1" applyAlignment="1" applyProtection="1">
      <alignment horizontal="center" vertical="center" shrinkToFit="1"/>
      <protection locked="0"/>
    </xf>
    <xf numFmtId="0" fontId="9" fillId="0" borderId="57" xfId="0" applyFont="1" applyFill="1" applyBorder="1" applyAlignment="1" applyProtection="1">
      <alignment vertical="center" shrinkToFit="1"/>
      <protection locked="0"/>
    </xf>
    <xf numFmtId="0" fontId="9" fillId="0" borderId="67" xfId="0" applyFont="1" applyFill="1" applyBorder="1" applyAlignment="1" applyProtection="1">
      <alignment vertical="center" shrinkToFit="1"/>
      <protection locked="0"/>
    </xf>
    <xf numFmtId="0" fontId="9" fillId="0" borderId="68" xfId="0" applyFont="1" applyFill="1" applyBorder="1" applyAlignment="1" applyProtection="1">
      <alignment vertical="center" shrinkToFit="1"/>
      <protection locked="0"/>
    </xf>
    <xf numFmtId="185" fontId="9" fillId="4" borderId="46" xfId="0" applyNumberFormat="1" applyFont="1" applyFill="1" applyBorder="1" applyAlignment="1">
      <alignment horizontal="center" vertical="center" shrinkToFit="1"/>
    </xf>
    <xf numFmtId="183" fontId="19" fillId="0" borderId="1" xfId="0" applyNumberFormat="1" applyFont="1" applyBorder="1" applyAlignment="1">
      <alignment horizontal="center" vertical="center" shrinkToFit="1"/>
    </xf>
    <xf numFmtId="178" fontId="9" fillId="4" borderId="28" xfId="0" applyNumberFormat="1" applyFont="1" applyFill="1" applyBorder="1" applyAlignment="1" applyProtection="1">
      <alignment horizontal="center" vertical="center" shrinkToFit="1"/>
      <protection locked="0"/>
    </xf>
    <xf numFmtId="178" fontId="9" fillId="4" borderId="1" xfId="0" applyNumberFormat="1" applyFont="1" applyFill="1" applyBorder="1" applyAlignment="1" applyProtection="1">
      <alignment horizontal="center" vertical="center" shrinkToFit="1"/>
      <protection locked="0"/>
    </xf>
    <xf numFmtId="178" fontId="9" fillId="4" borderId="29" xfId="0" applyNumberFormat="1" applyFont="1" applyFill="1" applyBorder="1" applyAlignment="1" applyProtection="1">
      <alignment horizontal="center" vertical="center" shrinkToFit="1"/>
      <protection locked="0"/>
    </xf>
    <xf numFmtId="178" fontId="9" fillId="4" borderId="42" xfId="0" applyNumberFormat="1" applyFont="1" applyFill="1" applyBorder="1" applyAlignment="1" applyProtection="1">
      <alignment horizontal="center" vertical="center" shrinkToFit="1"/>
      <protection locked="0"/>
    </xf>
    <xf numFmtId="178" fontId="9" fillId="4" borderId="3" xfId="0" applyNumberFormat="1" applyFont="1" applyFill="1" applyBorder="1" applyAlignment="1" applyProtection="1">
      <alignment horizontal="center" vertical="center" shrinkToFit="1"/>
      <protection locked="0"/>
    </xf>
    <xf numFmtId="177" fontId="9" fillId="0" borderId="28" xfId="0" applyNumberFormat="1" applyFont="1" applyBorder="1" applyAlignment="1" applyProtection="1">
      <alignment horizontal="center" vertical="center" shrinkToFit="1"/>
      <protection locked="0"/>
    </xf>
    <xf numFmtId="177" fontId="9" fillId="0" borderId="1" xfId="0" applyNumberFormat="1" applyFont="1" applyBorder="1" applyAlignment="1" applyProtection="1">
      <alignment horizontal="center" vertical="center" shrinkToFit="1"/>
      <protection locked="0"/>
    </xf>
    <xf numFmtId="177" fontId="9" fillId="0" borderId="29" xfId="0" applyNumberFormat="1" applyFont="1" applyBorder="1" applyAlignment="1" applyProtection="1">
      <alignment horizontal="center" vertical="center" shrinkToFit="1"/>
      <protection locked="0"/>
    </xf>
    <xf numFmtId="177" fontId="9" fillId="0" borderId="42" xfId="0" applyNumberFormat="1" applyFont="1" applyBorder="1" applyAlignment="1" applyProtection="1">
      <alignment horizontal="center" vertical="center" shrinkToFit="1"/>
      <protection locked="0"/>
    </xf>
    <xf numFmtId="177" fontId="9" fillId="0" borderId="3" xfId="0" applyNumberFormat="1" applyFont="1" applyBorder="1" applyAlignment="1" applyProtection="1">
      <alignment horizontal="center" vertical="center" shrinkToFit="1"/>
      <protection locked="0"/>
    </xf>
    <xf numFmtId="177" fontId="9" fillId="0" borderId="4" xfId="0" applyNumberFormat="1" applyFont="1" applyBorder="1" applyAlignment="1" applyProtection="1">
      <alignment horizontal="center" vertical="center" shrinkToFit="1"/>
      <protection locked="0"/>
    </xf>
    <xf numFmtId="0" fontId="16" fillId="4" borderId="4" xfId="0" applyFont="1" applyFill="1" applyBorder="1" applyAlignment="1">
      <alignment vertical="center"/>
    </xf>
    <xf numFmtId="0" fontId="9" fillId="4" borderId="4" xfId="0" applyFont="1" applyFill="1" applyBorder="1" applyAlignment="1">
      <alignment vertical="center"/>
    </xf>
    <xf numFmtId="0" fontId="0" fillId="0" borderId="49" xfId="0" applyBorder="1" applyAlignment="1">
      <alignment horizontal="center" vertical="center"/>
    </xf>
    <xf numFmtId="0" fontId="0" fillId="0" borderId="46" xfId="0" applyBorder="1" applyAlignment="1">
      <alignment horizontal="center" vertical="center"/>
    </xf>
    <xf numFmtId="0" fontId="0" fillId="4" borderId="29" xfId="0" applyFill="1" applyBorder="1" applyAlignment="1">
      <alignment horizontal="left" vertical="center" shrinkToFit="1"/>
    </xf>
    <xf numFmtId="0" fontId="0" fillId="4" borderId="36" xfId="0" applyFill="1" applyBorder="1" applyAlignment="1">
      <alignment horizontal="left" vertical="center" shrinkToFit="1"/>
    </xf>
    <xf numFmtId="178" fontId="0" fillId="0" borderId="0" xfId="0" applyNumberFormat="1" applyAlignment="1">
      <alignment horizontal="left" vertical="top" shrinkToFit="1"/>
    </xf>
    <xf numFmtId="178" fontId="0" fillId="4" borderId="1" xfId="0" applyNumberFormat="1" applyFill="1" applyBorder="1">
      <alignment vertical="center"/>
    </xf>
    <xf numFmtId="178" fontId="0" fillId="4" borderId="1" xfId="0" applyNumberFormat="1" applyFill="1" applyBorder="1" applyAlignment="1">
      <alignment horizontal="center" vertical="center"/>
    </xf>
    <xf numFmtId="0" fontId="0" fillId="0" borderId="0" xfId="0" applyAlignment="1">
      <alignment horizontal="left" vertical="top"/>
    </xf>
    <xf numFmtId="0" fontId="9" fillId="0" borderId="1" xfId="0" applyFont="1" applyFill="1" applyBorder="1" applyAlignment="1" applyProtection="1">
      <alignment horizontal="center" vertical="center" shrinkToFit="1"/>
      <protection locked="0"/>
    </xf>
    <xf numFmtId="14" fontId="22" fillId="0" borderId="0" xfId="0" applyNumberFormat="1" applyFont="1">
      <alignment vertical="center"/>
    </xf>
    <xf numFmtId="0" fontId="22" fillId="0" borderId="0" xfId="0" applyFont="1" applyAlignment="1">
      <alignment horizontal="right" vertical="center"/>
    </xf>
    <xf numFmtId="0" fontId="12" fillId="0" borderId="0" xfId="0" applyFont="1" applyFill="1" applyBorder="1" applyAlignment="1">
      <alignment vertical="center" shrinkToFit="1"/>
    </xf>
    <xf numFmtId="0" fontId="9" fillId="0" borderId="9" xfId="0" applyFont="1" applyFill="1" applyBorder="1" applyAlignment="1">
      <alignment vertical="center" shrinkToFit="1"/>
    </xf>
    <xf numFmtId="0" fontId="12" fillId="0" borderId="9" xfId="0" applyFont="1" applyFill="1" applyBorder="1" applyAlignment="1">
      <alignment vertical="center" shrinkToFit="1"/>
    </xf>
    <xf numFmtId="0" fontId="12" fillId="0" borderId="70" xfId="0" applyFont="1" applyFill="1" applyBorder="1" applyAlignment="1">
      <alignment vertical="center" shrinkToFit="1"/>
    </xf>
    <xf numFmtId="0" fontId="0" fillId="0" borderId="8" xfId="0" applyFill="1" applyBorder="1">
      <alignment vertical="center"/>
    </xf>
    <xf numFmtId="0" fontId="0" fillId="0" borderId="8" xfId="0" applyBorder="1">
      <alignment vertical="center"/>
    </xf>
    <xf numFmtId="178" fontId="0" fillId="3" borderId="43" xfId="0" applyNumberFormat="1" applyFill="1" applyBorder="1" applyAlignment="1">
      <alignment horizontal="center" vertical="center" shrinkToFit="1"/>
    </xf>
    <xf numFmtId="178" fontId="0" fillId="3" borderId="34" xfId="0" applyNumberFormat="1" applyFill="1" applyBorder="1" applyAlignment="1">
      <alignment horizontal="center" vertical="center" shrinkToFit="1"/>
    </xf>
    <xf numFmtId="178" fontId="0" fillId="3" borderId="38" xfId="0" applyNumberFormat="1" applyFill="1" applyBorder="1" applyAlignment="1">
      <alignment horizontal="center" vertical="center" shrinkToFit="1"/>
    </xf>
    <xf numFmtId="0" fontId="0" fillId="4" borderId="27" xfId="0" applyFill="1" applyBorder="1" applyAlignment="1">
      <alignment horizontal="left" vertical="center" shrinkToFit="1"/>
    </xf>
    <xf numFmtId="0" fontId="0" fillId="0" borderId="11" xfId="0" applyFill="1" applyBorder="1" applyAlignment="1">
      <alignment horizontal="center" vertical="center"/>
    </xf>
    <xf numFmtId="0" fontId="9" fillId="4" borderId="42" xfId="0" applyFont="1" applyFill="1" applyBorder="1" applyAlignment="1">
      <alignment horizontal="center" vertical="center" shrinkToFit="1"/>
    </xf>
    <xf numFmtId="0" fontId="9" fillId="4" borderId="28" xfId="0" applyFont="1" applyFill="1" applyBorder="1" applyAlignment="1">
      <alignment horizontal="center" vertical="center" shrinkToFit="1"/>
    </xf>
    <xf numFmtId="0" fontId="9" fillId="0" borderId="29" xfId="0" applyFont="1" applyFill="1" applyBorder="1" applyAlignment="1" applyProtection="1">
      <alignment horizontal="center" vertical="center" shrinkToFit="1"/>
      <protection locked="0"/>
    </xf>
    <xf numFmtId="0" fontId="9" fillId="0" borderId="28" xfId="0" applyFont="1" applyFill="1" applyBorder="1" applyAlignment="1" applyProtection="1">
      <alignment horizontal="center" vertical="center" shrinkToFit="1"/>
      <protection locked="0"/>
    </xf>
    <xf numFmtId="0" fontId="9" fillId="4" borderId="62" xfId="0" applyFont="1" applyFill="1" applyBorder="1" applyAlignment="1">
      <alignment horizontal="center" vertical="center" shrinkToFit="1"/>
    </xf>
    <xf numFmtId="0" fontId="9" fillId="4" borderId="30" xfId="0" applyFont="1" applyFill="1" applyBorder="1" applyAlignment="1">
      <alignment horizontal="center" vertical="center" shrinkToFit="1"/>
    </xf>
    <xf numFmtId="0" fontId="9" fillId="4" borderId="1" xfId="0" applyFont="1" applyFill="1" applyBorder="1" applyAlignment="1">
      <alignment horizontal="center" vertical="center" shrinkToFit="1"/>
    </xf>
    <xf numFmtId="0" fontId="9" fillId="4" borderId="3" xfId="0" applyFont="1" applyFill="1" applyBorder="1" applyAlignment="1">
      <alignment horizontal="center" vertical="center" shrinkToFit="1"/>
    </xf>
    <xf numFmtId="0" fontId="9" fillId="4" borderId="54" xfId="0" applyFont="1" applyFill="1" applyBorder="1" applyAlignment="1">
      <alignment horizontal="center" vertical="center" shrinkToFit="1"/>
    </xf>
    <xf numFmtId="0" fontId="9" fillId="4" borderId="55" xfId="0" applyFont="1" applyFill="1" applyBorder="1" applyAlignment="1">
      <alignment horizontal="center" vertical="center" shrinkToFit="1"/>
    </xf>
    <xf numFmtId="0" fontId="0" fillId="4" borderId="1" xfId="0" applyFill="1" applyBorder="1" applyAlignment="1">
      <alignment horizontal="center" vertical="center"/>
    </xf>
    <xf numFmtId="0" fontId="9" fillId="0" borderId="40" xfId="0" applyFont="1" applyFill="1" applyBorder="1" applyAlignment="1" applyProtection="1">
      <alignment horizontal="center" vertical="center" shrinkToFit="1"/>
      <protection locked="0"/>
    </xf>
    <xf numFmtId="0" fontId="9" fillId="4" borderId="35" xfId="0" applyFont="1" applyFill="1" applyBorder="1" applyAlignment="1">
      <alignment horizontal="left" vertical="center" shrinkToFit="1"/>
    </xf>
    <xf numFmtId="0" fontId="9" fillId="0" borderId="38" xfId="0" applyFont="1" applyFill="1" applyBorder="1" applyAlignment="1" applyProtection="1">
      <alignment horizontal="center" vertical="center" shrinkToFit="1"/>
      <protection locked="0"/>
    </xf>
    <xf numFmtId="0" fontId="9" fillId="4" borderId="36" xfId="0" applyFont="1" applyFill="1" applyBorder="1" applyAlignment="1">
      <alignment horizontal="center" vertical="center" shrinkToFit="1"/>
    </xf>
    <xf numFmtId="0" fontId="9" fillId="4" borderId="27" xfId="0" applyFont="1" applyFill="1" applyBorder="1" applyAlignment="1">
      <alignment horizontal="center" vertical="center" shrinkToFit="1"/>
    </xf>
    <xf numFmtId="0" fontId="9" fillId="0" borderId="1" xfId="0" applyFont="1" applyBorder="1" applyAlignment="1" applyProtection="1">
      <alignment horizontal="center" vertical="center" shrinkToFit="1"/>
      <protection locked="0"/>
    </xf>
    <xf numFmtId="0" fontId="9" fillId="4" borderId="29" xfId="0" applyFont="1" applyFill="1" applyBorder="1" applyAlignment="1">
      <alignment horizontal="center" vertical="center" shrinkToFit="1"/>
    </xf>
    <xf numFmtId="0" fontId="9" fillId="4" borderId="2" xfId="0" applyFont="1" applyFill="1" applyBorder="1" applyAlignment="1">
      <alignment horizontal="center" vertical="center" shrinkToFit="1"/>
    </xf>
    <xf numFmtId="0" fontId="14" fillId="0" borderId="1" xfId="0" applyFont="1" applyBorder="1" applyAlignment="1">
      <alignment horizontal="center" vertical="center" wrapText="1"/>
    </xf>
    <xf numFmtId="0" fontId="9" fillId="9" borderId="1" xfId="0" applyFont="1" applyFill="1" applyBorder="1" applyAlignment="1">
      <alignment horizontal="center" vertical="center" shrinkToFit="1"/>
    </xf>
    <xf numFmtId="0" fontId="9" fillId="7" borderId="1" xfId="0" applyFont="1" applyFill="1" applyBorder="1" applyAlignment="1">
      <alignment horizontal="center" vertical="center" shrinkToFit="1"/>
    </xf>
    <xf numFmtId="0" fontId="9" fillId="4" borderId="38" xfId="0" applyFont="1" applyFill="1" applyBorder="1" applyAlignment="1">
      <alignment horizontal="center" vertical="center" shrinkToFit="1"/>
    </xf>
    <xf numFmtId="178" fontId="0" fillId="0" borderId="4" xfId="0" applyNumberFormat="1" applyBorder="1" applyAlignment="1">
      <alignment horizontal="center" vertical="center" shrinkToFit="1"/>
    </xf>
    <xf numFmtId="178" fontId="0" fillId="3" borderId="4" xfId="0" applyNumberFormat="1" applyFill="1" applyBorder="1" applyAlignment="1">
      <alignment horizontal="center" vertical="center" shrinkToFit="1"/>
    </xf>
    <xf numFmtId="178" fontId="0" fillId="3" borderId="22" xfId="0" applyNumberFormat="1" applyFill="1" applyBorder="1" applyAlignment="1">
      <alignment horizontal="center" vertical="center" shrinkToFit="1"/>
    </xf>
    <xf numFmtId="0" fontId="19" fillId="0" borderId="65" xfId="0" applyFont="1" applyBorder="1" applyAlignment="1">
      <alignment horizontal="center" vertical="center"/>
    </xf>
    <xf numFmtId="0" fontId="7" fillId="0" borderId="65" xfId="0" applyFont="1" applyBorder="1" applyAlignment="1">
      <alignment horizontal="center" vertical="center"/>
    </xf>
    <xf numFmtId="0" fontId="7" fillId="0" borderId="1" xfId="0" applyFont="1" applyBorder="1" applyAlignment="1">
      <alignment horizontal="center" vertical="center"/>
    </xf>
    <xf numFmtId="183" fontId="19" fillId="0" borderId="1" xfId="0" applyNumberFormat="1" applyFont="1" applyBorder="1" applyAlignment="1">
      <alignment vertical="center" shrinkToFit="1"/>
    </xf>
    <xf numFmtId="178" fontId="9" fillId="3" borderId="4" xfId="0" applyNumberFormat="1" applyFont="1" applyFill="1" applyBorder="1" applyAlignment="1">
      <alignment horizontal="center" vertical="center" shrinkToFit="1"/>
    </xf>
    <xf numFmtId="178" fontId="9" fillId="3" borderId="19" xfId="0" applyNumberFormat="1" applyFont="1" applyFill="1" applyBorder="1" applyAlignment="1">
      <alignment horizontal="center" vertical="center" shrinkToFit="1"/>
    </xf>
    <xf numFmtId="0" fontId="0" fillId="0" borderId="1" xfId="0" applyBorder="1">
      <alignment vertical="center"/>
    </xf>
    <xf numFmtId="178" fontId="0" fillId="3" borderId="21" xfId="0" applyNumberFormat="1" applyFill="1" applyBorder="1" applyAlignment="1">
      <alignment horizontal="center" vertical="center" shrinkToFit="1"/>
    </xf>
    <xf numFmtId="0" fontId="9" fillId="4" borderId="15" xfId="0" applyFont="1" applyFill="1" applyBorder="1" applyAlignment="1">
      <alignment vertical="center" shrinkToFit="1"/>
    </xf>
    <xf numFmtId="178" fontId="20" fillId="0" borderId="1" xfId="0" applyNumberFormat="1" applyFont="1" applyBorder="1" applyAlignment="1" applyProtection="1">
      <alignment horizontal="center" vertical="center"/>
      <protection locked="0"/>
    </xf>
    <xf numFmtId="0" fontId="0" fillId="0" borderId="29" xfId="0" applyFill="1" applyBorder="1" applyProtection="1">
      <alignment vertical="center"/>
      <protection locked="0"/>
    </xf>
    <xf numFmtId="0" fontId="0" fillId="10" borderId="62" xfId="0" applyFill="1" applyBorder="1" applyAlignment="1" applyProtection="1">
      <alignment horizontal="center" vertical="center" shrinkToFit="1"/>
      <protection locked="0"/>
    </xf>
    <xf numFmtId="0" fontId="0" fillId="0" borderId="23" xfId="0" applyBorder="1" applyAlignment="1" applyProtection="1">
      <alignment horizontal="center" vertical="center"/>
      <protection locked="0"/>
    </xf>
    <xf numFmtId="0" fontId="0" fillId="10" borderId="62" xfId="0" applyFill="1" applyBorder="1" applyAlignment="1" applyProtection="1">
      <alignment horizontal="center" vertical="center"/>
      <protection locked="0"/>
    </xf>
    <xf numFmtId="0" fontId="0" fillId="0" borderId="51" xfId="0" applyBorder="1" applyAlignment="1" applyProtection="1">
      <alignment horizontal="center" vertical="center"/>
      <protection locked="0"/>
    </xf>
    <xf numFmtId="178" fontId="0" fillId="10" borderId="41" xfId="0" applyNumberFormat="1" applyFill="1" applyBorder="1" applyAlignment="1" applyProtection="1">
      <alignment vertical="center" shrinkToFit="1"/>
      <protection locked="0"/>
    </xf>
    <xf numFmtId="178" fontId="0" fillId="0" borderId="49" xfId="0" applyNumberFormat="1" applyBorder="1" applyAlignment="1" applyProtection="1">
      <alignment vertical="center" shrinkToFit="1"/>
      <protection locked="0"/>
    </xf>
    <xf numFmtId="178" fontId="0" fillId="0" borderId="46" xfId="0" applyNumberFormat="1" applyBorder="1" applyAlignment="1" applyProtection="1">
      <alignment vertical="center" shrinkToFit="1"/>
      <protection locked="0"/>
    </xf>
    <xf numFmtId="178" fontId="0" fillId="10" borderId="42" xfId="0" applyNumberFormat="1" applyFill="1" applyBorder="1" applyAlignment="1" applyProtection="1">
      <alignment vertical="center" shrinkToFit="1"/>
      <protection locked="0"/>
    </xf>
    <xf numFmtId="178" fontId="0" fillId="0" borderId="18" xfId="0" applyNumberFormat="1" applyBorder="1" applyAlignment="1" applyProtection="1">
      <alignment vertical="center" shrinkToFit="1"/>
      <protection locked="0"/>
    </xf>
    <xf numFmtId="178" fontId="0" fillId="0" borderId="47" xfId="0" applyNumberFormat="1" applyBorder="1" applyAlignment="1" applyProtection="1">
      <alignment vertical="center" shrinkToFit="1"/>
      <protection locked="0"/>
    </xf>
    <xf numFmtId="178" fontId="0" fillId="10" borderId="43" xfId="0" applyNumberFormat="1" applyFill="1" applyBorder="1" applyAlignment="1" applyProtection="1">
      <alignment vertical="center" shrinkToFit="1"/>
      <protection locked="0"/>
    </xf>
    <xf numFmtId="178" fontId="0" fillId="0" borderId="34" xfId="0" applyNumberFormat="1" applyBorder="1" applyAlignment="1" applyProtection="1">
      <alignment vertical="center" shrinkToFit="1"/>
      <protection locked="0"/>
    </xf>
    <xf numFmtId="178" fontId="0" fillId="0" borderId="38" xfId="0" applyNumberFormat="1" applyBorder="1" applyAlignment="1" applyProtection="1">
      <alignment vertical="center" shrinkToFit="1"/>
      <protection locked="0"/>
    </xf>
    <xf numFmtId="184" fontId="0" fillId="10" borderId="41" xfId="0" applyNumberFormat="1" applyFill="1" applyBorder="1" applyProtection="1">
      <alignment vertical="center"/>
      <protection locked="0"/>
    </xf>
    <xf numFmtId="184" fontId="0" fillId="0" borderId="49" xfId="0" applyNumberFormat="1" applyBorder="1" applyProtection="1">
      <alignment vertical="center"/>
      <protection locked="0"/>
    </xf>
    <xf numFmtId="184" fontId="0" fillId="0" borderId="46" xfId="0" applyNumberFormat="1" applyBorder="1" applyProtection="1">
      <alignment vertical="center"/>
      <protection locked="0"/>
    </xf>
    <xf numFmtId="178" fontId="0" fillId="10" borderId="42" xfId="0" applyNumberFormat="1" applyFill="1" applyBorder="1" applyProtection="1">
      <alignment vertical="center"/>
      <protection locked="0"/>
    </xf>
    <xf numFmtId="178" fontId="0" fillId="0" borderId="18" xfId="0" applyNumberFormat="1" applyBorder="1" applyProtection="1">
      <alignment vertical="center"/>
      <protection locked="0"/>
    </xf>
    <xf numFmtId="178" fontId="0" fillId="0" borderId="47" xfId="0" applyNumberFormat="1" applyBorder="1" applyProtection="1">
      <alignment vertical="center"/>
      <protection locked="0"/>
    </xf>
    <xf numFmtId="184" fontId="0" fillId="10" borderId="42" xfId="0" applyNumberFormat="1" applyFill="1" applyBorder="1" applyProtection="1">
      <alignment vertical="center"/>
      <protection locked="0"/>
    </xf>
    <xf numFmtId="184" fontId="0" fillId="0" borderId="18" xfId="0" applyNumberFormat="1" applyBorder="1" applyProtection="1">
      <alignment vertical="center"/>
      <protection locked="0"/>
    </xf>
    <xf numFmtId="184" fontId="0" fillId="0" borderId="47" xfId="0" applyNumberFormat="1" applyBorder="1" applyProtection="1">
      <alignment vertical="center"/>
      <protection locked="0"/>
    </xf>
    <xf numFmtId="178" fontId="0" fillId="10" borderId="43" xfId="0" applyNumberFormat="1" applyFill="1" applyBorder="1" applyProtection="1">
      <alignment vertical="center"/>
      <protection locked="0"/>
    </xf>
    <xf numFmtId="178" fontId="0" fillId="0" borderId="34" xfId="0" applyNumberFormat="1" applyBorder="1" applyProtection="1">
      <alignment vertical="center"/>
      <protection locked="0"/>
    </xf>
    <xf numFmtId="178" fontId="0" fillId="0" borderId="38" xfId="0" applyNumberFormat="1" applyBorder="1" applyProtection="1">
      <alignment vertical="center"/>
      <protection locked="0"/>
    </xf>
    <xf numFmtId="0" fontId="9" fillId="4" borderId="26" xfId="0" applyFont="1" applyFill="1" applyBorder="1" applyAlignment="1">
      <alignment horizontal="center" vertical="center" shrinkToFit="1"/>
    </xf>
    <xf numFmtId="0" fontId="9" fillId="4" borderId="28" xfId="0" applyFont="1" applyFill="1" applyBorder="1" applyAlignment="1">
      <alignment horizontal="center" vertical="center" shrinkToFit="1"/>
    </xf>
    <xf numFmtId="0" fontId="9" fillId="0" borderId="1" xfId="0" applyFont="1" applyBorder="1" applyAlignment="1" applyProtection="1">
      <alignment horizontal="center" vertical="center" shrinkToFit="1"/>
      <protection locked="0"/>
    </xf>
    <xf numFmtId="0" fontId="9" fillId="3" borderId="1" xfId="0" applyFont="1" applyFill="1" applyBorder="1" applyAlignment="1">
      <alignment horizontal="center" vertical="center" shrinkToFit="1"/>
    </xf>
    <xf numFmtId="0" fontId="9" fillId="4" borderId="63" xfId="0" applyFont="1" applyFill="1" applyBorder="1" applyAlignment="1">
      <alignment horizontal="center" vertical="center" shrinkToFit="1"/>
    </xf>
    <xf numFmtId="0" fontId="9" fillId="4" borderId="65" xfId="0" applyFont="1" applyFill="1" applyBorder="1" applyAlignment="1">
      <alignment horizontal="center" vertical="center" shrinkToFit="1"/>
    </xf>
    <xf numFmtId="0" fontId="9" fillId="4" borderId="14" xfId="0" applyFont="1" applyFill="1" applyBorder="1" applyAlignment="1">
      <alignment horizontal="center" vertical="center" shrinkToFit="1"/>
    </xf>
    <xf numFmtId="0" fontId="9" fillId="4" borderId="54" xfId="0" applyFont="1" applyFill="1" applyBorder="1" applyAlignment="1">
      <alignment horizontal="center" vertical="center" shrinkToFit="1"/>
    </xf>
    <xf numFmtId="0" fontId="9" fillId="4" borderId="73" xfId="0" applyFont="1" applyFill="1" applyBorder="1" applyAlignment="1">
      <alignment horizontal="center" vertical="center" shrinkToFit="1"/>
    </xf>
    <xf numFmtId="179" fontId="9" fillId="0" borderId="69" xfId="0" applyNumberFormat="1" applyFont="1" applyFill="1" applyBorder="1" applyAlignment="1" applyProtection="1">
      <alignment horizontal="center" vertical="center" shrinkToFit="1"/>
    </xf>
    <xf numFmtId="178" fontId="8" fillId="0" borderId="4" xfId="0" applyNumberFormat="1" applyFont="1" applyFill="1" applyBorder="1" applyAlignment="1">
      <alignment vertical="center" shrinkToFit="1"/>
    </xf>
    <xf numFmtId="178" fontId="8" fillId="0" borderId="1" xfId="0" applyNumberFormat="1" applyFont="1" applyFill="1" applyBorder="1" applyAlignment="1">
      <alignment vertical="center" shrinkToFit="1"/>
    </xf>
    <xf numFmtId="178" fontId="8" fillId="0" borderId="29" xfId="0" applyNumberFormat="1" applyFont="1" applyFill="1" applyBorder="1" applyAlignment="1">
      <alignment vertical="center" shrinkToFit="1"/>
    </xf>
    <xf numFmtId="178" fontId="8" fillId="0" borderId="19" xfId="0" applyNumberFormat="1" applyFont="1" applyFill="1" applyBorder="1" applyAlignment="1">
      <alignment vertical="center" shrinkToFit="1"/>
    </xf>
    <xf numFmtId="178" fontId="8" fillId="0" borderId="2" xfId="0" applyNumberFormat="1" applyFont="1" applyFill="1" applyBorder="1" applyAlignment="1">
      <alignment vertical="center" shrinkToFit="1"/>
    </xf>
    <xf numFmtId="178" fontId="8" fillId="0" borderId="36" xfId="0" applyNumberFormat="1" applyFont="1" applyFill="1" applyBorder="1" applyAlignment="1">
      <alignment vertical="center" shrinkToFit="1"/>
    </xf>
    <xf numFmtId="183" fontId="0" fillId="10" borderId="42" xfId="0" applyNumberFormat="1" applyFill="1" applyBorder="1" applyProtection="1">
      <alignment vertical="center"/>
      <protection locked="0"/>
    </xf>
    <xf numFmtId="0" fontId="0" fillId="4" borderId="1" xfId="0" applyFill="1" applyBorder="1" applyAlignment="1">
      <alignment horizontal="center" vertical="center"/>
    </xf>
    <xf numFmtId="0" fontId="0" fillId="5" borderId="1" xfId="0" applyFill="1" applyBorder="1" applyAlignment="1">
      <alignment horizontal="right" vertical="center"/>
    </xf>
    <xf numFmtId="0" fontId="8" fillId="0" borderId="0" xfId="0" applyFont="1" applyBorder="1">
      <alignment vertical="center"/>
    </xf>
    <xf numFmtId="0" fontId="8" fillId="0" borderId="11" xfId="0" applyFont="1" applyBorder="1">
      <alignment vertical="center"/>
    </xf>
    <xf numFmtId="0" fontId="9" fillId="0" borderId="11" xfId="0" applyFont="1" applyBorder="1" applyAlignment="1">
      <alignment horizontal="center" vertical="center"/>
    </xf>
    <xf numFmtId="0" fontId="28" fillId="0" borderId="0" xfId="2" applyFont="1"/>
    <xf numFmtId="0" fontId="30" fillId="0" borderId="0" xfId="2" applyFont="1"/>
    <xf numFmtId="0" fontId="30" fillId="4" borderId="14" xfId="2" applyFont="1" applyFill="1" applyBorder="1" applyAlignment="1">
      <alignment horizontal="center" vertical="center"/>
    </xf>
    <xf numFmtId="0" fontId="30" fillId="4" borderId="52" xfId="2" applyFont="1" applyFill="1" applyBorder="1" applyAlignment="1">
      <alignment horizontal="center" vertical="center"/>
    </xf>
    <xf numFmtId="0" fontId="30" fillId="0" borderId="64" xfId="2" applyFont="1" applyBorder="1" applyAlignment="1" applyProtection="1">
      <alignment horizontal="center" vertical="center"/>
      <protection locked="0"/>
    </xf>
    <xf numFmtId="0" fontId="9" fillId="4" borderId="26" xfId="2" applyFont="1" applyFill="1" applyBorder="1" applyAlignment="1">
      <alignment horizontal="center" vertical="center" shrinkToFit="1"/>
    </xf>
    <xf numFmtId="0" fontId="9" fillId="4" borderId="26" xfId="2" applyFont="1" applyFill="1" applyBorder="1" applyAlignment="1">
      <alignment vertical="center" shrinkToFit="1"/>
    </xf>
    <xf numFmtId="0" fontId="9" fillId="4" borderId="27" xfId="2" applyFont="1" applyFill="1" applyBorder="1" applyAlignment="1">
      <alignment horizontal="center" vertical="center" shrinkToFit="1"/>
    </xf>
    <xf numFmtId="0" fontId="9" fillId="0" borderId="0" xfId="2" applyFont="1" applyAlignment="1">
      <alignment vertical="center" shrinkToFit="1"/>
    </xf>
    <xf numFmtId="0" fontId="9" fillId="0" borderId="27" xfId="2" applyFont="1" applyBorder="1" applyAlignment="1" applyProtection="1">
      <alignment vertical="center" shrinkToFit="1"/>
      <protection locked="0"/>
    </xf>
    <xf numFmtId="0" fontId="9" fillId="0" borderId="0" xfId="2" applyFont="1" applyAlignment="1">
      <alignment horizontal="center" vertical="center" shrinkToFit="1"/>
    </xf>
    <xf numFmtId="0" fontId="9" fillId="4" borderId="1" xfId="2" applyFont="1" applyFill="1" applyBorder="1" applyAlignment="1">
      <alignment vertical="center" shrinkToFit="1"/>
    </xf>
    <xf numFmtId="0" fontId="9" fillId="0" borderId="29" xfId="2" applyFont="1" applyBorder="1" applyAlignment="1" applyProtection="1">
      <alignment vertical="center" shrinkToFit="1"/>
      <protection locked="0"/>
    </xf>
    <xf numFmtId="0" fontId="9" fillId="0" borderId="1" xfId="2" applyFont="1" applyBorder="1" applyAlignment="1" applyProtection="1">
      <alignment horizontal="center" vertical="center" shrinkToFit="1"/>
      <protection locked="0"/>
    </xf>
    <xf numFmtId="0" fontId="9" fillId="0" borderId="0" xfId="2" applyFont="1" applyAlignment="1" applyProtection="1">
      <alignment vertical="center" shrinkToFit="1"/>
      <protection locked="0"/>
    </xf>
    <xf numFmtId="0" fontId="9" fillId="0" borderId="36" xfId="2" applyFont="1" applyBorder="1" applyAlignment="1" applyProtection="1">
      <alignment vertical="center" shrinkToFit="1"/>
      <protection locked="0"/>
    </xf>
    <xf numFmtId="0" fontId="9" fillId="4" borderId="1" xfId="2" applyFont="1" applyFill="1" applyBorder="1" applyAlignment="1">
      <alignment horizontal="center" vertical="center" shrinkToFit="1"/>
    </xf>
    <xf numFmtId="0" fontId="9" fillId="0" borderId="29" xfId="2" applyFont="1" applyBorder="1" applyAlignment="1" applyProtection="1">
      <alignment horizontal="center" vertical="center" shrinkToFit="1"/>
      <protection locked="0"/>
    </xf>
    <xf numFmtId="178" fontId="9" fillId="4" borderId="1" xfId="2" applyNumberFormat="1" applyFont="1" applyFill="1" applyBorder="1" applyAlignment="1">
      <alignment horizontal="center" vertical="center" shrinkToFit="1"/>
    </xf>
    <xf numFmtId="178" fontId="9" fillId="0" borderId="1" xfId="2" applyNumberFormat="1" applyFont="1" applyBorder="1" applyAlignment="1" applyProtection="1">
      <alignment horizontal="center" vertical="center" shrinkToFit="1"/>
      <protection locked="0"/>
    </xf>
    <xf numFmtId="178" fontId="16" fillId="0" borderId="1" xfId="2" applyNumberFormat="1" applyFont="1" applyBorder="1" applyAlignment="1" applyProtection="1">
      <alignment horizontal="center" vertical="center"/>
      <protection locked="0"/>
    </xf>
    <xf numFmtId="178" fontId="9" fillId="0" borderId="29" xfId="2" applyNumberFormat="1" applyFont="1" applyBorder="1" applyAlignment="1" applyProtection="1">
      <alignment horizontal="center" vertical="center" shrinkToFit="1"/>
      <protection locked="0"/>
    </xf>
    <xf numFmtId="187" fontId="9" fillId="0" borderId="1" xfId="2" applyNumberFormat="1" applyFont="1" applyBorder="1" applyAlignment="1" applyProtection="1">
      <alignment horizontal="center" vertical="center"/>
      <protection locked="0"/>
    </xf>
    <xf numFmtId="187" fontId="9" fillId="0" borderId="29" xfId="2" applyNumberFormat="1" applyFont="1" applyBorder="1" applyAlignment="1" applyProtection="1">
      <alignment horizontal="center" vertical="center"/>
      <protection locked="0"/>
    </xf>
    <xf numFmtId="178" fontId="16" fillId="4" borderId="1" xfId="2" applyNumberFormat="1" applyFont="1" applyFill="1" applyBorder="1" applyAlignment="1">
      <alignment horizontal="center" vertical="center" shrinkToFit="1"/>
    </xf>
    <xf numFmtId="178" fontId="16" fillId="0" borderId="1" xfId="2" applyNumberFormat="1" applyFont="1" applyBorder="1" applyAlignment="1" applyProtection="1">
      <alignment horizontal="center" vertical="center" shrinkToFit="1"/>
      <protection locked="0"/>
    </xf>
    <xf numFmtId="178" fontId="16" fillId="0" borderId="29" xfId="2" applyNumberFormat="1" applyFont="1" applyBorder="1" applyAlignment="1" applyProtection="1">
      <alignment horizontal="center" vertical="center" shrinkToFit="1"/>
      <protection locked="0"/>
    </xf>
    <xf numFmtId="0" fontId="9" fillId="4" borderId="1" xfId="2" applyFont="1" applyFill="1" applyBorder="1"/>
    <xf numFmtId="0" fontId="30" fillId="0" borderId="8" xfId="2" applyFont="1" applyBorder="1"/>
    <xf numFmtId="0" fontId="9" fillId="4" borderId="73" xfId="2" applyFont="1" applyFill="1" applyBorder="1"/>
    <xf numFmtId="0" fontId="9" fillId="0" borderId="1" xfId="2" applyFont="1" applyBorder="1" applyAlignment="1">
      <alignment horizontal="center" vertical="center" wrapText="1"/>
    </xf>
    <xf numFmtId="0" fontId="9" fillId="0" borderId="1" xfId="2" applyFont="1" applyBorder="1" applyAlignment="1">
      <alignment horizontal="center" vertical="center"/>
    </xf>
    <xf numFmtId="0" fontId="9" fillId="0" borderId="1" xfId="2" applyFont="1" applyBorder="1" applyAlignment="1">
      <alignment horizontal="center" vertical="center" shrinkToFit="1"/>
    </xf>
    <xf numFmtId="0" fontId="9" fillId="0" borderId="65" xfId="2" applyFont="1" applyBorder="1" applyAlignment="1">
      <alignment horizontal="center" vertical="center"/>
    </xf>
    <xf numFmtId="183" fontId="9" fillId="0" borderId="1" xfId="2" applyNumberFormat="1" applyFont="1" applyBorder="1" applyAlignment="1">
      <alignment horizontal="center" vertical="center" shrinkToFit="1"/>
    </xf>
    <xf numFmtId="183" fontId="9" fillId="0" borderId="1" xfId="2" applyNumberFormat="1" applyFont="1" applyBorder="1" applyAlignment="1">
      <alignment vertical="center" shrinkToFit="1"/>
    </xf>
    <xf numFmtId="187" fontId="30" fillId="0" borderId="1" xfId="2" applyNumberFormat="1" applyFont="1" applyBorder="1" applyAlignment="1">
      <alignment horizontal="center" vertical="center"/>
    </xf>
    <xf numFmtId="187" fontId="30" fillId="0" borderId="1" xfId="2" applyNumberFormat="1" applyFont="1" applyBorder="1" applyAlignment="1">
      <alignment horizontal="center"/>
    </xf>
    <xf numFmtId="0" fontId="9" fillId="9" borderId="28" xfId="2" applyFont="1" applyFill="1" applyBorder="1" applyAlignment="1">
      <alignment horizontal="center" vertical="center" shrinkToFit="1"/>
    </xf>
    <xf numFmtId="178" fontId="9" fillId="7" borderId="28" xfId="2" applyNumberFormat="1" applyFont="1" applyFill="1" applyBorder="1" applyAlignment="1">
      <alignment horizontal="center" vertical="center" shrinkToFit="1"/>
    </xf>
    <xf numFmtId="0" fontId="9" fillId="0" borderId="1" xfId="2" applyFont="1" applyBorder="1" applyAlignment="1">
      <alignment vertical="center"/>
    </xf>
    <xf numFmtId="176" fontId="9" fillId="7" borderId="28" xfId="2" applyNumberFormat="1" applyFont="1" applyFill="1" applyBorder="1" applyAlignment="1">
      <alignment horizontal="center" vertical="center" shrinkToFit="1"/>
    </xf>
    <xf numFmtId="178" fontId="9" fillId="3" borderId="4" xfId="2" applyNumberFormat="1" applyFont="1" applyFill="1" applyBorder="1" applyAlignment="1">
      <alignment horizontal="center" vertical="center" shrinkToFit="1"/>
    </xf>
    <xf numFmtId="178" fontId="9" fillId="3" borderId="19" xfId="2" applyNumberFormat="1" applyFont="1" applyFill="1" applyBorder="1" applyAlignment="1">
      <alignment horizontal="center" vertical="center" shrinkToFit="1"/>
    </xf>
    <xf numFmtId="178" fontId="9" fillId="3" borderId="1" xfId="2" applyNumberFormat="1" applyFont="1" applyFill="1" applyBorder="1" applyAlignment="1">
      <alignment horizontal="center" vertical="center" shrinkToFit="1"/>
    </xf>
    <xf numFmtId="187" fontId="9" fillId="0" borderId="0" xfId="2" applyNumberFormat="1" applyFont="1" applyAlignment="1">
      <alignment horizontal="center" vertical="center"/>
    </xf>
    <xf numFmtId="178" fontId="9" fillId="3" borderId="0" xfId="2" applyNumberFormat="1" applyFont="1" applyFill="1" applyAlignment="1">
      <alignment horizontal="center" vertical="center" shrinkToFit="1"/>
    </xf>
    <xf numFmtId="0" fontId="30" fillId="4" borderId="25" xfId="2" applyFont="1" applyFill="1" applyBorder="1" applyAlignment="1">
      <alignment horizontal="center" vertical="center"/>
    </xf>
    <xf numFmtId="0" fontId="30" fillId="0" borderId="9" xfId="2" applyFont="1" applyBorder="1"/>
    <xf numFmtId="0" fontId="30" fillId="0" borderId="11" xfId="2" applyFont="1" applyBorder="1"/>
    <xf numFmtId="0" fontId="30" fillId="4" borderId="10" xfId="2" applyFont="1" applyFill="1" applyBorder="1" applyAlignment="1">
      <alignment horizontal="center" vertical="center"/>
    </xf>
    <xf numFmtId="177" fontId="9" fillId="7" borderId="28" xfId="2" applyNumberFormat="1" applyFont="1" applyFill="1" applyBorder="1" applyAlignment="1">
      <alignment horizontal="center" vertical="center" shrinkToFit="1"/>
    </xf>
    <xf numFmtId="0" fontId="27" fillId="0" borderId="0" xfId="2"/>
    <xf numFmtId="0" fontId="27" fillId="0" borderId="1" xfId="2" applyBorder="1" applyProtection="1">
      <protection locked="0"/>
    </xf>
    <xf numFmtId="187" fontId="27" fillId="3" borderId="1" xfId="2" applyNumberFormat="1" applyFill="1" applyBorder="1"/>
    <xf numFmtId="0" fontId="27" fillId="4" borderId="1" xfId="2" applyFill="1" applyBorder="1" applyAlignment="1">
      <alignment horizontal="center"/>
    </xf>
    <xf numFmtId="0" fontId="30" fillId="0" borderId="0" xfId="2" applyFont="1" applyBorder="1"/>
    <xf numFmtId="184" fontId="8" fillId="0" borderId="4" xfId="0" applyNumberFormat="1" applyFont="1" applyFill="1" applyBorder="1" applyAlignment="1">
      <alignment vertical="center" shrinkToFit="1"/>
    </xf>
    <xf numFmtId="178" fontId="8" fillId="0" borderId="4" xfId="0" applyNumberFormat="1" applyFont="1" applyFill="1" applyBorder="1" applyAlignment="1">
      <alignment horizontal="center" vertical="center" shrinkToFit="1"/>
    </xf>
    <xf numFmtId="178" fontId="9" fillId="13" borderId="1" xfId="2" applyNumberFormat="1" applyFont="1" applyFill="1" applyBorder="1" applyAlignment="1">
      <alignment horizontal="center" vertical="center" shrinkToFit="1"/>
    </xf>
    <xf numFmtId="183" fontId="0" fillId="13" borderId="1" xfId="0" applyNumberFormat="1" applyFont="1" applyFill="1" applyBorder="1" applyAlignment="1">
      <alignment horizontal="center"/>
    </xf>
    <xf numFmtId="183" fontId="0" fillId="14" borderId="1" xfId="0" applyNumberFormat="1" applyFont="1" applyFill="1" applyBorder="1" applyAlignment="1">
      <alignment horizontal="center"/>
    </xf>
    <xf numFmtId="0" fontId="0" fillId="12" borderId="1" xfId="0" applyFont="1" applyFill="1" applyBorder="1" applyAlignment="1">
      <alignment horizontal="center"/>
    </xf>
    <xf numFmtId="0" fontId="0" fillId="0" borderId="1" xfId="0" applyFont="1" applyBorder="1" applyAlignment="1">
      <alignment horizontal="center"/>
    </xf>
    <xf numFmtId="0" fontId="0" fillId="13" borderId="74" xfId="0" applyFont="1" applyFill="1" applyBorder="1">
      <alignment vertical="center"/>
    </xf>
    <xf numFmtId="0" fontId="0" fillId="13" borderId="1" xfId="0" applyFont="1" applyFill="1" applyBorder="1" applyAlignment="1">
      <alignment horizontal="center"/>
    </xf>
    <xf numFmtId="0" fontId="0" fillId="14" borderId="1" xfId="0" applyFont="1" applyFill="1" applyBorder="1" applyAlignment="1">
      <alignment horizontal="center"/>
    </xf>
    <xf numFmtId="0" fontId="30" fillId="13" borderId="0" xfId="2" applyFont="1" applyFill="1"/>
    <xf numFmtId="0" fontId="0" fillId="12" borderId="74" xfId="0" applyFont="1" applyFill="1" applyBorder="1" applyAlignment="1"/>
    <xf numFmtId="0" fontId="0" fillId="0" borderId="74" xfId="0" applyFont="1" applyBorder="1" applyAlignment="1"/>
    <xf numFmtId="0" fontId="9" fillId="0" borderId="65" xfId="2" applyFont="1" applyBorder="1" applyAlignment="1">
      <alignment horizontal="center" vertical="center" wrapText="1"/>
    </xf>
    <xf numFmtId="0" fontId="9" fillId="4" borderId="1" xfId="2" applyFont="1" applyFill="1" applyBorder="1" applyAlignment="1">
      <alignment horizontal="center" vertical="center" shrinkToFit="1"/>
    </xf>
    <xf numFmtId="0" fontId="9" fillId="4" borderId="26" xfId="2" applyFont="1" applyFill="1" applyBorder="1" applyAlignment="1">
      <alignment horizontal="center" vertical="center" shrinkToFit="1"/>
    </xf>
    <xf numFmtId="0" fontId="30" fillId="0" borderId="0" xfId="2" applyFont="1" applyBorder="1" applyProtection="1">
      <protection locked="0"/>
    </xf>
    <xf numFmtId="184" fontId="8" fillId="0" borderId="47" xfId="0" applyNumberFormat="1" applyFont="1" applyFill="1" applyBorder="1" applyAlignment="1">
      <alignment vertical="center" shrinkToFit="1"/>
    </xf>
    <xf numFmtId="184" fontId="8" fillId="0" borderId="35" xfId="0" applyNumberFormat="1" applyFont="1" applyFill="1" applyBorder="1" applyAlignment="1">
      <alignment vertical="center" shrinkToFit="1"/>
    </xf>
    <xf numFmtId="184" fontId="8" fillId="0" borderId="38" xfId="0" applyNumberFormat="1" applyFont="1" applyFill="1" applyBorder="1" applyAlignment="1">
      <alignment vertical="center" shrinkToFit="1"/>
    </xf>
    <xf numFmtId="184" fontId="8" fillId="0" borderId="4" xfId="0" applyNumberFormat="1" applyFont="1" applyFill="1" applyBorder="1" applyAlignment="1" applyProtection="1">
      <alignment vertical="center" shrinkToFit="1"/>
      <protection locked="0"/>
    </xf>
    <xf numFmtId="184" fontId="8" fillId="0" borderId="35" xfId="0" applyNumberFormat="1" applyFont="1" applyFill="1" applyBorder="1" applyAlignment="1" applyProtection="1">
      <alignment vertical="center" shrinkToFit="1"/>
      <protection locked="0"/>
    </xf>
    <xf numFmtId="0" fontId="9" fillId="4" borderId="1" xfId="2" applyFont="1" applyFill="1" applyBorder="1" applyProtection="1"/>
    <xf numFmtId="178" fontId="8" fillId="0" borderId="4" xfId="0" applyNumberFormat="1" applyFont="1" applyFill="1" applyBorder="1" applyAlignment="1" applyProtection="1">
      <alignment horizontal="center" vertical="center" shrinkToFit="1"/>
    </xf>
    <xf numFmtId="178" fontId="8" fillId="0" borderId="47" xfId="0" applyNumberFormat="1" applyFont="1" applyFill="1" applyBorder="1" applyAlignment="1" applyProtection="1">
      <alignment horizontal="center" vertical="center" shrinkToFit="1"/>
    </xf>
    <xf numFmtId="178" fontId="8" fillId="0" borderId="29" xfId="0" applyNumberFormat="1" applyFont="1" applyFill="1" applyBorder="1" applyAlignment="1" applyProtection="1">
      <alignment horizontal="center" vertical="center" shrinkToFit="1"/>
    </xf>
    <xf numFmtId="0" fontId="9" fillId="4" borderId="75" xfId="2" applyFont="1" applyFill="1" applyBorder="1" applyProtection="1"/>
    <xf numFmtId="0" fontId="9" fillId="4" borderId="1" xfId="2" applyFont="1" applyFill="1" applyBorder="1" applyAlignment="1" applyProtection="1">
      <alignment horizontal="center" vertical="center" shrinkToFit="1"/>
    </xf>
    <xf numFmtId="184" fontId="31" fillId="0" borderId="4" xfId="0" applyNumberFormat="1" applyFont="1" applyFill="1" applyBorder="1" applyAlignment="1" applyProtection="1">
      <alignment horizontal="center" vertical="center" shrinkToFit="1"/>
    </xf>
    <xf numFmtId="184" fontId="31" fillId="0" borderId="47" xfId="0" applyNumberFormat="1" applyFont="1" applyFill="1" applyBorder="1" applyAlignment="1" applyProtection="1">
      <alignment horizontal="center" vertical="center" shrinkToFit="1"/>
    </xf>
    <xf numFmtId="184" fontId="9" fillId="4" borderId="1" xfId="0" applyNumberFormat="1" applyFont="1" applyFill="1" applyBorder="1" applyAlignment="1" applyProtection="1">
      <alignment horizontal="center" vertical="center" shrinkToFit="1"/>
    </xf>
    <xf numFmtId="184" fontId="9" fillId="0" borderId="1" xfId="0" applyNumberFormat="1" applyFont="1" applyBorder="1" applyAlignment="1" applyProtection="1">
      <alignment horizontal="center" vertical="center" shrinkToFit="1"/>
    </xf>
    <xf numFmtId="184" fontId="9" fillId="0" borderId="29" xfId="0" applyNumberFormat="1" applyFont="1" applyBorder="1" applyAlignment="1" applyProtection="1">
      <alignment horizontal="center" vertical="center" shrinkToFit="1"/>
    </xf>
    <xf numFmtId="187" fontId="9" fillId="0" borderId="1" xfId="0" applyNumberFormat="1" applyFont="1" applyBorder="1" applyAlignment="1" applyProtection="1">
      <alignment horizontal="center" vertical="center" shrinkToFit="1"/>
    </xf>
    <xf numFmtId="187" fontId="9" fillId="0" borderId="29" xfId="0" applyNumberFormat="1" applyFont="1" applyBorder="1" applyAlignment="1" applyProtection="1">
      <alignment horizontal="center" vertical="center" shrinkToFit="1"/>
    </xf>
    <xf numFmtId="178" fontId="8" fillId="0" borderId="40" xfId="0" applyNumberFormat="1" applyFont="1" applyFill="1" applyBorder="1" applyAlignment="1" applyProtection="1">
      <alignment horizontal="center" vertical="center" shrinkToFit="1"/>
    </xf>
    <xf numFmtId="178" fontId="8" fillId="0" borderId="35" xfId="0" applyNumberFormat="1" applyFont="1" applyFill="1" applyBorder="1" applyAlignment="1" applyProtection="1">
      <alignment horizontal="center" vertical="center" shrinkToFit="1"/>
    </xf>
    <xf numFmtId="178" fontId="8" fillId="0" borderId="38" xfId="0" applyNumberFormat="1" applyFont="1" applyFill="1" applyBorder="1" applyAlignment="1" applyProtection="1">
      <alignment horizontal="center" vertical="center" shrinkToFit="1"/>
    </xf>
    <xf numFmtId="178" fontId="8" fillId="0" borderId="72" xfId="0" applyNumberFormat="1" applyFont="1" applyFill="1" applyBorder="1" applyAlignment="1" applyProtection="1">
      <alignment horizontal="center" vertical="center" shrinkToFit="1"/>
    </xf>
    <xf numFmtId="0" fontId="9" fillId="4" borderId="26" xfId="2" applyFont="1" applyFill="1" applyBorder="1" applyAlignment="1" applyProtection="1">
      <alignment horizontal="center" vertical="center" shrinkToFit="1"/>
    </xf>
    <xf numFmtId="0" fontId="9" fillId="4" borderId="27" xfId="2" applyFont="1" applyFill="1" applyBorder="1" applyAlignment="1" applyProtection="1">
      <alignment horizontal="center" vertical="center" shrinkToFit="1"/>
    </xf>
    <xf numFmtId="184" fontId="8" fillId="0" borderId="4" xfId="0" applyNumberFormat="1" applyFont="1" applyFill="1" applyBorder="1" applyAlignment="1" applyProtection="1">
      <alignment horizontal="center" vertical="center" shrinkToFit="1"/>
    </xf>
    <xf numFmtId="184" fontId="8" fillId="0" borderId="47" xfId="0" applyNumberFormat="1" applyFont="1" applyFill="1" applyBorder="1" applyAlignment="1" applyProtection="1">
      <alignment horizontal="center" vertical="center" shrinkToFit="1"/>
    </xf>
    <xf numFmtId="178" fontId="9" fillId="4" borderId="1" xfId="2" applyNumberFormat="1" applyFont="1" applyFill="1" applyBorder="1" applyAlignment="1" applyProtection="1">
      <alignment horizontal="center" vertical="center" shrinkToFit="1"/>
    </xf>
    <xf numFmtId="178" fontId="16" fillId="4" borderId="1" xfId="2" applyNumberFormat="1" applyFont="1" applyFill="1" applyBorder="1" applyAlignment="1" applyProtection="1">
      <alignment horizontal="center" vertical="center" shrinkToFit="1"/>
    </xf>
    <xf numFmtId="0" fontId="0" fillId="0" borderId="1" xfId="0" applyBorder="1" applyAlignment="1">
      <alignment vertical="top" wrapText="1"/>
    </xf>
    <xf numFmtId="0" fontId="0" fillId="0" borderId="0" xfId="0" applyAlignment="1">
      <alignment horizontal="center" vertical="center"/>
    </xf>
    <xf numFmtId="0" fontId="9" fillId="15" borderId="26" xfId="0" applyFont="1" applyFill="1" applyBorder="1" applyAlignment="1">
      <alignment horizontal="center" vertical="center"/>
    </xf>
    <xf numFmtId="0" fontId="16" fillId="4" borderId="4" xfId="0" applyFont="1" applyFill="1" applyBorder="1" applyAlignment="1">
      <alignment horizontal="left" vertical="center"/>
    </xf>
    <xf numFmtId="0" fontId="16" fillId="4" borderId="47" xfId="0" applyFont="1" applyFill="1" applyBorder="1" applyAlignment="1">
      <alignment horizontal="left" vertical="center"/>
    </xf>
    <xf numFmtId="0" fontId="9" fillId="4" borderId="1" xfId="0" applyFont="1" applyFill="1" applyBorder="1" applyAlignment="1">
      <alignment vertical="center"/>
    </xf>
    <xf numFmtId="0" fontId="9" fillId="4" borderId="29" xfId="0" applyFont="1" applyFill="1" applyBorder="1" applyAlignment="1">
      <alignment vertical="center"/>
    </xf>
    <xf numFmtId="0" fontId="8" fillId="0" borderId="6" xfId="0" applyFont="1" applyBorder="1" applyAlignment="1">
      <alignment horizontal="center" vertical="center"/>
    </xf>
    <xf numFmtId="0" fontId="9" fillId="0" borderId="6" xfId="0" applyFont="1" applyBorder="1" applyAlignment="1">
      <alignment horizontal="center" vertical="center"/>
    </xf>
    <xf numFmtId="0" fontId="9" fillId="0" borderId="48" xfId="0" applyFont="1" applyBorder="1" applyAlignment="1">
      <alignment horizontal="center" vertical="center"/>
    </xf>
    <xf numFmtId="0" fontId="9" fillId="0" borderId="34" xfId="0" applyFont="1" applyBorder="1" applyAlignment="1">
      <alignment horizontal="center" vertical="center"/>
    </xf>
    <xf numFmtId="0" fontId="9" fillId="0" borderId="35" xfId="0" applyFont="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Border="1" applyAlignment="1" applyProtection="1">
      <alignment vertical="center"/>
      <protection locked="0"/>
    </xf>
    <xf numFmtId="0" fontId="25" fillId="0" borderId="0" xfId="0" applyFont="1" applyAlignment="1">
      <alignment horizontal="left" vertical="center"/>
    </xf>
    <xf numFmtId="0" fontId="26" fillId="0" borderId="0" xfId="0" applyFont="1" applyFill="1" applyBorder="1" applyAlignment="1">
      <alignment horizontal="left" vertical="center"/>
    </xf>
    <xf numFmtId="0" fontId="26" fillId="0" borderId="0" xfId="0" applyFont="1" applyAlignment="1">
      <alignment horizontal="left" vertical="center"/>
    </xf>
    <xf numFmtId="0" fontId="33" fillId="0" borderId="0" xfId="0" applyFont="1" applyAlignment="1">
      <alignment horizontal="center" vertical="center"/>
    </xf>
    <xf numFmtId="0" fontId="0" fillId="0" borderId="0" xfId="0" applyAlignment="1">
      <alignment horizontal="center" vertical="center"/>
    </xf>
    <xf numFmtId="0" fontId="0" fillId="11" borderId="1" xfId="0" applyFill="1" applyBorder="1" applyAlignment="1">
      <alignment horizontal="left" vertical="center"/>
    </xf>
    <xf numFmtId="0" fontId="0" fillId="11" borderId="1" xfId="0" applyFill="1" applyBorder="1" applyAlignment="1">
      <alignment horizontal="center" vertical="center"/>
    </xf>
    <xf numFmtId="0" fontId="0" fillId="0" borderId="0" xfId="0" applyAlignment="1">
      <alignment horizontal="center" vertical="center"/>
    </xf>
    <xf numFmtId="0" fontId="26" fillId="0" borderId="0" xfId="0" applyFont="1" applyAlignment="1">
      <alignment horizontal="center" vertical="center"/>
    </xf>
    <xf numFmtId="0" fontId="26" fillId="0" borderId="0" xfId="0" applyFont="1" applyAlignment="1">
      <alignment horizontal="right" vertical="center"/>
    </xf>
    <xf numFmtId="0" fontId="9" fillId="0" borderId="0" xfId="0" applyFont="1" applyFill="1" applyBorder="1" applyAlignment="1">
      <alignment horizontal="center" vertical="center" textRotation="255" wrapText="1"/>
    </xf>
    <xf numFmtId="0" fontId="9" fillId="0" borderId="0" xfId="0" applyFont="1" applyFill="1" applyBorder="1" applyAlignment="1">
      <alignment horizontal="center" vertical="center"/>
    </xf>
    <xf numFmtId="0" fontId="12" fillId="0" borderId="0" xfId="0" applyFont="1" applyFill="1" applyAlignment="1">
      <alignment horizontal="left" vertical="top" wrapText="1"/>
    </xf>
    <xf numFmtId="0" fontId="12" fillId="0" borderId="0" xfId="0" applyFont="1" applyAlignment="1">
      <alignment horizontal="left" vertical="top" wrapText="1"/>
    </xf>
    <xf numFmtId="0" fontId="12" fillId="0" borderId="0" xfId="0" applyFont="1" applyAlignment="1">
      <alignment horizontal="left" vertical="top"/>
    </xf>
    <xf numFmtId="0" fontId="0" fillId="0" borderId="0" xfId="0" applyAlignment="1">
      <alignment horizontal="left" vertical="top" wrapText="1"/>
    </xf>
    <xf numFmtId="0" fontId="0" fillId="11" borderId="1" xfId="0" applyFill="1" applyBorder="1" applyAlignment="1">
      <alignment horizontal="left" vertical="center"/>
    </xf>
    <xf numFmtId="0" fontId="0" fillId="11" borderId="1" xfId="0" applyFill="1" applyBorder="1" applyAlignment="1">
      <alignment horizontal="center" vertical="center"/>
    </xf>
    <xf numFmtId="0" fontId="0" fillId="0" borderId="1" xfId="0"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left" vertical="center" wrapText="1"/>
    </xf>
    <xf numFmtId="0" fontId="0" fillId="0" borderId="1" xfId="0" applyBorder="1" applyAlignment="1">
      <alignment vertical="center" wrapText="1"/>
    </xf>
    <xf numFmtId="0" fontId="0" fillId="0" borderId="1" xfId="0" applyBorder="1" applyAlignment="1">
      <alignment vertical="center"/>
    </xf>
    <xf numFmtId="0" fontId="8" fillId="0" borderId="5" xfId="0" applyFont="1" applyBorder="1" applyAlignment="1">
      <alignment horizontal="center" vertical="center" wrapText="1"/>
    </xf>
    <xf numFmtId="0" fontId="9" fillId="0" borderId="6" xfId="0" applyFont="1" applyBorder="1" applyAlignment="1">
      <alignment horizontal="center" vertical="center"/>
    </xf>
    <xf numFmtId="0" fontId="9" fillId="0" borderId="10" xfId="0" applyFont="1" applyBorder="1" applyAlignment="1">
      <alignment horizontal="center" vertical="center"/>
    </xf>
    <xf numFmtId="0" fontId="9" fillId="0" borderId="11" xfId="0" applyFont="1" applyBorder="1" applyAlignment="1">
      <alignment horizontal="center" vertical="center"/>
    </xf>
    <xf numFmtId="0" fontId="9" fillId="0" borderId="67" xfId="0" applyFont="1" applyBorder="1" applyAlignment="1">
      <alignment horizontal="center" vertical="center" wrapText="1"/>
    </xf>
    <xf numFmtId="0" fontId="9" fillId="0" borderId="73" xfId="0" applyFont="1" applyBorder="1" applyAlignment="1">
      <alignment horizontal="center" vertical="center"/>
    </xf>
    <xf numFmtId="0" fontId="0" fillId="0" borderId="60" xfId="0" applyBorder="1" applyAlignment="1">
      <alignment horizontal="center" vertical="center" wrapText="1"/>
    </xf>
    <xf numFmtId="0" fontId="0" fillId="0" borderId="76" xfId="0" applyBorder="1" applyAlignment="1">
      <alignment horizontal="center" vertical="center"/>
    </xf>
    <xf numFmtId="0" fontId="0" fillId="0" borderId="17" xfId="0" applyBorder="1" applyAlignment="1">
      <alignment horizontal="center" vertical="center"/>
    </xf>
    <xf numFmtId="0" fontId="0" fillId="0" borderId="72" xfId="0" applyBorder="1" applyAlignment="1">
      <alignment horizontal="center" vertical="center"/>
    </xf>
    <xf numFmtId="0" fontId="0" fillId="0" borderId="6" xfId="0" applyBorder="1" applyAlignment="1">
      <alignment horizontal="center" vertical="center"/>
    </xf>
    <xf numFmtId="0" fontId="0" fillId="0" borderId="11" xfId="0" applyBorder="1" applyAlignment="1">
      <alignment horizontal="center" vertical="center"/>
    </xf>
    <xf numFmtId="0" fontId="8" fillId="3" borderId="6" xfId="0" applyFont="1" applyFill="1" applyBorder="1" applyAlignment="1" applyProtection="1">
      <alignment horizontal="center" vertical="center"/>
    </xf>
    <xf numFmtId="0" fontId="8" fillId="3" borderId="11" xfId="0" applyFont="1" applyFill="1" applyBorder="1" applyAlignment="1" applyProtection="1">
      <alignment horizontal="center" vertical="center"/>
    </xf>
    <xf numFmtId="0" fontId="8" fillId="3" borderId="6" xfId="0" applyFont="1" applyFill="1" applyBorder="1" applyAlignment="1">
      <alignment horizontal="center" vertical="center"/>
    </xf>
    <xf numFmtId="0" fontId="8" fillId="3" borderId="7" xfId="0" applyFont="1" applyFill="1" applyBorder="1" applyAlignment="1">
      <alignment horizontal="center" vertical="center"/>
    </xf>
    <xf numFmtId="0" fontId="8" fillId="3" borderId="11" xfId="0" applyFont="1" applyFill="1" applyBorder="1" applyAlignment="1">
      <alignment horizontal="center" vertical="center"/>
    </xf>
    <xf numFmtId="0" fontId="8" fillId="3" borderId="12" xfId="0" applyFont="1" applyFill="1" applyBorder="1" applyAlignment="1">
      <alignment horizontal="center" vertical="center"/>
    </xf>
    <xf numFmtId="0" fontId="16" fillId="0" borderId="3" xfId="0" applyFont="1" applyBorder="1" applyAlignment="1" applyProtection="1">
      <alignment horizontal="center" vertical="center"/>
      <protection locked="0"/>
    </xf>
    <xf numFmtId="0" fontId="0" fillId="0" borderId="4" xfId="0" applyBorder="1" applyAlignment="1">
      <alignment horizontal="center" vertical="center"/>
    </xf>
    <xf numFmtId="14" fontId="9" fillId="8" borderId="26" xfId="0" applyNumberFormat="1" applyFont="1" applyFill="1" applyBorder="1" applyAlignment="1" applyProtection="1">
      <alignment horizontal="center" vertical="center"/>
      <protection locked="0"/>
    </xf>
    <xf numFmtId="0" fontId="9" fillId="8" borderId="26" xfId="0" applyFont="1" applyFill="1" applyBorder="1" applyAlignment="1" applyProtection="1">
      <alignment horizontal="center" vertical="center"/>
      <protection locked="0"/>
    </xf>
    <xf numFmtId="0" fontId="9" fillId="0" borderId="1" xfId="0" applyFont="1" applyBorder="1" applyAlignment="1" applyProtection="1">
      <alignment horizontal="right" vertical="center"/>
      <protection locked="0"/>
    </xf>
    <xf numFmtId="0" fontId="9" fillId="0" borderId="1" xfId="0" applyFont="1" applyBorder="1" applyAlignment="1" applyProtection="1">
      <alignment horizontal="center" vertical="center"/>
      <protection locked="0"/>
    </xf>
    <xf numFmtId="0" fontId="9" fillId="8" borderId="27" xfId="0" applyFont="1" applyFill="1" applyBorder="1" applyAlignment="1" applyProtection="1">
      <alignment horizontal="center" vertical="center"/>
      <protection locked="0"/>
    </xf>
    <xf numFmtId="0" fontId="9" fillId="0" borderId="29" xfId="0" applyFont="1" applyBorder="1" applyAlignment="1" applyProtection="1">
      <alignment horizontal="center" vertical="center"/>
      <protection locked="0"/>
    </xf>
    <xf numFmtId="178" fontId="16" fillId="0" borderId="48" xfId="0" applyNumberFormat="1" applyFont="1" applyFill="1"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16" fillId="0" borderId="3" xfId="0" applyFont="1" applyFill="1" applyBorder="1" applyAlignment="1">
      <alignment horizontal="center" vertical="center"/>
    </xf>
    <xf numFmtId="0" fontId="0" fillId="0" borderId="18" xfId="0" applyBorder="1" applyAlignment="1">
      <alignment horizontal="center" vertical="center"/>
    </xf>
    <xf numFmtId="0" fontId="16" fillId="15" borderId="3" xfId="0" applyFont="1" applyFill="1" applyBorder="1" applyAlignment="1" applyProtection="1">
      <alignment horizontal="center" vertical="center"/>
      <protection locked="0"/>
    </xf>
    <xf numFmtId="0" fontId="9" fillId="15" borderId="47" xfId="0" applyFont="1" applyFill="1" applyBorder="1" applyAlignment="1">
      <alignment horizontal="center" vertical="center"/>
    </xf>
    <xf numFmtId="0" fontId="9" fillId="15" borderId="4" xfId="0" applyFont="1" applyFill="1" applyBorder="1" applyAlignment="1">
      <alignment horizontal="center" vertical="center"/>
    </xf>
    <xf numFmtId="0" fontId="9" fillId="0" borderId="18" xfId="0" applyFont="1" applyBorder="1" applyAlignment="1">
      <alignment horizontal="center" vertical="center"/>
    </xf>
    <xf numFmtId="0" fontId="9" fillId="0" borderId="47" xfId="0" applyFont="1" applyBorder="1" applyAlignment="1">
      <alignment horizontal="center" vertical="center"/>
    </xf>
    <xf numFmtId="0" fontId="8" fillId="0" borderId="44" xfId="0" applyFont="1" applyBorder="1" applyAlignment="1">
      <alignment horizontal="center" vertical="center"/>
    </xf>
    <xf numFmtId="0" fontId="9" fillId="0" borderId="49" xfId="0" applyFont="1" applyBorder="1" applyAlignment="1">
      <alignment vertical="center"/>
    </xf>
    <xf numFmtId="0" fontId="9" fillId="0" borderId="46" xfId="0" applyFont="1" applyBorder="1" applyAlignment="1">
      <alignment vertical="center"/>
    </xf>
    <xf numFmtId="0" fontId="16" fillId="3" borderId="3" xfId="0" applyFont="1" applyFill="1" applyBorder="1" applyAlignment="1" applyProtection="1">
      <alignment horizontal="center" vertical="center"/>
    </xf>
    <xf numFmtId="0" fontId="9" fillId="3" borderId="18" xfId="0" applyFont="1" applyFill="1" applyBorder="1" applyAlignment="1" applyProtection="1">
      <alignment horizontal="center" vertical="center"/>
    </xf>
    <xf numFmtId="0" fontId="9" fillId="3" borderId="47" xfId="0" applyFont="1" applyFill="1" applyBorder="1" applyAlignment="1" applyProtection="1">
      <alignment horizontal="center" vertical="center"/>
    </xf>
    <xf numFmtId="0" fontId="9" fillId="15" borderId="18" xfId="0" applyFont="1" applyFill="1" applyBorder="1" applyAlignment="1">
      <alignment horizontal="center" vertical="center"/>
    </xf>
    <xf numFmtId="0" fontId="9" fillId="3" borderId="3" xfId="0" applyFont="1" applyFill="1" applyBorder="1" applyAlignment="1">
      <alignment horizontal="center" vertical="center"/>
    </xf>
    <xf numFmtId="0" fontId="9" fillId="3" borderId="18" xfId="0" applyFont="1" applyFill="1" applyBorder="1" applyAlignment="1">
      <alignment horizontal="center" vertical="center"/>
    </xf>
    <xf numFmtId="0" fontId="9" fillId="3" borderId="47" xfId="0" applyFont="1" applyFill="1" applyBorder="1" applyAlignment="1">
      <alignment horizontal="center" vertical="center"/>
    </xf>
    <xf numFmtId="0" fontId="16" fillId="4" borderId="3" xfId="0" applyFont="1" applyFill="1" applyBorder="1" applyAlignment="1">
      <alignment horizontal="center" vertical="center"/>
    </xf>
    <xf numFmtId="0" fontId="9" fillId="0" borderId="4" xfId="0" applyFont="1" applyBorder="1" applyAlignment="1">
      <alignment horizontal="center" vertical="center"/>
    </xf>
    <xf numFmtId="0" fontId="16" fillId="15" borderId="48" xfId="0" applyFont="1" applyFill="1" applyBorder="1" applyAlignment="1" applyProtection="1">
      <alignment horizontal="center" vertical="center"/>
      <protection locked="0"/>
    </xf>
    <xf numFmtId="0" fontId="9" fillId="15" borderId="34" xfId="0" applyFont="1" applyFill="1" applyBorder="1" applyAlignment="1">
      <alignment horizontal="center" vertical="center"/>
    </xf>
    <xf numFmtId="0" fontId="9" fillId="15" borderId="38" xfId="0" applyFont="1" applyFill="1" applyBorder="1" applyAlignment="1">
      <alignment horizontal="center" vertical="center"/>
    </xf>
    <xf numFmtId="14" fontId="16" fillId="0" borderId="44" xfId="0" applyNumberFormat="1" applyFont="1" applyBorder="1" applyAlignment="1" applyProtection="1">
      <alignment horizontal="center" vertical="center"/>
      <protection locked="0"/>
    </xf>
    <xf numFmtId="14" fontId="0" fillId="0" borderId="49" xfId="0" applyNumberFormat="1" applyBorder="1" applyAlignment="1">
      <alignment horizontal="center" vertical="center"/>
    </xf>
    <xf numFmtId="14" fontId="0" fillId="0" borderId="45" xfId="0" applyNumberFormat="1" applyBorder="1" applyAlignment="1">
      <alignment horizontal="center" vertical="center"/>
    </xf>
    <xf numFmtId="0" fontId="0" fillId="3" borderId="3" xfId="0" applyFill="1" applyBorder="1" applyAlignment="1">
      <alignment horizontal="center" vertical="center"/>
    </xf>
    <xf numFmtId="0" fontId="0" fillId="3" borderId="18" xfId="0" applyFill="1" applyBorder="1" applyAlignment="1">
      <alignment horizontal="center" vertical="center"/>
    </xf>
    <xf numFmtId="0" fontId="0" fillId="3" borderId="4" xfId="0" applyFill="1" applyBorder="1" applyAlignment="1">
      <alignment horizontal="center" vertical="center"/>
    </xf>
    <xf numFmtId="0" fontId="9" fillId="4" borderId="3" xfId="0" applyFont="1" applyFill="1" applyBorder="1" applyAlignment="1">
      <alignment horizontal="center" vertical="center"/>
    </xf>
    <xf numFmtId="0" fontId="9" fillId="4" borderId="3" xfId="0" applyFont="1" applyFill="1" applyBorder="1" applyAlignment="1">
      <alignment horizontal="center" vertical="center" shrinkToFit="1"/>
    </xf>
    <xf numFmtId="0" fontId="0" fillId="0" borderId="18" xfId="0" applyBorder="1" applyAlignment="1">
      <alignment horizontal="center" vertical="center" shrinkToFit="1"/>
    </xf>
    <xf numFmtId="0" fontId="9" fillId="4" borderId="48" xfId="0" applyFont="1" applyFill="1" applyBorder="1" applyAlignment="1">
      <alignment horizontal="center" vertical="center" shrinkToFit="1"/>
    </xf>
    <xf numFmtId="0" fontId="0" fillId="0" borderId="34" xfId="0" applyBorder="1" applyAlignment="1">
      <alignment horizontal="center" vertical="center" shrinkToFit="1"/>
    </xf>
    <xf numFmtId="0" fontId="9" fillId="4" borderId="44" xfId="0" applyFont="1" applyFill="1" applyBorder="1" applyAlignment="1">
      <alignment horizontal="center" vertical="center"/>
    </xf>
    <xf numFmtId="0" fontId="9" fillId="4" borderId="49" xfId="0" applyFont="1" applyFill="1" applyBorder="1" applyAlignment="1">
      <alignment horizontal="center" vertical="center"/>
    </xf>
    <xf numFmtId="0" fontId="0" fillId="0" borderId="49" xfId="0" applyBorder="1" applyAlignment="1">
      <alignment horizontal="center" vertical="center"/>
    </xf>
    <xf numFmtId="0" fontId="9" fillId="4" borderId="18" xfId="0" applyFont="1" applyFill="1" applyBorder="1" applyAlignment="1">
      <alignment horizontal="center" vertical="center" shrinkToFit="1"/>
    </xf>
    <xf numFmtId="0" fontId="8" fillId="15" borderId="3" xfId="0" applyFont="1" applyFill="1" applyBorder="1" applyAlignment="1">
      <alignment horizontal="center" vertical="center"/>
    </xf>
    <xf numFmtId="0" fontId="9" fillId="4" borderId="18" xfId="0" applyFont="1" applyFill="1" applyBorder="1" applyAlignment="1">
      <alignment horizontal="center" vertical="center"/>
    </xf>
    <xf numFmtId="0" fontId="9" fillId="15" borderId="3" xfId="0" applyFont="1" applyFill="1" applyBorder="1" applyAlignment="1">
      <alignment horizontal="center" vertical="center"/>
    </xf>
    <xf numFmtId="0" fontId="0" fillId="0" borderId="18" xfId="0" applyBorder="1" applyAlignment="1">
      <alignment vertical="center"/>
    </xf>
    <xf numFmtId="0" fontId="0" fillId="0" borderId="4" xfId="0" applyBorder="1" applyAlignment="1">
      <alignment vertical="center"/>
    </xf>
    <xf numFmtId="0" fontId="9" fillId="15" borderId="48" xfId="0" applyFont="1" applyFill="1" applyBorder="1" applyAlignment="1">
      <alignment horizontal="center" vertical="center"/>
    </xf>
    <xf numFmtId="0" fontId="0" fillId="0" borderId="34" xfId="0" applyBorder="1" applyAlignment="1">
      <alignment vertical="center"/>
    </xf>
    <xf numFmtId="0" fontId="0" fillId="0" borderId="35" xfId="0" applyBorder="1" applyAlignment="1">
      <alignment vertical="center"/>
    </xf>
    <xf numFmtId="0" fontId="0" fillId="0" borderId="3" xfId="0" applyBorder="1" applyAlignment="1" applyProtection="1">
      <alignment vertical="center"/>
      <protection locked="0"/>
    </xf>
    <xf numFmtId="0" fontId="0" fillId="0" borderId="18" xfId="0" applyBorder="1" applyAlignment="1" applyProtection="1">
      <alignment vertical="center"/>
      <protection locked="0"/>
    </xf>
    <xf numFmtId="0" fontId="0" fillId="0" borderId="47" xfId="0" applyBorder="1" applyAlignment="1" applyProtection="1">
      <alignment vertical="center"/>
      <protection locked="0"/>
    </xf>
    <xf numFmtId="0" fontId="8" fillId="15" borderId="44" xfId="0" applyFont="1" applyFill="1" applyBorder="1" applyAlignment="1">
      <alignment horizontal="center" vertical="center"/>
    </xf>
    <xf numFmtId="0" fontId="0" fillId="0" borderId="49" xfId="0" applyBorder="1" applyAlignment="1" applyProtection="1">
      <alignment horizontal="center" vertical="center"/>
      <protection locked="0"/>
    </xf>
    <xf numFmtId="0" fontId="0" fillId="0" borderId="45" xfId="0" applyBorder="1" applyAlignment="1" applyProtection="1">
      <alignment horizontal="center" vertical="center"/>
      <protection locked="0"/>
    </xf>
    <xf numFmtId="0" fontId="0" fillId="0" borderId="44" xfId="0" applyBorder="1" applyAlignment="1" applyProtection="1">
      <alignment horizontal="center" vertical="center"/>
      <protection locked="0"/>
    </xf>
    <xf numFmtId="0" fontId="0" fillId="0" borderId="5" xfId="0" applyBorder="1" applyAlignment="1" applyProtection="1">
      <alignment vertical="center"/>
      <protection locked="0"/>
    </xf>
    <xf numFmtId="0" fontId="0" fillId="0" borderId="6" xfId="0" applyBorder="1" applyAlignment="1" applyProtection="1">
      <alignment vertical="center"/>
      <protection locked="0"/>
    </xf>
    <xf numFmtId="0" fontId="0" fillId="0" borderId="7" xfId="0" applyBorder="1" applyAlignment="1" applyProtection="1">
      <alignment vertical="center"/>
      <protection locked="0"/>
    </xf>
    <xf numFmtId="56" fontId="0" fillId="0" borderId="3" xfId="0" applyNumberFormat="1" applyBorder="1" applyAlignment="1" applyProtection="1">
      <alignment vertical="center"/>
      <protection locked="0"/>
    </xf>
    <xf numFmtId="0" fontId="0" fillId="0" borderId="48" xfId="0" applyBorder="1" applyAlignment="1" applyProtection="1">
      <alignment vertical="center"/>
      <protection locked="0"/>
    </xf>
    <xf numFmtId="0" fontId="0" fillId="0" borderId="34" xfId="0" applyBorder="1" applyAlignment="1" applyProtection="1">
      <alignment vertical="center"/>
      <protection locked="0"/>
    </xf>
    <xf numFmtId="0" fontId="0" fillId="0" borderId="38" xfId="0" applyBorder="1" applyAlignment="1" applyProtection="1">
      <alignment vertical="center"/>
      <protection locked="0"/>
    </xf>
    <xf numFmtId="0" fontId="0" fillId="0" borderId="1" xfId="0" applyBorder="1" applyAlignment="1" applyProtection="1">
      <alignment horizontal="center" vertical="center"/>
      <protection locked="0"/>
    </xf>
    <xf numFmtId="0" fontId="9" fillId="15" borderId="1" xfId="0" applyFont="1" applyFill="1" applyBorder="1" applyAlignment="1">
      <alignment horizontal="center" vertical="center"/>
    </xf>
    <xf numFmtId="0" fontId="9" fillId="0" borderId="1" xfId="0" applyFont="1" applyBorder="1" applyAlignment="1">
      <alignment horizontal="center" vertical="center"/>
    </xf>
    <xf numFmtId="0" fontId="0" fillId="16" borderId="40" xfId="0" applyFill="1" applyBorder="1" applyAlignment="1">
      <alignment horizontal="center" vertical="center"/>
    </xf>
    <xf numFmtId="0" fontId="9" fillId="15" borderId="71" xfId="0" applyFont="1" applyFill="1" applyBorder="1" applyAlignment="1">
      <alignment horizontal="center" vertical="center"/>
    </xf>
    <xf numFmtId="0" fontId="0" fillId="0" borderId="45" xfId="0" applyBorder="1" applyAlignment="1">
      <alignment horizontal="center" vertical="center"/>
    </xf>
    <xf numFmtId="0" fontId="9" fillId="0" borderId="18" xfId="0" applyFont="1" applyBorder="1" applyAlignment="1">
      <alignment vertical="center"/>
    </xf>
    <xf numFmtId="0" fontId="0" fillId="15" borderId="3" xfId="0" applyFill="1" applyBorder="1" applyAlignment="1">
      <alignment horizontal="center" vertical="center"/>
    </xf>
    <xf numFmtId="0" fontId="9" fillId="15" borderId="30" xfId="0" applyFont="1" applyFill="1" applyBorder="1" applyAlignment="1">
      <alignment horizontal="center" vertical="center" shrinkToFit="1"/>
    </xf>
    <xf numFmtId="0" fontId="9" fillId="15" borderId="58" xfId="0" applyFont="1" applyFill="1" applyBorder="1" applyAlignment="1">
      <alignment horizontal="center" vertical="center" shrinkToFit="1"/>
    </xf>
    <xf numFmtId="0" fontId="9" fillId="15" borderId="63" xfId="0" applyFont="1" applyFill="1" applyBorder="1" applyAlignment="1">
      <alignment horizontal="center" vertical="center" shrinkToFit="1"/>
    </xf>
    <xf numFmtId="0" fontId="9" fillId="0" borderId="3" xfId="0" applyFont="1" applyFill="1" applyBorder="1" applyAlignment="1" applyProtection="1">
      <alignment horizontal="center" vertical="center"/>
      <protection locked="0"/>
    </xf>
    <xf numFmtId="0" fontId="0" fillId="0" borderId="18" xfId="0" applyFill="1" applyBorder="1" applyAlignment="1" applyProtection="1">
      <alignment horizontal="center" vertical="center"/>
      <protection locked="0"/>
    </xf>
    <xf numFmtId="0" fontId="0" fillId="0" borderId="4" xfId="0" applyFill="1" applyBorder="1" applyAlignment="1" applyProtection="1">
      <alignment horizontal="center" vertical="center"/>
      <protection locked="0"/>
    </xf>
    <xf numFmtId="0" fontId="25" fillId="4" borderId="2" xfId="0" applyFont="1" applyFill="1" applyBorder="1" applyAlignment="1">
      <alignment horizontal="center" vertical="center"/>
    </xf>
    <xf numFmtId="0" fontId="26" fillId="4" borderId="2" xfId="0" applyFont="1" applyFill="1" applyBorder="1" applyAlignment="1">
      <alignment horizontal="center" vertical="center"/>
    </xf>
    <xf numFmtId="0" fontId="13" fillId="0" borderId="40" xfId="0" applyFont="1" applyBorder="1" applyAlignment="1">
      <alignment horizontal="center" vertical="center"/>
    </xf>
    <xf numFmtId="0" fontId="24" fillId="0" borderId="40" xfId="0" applyFont="1" applyBorder="1" applyAlignment="1">
      <alignment horizontal="center" vertical="center"/>
    </xf>
    <xf numFmtId="0" fontId="24" fillId="0" borderId="36" xfId="0" applyFont="1" applyBorder="1" applyAlignment="1">
      <alignment horizontal="center" vertical="center"/>
    </xf>
    <xf numFmtId="186" fontId="9" fillId="0" borderId="63" xfId="0" applyNumberFormat="1" applyFont="1" applyBorder="1" applyAlignment="1" applyProtection="1">
      <alignment horizontal="center" vertical="center" shrinkToFit="1"/>
      <protection locked="0"/>
    </xf>
    <xf numFmtId="186" fontId="9" fillId="0" borderId="65" xfId="0" applyNumberFormat="1" applyFont="1" applyBorder="1" applyAlignment="1" applyProtection="1">
      <alignment horizontal="center" vertical="center" shrinkToFit="1"/>
      <protection locked="0"/>
    </xf>
    <xf numFmtId="186" fontId="9" fillId="0" borderId="32" xfId="0" applyNumberFormat="1" applyFont="1" applyBorder="1" applyAlignment="1" applyProtection="1">
      <alignment horizontal="center" vertical="center" shrinkToFit="1"/>
      <protection locked="0"/>
    </xf>
    <xf numFmtId="179" fontId="9" fillId="0" borderId="71" xfId="0" applyNumberFormat="1" applyFont="1" applyFill="1" applyBorder="1" applyAlignment="1" applyProtection="1">
      <alignment horizontal="center" vertical="center" shrinkToFit="1"/>
    </xf>
    <xf numFmtId="179" fontId="9" fillId="0" borderId="49" xfId="0" applyNumberFormat="1" applyFont="1" applyFill="1" applyBorder="1" applyAlignment="1" applyProtection="1">
      <alignment horizontal="center" vertical="center" shrinkToFit="1"/>
    </xf>
    <xf numFmtId="179" fontId="9" fillId="0" borderId="46" xfId="0" applyNumberFormat="1" applyFont="1" applyFill="1" applyBorder="1" applyAlignment="1" applyProtection="1">
      <alignment horizontal="center" vertical="center" shrinkToFit="1"/>
    </xf>
    <xf numFmtId="0" fontId="9" fillId="4" borderId="28" xfId="0" applyFont="1" applyFill="1" applyBorder="1" applyAlignment="1">
      <alignment horizontal="center" vertical="center" shrinkToFit="1"/>
    </xf>
    <xf numFmtId="0" fontId="9" fillId="4" borderId="1" xfId="0" applyFont="1" applyFill="1" applyBorder="1" applyAlignment="1">
      <alignment horizontal="center" vertical="center" shrinkToFit="1"/>
    </xf>
    <xf numFmtId="0" fontId="10" fillId="4" borderId="14" xfId="0" applyFont="1" applyFill="1" applyBorder="1" applyAlignment="1">
      <alignment horizontal="center" vertical="center"/>
    </xf>
    <xf numFmtId="0" fontId="10" fillId="4" borderId="54"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5" xfId="0" applyFont="1" applyFill="1" applyBorder="1" applyAlignment="1">
      <alignment horizontal="center" vertical="center"/>
    </xf>
    <xf numFmtId="0" fontId="2" fillId="0" borderId="56" xfId="0" applyFont="1" applyFill="1" applyBorder="1" applyAlignment="1">
      <alignment horizontal="center" vertical="center"/>
    </xf>
    <xf numFmtId="0" fontId="2" fillId="0" borderId="13" xfId="0" applyFont="1" applyFill="1" applyBorder="1" applyAlignment="1" applyProtection="1">
      <alignment horizontal="center" vertical="center"/>
      <protection locked="0"/>
    </xf>
    <xf numFmtId="0" fontId="2" fillId="0" borderId="15" xfId="0" applyFont="1" applyFill="1" applyBorder="1" applyAlignment="1" applyProtection="1">
      <alignment horizontal="center" vertical="center"/>
      <protection locked="0"/>
    </xf>
    <xf numFmtId="0" fontId="8" fillId="4" borderId="14" xfId="0" applyFont="1" applyFill="1" applyBorder="1" applyAlignment="1">
      <alignment horizontal="center" vertical="center" shrinkToFit="1"/>
    </xf>
    <xf numFmtId="0" fontId="8" fillId="4" borderId="54" xfId="0" applyFont="1" applyFill="1" applyBorder="1" applyAlignment="1">
      <alignment horizontal="center" vertical="center" shrinkToFit="1"/>
    </xf>
    <xf numFmtId="0" fontId="8" fillId="4" borderId="13" xfId="0" applyFont="1" applyFill="1" applyBorder="1" applyAlignment="1">
      <alignment horizontal="center" vertical="center" shrinkToFit="1"/>
    </xf>
    <xf numFmtId="0" fontId="9" fillId="4" borderId="14" xfId="0" applyFont="1" applyFill="1" applyBorder="1" applyAlignment="1">
      <alignment horizontal="center" vertical="center" shrinkToFit="1"/>
    </xf>
    <xf numFmtId="0" fontId="9" fillId="4" borderId="54" xfId="0" applyFont="1" applyFill="1" applyBorder="1" applyAlignment="1">
      <alignment horizontal="center" vertical="center" shrinkToFit="1"/>
    </xf>
    <xf numFmtId="0" fontId="9" fillId="4" borderId="55" xfId="0" applyFont="1" applyFill="1" applyBorder="1" applyAlignment="1">
      <alignment horizontal="center" vertical="center" shrinkToFit="1"/>
    </xf>
    <xf numFmtId="0" fontId="9" fillId="4" borderId="13" xfId="0" applyFont="1" applyFill="1" applyBorder="1" applyAlignment="1">
      <alignment horizontal="center" vertical="center" shrinkToFit="1"/>
    </xf>
    <xf numFmtId="0" fontId="0" fillId="4" borderId="28" xfId="0" applyFill="1" applyBorder="1" applyAlignment="1">
      <alignment horizontal="center" vertical="center"/>
    </xf>
    <xf numFmtId="0" fontId="0" fillId="4" borderId="1" xfId="0" applyFill="1" applyBorder="1" applyAlignment="1">
      <alignment horizontal="center" vertical="center"/>
    </xf>
    <xf numFmtId="0" fontId="0" fillId="4" borderId="3" xfId="0" applyFill="1" applyBorder="1" applyAlignment="1">
      <alignment horizontal="center" vertical="center" wrapText="1"/>
    </xf>
    <xf numFmtId="0" fontId="9" fillId="4" borderId="63" xfId="0" applyFont="1" applyFill="1" applyBorder="1" applyAlignment="1">
      <alignment horizontal="center" vertical="center" shrinkToFit="1"/>
    </xf>
    <xf numFmtId="0" fontId="9" fillId="4" borderId="65" xfId="0" applyFont="1" applyFill="1" applyBorder="1" applyAlignment="1">
      <alignment horizontal="center" vertical="center" shrinkToFit="1"/>
    </xf>
    <xf numFmtId="0" fontId="9" fillId="4" borderId="20" xfId="0" applyFont="1" applyFill="1" applyBorder="1" applyAlignment="1">
      <alignment horizontal="center" vertical="center" shrinkToFit="1"/>
    </xf>
    <xf numFmtId="0" fontId="9" fillId="4" borderId="61" xfId="0" applyFont="1" applyFill="1" applyBorder="1" applyAlignment="1">
      <alignment horizontal="center" vertical="center" wrapText="1" shrinkToFit="1"/>
    </xf>
    <xf numFmtId="0" fontId="9" fillId="4" borderId="18" xfId="0" applyFont="1" applyFill="1" applyBorder="1" applyAlignment="1">
      <alignment horizontal="center" vertical="center" wrapText="1" shrinkToFit="1"/>
    </xf>
    <xf numFmtId="0" fontId="9" fillId="4" borderId="47" xfId="0" applyFont="1" applyFill="1" applyBorder="1" applyAlignment="1">
      <alignment horizontal="center" vertical="center" wrapText="1" shrinkToFit="1"/>
    </xf>
    <xf numFmtId="0" fontId="9" fillId="4" borderId="61" xfId="0" applyFont="1" applyFill="1" applyBorder="1" applyAlignment="1">
      <alignment horizontal="center" vertical="center" shrinkToFit="1"/>
    </xf>
    <xf numFmtId="0" fontId="9" fillId="4" borderId="47" xfId="0" applyFont="1" applyFill="1" applyBorder="1" applyAlignment="1">
      <alignment horizontal="center" vertical="center" shrinkToFit="1"/>
    </xf>
    <xf numFmtId="0" fontId="9" fillId="4" borderId="50" xfId="0" applyFont="1" applyFill="1" applyBorder="1" applyAlignment="1">
      <alignment horizontal="center" vertical="center" shrinkToFit="1"/>
    </xf>
    <xf numFmtId="0" fontId="9" fillId="4" borderId="23" xfId="0" applyFont="1" applyFill="1" applyBorder="1" applyAlignment="1">
      <alignment horizontal="center" vertical="center" shrinkToFit="1"/>
    </xf>
    <xf numFmtId="0" fontId="9" fillId="4" borderId="51" xfId="0" applyFont="1" applyFill="1" applyBorder="1" applyAlignment="1">
      <alignment horizontal="center" vertical="center" shrinkToFit="1"/>
    </xf>
    <xf numFmtId="0" fontId="9" fillId="4" borderId="52" xfId="0" applyFont="1" applyFill="1" applyBorder="1" applyAlignment="1">
      <alignment horizontal="center" vertical="center" shrinkToFit="1"/>
    </xf>
    <xf numFmtId="0" fontId="9" fillId="4" borderId="15" xfId="0" applyFont="1" applyFill="1" applyBorder="1" applyAlignment="1">
      <alignment horizontal="center" vertical="center" shrinkToFit="1"/>
    </xf>
    <xf numFmtId="0" fontId="9" fillId="4" borderId="56" xfId="0" applyFont="1" applyFill="1" applyBorder="1" applyAlignment="1">
      <alignment horizontal="center" vertical="center" shrinkToFit="1"/>
    </xf>
    <xf numFmtId="0" fontId="17" fillId="0" borderId="60" xfId="0" applyFont="1" applyFill="1" applyBorder="1" applyAlignment="1">
      <alignment horizontal="left" vertical="top" wrapText="1"/>
    </xf>
    <xf numFmtId="0" fontId="17" fillId="0" borderId="6" xfId="0" applyFont="1" applyFill="1" applyBorder="1" applyAlignment="1">
      <alignment horizontal="left" vertical="top" wrapText="1"/>
    </xf>
    <xf numFmtId="0" fontId="17" fillId="0" borderId="7" xfId="0" applyFont="1" applyFill="1" applyBorder="1" applyAlignment="1">
      <alignment horizontal="left" vertical="top" wrapText="1"/>
    </xf>
    <xf numFmtId="0" fontId="17" fillId="0" borderId="16" xfId="0" applyFont="1" applyFill="1" applyBorder="1" applyAlignment="1">
      <alignment horizontal="left" vertical="top" wrapText="1"/>
    </xf>
    <xf numFmtId="0" fontId="17" fillId="0" borderId="0" xfId="0" applyFont="1" applyFill="1" applyBorder="1" applyAlignment="1">
      <alignment horizontal="left" vertical="top" wrapText="1"/>
    </xf>
    <xf numFmtId="0" fontId="17" fillId="0" borderId="9" xfId="0" applyFont="1" applyFill="1" applyBorder="1" applyAlignment="1">
      <alignment horizontal="left" vertical="top" wrapText="1"/>
    </xf>
    <xf numFmtId="0" fontId="17" fillId="0" borderId="17" xfId="0" applyFont="1" applyFill="1" applyBorder="1" applyAlignment="1">
      <alignment horizontal="left" vertical="top" wrapText="1"/>
    </xf>
    <xf numFmtId="0" fontId="17" fillId="0" borderId="11" xfId="0" applyFont="1" applyFill="1" applyBorder="1" applyAlignment="1">
      <alignment horizontal="left" vertical="top" wrapText="1"/>
    </xf>
    <xf numFmtId="0" fontId="17" fillId="0" borderId="12" xfId="0" applyFont="1" applyFill="1" applyBorder="1" applyAlignment="1">
      <alignment horizontal="left" vertical="top" wrapText="1"/>
    </xf>
    <xf numFmtId="0" fontId="9" fillId="4" borderId="52" xfId="0" applyFont="1" applyFill="1" applyBorder="1" applyAlignment="1">
      <alignment horizontal="center" vertical="center" wrapText="1" shrinkToFit="1"/>
    </xf>
    <xf numFmtId="0" fontId="9" fillId="4" borderId="15" xfId="0" applyFont="1" applyFill="1" applyBorder="1" applyAlignment="1">
      <alignment horizontal="center" vertical="center" wrapText="1" shrinkToFit="1"/>
    </xf>
    <xf numFmtId="0" fontId="9" fillId="4" borderId="56" xfId="0" applyFont="1" applyFill="1" applyBorder="1" applyAlignment="1">
      <alignment horizontal="center" vertical="center" wrapText="1" shrinkToFit="1"/>
    </xf>
    <xf numFmtId="0" fontId="9" fillId="0" borderId="15" xfId="0" applyFont="1" applyFill="1" applyBorder="1" applyAlignment="1" applyProtection="1">
      <alignment horizontal="center" vertical="center" shrinkToFit="1"/>
      <protection locked="0"/>
    </xf>
    <xf numFmtId="0" fontId="8" fillId="4" borderId="28" xfId="0" applyFont="1" applyFill="1" applyBorder="1" applyAlignment="1">
      <alignment horizontal="center" vertical="center" shrinkToFit="1"/>
    </xf>
    <xf numFmtId="0" fontId="8" fillId="4" borderId="1" xfId="0" applyFont="1" applyFill="1" applyBorder="1" applyAlignment="1">
      <alignment horizontal="center" vertical="center" shrinkToFit="1"/>
    </xf>
    <xf numFmtId="0" fontId="8" fillId="0" borderId="1" xfId="0" applyFont="1" applyFill="1" applyBorder="1" applyAlignment="1">
      <alignment horizontal="center" vertical="center" shrinkToFit="1"/>
    </xf>
    <xf numFmtId="0" fontId="9" fillId="0" borderId="15" xfId="0" applyFont="1" applyBorder="1" applyAlignment="1" applyProtection="1">
      <alignment horizontal="center" vertical="center" shrinkToFit="1"/>
      <protection locked="0"/>
    </xf>
    <xf numFmtId="0" fontId="8" fillId="4" borderId="25" xfId="0" applyFont="1" applyFill="1" applyBorder="1" applyAlignment="1">
      <alignment horizontal="center" vertical="center" shrinkToFit="1"/>
    </xf>
    <xf numFmtId="0" fontId="8" fillId="4" borderId="26" xfId="0" applyFont="1" applyFill="1" applyBorder="1" applyAlignment="1">
      <alignment horizontal="center" vertical="center" shrinkToFit="1"/>
    </xf>
    <xf numFmtId="178" fontId="9" fillId="0" borderId="26" xfId="0" applyNumberFormat="1" applyFont="1" applyFill="1" applyBorder="1" applyAlignment="1">
      <alignment horizontal="center" vertical="center" shrinkToFit="1"/>
    </xf>
    <xf numFmtId="0" fontId="17" fillId="0" borderId="26" xfId="0" applyFont="1" applyFill="1" applyBorder="1" applyAlignment="1">
      <alignment horizontal="left" vertical="top" wrapText="1"/>
    </xf>
    <xf numFmtId="0" fontId="17" fillId="0" borderId="27" xfId="0" applyFont="1" applyFill="1" applyBorder="1" applyAlignment="1">
      <alignment horizontal="left" vertical="top" wrapText="1"/>
    </xf>
    <xf numFmtId="0" fontId="17" fillId="0" borderId="1" xfId="0" applyFont="1" applyFill="1" applyBorder="1" applyAlignment="1">
      <alignment horizontal="left" vertical="top" wrapText="1"/>
    </xf>
    <xf numFmtId="0" fontId="17" fillId="0" borderId="29" xfId="0" applyFont="1" applyFill="1" applyBorder="1" applyAlignment="1">
      <alignment horizontal="left" vertical="top" wrapText="1"/>
    </xf>
    <xf numFmtId="0" fontId="17" fillId="0" borderId="40" xfId="0" applyFont="1" applyFill="1" applyBorder="1" applyAlignment="1">
      <alignment horizontal="left" vertical="top" wrapText="1"/>
    </xf>
    <xf numFmtId="0" fontId="17" fillId="0" borderId="36" xfId="0" applyFont="1" applyFill="1" applyBorder="1" applyAlignment="1">
      <alignment horizontal="left" vertical="top" wrapText="1"/>
    </xf>
    <xf numFmtId="178" fontId="9" fillId="0" borderId="26" xfId="0" applyNumberFormat="1" applyFont="1" applyFill="1" applyBorder="1" applyAlignment="1">
      <alignment horizontal="center" vertical="center"/>
    </xf>
    <xf numFmtId="0" fontId="0" fillId="4" borderId="39" xfId="0" applyFill="1" applyBorder="1" applyAlignment="1">
      <alignment horizontal="center" vertical="center" shrinkToFit="1"/>
    </xf>
    <xf numFmtId="0" fontId="0" fillId="4" borderId="40" xfId="0" applyFill="1" applyBorder="1" applyAlignment="1">
      <alignment horizontal="center" vertical="center" shrinkToFit="1"/>
    </xf>
    <xf numFmtId="178" fontId="0" fillId="0" borderId="40" xfId="0" applyNumberFormat="1" applyFill="1" applyBorder="1" applyAlignment="1">
      <alignment horizontal="center" vertical="center"/>
    </xf>
    <xf numFmtId="0" fontId="8" fillId="0" borderId="40" xfId="0" applyFont="1" applyFill="1" applyBorder="1" applyAlignment="1">
      <alignment horizontal="center" vertical="center"/>
    </xf>
    <xf numFmtId="0" fontId="0" fillId="4" borderId="25" xfId="0" applyFill="1" applyBorder="1" applyAlignment="1">
      <alignment horizontal="center" vertical="center" shrinkToFit="1"/>
    </xf>
    <xf numFmtId="0" fontId="0" fillId="4" borderId="26" xfId="0" applyFill="1" applyBorder="1" applyAlignment="1">
      <alignment horizontal="center" vertical="center" shrinkToFit="1"/>
    </xf>
    <xf numFmtId="178" fontId="0" fillId="0" borderId="26" xfId="0" applyNumberFormat="1" applyFill="1" applyBorder="1" applyAlignment="1">
      <alignment horizontal="center" vertical="center"/>
    </xf>
    <xf numFmtId="0" fontId="9" fillId="0" borderId="39" xfId="0" applyFont="1" applyFill="1" applyBorder="1" applyAlignment="1" applyProtection="1">
      <alignment horizontal="center" vertical="center" shrinkToFit="1"/>
      <protection locked="0"/>
    </xf>
    <xf numFmtId="0" fontId="9" fillId="0" borderId="40" xfId="0" applyFont="1" applyFill="1" applyBorder="1" applyAlignment="1" applyProtection="1">
      <alignment horizontal="center" vertical="center" shrinkToFit="1"/>
      <protection locked="0"/>
    </xf>
    <xf numFmtId="0" fontId="9" fillId="0" borderId="36" xfId="0" applyFont="1" applyFill="1" applyBorder="1" applyAlignment="1" applyProtection="1">
      <alignment horizontal="center" vertical="center" shrinkToFit="1"/>
      <protection locked="0"/>
    </xf>
    <xf numFmtId="0" fontId="9" fillId="0" borderId="52" xfId="0" applyFont="1" applyFill="1" applyBorder="1" applyAlignment="1" applyProtection="1">
      <alignment horizontal="center" vertical="center" shrinkToFit="1"/>
      <protection locked="0"/>
    </xf>
    <xf numFmtId="0" fontId="9" fillId="0" borderId="56" xfId="0" applyFont="1" applyFill="1" applyBorder="1" applyAlignment="1" applyProtection="1">
      <alignment horizontal="center" vertical="center" shrinkToFit="1"/>
      <protection locked="0"/>
    </xf>
    <xf numFmtId="0" fontId="8" fillId="4" borderId="39" xfId="0" applyFont="1" applyFill="1" applyBorder="1" applyAlignment="1">
      <alignment horizontal="center" vertical="center" shrinkToFit="1"/>
    </xf>
    <xf numFmtId="0" fontId="8" fillId="4" borderId="40" xfId="0" applyFont="1" applyFill="1" applyBorder="1" applyAlignment="1">
      <alignment horizontal="center" vertical="center" shrinkToFit="1"/>
    </xf>
    <xf numFmtId="0" fontId="9" fillId="0" borderId="50" xfId="0" applyFont="1" applyFill="1" applyBorder="1" applyAlignment="1" applyProtection="1">
      <alignment horizontal="right" vertical="center" shrinkToFit="1"/>
      <protection locked="0"/>
    </xf>
    <xf numFmtId="0" fontId="9" fillId="0" borderId="10" xfId="0" applyFont="1" applyFill="1" applyBorder="1" applyAlignment="1" applyProtection="1">
      <alignment horizontal="right" vertical="center" shrinkToFit="1"/>
      <protection locked="0"/>
    </xf>
    <xf numFmtId="0" fontId="9" fillId="4" borderId="4" xfId="0" applyFont="1" applyFill="1" applyBorder="1" applyAlignment="1">
      <alignment horizontal="left" vertical="center" shrinkToFit="1"/>
    </xf>
    <xf numFmtId="0" fontId="9" fillId="4" borderId="35" xfId="0" applyFont="1" applyFill="1" applyBorder="1" applyAlignment="1">
      <alignment horizontal="left" vertical="center" shrinkToFit="1"/>
    </xf>
    <xf numFmtId="0" fontId="9" fillId="0" borderId="33" xfId="0" applyFont="1" applyFill="1" applyBorder="1" applyAlignment="1" applyProtection="1">
      <alignment horizontal="center" vertical="center" shrinkToFit="1"/>
      <protection locked="0"/>
    </xf>
    <xf numFmtId="0" fontId="9" fillId="0" borderId="34" xfId="0" applyFont="1" applyFill="1" applyBorder="1" applyAlignment="1" applyProtection="1">
      <alignment horizontal="center" vertical="center" shrinkToFit="1"/>
      <protection locked="0"/>
    </xf>
    <xf numFmtId="0" fontId="9" fillId="0" borderId="38" xfId="0" applyFont="1" applyFill="1" applyBorder="1" applyAlignment="1" applyProtection="1">
      <alignment horizontal="center" vertical="center" shrinkToFit="1"/>
      <protection locked="0"/>
    </xf>
    <xf numFmtId="0" fontId="9" fillId="0" borderId="13" xfId="0" applyFont="1" applyFill="1" applyBorder="1" applyAlignment="1">
      <alignment horizontal="center" vertical="center" shrinkToFit="1"/>
    </xf>
    <xf numFmtId="0" fontId="9" fillId="0" borderId="15" xfId="0" applyFont="1" applyFill="1" applyBorder="1" applyAlignment="1">
      <alignment horizontal="center" vertical="center" shrinkToFit="1"/>
    </xf>
    <xf numFmtId="0" fontId="9" fillId="0" borderId="56" xfId="0" applyFont="1" applyFill="1" applyBorder="1" applyAlignment="1">
      <alignment horizontal="center" vertical="center" shrinkToFit="1"/>
    </xf>
    <xf numFmtId="0" fontId="9" fillId="4" borderId="39" xfId="0" applyFont="1" applyFill="1" applyBorder="1" applyAlignment="1">
      <alignment horizontal="center" vertical="center" shrinkToFit="1"/>
    </xf>
    <xf numFmtId="0" fontId="9" fillId="4" borderId="40" xfId="0" applyFont="1" applyFill="1" applyBorder="1" applyAlignment="1">
      <alignment horizontal="center" vertical="center" shrinkToFit="1"/>
    </xf>
    <xf numFmtId="0" fontId="9" fillId="4" borderId="36" xfId="0" applyFont="1" applyFill="1" applyBorder="1" applyAlignment="1">
      <alignment horizontal="center" vertical="center" shrinkToFit="1"/>
    </xf>
    <xf numFmtId="185" fontId="9" fillId="0" borderId="33" xfId="0" applyNumberFormat="1" applyFont="1" applyFill="1" applyBorder="1" applyAlignment="1">
      <alignment horizontal="center" vertical="center" shrinkToFit="1"/>
    </xf>
    <xf numFmtId="185" fontId="9" fillId="0" borderId="34" xfId="0" applyNumberFormat="1" applyFont="1" applyFill="1" applyBorder="1" applyAlignment="1">
      <alignment horizontal="center" vertical="center" shrinkToFit="1"/>
    </xf>
    <xf numFmtId="185" fontId="9" fillId="0" borderId="38" xfId="0" applyNumberFormat="1" applyFont="1" applyFill="1" applyBorder="1" applyAlignment="1">
      <alignment horizontal="center" vertical="center" shrinkToFit="1"/>
    </xf>
    <xf numFmtId="185" fontId="9" fillId="0" borderId="54" xfId="0" applyNumberFormat="1" applyFont="1" applyFill="1" applyBorder="1" applyAlignment="1">
      <alignment horizontal="center" vertical="center" shrinkToFit="1"/>
    </xf>
    <xf numFmtId="185" fontId="9" fillId="0" borderId="55" xfId="0" applyNumberFormat="1" applyFont="1" applyFill="1" applyBorder="1" applyAlignment="1">
      <alignment horizontal="center" vertical="center" shrinkToFit="1"/>
    </xf>
    <xf numFmtId="177" fontId="9" fillId="0" borderId="54" xfId="0" applyNumberFormat="1" applyFont="1" applyFill="1" applyBorder="1" applyAlignment="1">
      <alignment horizontal="center" vertical="center" shrinkToFit="1"/>
    </xf>
    <xf numFmtId="0" fontId="9" fillId="4" borderId="25" xfId="0" applyFont="1" applyFill="1" applyBorder="1" applyAlignment="1">
      <alignment horizontal="center" vertical="center" shrinkToFit="1"/>
    </xf>
    <xf numFmtId="0" fontId="9" fillId="4" borderId="26" xfId="0" applyFont="1" applyFill="1" applyBorder="1" applyAlignment="1">
      <alignment horizontal="center" vertical="center" shrinkToFit="1"/>
    </xf>
    <xf numFmtId="0" fontId="9" fillId="4" borderId="27" xfId="0" applyFont="1" applyFill="1" applyBorder="1" applyAlignment="1">
      <alignment horizontal="center" vertical="center" shrinkToFit="1"/>
    </xf>
    <xf numFmtId="185" fontId="9" fillId="0" borderId="71" xfId="0" applyNumberFormat="1" applyFont="1" applyFill="1" applyBorder="1" applyAlignment="1">
      <alignment horizontal="center" vertical="center" shrinkToFit="1"/>
    </xf>
    <xf numFmtId="185" fontId="9" fillId="0" borderId="49" xfId="0" applyNumberFormat="1" applyFont="1" applyFill="1" applyBorder="1" applyAlignment="1">
      <alignment horizontal="center" vertical="center" shrinkToFit="1"/>
    </xf>
    <xf numFmtId="185" fontId="9" fillId="0" borderId="46" xfId="0" applyNumberFormat="1" applyFont="1" applyFill="1" applyBorder="1" applyAlignment="1">
      <alignment horizontal="center" vertical="center" shrinkToFit="1"/>
    </xf>
    <xf numFmtId="0" fontId="15" fillId="0" borderId="5" xfId="0" applyFont="1" applyFill="1" applyBorder="1" applyAlignment="1">
      <alignment horizontal="center" vertical="center" shrinkToFit="1"/>
    </xf>
    <xf numFmtId="0" fontId="15" fillId="0" borderId="6" xfId="0" applyFont="1" applyFill="1" applyBorder="1" applyAlignment="1">
      <alignment horizontal="center" vertical="center" shrinkToFit="1"/>
    </xf>
    <xf numFmtId="0" fontId="9" fillId="4" borderId="26" xfId="0" applyFont="1" applyFill="1" applyBorder="1" applyAlignment="1" applyProtection="1">
      <alignment horizontal="center" vertical="center" shrinkToFit="1"/>
    </xf>
    <xf numFmtId="0" fontId="9" fillId="0" borderId="26" xfId="0" applyFont="1" applyBorder="1" applyAlignment="1" applyProtection="1">
      <alignment horizontal="center" vertical="center"/>
      <protection locked="0"/>
    </xf>
    <xf numFmtId="0" fontId="9" fillId="0" borderId="27" xfId="0" applyFont="1" applyBorder="1" applyAlignment="1" applyProtection="1">
      <alignment horizontal="center" vertical="center"/>
      <protection locked="0"/>
    </xf>
    <xf numFmtId="0" fontId="9" fillId="4" borderId="57" xfId="0" applyFont="1" applyFill="1" applyBorder="1" applyAlignment="1">
      <alignment horizontal="center" vertical="center"/>
    </xf>
    <xf numFmtId="0" fontId="9" fillId="4" borderId="58" xfId="0" applyFont="1" applyFill="1" applyBorder="1" applyAlignment="1">
      <alignment horizontal="center" vertical="center"/>
    </xf>
    <xf numFmtId="0" fontId="9" fillId="4" borderId="59" xfId="0" applyFont="1" applyFill="1" applyBorder="1" applyAlignment="1">
      <alignment horizontal="center" vertical="center"/>
    </xf>
    <xf numFmtId="0" fontId="9" fillId="4" borderId="45" xfId="0" applyFont="1" applyFill="1" applyBorder="1" applyAlignment="1">
      <alignment horizontal="center" vertical="center"/>
    </xf>
    <xf numFmtId="0" fontId="9" fillId="0" borderId="44" xfId="0" applyFont="1" applyBorder="1" applyAlignment="1" applyProtection="1">
      <alignment horizontal="center" vertical="center"/>
      <protection locked="0"/>
    </xf>
    <xf numFmtId="0" fontId="9" fillId="0" borderId="49" xfId="0" applyFont="1" applyBorder="1" applyAlignment="1" applyProtection="1">
      <alignment horizontal="center" vertical="center"/>
      <protection locked="0"/>
    </xf>
    <xf numFmtId="0" fontId="9" fillId="0" borderId="46" xfId="0" applyFont="1" applyBorder="1" applyAlignment="1" applyProtection="1">
      <alignment horizontal="center" vertical="center"/>
      <protection locked="0"/>
    </xf>
    <xf numFmtId="0" fontId="9" fillId="0" borderId="1" xfId="0" applyFont="1" applyFill="1" applyBorder="1" applyAlignment="1">
      <alignment horizontal="center" vertical="center" shrinkToFit="1"/>
    </xf>
    <xf numFmtId="0" fontId="9" fillId="4" borderId="27" xfId="0" applyFont="1" applyFill="1" applyBorder="1" applyAlignment="1" applyProtection="1">
      <alignment horizontal="center" vertical="center" shrinkToFit="1"/>
    </xf>
    <xf numFmtId="0" fontId="9" fillId="4" borderId="41" xfId="0" applyFont="1" applyFill="1" applyBorder="1" applyAlignment="1">
      <alignment horizontal="center" vertical="center" shrinkToFit="1"/>
    </xf>
    <xf numFmtId="0" fontId="9" fillId="4" borderId="71" xfId="0" applyFont="1" applyFill="1" applyBorder="1" applyAlignment="1">
      <alignment horizontal="center" vertical="center" shrinkToFit="1"/>
    </xf>
    <xf numFmtId="0" fontId="9" fillId="4" borderId="55" xfId="0" applyFont="1" applyFill="1" applyBorder="1" applyAlignment="1">
      <alignment horizontal="center" vertical="center" wrapText="1" shrinkToFit="1"/>
    </xf>
    <xf numFmtId="0" fontId="9" fillId="4" borderId="64" xfId="0" applyFont="1" applyFill="1" applyBorder="1" applyAlignment="1">
      <alignment horizontal="center" vertical="center" wrapText="1" shrinkToFit="1"/>
    </xf>
    <xf numFmtId="0" fontId="9" fillId="4" borderId="27" xfId="0" applyFont="1" applyFill="1" applyBorder="1" applyAlignment="1">
      <alignment horizontal="center" vertical="center" wrapText="1" shrinkToFit="1"/>
    </xf>
    <xf numFmtId="0" fontId="9" fillId="4" borderId="41" xfId="0" applyFont="1" applyFill="1" applyBorder="1" applyAlignment="1">
      <alignment horizontal="center" vertical="center" wrapText="1" shrinkToFit="1"/>
    </xf>
    <xf numFmtId="0" fontId="9" fillId="4" borderId="25" xfId="0" applyFont="1" applyFill="1" applyBorder="1" applyAlignment="1">
      <alignment horizontal="center" vertical="center"/>
    </xf>
    <xf numFmtId="0" fontId="9" fillId="4" borderId="28" xfId="0" applyFont="1" applyFill="1" applyBorder="1" applyAlignment="1">
      <alignment horizontal="center" vertical="center"/>
    </xf>
    <xf numFmtId="0" fontId="9" fillId="4" borderId="30" xfId="0" applyFont="1" applyFill="1" applyBorder="1" applyAlignment="1">
      <alignment horizontal="center" vertical="center"/>
    </xf>
    <xf numFmtId="0" fontId="9" fillId="4" borderId="39" xfId="0" applyFont="1" applyFill="1" applyBorder="1" applyAlignment="1">
      <alignment horizontal="center" vertical="center"/>
    </xf>
    <xf numFmtId="0" fontId="9" fillId="4" borderId="1" xfId="0" applyFont="1" applyFill="1" applyBorder="1" applyAlignment="1" applyProtection="1">
      <alignment horizontal="center" vertical="center" shrinkToFit="1"/>
    </xf>
    <xf numFmtId="0" fontId="9" fillId="0" borderId="1" xfId="0" applyFont="1" applyFill="1" applyBorder="1" applyAlignment="1" applyProtection="1">
      <alignment horizontal="center" vertical="center" shrinkToFit="1"/>
    </xf>
    <xf numFmtId="0" fontId="9" fillId="0" borderId="29" xfId="0" applyFont="1" applyFill="1" applyBorder="1" applyAlignment="1" applyProtection="1">
      <alignment horizontal="center" vertical="center" shrinkToFit="1"/>
    </xf>
    <xf numFmtId="0" fontId="9" fillId="4" borderId="42" xfId="0" applyFont="1" applyFill="1" applyBorder="1" applyAlignment="1">
      <alignment horizontal="center" vertical="center" shrinkToFit="1"/>
    </xf>
    <xf numFmtId="0" fontId="9" fillId="0" borderId="29" xfId="0" applyFont="1" applyFill="1" applyBorder="1" applyAlignment="1" applyProtection="1">
      <alignment horizontal="center" vertical="center" shrinkToFit="1"/>
      <protection locked="0"/>
    </xf>
    <xf numFmtId="0" fontId="9" fillId="0" borderId="42" xfId="0" applyFont="1" applyFill="1" applyBorder="1" applyAlignment="1" applyProtection="1">
      <alignment horizontal="center" vertical="center" shrinkToFit="1"/>
      <protection locked="0"/>
    </xf>
    <xf numFmtId="0" fontId="9" fillId="0" borderId="28" xfId="0" applyFont="1" applyFill="1" applyBorder="1" applyAlignment="1" applyProtection="1">
      <alignment horizontal="center" vertical="center" shrinkToFit="1"/>
      <protection locked="0"/>
    </xf>
    <xf numFmtId="0" fontId="9" fillId="0" borderId="1" xfId="0" applyFont="1" applyBorder="1" applyAlignment="1" applyProtection="1">
      <alignment horizontal="center" vertical="center" shrinkToFit="1"/>
      <protection locked="0"/>
    </xf>
    <xf numFmtId="0" fontId="11" fillId="4" borderId="3" xfId="0" applyFont="1" applyFill="1" applyBorder="1" applyAlignment="1">
      <alignment horizontal="center" vertical="center" wrapText="1"/>
    </xf>
    <xf numFmtId="0" fontId="11" fillId="4" borderId="18" xfId="0" applyFont="1" applyFill="1" applyBorder="1" applyAlignment="1">
      <alignment horizontal="center" vertical="center" wrapText="1"/>
    </xf>
    <xf numFmtId="0" fontId="11" fillId="4" borderId="4" xfId="0" applyFont="1" applyFill="1" applyBorder="1" applyAlignment="1">
      <alignment horizontal="center" vertical="center" wrapText="1"/>
    </xf>
    <xf numFmtId="0" fontId="9" fillId="0" borderId="3" xfId="0" applyFont="1" applyBorder="1" applyAlignment="1" applyProtection="1">
      <alignment horizontal="center" vertical="center"/>
      <protection locked="0"/>
    </xf>
    <xf numFmtId="0" fontId="9" fillId="0" borderId="18" xfId="0" applyFont="1" applyBorder="1" applyAlignment="1" applyProtection="1">
      <alignment horizontal="center" vertical="center"/>
      <protection locked="0"/>
    </xf>
    <xf numFmtId="0" fontId="9" fillId="0" borderId="47" xfId="0" applyFont="1" applyBorder="1" applyAlignment="1" applyProtection="1">
      <alignment horizontal="center" vertical="center"/>
      <protection locked="0"/>
    </xf>
    <xf numFmtId="0" fontId="9" fillId="4" borderId="70" xfId="0" applyFont="1" applyFill="1" applyBorder="1" applyAlignment="1">
      <alignment horizontal="center" vertical="center" shrinkToFit="1"/>
    </xf>
    <xf numFmtId="0" fontId="9" fillId="4" borderId="8" xfId="0" applyFont="1" applyFill="1" applyBorder="1" applyAlignment="1">
      <alignment horizontal="center" vertical="center" shrinkToFit="1"/>
    </xf>
    <xf numFmtId="0" fontId="9" fillId="0" borderId="31" xfId="0" applyFont="1" applyFill="1" applyBorder="1" applyAlignment="1" applyProtection="1">
      <alignment horizontal="center" vertical="center" shrinkToFit="1"/>
      <protection locked="0"/>
    </xf>
    <xf numFmtId="0" fontId="9" fillId="0" borderId="62" xfId="0" applyFont="1" applyFill="1" applyBorder="1" applyAlignment="1" applyProtection="1">
      <alignment horizontal="center" vertical="center" shrinkToFit="1"/>
      <protection locked="0"/>
    </xf>
    <xf numFmtId="0" fontId="9" fillId="0" borderId="50" xfId="0" applyFont="1" applyFill="1" applyBorder="1" applyAlignment="1" applyProtection="1">
      <alignment horizontal="center" vertical="center" shrinkToFit="1"/>
      <protection locked="0"/>
    </xf>
    <xf numFmtId="0" fontId="9" fillId="4" borderId="4" xfId="0" applyFont="1" applyFill="1" applyBorder="1" applyAlignment="1">
      <alignment horizontal="center" vertical="center"/>
    </xf>
    <xf numFmtId="0" fontId="9" fillId="4" borderId="62" xfId="0" applyFont="1" applyFill="1" applyBorder="1" applyAlignment="1">
      <alignment horizontal="center" vertical="center" shrinkToFit="1"/>
    </xf>
    <xf numFmtId="0" fontId="9" fillId="4" borderId="30" xfId="0" applyFont="1" applyFill="1" applyBorder="1" applyAlignment="1">
      <alignment horizontal="center" vertical="center" shrinkToFit="1"/>
    </xf>
    <xf numFmtId="0" fontId="9" fillId="0" borderId="9" xfId="0" applyFont="1" applyFill="1" applyBorder="1" applyAlignment="1" applyProtection="1">
      <alignment horizontal="center" vertical="center" shrinkToFit="1"/>
      <protection locked="0"/>
    </xf>
    <xf numFmtId="0" fontId="9" fillId="0" borderId="70" xfId="0" applyFont="1" applyFill="1" applyBorder="1" applyAlignment="1" applyProtection="1">
      <alignment horizontal="center" vertical="center" shrinkToFit="1"/>
      <protection locked="0"/>
    </xf>
    <xf numFmtId="0" fontId="9" fillId="0" borderId="8" xfId="0" applyFont="1" applyFill="1" applyBorder="1" applyAlignment="1" applyProtection="1">
      <alignment horizontal="center" vertical="center" shrinkToFit="1"/>
      <protection locked="0"/>
    </xf>
    <xf numFmtId="0" fontId="9" fillId="0" borderId="43" xfId="0" applyFont="1" applyFill="1" applyBorder="1" applyAlignment="1" applyProtection="1">
      <alignment horizontal="center" vertical="center" shrinkToFit="1"/>
      <protection locked="0"/>
    </xf>
    <xf numFmtId="0" fontId="9" fillId="0" borderId="55" xfId="0" applyFont="1" applyFill="1" applyBorder="1" applyAlignment="1" applyProtection="1">
      <alignment horizontal="center" vertical="center" shrinkToFit="1"/>
      <protection locked="0"/>
    </xf>
    <xf numFmtId="0" fontId="9" fillId="0" borderId="64" xfId="0" applyFont="1" applyFill="1" applyBorder="1" applyAlignment="1" applyProtection="1">
      <alignment horizontal="center" vertical="center" shrinkToFit="1"/>
      <protection locked="0"/>
    </xf>
    <xf numFmtId="0" fontId="7" fillId="4" borderId="3" xfId="0" applyFont="1" applyFill="1" applyBorder="1" applyAlignment="1">
      <alignment horizontal="center" vertical="center" wrapText="1"/>
    </xf>
    <xf numFmtId="0" fontId="7" fillId="4" borderId="18"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9" fillId="4" borderId="4" xfId="0" applyFont="1" applyFill="1" applyBorder="1" applyAlignment="1">
      <alignment horizontal="center" vertical="center" shrinkToFit="1"/>
    </xf>
    <xf numFmtId="185" fontId="9" fillId="0" borderId="3" xfId="0" applyNumberFormat="1" applyFont="1" applyFill="1" applyBorder="1" applyAlignment="1" applyProtection="1">
      <alignment horizontal="center" vertical="center" shrinkToFit="1"/>
    </xf>
    <xf numFmtId="185" fontId="9" fillId="0" borderId="18" xfId="0" applyNumberFormat="1" applyFont="1" applyFill="1" applyBorder="1" applyAlignment="1" applyProtection="1">
      <alignment horizontal="center" vertical="center" shrinkToFit="1"/>
    </xf>
    <xf numFmtId="185" fontId="9" fillId="0" borderId="4" xfId="0" applyNumberFormat="1" applyFont="1" applyFill="1" applyBorder="1" applyAlignment="1" applyProtection="1">
      <alignment horizontal="center" vertical="center" shrinkToFit="1"/>
    </xf>
    <xf numFmtId="0" fontId="9" fillId="4" borderId="3" xfId="0" applyFont="1" applyFill="1" applyBorder="1" applyAlignment="1" applyProtection="1">
      <alignment horizontal="center" vertical="center" shrinkToFit="1"/>
    </xf>
    <xf numFmtId="0" fontId="9" fillId="4" borderId="18" xfId="0" applyFont="1" applyFill="1" applyBorder="1" applyAlignment="1" applyProtection="1">
      <alignment horizontal="center" vertical="center" shrinkToFit="1"/>
    </xf>
    <xf numFmtId="0" fontId="9" fillId="4" borderId="4" xfId="0" applyFont="1" applyFill="1" applyBorder="1" applyAlignment="1" applyProtection="1">
      <alignment horizontal="center" vertical="center" shrinkToFit="1"/>
    </xf>
    <xf numFmtId="0" fontId="12" fillId="4" borderId="62" xfId="0" applyFont="1" applyFill="1" applyBorder="1" applyAlignment="1">
      <alignment horizontal="center" vertical="center" shrinkToFit="1"/>
    </xf>
    <xf numFmtId="0" fontId="12" fillId="4" borderId="30" xfId="0" applyFont="1" applyFill="1" applyBorder="1" applyAlignment="1">
      <alignment horizontal="center" vertical="center" shrinkToFit="1"/>
    </xf>
    <xf numFmtId="185" fontId="9" fillId="0" borderId="47" xfId="0" applyNumberFormat="1" applyFont="1" applyFill="1" applyBorder="1" applyAlignment="1" applyProtection="1">
      <alignment horizontal="center" vertical="center" shrinkToFit="1"/>
    </xf>
    <xf numFmtId="0" fontId="12" fillId="0" borderId="43" xfId="0" applyFont="1" applyFill="1" applyBorder="1" applyAlignment="1" applyProtection="1">
      <alignment horizontal="center" vertical="center" shrinkToFit="1"/>
      <protection locked="0"/>
    </xf>
    <xf numFmtId="0" fontId="12" fillId="0" borderId="39" xfId="0" applyFont="1" applyFill="1" applyBorder="1" applyAlignment="1" applyProtection="1">
      <alignment horizontal="center" vertical="center" shrinkToFit="1"/>
      <protection locked="0"/>
    </xf>
    <xf numFmtId="0" fontId="12" fillId="0" borderId="64" xfId="0" applyFont="1" applyFill="1" applyBorder="1" applyAlignment="1" applyProtection="1">
      <alignment horizontal="center" vertical="center" shrinkToFit="1"/>
      <protection locked="0"/>
    </xf>
    <xf numFmtId="0" fontId="12" fillId="0" borderId="14" xfId="0" applyFont="1" applyFill="1" applyBorder="1" applyAlignment="1" applyProtection="1">
      <alignment horizontal="center" vertical="center" shrinkToFit="1"/>
      <protection locked="0"/>
    </xf>
    <xf numFmtId="0" fontId="9" fillId="4" borderId="24" xfId="0" applyFont="1" applyFill="1" applyBorder="1" applyAlignment="1">
      <alignment horizontal="center" vertical="center"/>
    </xf>
    <xf numFmtId="0" fontId="9" fillId="4" borderId="23" xfId="0" applyFont="1" applyFill="1" applyBorder="1" applyAlignment="1">
      <alignment horizontal="center" vertical="center"/>
    </xf>
    <xf numFmtId="0" fontId="9" fillId="4" borderId="19" xfId="0" applyFont="1" applyFill="1" applyBorder="1" applyAlignment="1">
      <alignment horizontal="center" vertical="center"/>
    </xf>
    <xf numFmtId="0" fontId="9" fillId="4" borderId="16" xfId="0" applyFont="1" applyFill="1" applyBorder="1" applyAlignment="1">
      <alignment horizontal="center" vertical="center"/>
    </xf>
    <xf numFmtId="0" fontId="9" fillId="4" borderId="0" xfId="0" applyFont="1" applyFill="1" applyBorder="1" applyAlignment="1">
      <alignment horizontal="center" vertical="center"/>
    </xf>
    <xf numFmtId="0" fontId="9" fillId="4" borderId="66" xfId="0" applyFont="1" applyFill="1" applyBorder="1" applyAlignment="1">
      <alignment horizontal="center" vertical="center"/>
    </xf>
    <xf numFmtId="0" fontId="9" fillId="4" borderId="17" xfId="0" applyFont="1" applyFill="1" applyBorder="1" applyAlignment="1">
      <alignment horizontal="center" vertical="center"/>
    </xf>
    <xf numFmtId="0" fontId="9" fillId="4" borderId="11" xfId="0" applyFont="1" applyFill="1" applyBorder="1" applyAlignment="1">
      <alignment horizontal="center" vertical="center"/>
    </xf>
    <xf numFmtId="0" fontId="9" fillId="4" borderId="72" xfId="0" applyFont="1" applyFill="1" applyBorder="1" applyAlignment="1">
      <alignment horizontal="center" vertical="center"/>
    </xf>
    <xf numFmtId="178" fontId="9" fillId="4" borderId="40" xfId="0" applyNumberFormat="1" applyFont="1" applyFill="1" applyBorder="1" applyAlignment="1" applyProtection="1">
      <alignment horizontal="center" vertical="center" shrinkToFit="1"/>
    </xf>
    <xf numFmtId="187" fontId="9" fillId="0" borderId="48" xfId="0" applyNumberFormat="1" applyFont="1" applyFill="1" applyBorder="1" applyAlignment="1" applyProtection="1">
      <alignment horizontal="center" vertical="center" shrinkToFit="1"/>
    </xf>
    <xf numFmtId="187" fontId="9" fillId="0" borderId="34" xfId="0" applyNumberFormat="1" applyFont="1" applyFill="1" applyBorder="1" applyAlignment="1" applyProtection="1">
      <alignment horizontal="center" vertical="center" shrinkToFit="1"/>
    </xf>
    <xf numFmtId="187" fontId="9" fillId="0" borderId="35" xfId="0" applyNumberFormat="1" applyFont="1" applyFill="1" applyBorder="1" applyAlignment="1" applyProtection="1">
      <alignment horizontal="center" vertical="center" shrinkToFit="1"/>
    </xf>
    <xf numFmtId="0" fontId="9" fillId="4" borderId="25" xfId="0" applyFont="1" applyFill="1" applyBorder="1" applyAlignment="1">
      <alignment horizontal="center" vertical="center" textRotation="255" shrinkToFit="1"/>
    </xf>
    <xf numFmtId="0" fontId="9" fillId="4" borderId="28" xfId="0" applyFont="1" applyFill="1" applyBorder="1" applyAlignment="1">
      <alignment horizontal="center" vertical="center" textRotation="255" shrinkToFit="1"/>
    </xf>
    <xf numFmtId="0" fontId="9" fillId="4" borderId="39" xfId="0" applyFont="1" applyFill="1" applyBorder="1" applyAlignment="1">
      <alignment horizontal="center" vertical="center" textRotation="255" shrinkToFit="1"/>
    </xf>
    <xf numFmtId="0" fontId="9" fillId="4" borderId="29" xfId="0" applyFont="1" applyFill="1" applyBorder="1" applyAlignment="1" applyProtection="1">
      <alignment horizontal="center" vertical="center" shrinkToFit="1"/>
    </xf>
    <xf numFmtId="0" fontId="9" fillId="0" borderId="1" xfId="0" applyFont="1" applyFill="1" applyBorder="1" applyAlignment="1" applyProtection="1">
      <alignment horizontal="center" vertical="center" shrinkToFit="1"/>
      <protection locked="0"/>
    </xf>
    <xf numFmtId="14" fontId="9" fillId="0" borderId="1" xfId="0" applyNumberFormat="1" applyFont="1" applyFill="1" applyBorder="1" applyAlignment="1" applyProtection="1">
      <alignment horizontal="center" vertical="center" shrinkToFit="1"/>
      <protection locked="0"/>
    </xf>
    <xf numFmtId="0" fontId="9" fillId="0" borderId="24" xfId="0" applyFont="1" applyBorder="1" applyAlignment="1" applyProtection="1">
      <alignment horizontal="center" vertical="center"/>
      <protection locked="0"/>
    </xf>
    <xf numFmtId="0" fontId="9" fillId="0" borderId="23" xfId="0" applyFont="1" applyBorder="1" applyAlignment="1" applyProtection="1">
      <alignment horizontal="center" vertical="center"/>
      <protection locked="0"/>
    </xf>
    <xf numFmtId="0" fontId="9" fillId="0" borderId="51" xfId="0" applyFont="1" applyBorder="1" applyAlignment="1" applyProtection="1">
      <alignment horizontal="center" vertical="center"/>
      <protection locked="0"/>
    </xf>
    <xf numFmtId="0" fontId="9" fillId="0" borderId="16" xfId="0" applyFont="1" applyBorder="1" applyAlignment="1" applyProtection="1">
      <alignment horizontal="center" vertical="center"/>
      <protection locked="0"/>
    </xf>
    <xf numFmtId="0" fontId="9" fillId="0" borderId="0" xfId="0" applyFont="1" applyBorder="1" applyAlignment="1" applyProtection="1">
      <alignment horizontal="center" vertical="center"/>
      <protection locked="0"/>
    </xf>
    <xf numFmtId="0" fontId="9" fillId="0" borderId="9" xfId="0" applyFont="1" applyBorder="1" applyAlignment="1" applyProtection="1">
      <alignment horizontal="center" vertical="center"/>
      <protection locked="0"/>
    </xf>
    <xf numFmtId="0" fontId="9" fillId="0" borderId="17" xfId="0" applyFont="1" applyBorder="1" applyAlignment="1" applyProtection="1">
      <alignment horizontal="center" vertical="center"/>
      <protection locked="0"/>
    </xf>
    <xf numFmtId="0" fontId="9" fillId="0" borderId="11" xfId="0" applyFont="1" applyBorder="1" applyAlignment="1" applyProtection="1">
      <alignment horizontal="center" vertical="center"/>
      <protection locked="0"/>
    </xf>
    <xf numFmtId="0" fontId="9" fillId="0" borderId="12" xfId="0" applyFont="1" applyBorder="1" applyAlignment="1" applyProtection="1">
      <alignment horizontal="center" vertical="center"/>
      <protection locked="0"/>
    </xf>
    <xf numFmtId="0" fontId="9" fillId="4" borderId="34" xfId="0" applyFont="1" applyFill="1" applyBorder="1" applyAlignment="1">
      <alignment horizontal="center" vertical="center" shrinkToFit="1"/>
    </xf>
    <xf numFmtId="0" fontId="9" fillId="4" borderId="35" xfId="0" applyFont="1" applyFill="1" applyBorder="1" applyAlignment="1">
      <alignment horizontal="center" vertical="center" shrinkToFit="1"/>
    </xf>
    <xf numFmtId="0" fontId="9" fillId="0" borderId="48" xfId="0" applyFont="1" applyFill="1" applyBorder="1" applyAlignment="1">
      <alignment horizontal="center" vertical="center"/>
    </xf>
    <xf numFmtId="0" fontId="9" fillId="0" borderId="34" xfId="0" applyFont="1" applyFill="1" applyBorder="1" applyAlignment="1">
      <alignment horizontal="center" vertical="center"/>
    </xf>
    <xf numFmtId="0" fontId="9" fillId="0" borderId="38" xfId="0" applyFont="1" applyFill="1" applyBorder="1" applyAlignment="1">
      <alignment horizontal="center" vertical="center"/>
    </xf>
    <xf numFmtId="0" fontId="9" fillId="4" borderId="48" xfId="0" applyFont="1" applyFill="1" applyBorder="1" applyAlignment="1" applyProtection="1">
      <alignment horizontal="center" vertical="center" shrinkToFit="1"/>
    </xf>
    <xf numFmtId="0" fontId="9" fillId="4" borderId="34" xfId="0" applyFont="1" applyFill="1" applyBorder="1" applyAlignment="1" applyProtection="1">
      <alignment horizontal="center" vertical="center" shrinkToFit="1"/>
    </xf>
    <xf numFmtId="0" fontId="9" fillId="4" borderId="35" xfId="0" applyFont="1" applyFill="1" applyBorder="1" applyAlignment="1" applyProtection="1">
      <alignment horizontal="center" vertical="center" shrinkToFit="1"/>
    </xf>
    <xf numFmtId="0" fontId="9" fillId="4" borderId="38" xfId="0" applyFont="1" applyFill="1" applyBorder="1" applyAlignment="1" applyProtection="1">
      <alignment horizontal="center" vertical="center" shrinkToFit="1"/>
    </xf>
    <xf numFmtId="0" fontId="9" fillId="0" borderId="4" xfId="0" applyFont="1" applyBorder="1" applyAlignment="1" applyProtection="1">
      <alignment horizontal="center" vertical="center"/>
      <protection locked="0"/>
    </xf>
    <xf numFmtId="187" fontId="9" fillId="0" borderId="3" xfId="0" applyNumberFormat="1" applyFont="1" applyFill="1" applyBorder="1" applyAlignment="1" applyProtection="1">
      <alignment horizontal="center" vertical="center" shrinkToFit="1"/>
    </xf>
    <xf numFmtId="187" fontId="9" fillId="0" borderId="18" xfId="0" applyNumberFormat="1" applyFont="1" applyFill="1" applyBorder="1" applyAlignment="1" applyProtection="1">
      <alignment horizontal="center" vertical="center" shrinkToFit="1"/>
    </xf>
    <xf numFmtId="187" fontId="9" fillId="0" borderId="4" xfId="0" applyNumberFormat="1" applyFont="1" applyFill="1" applyBorder="1" applyAlignment="1" applyProtection="1">
      <alignment horizontal="center" vertical="center" shrinkToFit="1"/>
    </xf>
    <xf numFmtId="0" fontId="9" fillId="4" borderId="1" xfId="0" applyFont="1" applyFill="1" applyBorder="1" applyAlignment="1">
      <alignment horizontal="center" vertical="center"/>
    </xf>
    <xf numFmtId="0" fontId="8" fillId="4" borderId="1"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25" xfId="0" applyFont="1" applyFill="1" applyBorder="1" applyAlignment="1">
      <alignment horizontal="center" vertical="center" wrapText="1"/>
    </xf>
    <xf numFmtId="0" fontId="9" fillId="4" borderId="28" xfId="0" applyFont="1" applyFill="1" applyBorder="1" applyAlignment="1">
      <alignment horizontal="center" vertical="center" wrapText="1"/>
    </xf>
    <xf numFmtId="0" fontId="9" fillId="4" borderId="39" xfId="0" applyFont="1" applyFill="1" applyBorder="1" applyAlignment="1">
      <alignment horizontal="center" vertical="center" wrapText="1"/>
    </xf>
    <xf numFmtId="0" fontId="9" fillId="4" borderId="26" xfId="0" applyFont="1" applyFill="1" applyBorder="1" applyAlignment="1">
      <alignment horizontal="center" vertical="center"/>
    </xf>
    <xf numFmtId="0" fontId="9" fillId="4" borderId="46" xfId="0" applyFont="1" applyFill="1" applyBorder="1" applyAlignment="1">
      <alignment horizontal="center" vertical="center"/>
    </xf>
    <xf numFmtId="0" fontId="9" fillId="4" borderId="25" xfId="0" applyFont="1" applyFill="1" applyBorder="1" applyAlignment="1" applyProtection="1">
      <alignment horizontal="center" vertical="center" textRotation="255"/>
    </xf>
    <xf numFmtId="0" fontId="9" fillId="4" borderId="28" xfId="0" applyFont="1" applyFill="1" applyBorder="1" applyAlignment="1" applyProtection="1">
      <alignment horizontal="center" vertical="center" textRotation="255"/>
    </xf>
    <xf numFmtId="0" fontId="9" fillId="4" borderId="39" xfId="0" applyFont="1" applyFill="1" applyBorder="1" applyAlignment="1" applyProtection="1">
      <alignment horizontal="center" vertical="center" textRotation="255"/>
    </xf>
    <xf numFmtId="0" fontId="9" fillId="4" borderId="40" xfId="0" applyFont="1" applyFill="1" applyBorder="1" applyAlignment="1">
      <alignment horizontal="center" vertical="center"/>
    </xf>
    <xf numFmtId="0" fontId="9" fillId="0" borderId="40" xfId="0" applyFont="1" applyBorder="1" applyAlignment="1" applyProtection="1">
      <alignment horizontal="center" vertical="center"/>
      <protection locked="0"/>
    </xf>
    <xf numFmtId="0" fontId="9" fillId="0" borderId="48" xfId="0" applyFont="1" applyBorder="1" applyAlignment="1" applyProtection="1">
      <alignment horizontal="center" vertical="center"/>
      <protection locked="0"/>
    </xf>
    <xf numFmtId="0" fontId="9" fillId="0" borderId="34" xfId="0" applyFont="1" applyBorder="1" applyAlignment="1" applyProtection="1">
      <alignment horizontal="center" vertical="center"/>
      <protection locked="0"/>
    </xf>
    <xf numFmtId="0" fontId="9" fillId="0" borderId="35" xfId="0" applyFont="1" applyBorder="1" applyAlignment="1" applyProtection="1">
      <alignment horizontal="center" vertical="center"/>
      <protection locked="0"/>
    </xf>
    <xf numFmtId="0" fontId="9" fillId="0" borderId="38" xfId="0" applyFont="1" applyBorder="1" applyAlignment="1" applyProtection="1">
      <alignment horizontal="center" vertical="center"/>
      <protection locked="0"/>
    </xf>
    <xf numFmtId="0" fontId="16" fillId="0" borderId="18" xfId="0" applyFont="1" applyBorder="1" applyAlignment="1" applyProtection="1">
      <alignment horizontal="center" vertical="center"/>
      <protection locked="0"/>
    </xf>
    <xf numFmtId="0" fontId="16" fillId="0" borderId="4" xfId="0" applyFont="1" applyBorder="1" applyAlignment="1" applyProtection="1">
      <alignment horizontal="center" vertical="center"/>
      <protection locked="0"/>
    </xf>
    <xf numFmtId="0" fontId="16" fillId="0" borderId="1" xfId="0" applyFont="1" applyFill="1" applyBorder="1" applyAlignment="1">
      <alignment horizontal="center" vertical="center"/>
    </xf>
    <xf numFmtId="0" fontId="16" fillId="0" borderId="29" xfId="0" applyFont="1" applyFill="1" applyBorder="1" applyAlignment="1">
      <alignment horizontal="center" vertical="center"/>
    </xf>
    <xf numFmtId="0" fontId="9" fillId="4" borderId="25" xfId="0" applyFont="1" applyFill="1" applyBorder="1" applyAlignment="1">
      <alignment horizontal="center" vertical="center" textRotation="255" wrapText="1"/>
    </xf>
    <xf numFmtId="0" fontId="9" fillId="4" borderId="28" xfId="0" applyFont="1" applyFill="1" applyBorder="1" applyAlignment="1">
      <alignment horizontal="center" vertical="center" textRotation="255" wrapText="1"/>
    </xf>
    <xf numFmtId="0" fontId="9" fillId="4" borderId="39" xfId="0" applyFont="1" applyFill="1" applyBorder="1" applyAlignment="1">
      <alignment horizontal="center" vertical="center" textRotation="255" wrapText="1"/>
    </xf>
    <xf numFmtId="0" fontId="9" fillId="4" borderId="27" xfId="0" applyFont="1" applyFill="1" applyBorder="1" applyAlignment="1">
      <alignment horizontal="center" vertical="center"/>
    </xf>
    <xf numFmtId="0" fontId="9" fillId="4" borderId="1" xfId="0" applyFont="1" applyFill="1" applyBorder="1" applyAlignment="1" applyProtection="1">
      <alignment horizontal="center" vertical="center"/>
    </xf>
    <xf numFmtId="0" fontId="9" fillId="0" borderId="1" xfId="0" applyFont="1" applyFill="1" applyBorder="1" applyAlignment="1">
      <alignment horizontal="center" vertical="center"/>
    </xf>
    <xf numFmtId="0" fontId="9" fillId="0" borderId="29" xfId="0" applyFont="1" applyFill="1" applyBorder="1" applyAlignment="1">
      <alignment horizontal="center" vertical="center"/>
    </xf>
    <xf numFmtId="0" fontId="9" fillId="4" borderId="1" xfId="0" applyFont="1" applyFill="1" applyBorder="1" applyAlignment="1">
      <alignment horizontal="center" vertical="center" wrapText="1" shrinkToFit="1"/>
    </xf>
    <xf numFmtId="0" fontId="9" fillId="4" borderId="29" xfId="0" applyFont="1" applyFill="1" applyBorder="1" applyAlignment="1">
      <alignment horizontal="center" vertical="center" wrapText="1" shrinkToFit="1"/>
    </xf>
    <xf numFmtId="0" fontId="9" fillId="4" borderId="26" xfId="0" applyFont="1" applyFill="1" applyBorder="1" applyAlignment="1" applyProtection="1">
      <alignment horizontal="center" vertical="center"/>
    </xf>
    <xf numFmtId="0" fontId="8" fillId="4" borderId="26" xfId="0" applyFont="1" applyFill="1" applyBorder="1" applyAlignment="1">
      <alignment horizontal="center" vertical="center" wrapText="1"/>
    </xf>
    <xf numFmtId="0" fontId="9" fillId="4" borderId="26" xfId="0" applyFont="1" applyFill="1" applyBorder="1" applyAlignment="1">
      <alignment horizontal="center" vertical="center" wrapText="1"/>
    </xf>
    <xf numFmtId="0" fontId="9" fillId="4" borderId="3" xfId="0" applyFont="1" applyFill="1" applyBorder="1" applyAlignment="1" applyProtection="1">
      <alignment horizontal="center" vertical="center"/>
    </xf>
    <xf numFmtId="0" fontId="9" fillId="4" borderId="4" xfId="0" applyFont="1" applyFill="1" applyBorder="1" applyAlignment="1" applyProtection="1">
      <alignment horizontal="center" vertical="center"/>
    </xf>
    <xf numFmtId="0" fontId="9" fillId="0" borderId="3" xfId="0" applyFont="1" applyFill="1" applyBorder="1" applyAlignment="1">
      <alignment horizontal="center" vertical="center"/>
    </xf>
    <xf numFmtId="0" fontId="9" fillId="0" borderId="18" xfId="0" applyFont="1" applyFill="1" applyBorder="1" applyAlignment="1">
      <alignment horizontal="center" vertical="center"/>
    </xf>
    <xf numFmtId="0" fontId="9" fillId="0" borderId="4" xfId="0" applyFont="1" applyFill="1" applyBorder="1" applyAlignment="1">
      <alignment horizontal="center" vertical="center"/>
    </xf>
    <xf numFmtId="0" fontId="9" fillId="4" borderId="20" xfId="0" applyFont="1" applyFill="1" applyBorder="1" applyAlignment="1">
      <alignment horizontal="center" vertical="center"/>
    </xf>
    <xf numFmtId="0" fontId="9" fillId="4" borderId="21" xfId="0" applyFont="1" applyFill="1" applyBorder="1" applyAlignment="1">
      <alignment horizontal="center" vertical="center"/>
    </xf>
    <xf numFmtId="0" fontId="9" fillId="4" borderId="22" xfId="0" applyFont="1" applyFill="1" applyBorder="1" applyAlignment="1">
      <alignment horizontal="center" vertical="center"/>
    </xf>
    <xf numFmtId="0" fontId="12" fillId="4" borderId="24" xfId="0" applyFont="1" applyFill="1" applyBorder="1" applyAlignment="1">
      <alignment horizontal="center" vertical="center" wrapText="1" shrinkToFit="1"/>
    </xf>
    <xf numFmtId="0" fontId="12" fillId="4" borderId="23" xfId="0" applyFont="1" applyFill="1" applyBorder="1" applyAlignment="1">
      <alignment horizontal="center" vertical="center" shrinkToFit="1"/>
    </xf>
    <xf numFmtId="0" fontId="12" fillId="4" borderId="51" xfId="0" applyFont="1" applyFill="1" applyBorder="1" applyAlignment="1">
      <alignment horizontal="center" vertical="center" shrinkToFit="1"/>
    </xf>
    <xf numFmtId="0" fontId="12" fillId="4" borderId="20" xfId="0" applyFont="1" applyFill="1" applyBorder="1" applyAlignment="1">
      <alignment horizontal="center" vertical="center" shrinkToFit="1"/>
    </xf>
    <xf numFmtId="0" fontId="12" fillId="4" borderId="21" xfId="0" applyFont="1" applyFill="1" applyBorder="1" applyAlignment="1">
      <alignment horizontal="center" vertical="center" shrinkToFit="1"/>
    </xf>
    <xf numFmtId="0" fontId="12" fillId="4" borderId="37" xfId="0" applyFont="1" applyFill="1" applyBorder="1" applyAlignment="1">
      <alignment horizontal="center" vertical="center" shrinkToFit="1"/>
    </xf>
    <xf numFmtId="0" fontId="16" fillId="0" borderId="1" xfId="0" applyFont="1" applyBorder="1" applyAlignment="1" applyProtection="1">
      <alignment horizontal="center" vertical="center"/>
      <protection locked="0"/>
    </xf>
    <xf numFmtId="0" fontId="9" fillId="0" borderId="40" xfId="0" applyFont="1" applyFill="1" applyBorder="1" applyAlignment="1">
      <alignment horizontal="center" vertical="center"/>
    </xf>
    <xf numFmtId="0" fontId="9" fillId="0" borderId="36" xfId="0" applyFont="1" applyFill="1" applyBorder="1" applyAlignment="1">
      <alignment horizontal="center" vertical="center"/>
    </xf>
    <xf numFmtId="0" fontId="9" fillId="0" borderId="35" xfId="0" applyFont="1" applyFill="1" applyBorder="1" applyAlignment="1">
      <alignment horizontal="center" vertical="center"/>
    </xf>
    <xf numFmtId="0" fontId="9" fillId="4" borderId="40" xfId="0" applyFont="1" applyFill="1" applyBorder="1" applyAlignment="1" applyProtection="1">
      <alignment horizontal="center" vertical="center"/>
    </xf>
    <xf numFmtId="0" fontId="16" fillId="0" borderId="48" xfId="0" applyFont="1" applyBorder="1" applyAlignment="1" applyProtection="1">
      <alignment horizontal="center" vertical="center"/>
      <protection locked="0"/>
    </xf>
    <xf numFmtId="0" fontId="16" fillId="0" borderId="34" xfId="0" applyFont="1" applyBorder="1" applyAlignment="1" applyProtection="1">
      <alignment horizontal="center" vertical="center"/>
      <protection locked="0"/>
    </xf>
    <xf numFmtId="0" fontId="16" fillId="0" borderId="35" xfId="0" applyFont="1" applyBorder="1" applyAlignment="1" applyProtection="1">
      <alignment horizontal="center" vertical="center"/>
      <protection locked="0"/>
    </xf>
    <xf numFmtId="0" fontId="16" fillId="0" borderId="40" xfId="0" applyFont="1" applyFill="1" applyBorder="1" applyAlignment="1">
      <alignment horizontal="center" vertical="center"/>
    </xf>
    <xf numFmtId="0" fontId="16" fillId="0" borderId="36" xfId="0" applyFont="1" applyFill="1" applyBorder="1" applyAlignment="1">
      <alignment horizontal="center" vertical="center"/>
    </xf>
    <xf numFmtId="0" fontId="14" fillId="0" borderId="65" xfId="0" applyFont="1" applyBorder="1" applyAlignment="1">
      <alignment horizontal="center" vertical="center" wrapText="1"/>
    </xf>
    <xf numFmtId="0" fontId="14" fillId="0" borderId="1" xfId="0" applyFont="1" applyBorder="1" applyAlignment="1">
      <alignment horizontal="center" vertical="center" wrapText="1"/>
    </xf>
    <xf numFmtId="0" fontId="0" fillId="0" borderId="3" xfId="0" applyBorder="1" applyAlignment="1">
      <alignment horizontal="center" vertical="center"/>
    </xf>
    <xf numFmtId="0" fontId="8" fillId="4" borderId="5" xfId="0" applyFont="1" applyFill="1" applyBorder="1" applyAlignment="1">
      <alignment horizontal="center" vertical="center"/>
    </xf>
    <xf numFmtId="0" fontId="9" fillId="4" borderId="6"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textRotation="255" wrapText="1"/>
    </xf>
    <xf numFmtId="0" fontId="9" fillId="4" borderId="8" xfId="0" applyFont="1" applyFill="1" applyBorder="1" applyAlignment="1">
      <alignment horizontal="center" vertical="center" textRotation="255" wrapText="1"/>
    </xf>
    <xf numFmtId="0" fontId="9" fillId="4" borderId="10" xfId="0" applyFont="1" applyFill="1" applyBorder="1" applyAlignment="1">
      <alignment horizontal="center" vertical="center" textRotation="255" wrapText="1"/>
    </xf>
    <xf numFmtId="0" fontId="0" fillId="0" borderId="5" xfId="0" applyFill="1" applyBorder="1" applyAlignment="1" applyProtection="1">
      <alignment horizontal="center" vertical="top"/>
      <protection locked="0"/>
    </xf>
    <xf numFmtId="0" fontId="0" fillId="0" borderId="6" xfId="0" applyFill="1" applyBorder="1" applyAlignment="1" applyProtection="1">
      <alignment horizontal="center" vertical="top"/>
      <protection locked="0"/>
    </xf>
    <xf numFmtId="0" fontId="0" fillId="0" borderId="7" xfId="0" applyFill="1" applyBorder="1" applyAlignment="1" applyProtection="1">
      <alignment horizontal="center" vertical="top"/>
      <protection locked="0"/>
    </xf>
    <xf numFmtId="0" fontId="0" fillId="0" borderId="8" xfId="0" applyFill="1" applyBorder="1" applyAlignment="1" applyProtection="1">
      <alignment horizontal="center" vertical="top"/>
      <protection locked="0"/>
    </xf>
    <xf numFmtId="0" fontId="0" fillId="0" borderId="0" xfId="0" applyFill="1" applyBorder="1" applyAlignment="1" applyProtection="1">
      <alignment horizontal="center" vertical="top"/>
      <protection locked="0"/>
    </xf>
    <xf numFmtId="0" fontId="0" fillId="0" borderId="9" xfId="0" applyFill="1" applyBorder="1" applyAlignment="1" applyProtection="1">
      <alignment horizontal="center" vertical="top"/>
      <protection locked="0"/>
    </xf>
    <xf numFmtId="0" fontId="0" fillId="0" borderId="10" xfId="0" applyFill="1" applyBorder="1" applyAlignment="1" applyProtection="1">
      <alignment horizontal="center" vertical="top"/>
      <protection locked="0"/>
    </xf>
    <xf numFmtId="0" fontId="0" fillId="0" borderId="11" xfId="0" applyFill="1" applyBorder="1" applyAlignment="1" applyProtection="1">
      <alignment horizontal="center" vertical="top"/>
      <protection locked="0"/>
    </xf>
    <xf numFmtId="0" fontId="0" fillId="0" borderId="12" xfId="0" applyFill="1" applyBorder="1" applyAlignment="1" applyProtection="1">
      <alignment horizontal="center" vertical="top"/>
      <protection locked="0"/>
    </xf>
    <xf numFmtId="0" fontId="8" fillId="4" borderId="45" xfId="0" applyFont="1" applyFill="1" applyBorder="1" applyAlignment="1">
      <alignment horizontal="center" vertical="center"/>
    </xf>
    <xf numFmtId="0" fontId="8" fillId="4" borderId="26" xfId="0" applyFont="1" applyFill="1" applyBorder="1" applyAlignment="1">
      <alignment horizontal="center" vertical="center"/>
    </xf>
    <xf numFmtId="0" fontId="8" fillId="4" borderId="25" xfId="0" applyFont="1" applyFill="1" applyBorder="1" applyAlignment="1">
      <alignment horizontal="center" vertical="center" textRotation="255"/>
    </xf>
    <xf numFmtId="0" fontId="8" fillId="4" borderId="28" xfId="0" applyFont="1" applyFill="1" applyBorder="1" applyAlignment="1">
      <alignment horizontal="center" vertical="center" textRotation="255"/>
    </xf>
    <xf numFmtId="0" fontId="8" fillId="4" borderId="39" xfId="0" applyFont="1" applyFill="1" applyBorder="1" applyAlignment="1">
      <alignment horizontal="center" vertical="center" textRotation="255"/>
    </xf>
    <xf numFmtId="14" fontId="8" fillId="0" borderId="26" xfId="0" applyNumberFormat="1" applyFont="1" applyBorder="1" applyAlignment="1" applyProtection="1">
      <alignment horizontal="center" vertical="center"/>
      <protection locked="0"/>
    </xf>
    <xf numFmtId="0" fontId="8" fillId="0" borderId="26" xfId="0" applyFont="1" applyBorder="1" applyAlignment="1" applyProtection="1">
      <alignment horizontal="center" vertical="center"/>
      <protection locked="0"/>
    </xf>
    <xf numFmtId="14" fontId="8" fillId="0" borderId="26" xfId="0" applyNumberFormat="1" applyFont="1" applyFill="1" applyBorder="1" applyAlignment="1">
      <alignment horizontal="center" vertical="center"/>
    </xf>
    <xf numFmtId="0" fontId="8" fillId="0" borderId="26" xfId="0" applyFont="1" applyFill="1" applyBorder="1" applyAlignment="1">
      <alignment horizontal="center" vertical="center"/>
    </xf>
    <xf numFmtId="14" fontId="9" fillId="0" borderId="26" xfId="0" applyNumberFormat="1" applyFont="1" applyBorder="1" applyAlignment="1" applyProtection="1">
      <alignment horizontal="center" vertical="center"/>
      <protection locked="0"/>
    </xf>
    <xf numFmtId="0" fontId="8" fillId="4" borderId="27"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29" xfId="0" applyFont="1" applyFill="1" applyBorder="1" applyAlignment="1">
      <alignment horizontal="center" vertical="center"/>
    </xf>
    <xf numFmtId="0" fontId="9" fillId="15" borderId="33" xfId="0" applyFont="1" applyFill="1" applyBorder="1" applyAlignment="1">
      <alignment horizontal="center" vertical="center"/>
    </xf>
    <xf numFmtId="0" fontId="9" fillId="4" borderId="3" xfId="0" applyFont="1" applyFill="1" applyBorder="1" applyAlignment="1">
      <alignment horizontal="center" vertical="center" wrapText="1"/>
    </xf>
    <xf numFmtId="0" fontId="9" fillId="9" borderId="1" xfId="0" applyFont="1" applyFill="1" applyBorder="1" applyAlignment="1">
      <alignment horizontal="center" vertical="center" shrinkToFit="1"/>
    </xf>
    <xf numFmtId="0" fontId="9" fillId="9" borderId="3" xfId="0" applyFont="1" applyFill="1" applyBorder="1" applyAlignment="1">
      <alignment horizontal="center" vertical="center" shrinkToFit="1"/>
    </xf>
    <xf numFmtId="0" fontId="15" fillId="4" borderId="3" xfId="0" applyFont="1" applyFill="1" applyBorder="1" applyAlignment="1">
      <alignment horizontal="center" vertical="center" wrapText="1" shrinkToFit="1"/>
    </xf>
    <xf numFmtId="0" fontId="15" fillId="4" borderId="4" xfId="0" applyFont="1" applyFill="1" applyBorder="1" applyAlignment="1">
      <alignment horizontal="center" vertical="center" shrinkToFit="1"/>
    </xf>
    <xf numFmtId="0" fontId="9" fillId="7" borderId="1" xfId="0" applyFont="1" applyFill="1" applyBorder="1" applyAlignment="1">
      <alignment horizontal="center" vertical="center" shrinkToFit="1"/>
    </xf>
    <xf numFmtId="0" fontId="9" fillId="7" borderId="3" xfId="0" applyFont="1" applyFill="1" applyBorder="1" applyAlignment="1">
      <alignment horizontal="center" vertical="center" shrinkToFit="1"/>
    </xf>
    <xf numFmtId="178" fontId="9" fillId="3" borderId="1" xfId="0" applyNumberFormat="1" applyFont="1" applyFill="1" applyBorder="1" applyAlignment="1">
      <alignment horizontal="center" vertical="center" shrinkToFit="1"/>
    </xf>
    <xf numFmtId="0" fontId="9" fillId="4" borderId="53" xfId="0" applyFont="1" applyFill="1" applyBorder="1" applyAlignment="1">
      <alignment horizontal="center" vertical="center" shrinkToFit="1"/>
    </xf>
    <xf numFmtId="0" fontId="9" fillId="3" borderId="13" xfId="0" applyFont="1" applyFill="1" applyBorder="1" applyAlignment="1">
      <alignment horizontal="center" vertical="center" shrinkToFit="1"/>
    </xf>
    <xf numFmtId="0" fontId="9" fillId="3" borderId="53" xfId="0" applyFont="1" applyFill="1" applyBorder="1" applyAlignment="1">
      <alignment horizontal="center" vertical="center" shrinkToFit="1"/>
    </xf>
    <xf numFmtId="0" fontId="9" fillId="3" borderId="54" xfId="0" applyFont="1" applyFill="1" applyBorder="1" applyAlignment="1">
      <alignment horizontal="center" vertical="center" shrinkToFit="1"/>
    </xf>
    <xf numFmtId="0" fontId="9" fillId="3" borderId="55" xfId="0" applyFont="1" applyFill="1" applyBorder="1" applyAlignment="1">
      <alignment horizontal="center" vertical="center" shrinkToFit="1"/>
    </xf>
    <xf numFmtId="0" fontId="9" fillId="3" borderId="15" xfId="0" applyFont="1" applyFill="1" applyBorder="1" applyAlignment="1">
      <alignment horizontal="center" vertical="center" shrinkToFit="1"/>
    </xf>
    <xf numFmtId="0" fontId="9" fillId="3" borderId="56" xfId="0" applyFont="1" applyFill="1" applyBorder="1" applyAlignment="1">
      <alignment horizontal="center" vertical="center" shrinkToFit="1"/>
    </xf>
    <xf numFmtId="176" fontId="9" fillId="7" borderId="3" xfId="0" applyNumberFormat="1" applyFont="1" applyFill="1" applyBorder="1" applyAlignment="1">
      <alignment horizontal="center" vertical="center" shrinkToFit="1"/>
    </xf>
    <xf numFmtId="176" fontId="9" fillId="7" borderId="18" xfId="0" applyNumberFormat="1" applyFont="1" applyFill="1" applyBorder="1" applyAlignment="1">
      <alignment horizontal="center" vertical="center" shrinkToFit="1"/>
    </xf>
    <xf numFmtId="176" fontId="9" fillId="7" borderId="4" xfId="0" applyNumberFormat="1" applyFont="1" applyFill="1" applyBorder="1" applyAlignment="1">
      <alignment horizontal="center" vertical="center" shrinkToFit="1"/>
    </xf>
    <xf numFmtId="0" fontId="9" fillId="3" borderId="4" xfId="0" applyFont="1" applyFill="1" applyBorder="1" applyAlignment="1">
      <alignment horizontal="center" vertical="center"/>
    </xf>
    <xf numFmtId="178" fontId="9" fillId="3" borderId="3" xfId="0" applyNumberFormat="1" applyFont="1" applyFill="1" applyBorder="1" applyAlignment="1">
      <alignment horizontal="center" vertical="center"/>
    </xf>
    <xf numFmtId="178" fontId="9" fillId="3" borderId="18" xfId="0" applyNumberFormat="1" applyFont="1" applyFill="1" applyBorder="1" applyAlignment="1">
      <alignment horizontal="center" vertical="center"/>
    </xf>
    <xf numFmtId="178" fontId="9" fillId="3" borderId="4" xfId="0" applyNumberFormat="1" applyFont="1" applyFill="1" applyBorder="1" applyAlignment="1">
      <alignment horizontal="center" vertical="center"/>
    </xf>
    <xf numFmtId="0" fontId="0" fillId="4" borderId="30" xfId="0" applyFill="1" applyBorder="1" applyAlignment="1">
      <alignment horizontal="center" vertical="center"/>
    </xf>
    <xf numFmtId="0" fontId="0" fillId="4" borderId="2" xfId="0" applyFill="1" applyBorder="1" applyAlignment="1">
      <alignment horizontal="center" vertical="center"/>
    </xf>
    <xf numFmtId="0" fontId="0" fillId="4" borderId="24" xfId="0" applyFill="1" applyBorder="1" applyAlignment="1">
      <alignment horizontal="center" vertical="center"/>
    </xf>
    <xf numFmtId="0" fontId="0" fillId="4" borderId="31" xfId="0" applyFill="1" applyBorder="1" applyAlignment="1">
      <alignment horizontal="center" vertical="center"/>
    </xf>
    <xf numFmtId="0" fontId="17" fillId="4" borderId="25" xfId="0" applyFont="1" applyFill="1" applyBorder="1" applyAlignment="1">
      <alignment horizontal="center" vertical="center" wrapText="1"/>
    </xf>
    <xf numFmtId="0" fontId="17" fillId="4" borderId="28" xfId="0" applyFont="1" applyFill="1" applyBorder="1" applyAlignment="1">
      <alignment horizontal="center" vertical="center" wrapText="1"/>
    </xf>
    <xf numFmtId="0" fontId="17" fillId="4" borderId="30" xfId="0" applyFont="1" applyFill="1" applyBorder="1" applyAlignment="1">
      <alignment horizontal="center" vertical="center" wrapText="1"/>
    </xf>
    <xf numFmtId="0" fontId="17" fillId="4" borderId="26" xfId="0" applyFont="1" applyFill="1" applyBorder="1" applyAlignment="1">
      <alignment horizontal="center" vertical="center" wrapText="1"/>
    </xf>
    <xf numFmtId="0" fontId="17" fillId="4" borderId="1" xfId="0" applyFont="1" applyFill="1" applyBorder="1" applyAlignment="1">
      <alignment horizontal="center" vertical="center" wrapText="1"/>
    </xf>
    <xf numFmtId="0" fontId="0" fillId="4" borderId="44" xfId="0" applyFill="1" applyBorder="1" applyAlignment="1">
      <alignment horizontal="center" vertical="center" shrinkToFit="1"/>
    </xf>
    <xf numFmtId="0" fontId="0" fillId="4" borderId="46" xfId="0" applyFill="1" applyBorder="1" applyAlignment="1">
      <alignment horizontal="center" vertical="center" shrinkToFit="1"/>
    </xf>
    <xf numFmtId="0" fontId="0" fillId="4" borderId="3" xfId="0" applyFill="1" applyBorder="1" applyAlignment="1">
      <alignment horizontal="center" vertical="center" shrinkToFit="1"/>
    </xf>
    <xf numFmtId="0" fontId="0" fillId="4" borderId="47" xfId="0" applyFill="1" applyBorder="1" applyAlignment="1">
      <alignment horizontal="center" vertical="center" shrinkToFit="1"/>
    </xf>
    <xf numFmtId="0" fontId="0" fillId="4" borderId="24" xfId="0" applyFill="1" applyBorder="1" applyAlignment="1">
      <alignment horizontal="center" vertical="center" shrinkToFit="1"/>
    </xf>
    <xf numFmtId="0" fontId="0" fillId="4" borderId="51" xfId="0" applyFill="1" applyBorder="1" applyAlignment="1">
      <alignment horizontal="center" vertical="center" shrinkToFit="1"/>
    </xf>
    <xf numFmtId="0" fontId="0" fillId="4" borderId="20" xfId="0" applyFill="1" applyBorder="1" applyAlignment="1">
      <alignment horizontal="center" vertical="center" shrinkToFit="1"/>
    </xf>
    <xf numFmtId="0" fontId="0" fillId="4" borderId="37" xfId="0" applyFill="1" applyBorder="1" applyAlignment="1">
      <alignment horizontal="center" vertical="center" shrinkToFit="1"/>
    </xf>
    <xf numFmtId="0" fontId="17" fillId="4" borderId="39" xfId="0" applyFont="1" applyFill="1" applyBorder="1" applyAlignment="1">
      <alignment horizontal="center" vertical="center" wrapText="1"/>
    </xf>
    <xf numFmtId="0" fontId="14" fillId="4" borderId="1" xfId="0" applyFont="1" applyFill="1" applyBorder="1" applyAlignment="1">
      <alignment horizontal="center" vertical="center"/>
    </xf>
    <xf numFmtId="0" fontId="14" fillId="4" borderId="2" xfId="0" applyFont="1" applyFill="1" applyBorder="1" applyAlignment="1">
      <alignment horizontal="center" vertical="center"/>
    </xf>
    <xf numFmtId="0" fontId="17" fillId="4" borderId="40" xfId="0" applyFont="1" applyFill="1" applyBorder="1" applyAlignment="1">
      <alignment horizontal="center" vertical="center" wrapText="1"/>
    </xf>
    <xf numFmtId="0" fontId="14" fillId="4" borderId="40" xfId="0" applyFont="1" applyFill="1" applyBorder="1" applyAlignment="1">
      <alignment horizontal="center" vertical="center"/>
    </xf>
    <xf numFmtId="0" fontId="8" fillId="0" borderId="1" xfId="0" applyFont="1" applyBorder="1" applyAlignment="1" applyProtection="1">
      <alignment horizontal="center" vertical="center"/>
      <protection locked="0"/>
    </xf>
    <xf numFmtId="0" fontId="8" fillId="0" borderId="29" xfId="0" applyFont="1" applyBorder="1" applyAlignment="1" applyProtection="1">
      <alignment horizontal="center" vertical="center"/>
      <protection locked="0"/>
    </xf>
    <xf numFmtId="0" fontId="8" fillId="0" borderId="36" xfId="0" applyFont="1" applyFill="1" applyBorder="1" applyAlignment="1">
      <alignment horizontal="center" vertical="center"/>
    </xf>
    <xf numFmtId="0" fontId="8" fillId="4" borderId="57" xfId="0" applyFont="1" applyFill="1" applyBorder="1" applyAlignment="1">
      <alignment horizontal="center" vertical="center" textRotation="255"/>
    </xf>
    <xf numFmtId="0" fontId="8" fillId="4" borderId="58" xfId="0" applyFont="1" applyFill="1" applyBorder="1" applyAlignment="1">
      <alignment horizontal="center" vertical="center" textRotation="255"/>
    </xf>
    <xf numFmtId="0" fontId="8" fillId="4" borderId="59" xfId="0" applyFont="1" applyFill="1" applyBorder="1" applyAlignment="1">
      <alignment horizontal="center" vertical="center" textRotation="255"/>
    </xf>
    <xf numFmtId="0" fontId="8" fillId="0" borderId="1" xfId="0" applyFont="1" applyFill="1" applyBorder="1" applyAlignment="1">
      <alignment horizontal="center" vertical="center"/>
    </xf>
    <xf numFmtId="0" fontId="8" fillId="0" borderId="29" xfId="0" applyFont="1" applyFill="1" applyBorder="1" applyAlignment="1">
      <alignment horizontal="center" vertical="center"/>
    </xf>
    <xf numFmtId="0" fontId="9" fillId="4" borderId="29" xfId="0" applyFont="1" applyFill="1" applyBorder="1" applyAlignment="1">
      <alignment horizontal="center" vertical="center"/>
    </xf>
    <xf numFmtId="0" fontId="14" fillId="4" borderId="4" xfId="0" applyFont="1" applyFill="1" applyBorder="1" applyAlignment="1">
      <alignment horizontal="center" vertical="center" wrapText="1"/>
    </xf>
    <xf numFmtId="178" fontId="9" fillId="0" borderId="1" xfId="0" applyNumberFormat="1" applyFont="1" applyFill="1" applyBorder="1" applyAlignment="1">
      <alignment horizontal="center" vertical="center"/>
    </xf>
    <xf numFmtId="0" fontId="14" fillId="4" borderId="1" xfId="0" applyFont="1" applyFill="1" applyBorder="1" applyAlignment="1">
      <alignment horizontal="center" vertical="center" wrapText="1"/>
    </xf>
    <xf numFmtId="0" fontId="16" fillId="0" borderId="1" xfId="0" applyFont="1" applyBorder="1" applyAlignment="1" applyProtection="1">
      <alignment horizontal="right" vertical="center"/>
      <protection locked="0"/>
    </xf>
    <xf numFmtId="0" fontId="16" fillId="0" borderId="3" xfId="0" applyFont="1" applyBorder="1" applyAlignment="1" applyProtection="1">
      <alignment horizontal="right" vertical="center"/>
      <protection locked="0"/>
    </xf>
    <xf numFmtId="0" fontId="16" fillId="0" borderId="4" xfId="0" applyFont="1" applyBorder="1" applyAlignment="1" applyProtection="1">
      <alignment horizontal="right" vertical="center"/>
      <protection locked="0"/>
    </xf>
    <xf numFmtId="0" fontId="9" fillId="4" borderId="57" xfId="0" applyFont="1" applyFill="1" applyBorder="1" applyAlignment="1">
      <alignment horizontal="center" vertical="center" textRotation="255" wrapText="1"/>
    </xf>
    <xf numFmtId="0" fontId="9" fillId="4" borderId="58" xfId="0" applyFont="1" applyFill="1" applyBorder="1" applyAlignment="1">
      <alignment horizontal="center" vertical="center" textRotation="255" wrapText="1"/>
    </xf>
    <xf numFmtId="0" fontId="0" fillId="0" borderId="59" xfId="0" applyBorder="1" applyAlignment="1">
      <alignment vertical="center"/>
    </xf>
    <xf numFmtId="0" fontId="0" fillId="4" borderId="19" xfId="0" applyFill="1" applyBorder="1" applyAlignment="1">
      <alignment horizontal="center" vertical="center" shrinkToFit="1"/>
    </xf>
    <xf numFmtId="0" fontId="0" fillId="4" borderId="2" xfId="0" applyFill="1" applyBorder="1" applyAlignment="1">
      <alignment horizontal="center" vertical="center" shrinkToFit="1"/>
    </xf>
    <xf numFmtId="178" fontId="9" fillId="0" borderId="2" xfId="0" applyNumberFormat="1" applyFont="1" applyFill="1" applyBorder="1" applyAlignment="1" applyProtection="1">
      <alignment horizontal="center" vertical="center"/>
    </xf>
    <xf numFmtId="178" fontId="9" fillId="0" borderId="1" xfId="0" applyNumberFormat="1" applyFont="1" applyFill="1" applyBorder="1" applyAlignment="1" applyProtection="1">
      <alignment horizontal="center" vertical="center"/>
    </xf>
    <xf numFmtId="178" fontId="9" fillId="0" borderId="29" xfId="0" applyNumberFormat="1" applyFont="1" applyFill="1" applyBorder="1" applyAlignment="1">
      <alignment horizontal="center" vertical="center"/>
    </xf>
    <xf numFmtId="178" fontId="9" fillId="0" borderId="29" xfId="0" applyNumberFormat="1" applyFont="1" applyFill="1" applyBorder="1" applyAlignment="1" applyProtection="1">
      <alignment horizontal="center" vertical="center"/>
    </xf>
    <xf numFmtId="178" fontId="9" fillId="0" borderId="31" xfId="0" applyNumberFormat="1" applyFont="1" applyFill="1" applyBorder="1" applyAlignment="1" applyProtection="1">
      <alignment horizontal="center" vertical="center"/>
    </xf>
    <xf numFmtId="0" fontId="0" fillId="4" borderId="4" xfId="0" applyFill="1" applyBorder="1" applyAlignment="1">
      <alignment horizontal="center" vertical="center"/>
    </xf>
    <xf numFmtId="0" fontId="9" fillId="4" borderId="36" xfId="0" applyFont="1" applyFill="1" applyBorder="1" applyAlignment="1">
      <alignment horizontal="center" vertical="center"/>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8" fillId="15" borderId="24" xfId="0" applyFont="1" applyFill="1" applyBorder="1" applyAlignment="1">
      <alignment horizontal="center" vertical="center"/>
    </xf>
    <xf numFmtId="0" fontId="9" fillId="15" borderId="23" xfId="0" applyFont="1" applyFill="1" applyBorder="1" applyAlignment="1">
      <alignment horizontal="center" vertical="center"/>
    </xf>
    <xf numFmtId="0" fontId="9" fillId="15" borderId="19" xfId="0" applyFont="1" applyFill="1" applyBorder="1" applyAlignment="1">
      <alignment horizontal="center" vertical="center"/>
    </xf>
    <xf numFmtId="0" fontId="8" fillId="4" borderId="5" xfId="0" applyFont="1" applyFill="1" applyBorder="1" applyAlignment="1">
      <alignment horizontal="center" vertical="center" textRotation="255" wrapText="1"/>
    </xf>
    <xf numFmtId="0" fontId="9" fillId="4" borderId="8" xfId="0" applyFont="1" applyFill="1" applyBorder="1" applyAlignment="1">
      <alignment horizontal="center" vertical="center" textRotation="255"/>
    </xf>
    <xf numFmtId="0" fontId="0" fillId="0" borderId="8" xfId="0" applyBorder="1" applyAlignment="1">
      <alignment horizontal="center" vertical="center"/>
    </xf>
    <xf numFmtId="0" fontId="0" fillId="0" borderId="10" xfId="0" applyBorder="1" applyAlignment="1">
      <alignment horizontal="center" vertical="center"/>
    </xf>
    <xf numFmtId="0" fontId="8" fillId="15" borderId="48" xfId="0" applyFont="1" applyFill="1" applyBorder="1" applyAlignment="1">
      <alignment horizontal="center" vertical="center"/>
    </xf>
    <xf numFmtId="185" fontId="9" fillId="0" borderId="3" xfId="0" applyNumberFormat="1" applyFont="1" applyFill="1" applyBorder="1" applyAlignment="1">
      <alignment horizontal="center" vertical="center"/>
    </xf>
    <xf numFmtId="178" fontId="8" fillId="3" borderId="24" xfId="0" applyNumberFormat="1" applyFont="1" applyFill="1" applyBorder="1" applyAlignment="1">
      <alignment horizontal="center" vertical="center"/>
    </xf>
    <xf numFmtId="178" fontId="8" fillId="3" borderId="19" xfId="0" applyNumberFormat="1" applyFont="1" applyFill="1" applyBorder="1" applyAlignment="1">
      <alignment horizontal="center" vertical="center"/>
    </xf>
    <xf numFmtId="0" fontId="32" fillId="15" borderId="24" xfId="0" applyFont="1" applyFill="1" applyBorder="1" applyAlignment="1">
      <alignment horizontal="center" vertical="center"/>
    </xf>
    <xf numFmtId="0" fontId="11" fillId="15" borderId="23" xfId="0" applyFont="1" applyFill="1" applyBorder="1" applyAlignment="1">
      <alignment horizontal="center" vertical="center"/>
    </xf>
    <xf numFmtId="0" fontId="11" fillId="15" borderId="19" xfId="0" applyFont="1" applyFill="1" applyBorder="1" applyAlignment="1">
      <alignment horizontal="center" vertical="center"/>
    </xf>
    <xf numFmtId="185" fontId="9" fillId="0" borderId="44" xfId="0" applyNumberFormat="1" applyFont="1" applyFill="1" applyBorder="1" applyAlignment="1">
      <alignment horizontal="center" vertical="center"/>
    </xf>
    <xf numFmtId="0" fontId="0" fillId="0" borderId="46" xfId="0" applyBorder="1" applyAlignment="1">
      <alignment horizontal="center" vertical="center"/>
    </xf>
    <xf numFmtId="0" fontId="0" fillId="0" borderId="47" xfId="0" applyBorder="1" applyAlignment="1">
      <alignment horizontal="center" vertical="center"/>
    </xf>
    <xf numFmtId="178" fontId="8" fillId="3" borderId="51" xfId="0" applyNumberFormat="1" applyFont="1" applyFill="1" applyBorder="1" applyAlignment="1">
      <alignment horizontal="center" vertical="center"/>
    </xf>
    <xf numFmtId="185" fontId="8" fillId="3" borderId="48" xfId="0" applyNumberFormat="1" applyFont="1" applyFill="1" applyBorder="1" applyAlignment="1">
      <alignment horizontal="center" vertical="center"/>
    </xf>
    <xf numFmtId="185" fontId="8" fillId="3" borderId="34" xfId="0" applyNumberFormat="1" applyFont="1" applyFill="1" applyBorder="1" applyAlignment="1">
      <alignment horizontal="center" vertical="center"/>
    </xf>
    <xf numFmtId="185" fontId="8" fillId="3" borderId="48" xfId="0" quotePrefix="1" applyNumberFormat="1" applyFont="1" applyFill="1" applyBorder="1" applyAlignment="1">
      <alignment horizontal="center" vertical="center"/>
    </xf>
    <xf numFmtId="185" fontId="8" fillId="3" borderId="38" xfId="0" applyNumberFormat="1" applyFont="1" applyFill="1" applyBorder="1" applyAlignment="1">
      <alignment horizontal="center" vertical="center"/>
    </xf>
    <xf numFmtId="0" fontId="0" fillId="0" borderId="59" xfId="0" applyBorder="1" applyAlignment="1">
      <alignment horizontal="center" vertical="center"/>
    </xf>
    <xf numFmtId="0" fontId="0" fillId="15" borderId="40" xfId="0" applyFill="1" applyBorder="1" applyAlignment="1">
      <alignment horizontal="center" vertical="center"/>
    </xf>
    <xf numFmtId="0" fontId="0" fillId="3" borderId="40" xfId="0" applyFill="1" applyBorder="1" applyAlignment="1">
      <alignment horizontal="center" vertical="center"/>
    </xf>
    <xf numFmtId="0" fontId="0" fillId="0" borderId="40" xfId="0" applyBorder="1" applyAlignment="1">
      <alignment horizontal="center" vertical="center"/>
    </xf>
    <xf numFmtId="0" fontId="0" fillId="0" borderId="36" xfId="0"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0" fontId="8" fillId="0" borderId="27" xfId="0" applyFont="1" applyBorder="1" applyAlignment="1" applyProtection="1">
      <alignment horizontal="center" vertical="center"/>
      <protection locked="0"/>
    </xf>
    <xf numFmtId="0" fontId="0" fillId="4" borderId="26" xfId="0" applyFill="1" applyBorder="1" applyAlignment="1">
      <alignment horizontal="center" vertical="center" wrapText="1"/>
    </xf>
    <xf numFmtId="0" fontId="0" fillId="4" borderId="27" xfId="0" applyFill="1" applyBorder="1" applyAlignment="1">
      <alignment horizontal="center" vertical="center"/>
    </xf>
    <xf numFmtId="0" fontId="0" fillId="3" borderId="2" xfId="0" applyFill="1" applyBorder="1" applyAlignment="1">
      <alignment horizontal="center" vertical="center"/>
    </xf>
    <xf numFmtId="0" fontId="0" fillId="4" borderId="71" xfId="0" applyFill="1" applyBorder="1" applyAlignment="1">
      <alignment horizontal="center" vertical="center"/>
    </xf>
    <xf numFmtId="0" fontId="0" fillId="4" borderId="49" xfId="0" applyFill="1" applyBorder="1" applyAlignment="1">
      <alignment horizontal="center" vertical="center"/>
    </xf>
    <xf numFmtId="0" fontId="0" fillId="4" borderId="45" xfId="0" applyFill="1" applyBorder="1" applyAlignment="1">
      <alignment horizontal="center" vertical="center"/>
    </xf>
    <xf numFmtId="0" fontId="0" fillId="4" borderId="50" xfId="0" applyFill="1" applyBorder="1" applyAlignment="1">
      <alignment horizontal="center" vertical="center"/>
    </xf>
    <xf numFmtId="0" fontId="0" fillId="4" borderId="23" xfId="0" applyFill="1" applyBorder="1" applyAlignment="1">
      <alignment horizontal="center" vertical="center"/>
    </xf>
    <xf numFmtId="0" fontId="0" fillId="4" borderId="19" xfId="0" applyFill="1" applyBorder="1" applyAlignment="1">
      <alignment horizontal="center" vertical="center"/>
    </xf>
    <xf numFmtId="0" fontId="0" fillId="4" borderId="39" xfId="0" applyFill="1" applyBorder="1" applyAlignment="1">
      <alignment horizontal="center" vertical="center"/>
    </xf>
    <xf numFmtId="0" fontId="0" fillId="4" borderId="40" xfId="0" applyFill="1" applyBorder="1" applyAlignment="1">
      <alignment horizontal="center" vertical="center"/>
    </xf>
    <xf numFmtId="0" fontId="0" fillId="4" borderId="26" xfId="0" applyFill="1" applyBorder="1" applyAlignment="1">
      <alignment horizontal="center" vertical="center"/>
    </xf>
    <xf numFmtId="0" fontId="0" fillId="4" borderId="17" xfId="0" applyFill="1" applyBorder="1" applyAlignment="1">
      <alignment horizontal="center" vertical="center" shrinkToFit="1"/>
    </xf>
    <xf numFmtId="0" fontId="0" fillId="4" borderId="12" xfId="0" applyFill="1" applyBorder="1" applyAlignment="1">
      <alignment horizontal="center" vertical="center" shrinkToFit="1"/>
    </xf>
    <xf numFmtId="0" fontId="0" fillId="4" borderId="48" xfId="0" applyFill="1" applyBorder="1" applyAlignment="1">
      <alignment horizontal="center" vertical="center" shrinkToFit="1"/>
    </xf>
    <xf numFmtId="0" fontId="0" fillId="4" borderId="38" xfId="0" applyFill="1" applyBorder="1" applyAlignment="1">
      <alignment horizontal="center" vertical="center" shrinkToFit="1"/>
    </xf>
    <xf numFmtId="0" fontId="14" fillId="4" borderId="26" xfId="0" applyFont="1" applyFill="1" applyBorder="1" applyAlignment="1">
      <alignment horizontal="center" vertical="center"/>
    </xf>
    <xf numFmtId="0" fontId="2" fillId="2" borderId="5" xfId="0" applyFont="1" applyFill="1" applyBorder="1" applyAlignment="1">
      <alignment horizontal="left" vertical="center"/>
    </xf>
    <xf numFmtId="0" fontId="2" fillId="2" borderId="6" xfId="0" applyFont="1" applyFill="1" applyBorder="1" applyAlignment="1">
      <alignment horizontal="left" vertical="center"/>
    </xf>
    <xf numFmtId="0" fontId="2" fillId="2" borderId="7" xfId="0" applyFont="1" applyFill="1" applyBorder="1" applyAlignment="1">
      <alignment horizontal="left" vertical="center"/>
    </xf>
    <xf numFmtId="0" fontId="0" fillId="2" borderId="8" xfId="0" applyFill="1" applyBorder="1" applyAlignment="1">
      <alignment horizontal="left" vertical="center"/>
    </xf>
    <xf numFmtId="0" fontId="0" fillId="2" borderId="0" xfId="0" applyFill="1" applyBorder="1" applyAlignment="1">
      <alignment horizontal="left" vertical="center"/>
    </xf>
    <xf numFmtId="0" fontId="0" fillId="2" borderId="9" xfId="0" applyFill="1" applyBorder="1" applyAlignment="1">
      <alignment horizontal="left" vertical="center"/>
    </xf>
    <xf numFmtId="0" fontId="14" fillId="4" borderId="28" xfId="0" applyFont="1" applyFill="1" applyBorder="1" applyAlignment="1">
      <alignment horizontal="center" vertical="center"/>
    </xf>
    <xf numFmtId="0" fontId="14" fillId="4" borderId="39" xfId="0" applyFont="1" applyFill="1" applyBorder="1" applyAlignment="1">
      <alignment horizontal="center" vertical="center"/>
    </xf>
    <xf numFmtId="0" fontId="17" fillId="4" borderId="71" xfId="0" applyFont="1" applyFill="1" applyBorder="1" applyAlignment="1">
      <alignment horizontal="center" vertical="center" wrapText="1"/>
    </xf>
    <xf numFmtId="0" fontId="17" fillId="4" borderId="61"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0" fillId="4" borderId="25" xfId="0" applyFill="1" applyBorder="1" applyAlignment="1">
      <alignment horizontal="center" vertical="center"/>
    </xf>
    <xf numFmtId="0" fontId="0" fillId="4" borderId="44" xfId="0" applyFill="1" applyBorder="1" applyAlignment="1">
      <alignment horizontal="center" vertical="center"/>
    </xf>
    <xf numFmtId="0" fontId="17" fillId="4" borderId="33" xfId="0" applyFont="1" applyFill="1" applyBorder="1" applyAlignment="1">
      <alignment horizontal="center" vertical="center" wrapText="1"/>
    </xf>
    <xf numFmtId="0" fontId="27" fillId="4" borderId="1" xfId="2" applyFill="1" applyBorder="1" applyAlignment="1">
      <alignment horizontal="center"/>
    </xf>
    <xf numFmtId="0" fontId="27" fillId="3" borderId="1" xfId="2" applyFill="1" applyBorder="1" applyAlignment="1">
      <alignment horizontal="center" vertical="center"/>
    </xf>
    <xf numFmtId="0" fontId="13" fillId="0" borderId="52" xfId="0" applyFont="1" applyBorder="1" applyAlignment="1" applyProtection="1">
      <alignment horizontal="center" vertical="center"/>
      <protection locked="0"/>
    </xf>
    <xf numFmtId="0" fontId="13" fillId="0" borderId="15" xfId="0" applyFont="1" applyBorder="1" applyAlignment="1" applyProtection="1">
      <alignment horizontal="center" vertical="center"/>
      <protection locked="0"/>
    </xf>
    <xf numFmtId="0" fontId="13" fillId="0" borderId="56" xfId="0" applyFont="1" applyBorder="1" applyAlignment="1" applyProtection="1">
      <alignment horizontal="center" vertical="center"/>
      <protection locked="0"/>
    </xf>
    <xf numFmtId="0" fontId="25" fillId="4" borderId="14" xfId="0" applyFont="1" applyFill="1" applyBorder="1" applyAlignment="1">
      <alignment horizontal="center" vertical="center"/>
    </xf>
    <xf numFmtId="0" fontId="26" fillId="4" borderId="54" xfId="0" applyFont="1" applyFill="1" applyBorder="1" applyAlignment="1">
      <alignment horizontal="center" vertical="center"/>
    </xf>
    <xf numFmtId="0" fontId="26" fillId="4" borderId="55" xfId="0" applyFont="1" applyFill="1" applyBorder="1" applyAlignment="1">
      <alignment horizontal="center" vertical="center"/>
    </xf>
    <xf numFmtId="0" fontId="9" fillId="4" borderId="28" xfId="2" applyFont="1" applyFill="1" applyBorder="1" applyAlignment="1" applyProtection="1">
      <alignment horizontal="center" vertical="center" shrinkToFit="1"/>
    </xf>
    <xf numFmtId="0" fontId="9" fillId="4" borderId="1" xfId="2" applyFont="1" applyFill="1" applyBorder="1" applyAlignment="1" applyProtection="1">
      <alignment horizontal="center" vertical="center" shrinkToFit="1"/>
    </xf>
    <xf numFmtId="0" fontId="9" fillId="4" borderId="28" xfId="2" applyFont="1" applyFill="1" applyBorder="1" applyAlignment="1">
      <alignment horizontal="center" vertical="center" shrinkToFit="1"/>
    </xf>
    <xf numFmtId="0" fontId="9" fillId="4" borderId="1" xfId="2" applyFont="1" applyFill="1" applyBorder="1" applyAlignment="1">
      <alignment horizontal="center" vertical="center" shrinkToFit="1"/>
    </xf>
    <xf numFmtId="0" fontId="9" fillId="0" borderId="0" xfId="2" applyFont="1" applyAlignment="1">
      <alignment horizontal="center" vertical="center" shrinkToFit="1"/>
    </xf>
    <xf numFmtId="0" fontId="9" fillId="4" borderId="39" xfId="2" applyFont="1" applyFill="1" applyBorder="1" applyAlignment="1">
      <alignment horizontal="center" vertical="center" shrinkToFit="1"/>
    </xf>
    <xf numFmtId="0" fontId="9" fillId="4" borderId="40" xfId="2" applyFont="1" applyFill="1" applyBorder="1" applyAlignment="1">
      <alignment horizontal="center" vertical="center" shrinkToFit="1"/>
    </xf>
    <xf numFmtId="0" fontId="30" fillId="4" borderId="14" xfId="2" applyFont="1" applyFill="1" applyBorder="1" applyAlignment="1">
      <alignment horizontal="center" vertical="center" shrinkToFit="1"/>
    </xf>
    <xf numFmtId="0" fontId="9" fillId="4" borderId="54" xfId="2" applyFont="1" applyFill="1" applyBorder="1" applyAlignment="1">
      <alignment horizontal="center" vertical="center" shrinkToFit="1"/>
    </xf>
    <xf numFmtId="0" fontId="9" fillId="4" borderId="13" xfId="2" applyFont="1" applyFill="1" applyBorder="1" applyAlignment="1">
      <alignment horizontal="center" vertical="center" shrinkToFit="1"/>
    </xf>
    <xf numFmtId="184" fontId="8" fillId="0" borderId="52" xfId="0" applyNumberFormat="1" applyFont="1" applyFill="1" applyBorder="1" applyAlignment="1">
      <alignment horizontal="center" vertical="center" shrinkToFit="1"/>
    </xf>
    <xf numFmtId="184" fontId="8" fillId="0" borderId="15" xfId="0" applyNumberFormat="1" applyFont="1" applyFill="1" applyBorder="1" applyAlignment="1">
      <alignment horizontal="center" vertical="center" shrinkToFit="1"/>
    </xf>
    <xf numFmtId="184" fontId="8" fillId="0" borderId="56" xfId="0" applyNumberFormat="1" applyFont="1" applyFill="1" applyBorder="1" applyAlignment="1">
      <alignment horizontal="center" vertical="center" shrinkToFit="1"/>
    </xf>
    <xf numFmtId="0" fontId="30" fillId="0" borderId="54" xfId="2" applyFont="1" applyBorder="1" applyAlignment="1" applyProtection="1">
      <alignment horizontal="center"/>
      <protection locked="0"/>
    </xf>
    <xf numFmtId="0" fontId="30" fillId="0" borderId="55" xfId="2" applyFont="1" applyBorder="1" applyAlignment="1" applyProtection="1">
      <alignment horizontal="center"/>
      <protection locked="0"/>
    </xf>
    <xf numFmtId="0" fontId="30" fillId="0" borderId="54" xfId="2" applyFont="1" applyBorder="1" applyAlignment="1" applyProtection="1">
      <alignment horizontal="center" vertical="center"/>
      <protection locked="0"/>
    </xf>
    <xf numFmtId="0" fontId="30" fillId="0" borderId="55" xfId="2" applyFont="1" applyBorder="1" applyAlignment="1" applyProtection="1">
      <alignment horizontal="center" vertical="center"/>
      <protection locked="0"/>
    </xf>
    <xf numFmtId="0" fontId="30" fillId="4" borderId="10" xfId="2" applyFont="1" applyFill="1" applyBorder="1" applyAlignment="1">
      <alignment horizontal="center"/>
    </xf>
    <xf numFmtId="0" fontId="30" fillId="4" borderId="12" xfId="2" applyFont="1" applyFill="1" applyBorder="1" applyAlignment="1">
      <alignment horizontal="center"/>
    </xf>
    <xf numFmtId="0" fontId="30" fillId="0" borderId="5" xfId="2" applyFont="1" applyBorder="1" applyAlignment="1" applyProtection="1">
      <alignment horizontal="left" vertical="top"/>
      <protection locked="0"/>
    </xf>
    <xf numFmtId="0" fontId="30" fillId="0" borderId="6" xfId="2" applyFont="1" applyBorder="1" applyAlignment="1" applyProtection="1">
      <alignment horizontal="left" vertical="top"/>
      <protection locked="0"/>
    </xf>
    <xf numFmtId="0" fontId="30" fillId="0" borderId="7" xfId="2" applyFont="1" applyBorder="1" applyAlignment="1" applyProtection="1">
      <alignment horizontal="left" vertical="top"/>
      <protection locked="0"/>
    </xf>
    <xf numFmtId="0" fontId="30" fillId="0" borderId="8" xfId="2" applyFont="1" applyBorder="1" applyAlignment="1" applyProtection="1">
      <alignment horizontal="left" vertical="top"/>
      <protection locked="0"/>
    </xf>
    <xf numFmtId="0" fontId="30" fillId="0" borderId="0" xfId="2" applyFont="1" applyAlignment="1" applyProtection="1">
      <alignment horizontal="left" vertical="top"/>
      <protection locked="0"/>
    </xf>
    <xf numFmtId="0" fontId="30" fillId="0" borderId="9" xfId="2" applyFont="1" applyBorder="1" applyAlignment="1" applyProtection="1">
      <alignment horizontal="left" vertical="top"/>
      <protection locked="0"/>
    </xf>
    <xf numFmtId="0" fontId="30" fillId="0" borderId="10" xfId="2" applyFont="1" applyBorder="1" applyAlignment="1" applyProtection="1">
      <alignment horizontal="left" vertical="top"/>
      <protection locked="0"/>
    </xf>
    <xf numFmtId="0" fontId="30" fillId="0" borderId="11" xfId="2" applyFont="1" applyBorder="1" applyAlignment="1" applyProtection="1">
      <alignment horizontal="left" vertical="top"/>
      <protection locked="0"/>
    </xf>
    <xf numFmtId="0" fontId="30" fillId="0" borderId="12" xfId="2" applyFont="1" applyBorder="1" applyAlignment="1" applyProtection="1">
      <alignment horizontal="left" vertical="top"/>
      <protection locked="0"/>
    </xf>
    <xf numFmtId="0" fontId="30" fillId="4" borderId="25" xfId="2" applyFont="1" applyFill="1" applyBorder="1" applyAlignment="1">
      <alignment horizontal="center" vertical="center" shrinkToFit="1"/>
    </xf>
    <xf numFmtId="0" fontId="9" fillId="4" borderId="26" xfId="2" applyFont="1" applyFill="1" applyBorder="1" applyAlignment="1">
      <alignment horizontal="center" vertical="center" shrinkToFit="1"/>
    </xf>
    <xf numFmtId="0" fontId="30" fillId="4" borderId="26" xfId="2" applyFont="1" applyFill="1" applyBorder="1" applyAlignment="1">
      <alignment horizontal="center" vertical="center" shrinkToFit="1"/>
    </xf>
    <xf numFmtId="0" fontId="9" fillId="4" borderId="25" xfId="2" applyFont="1" applyFill="1" applyBorder="1" applyAlignment="1" applyProtection="1">
      <alignment horizontal="center" vertical="center" shrinkToFit="1"/>
    </xf>
    <xf numFmtId="0" fontId="9" fillId="4" borderId="26" xfId="2" applyFont="1" applyFill="1" applyBorder="1" applyAlignment="1" applyProtection="1">
      <alignment horizontal="center" vertical="center" shrinkToFit="1"/>
    </xf>
    <xf numFmtId="0" fontId="9" fillId="4" borderId="28" xfId="2" applyFont="1" applyFill="1" applyBorder="1" applyAlignment="1" applyProtection="1">
      <alignment horizontal="center" vertical="center"/>
    </xf>
    <xf numFmtId="0" fontId="9" fillId="4" borderId="1" xfId="2" applyFont="1" applyFill="1" applyBorder="1" applyAlignment="1" applyProtection="1">
      <alignment horizontal="center" vertical="center"/>
    </xf>
    <xf numFmtId="0" fontId="9" fillId="4" borderId="1" xfId="2" applyFont="1" applyFill="1" applyBorder="1" applyAlignment="1" applyProtection="1">
      <alignment horizontal="center" vertical="center" wrapText="1"/>
    </xf>
    <xf numFmtId="0" fontId="9" fillId="4" borderId="61" xfId="0" applyFont="1" applyFill="1" applyBorder="1" applyAlignment="1" applyProtection="1">
      <alignment horizontal="center" vertical="center" shrinkToFit="1"/>
    </xf>
    <xf numFmtId="0" fontId="9" fillId="9" borderId="3" xfId="2" applyFont="1" applyFill="1" applyBorder="1" applyAlignment="1">
      <alignment horizontal="center" vertical="center" shrinkToFit="1"/>
    </xf>
    <xf numFmtId="0" fontId="9" fillId="9" borderId="18" xfId="2" applyFont="1" applyFill="1" applyBorder="1" applyAlignment="1">
      <alignment horizontal="center" vertical="center" shrinkToFit="1"/>
    </xf>
    <xf numFmtId="0" fontId="9" fillId="7" borderId="1" xfId="2" applyFont="1" applyFill="1" applyBorder="1" applyAlignment="1">
      <alignment horizontal="center" vertical="center" shrinkToFit="1"/>
    </xf>
    <xf numFmtId="0" fontId="9" fillId="7" borderId="3" xfId="2" applyFont="1" applyFill="1" applyBorder="1" applyAlignment="1">
      <alignment horizontal="center" vertical="center" shrinkToFit="1"/>
    </xf>
    <xf numFmtId="0" fontId="9" fillId="4" borderId="3" xfId="2" applyFont="1" applyFill="1" applyBorder="1" applyAlignment="1">
      <alignment horizontal="center" vertical="center" shrinkToFit="1"/>
    </xf>
    <xf numFmtId="0" fontId="9" fillId="4" borderId="58" xfId="2" applyFont="1" applyFill="1" applyBorder="1" applyAlignment="1" applyProtection="1">
      <alignment horizontal="center" vertical="center" shrinkToFit="1"/>
    </xf>
    <xf numFmtId="0" fontId="9" fillId="4" borderId="75" xfId="2" applyFont="1" applyFill="1" applyBorder="1" applyAlignment="1" applyProtection="1">
      <alignment horizontal="center" vertical="center" shrinkToFit="1"/>
    </xf>
    <xf numFmtId="0" fontId="9" fillId="0" borderId="65" xfId="2" applyFont="1" applyBorder="1" applyAlignment="1">
      <alignment horizontal="center" vertical="center" wrapText="1"/>
    </xf>
    <xf numFmtId="0" fontId="9" fillId="0" borderId="1" xfId="2" applyFont="1" applyBorder="1" applyAlignment="1">
      <alignment horizontal="center" vertical="center" wrapText="1"/>
    </xf>
    <xf numFmtId="0" fontId="9" fillId="4" borderId="33" xfId="0" applyFont="1" applyFill="1" applyBorder="1" applyAlignment="1" applyProtection="1">
      <alignment horizontal="center" vertical="center" shrinkToFit="1"/>
    </xf>
    <xf numFmtId="0" fontId="9" fillId="4" borderId="25" xfId="2" applyFont="1" applyFill="1" applyBorder="1" applyAlignment="1">
      <alignment horizontal="center" vertical="center" shrinkToFit="1"/>
    </xf>
    <xf numFmtId="0" fontId="30" fillId="0" borderId="26" xfId="2" applyFont="1" applyBorder="1" applyAlignment="1" applyProtection="1">
      <alignment horizontal="center" vertical="center"/>
      <protection locked="0"/>
    </xf>
    <xf numFmtId="0" fontId="30" fillId="0" borderId="27" xfId="2" applyFont="1" applyBorder="1" applyAlignment="1" applyProtection="1">
      <alignment horizontal="center" vertical="center"/>
      <protection locked="0"/>
    </xf>
    <xf numFmtId="0" fontId="30" fillId="4" borderId="5" xfId="2" applyFont="1" applyFill="1" applyBorder="1" applyAlignment="1">
      <alignment horizontal="center"/>
    </xf>
    <xf numFmtId="0" fontId="30" fillId="4" borderId="7" xfId="2" applyFont="1" applyFill="1" applyBorder="1" applyAlignment="1">
      <alignment horizontal="center"/>
    </xf>
    <xf numFmtId="0" fontId="30" fillId="0" borderId="48" xfId="2" applyFont="1" applyBorder="1" applyAlignment="1" applyProtection="1">
      <alignment horizontal="center" vertical="center"/>
      <protection locked="0"/>
    </xf>
    <xf numFmtId="0" fontId="30" fillId="0" borderId="38" xfId="2" applyFont="1" applyBorder="1" applyAlignment="1" applyProtection="1">
      <alignment horizontal="center" vertical="center"/>
      <protection locked="0"/>
    </xf>
    <xf numFmtId="0" fontId="9" fillId="4" borderId="28" xfId="2" applyFont="1" applyFill="1" applyBorder="1" applyAlignment="1">
      <alignment horizontal="center" vertical="center"/>
    </xf>
    <xf numFmtId="0" fontId="9" fillId="4" borderId="1" xfId="2" applyFont="1" applyFill="1" applyBorder="1" applyAlignment="1">
      <alignment horizontal="center" vertical="center"/>
    </xf>
    <xf numFmtId="0" fontId="9" fillId="4" borderId="1" xfId="2" applyFont="1" applyFill="1" applyBorder="1" applyAlignment="1">
      <alignment horizontal="center" vertical="center" wrapText="1"/>
    </xf>
    <xf numFmtId="0" fontId="9" fillId="4" borderId="33" xfId="0" applyFont="1" applyFill="1" applyBorder="1" applyAlignment="1">
      <alignment horizontal="center" vertical="center" shrinkToFit="1"/>
    </xf>
    <xf numFmtId="0" fontId="9" fillId="4" borderId="58" xfId="2" applyFont="1" applyFill="1" applyBorder="1" applyAlignment="1">
      <alignment horizontal="center" vertical="center" shrinkToFit="1"/>
    </xf>
    <xf numFmtId="0" fontId="9" fillId="4" borderId="75" xfId="2" applyFont="1" applyFill="1" applyBorder="1" applyAlignment="1">
      <alignment horizontal="center" vertical="center" shrinkToFit="1"/>
    </xf>
    <xf numFmtId="0" fontId="9" fillId="4" borderId="10" xfId="0" applyFont="1" applyFill="1" applyBorder="1" applyAlignment="1" applyProtection="1">
      <alignment horizontal="center" vertical="center" shrinkToFit="1"/>
    </xf>
    <xf numFmtId="0" fontId="9" fillId="4" borderId="11" xfId="0" applyFont="1" applyFill="1" applyBorder="1" applyAlignment="1" applyProtection="1">
      <alignment horizontal="center" vertical="center" shrinkToFit="1"/>
    </xf>
    <xf numFmtId="0" fontId="9" fillId="4" borderId="72" xfId="0" applyFont="1" applyFill="1" applyBorder="1" applyAlignment="1" applyProtection="1">
      <alignment horizontal="center" vertical="center" shrinkToFit="1"/>
    </xf>
    <xf numFmtId="0" fontId="30" fillId="0" borderId="10" xfId="2" applyFont="1" applyBorder="1" applyAlignment="1" applyProtection="1">
      <alignment horizontal="center" vertical="center"/>
      <protection locked="0"/>
    </xf>
    <xf numFmtId="0" fontId="30" fillId="0" borderId="12" xfId="2" applyFont="1" applyBorder="1" applyAlignment="1" applyProtection="1">
      <alignment horizontal="center" vertical="center"/>
      <protection locked="0"/>
    </xf>
    <xf numFmtId="0" fontId="9" fillId="4" borderId="59" xfId="2" applyFont="1" applyFill="1" applyBorder="1" applyAlignment="1">
      <alignment horizontal="center" vertical="center" shrinkToFit="1"/>
    </xf>
    <xf numFmtId="0" fontId="9" fillId="4" borderId="73" xfId="2" applyFont="1" applyFill="1" applyBorder="1" applyAlignment="1">
      <alignment horizontal="center" vertical="center" shrinkToFit="1"/>
    </xf>
    <xf numFmtId="0" fontId="30" fillId="0" borderId="0" xfId="2" applyFont="1" applyAlignment="1">
      <alignment horizontal="center"/>
    </xf>
  </cellXfs>
  <cellStyles count="3">
    <cellStyle name="標準" xfId="0" builtinId="0"/>
    <cellStyle name="標準 2" xfId="1" xr:uid="{00000000-0005-0000-0000-000001000000}"/>
    <cellStyle name="標準 3" xfId="2" xr:uid="{B8B49634-35B7-4205-8D57-8774082D0577}"/>
  </cellStyles>
  <dxfs count="229">
    <dxf>
      <fill>
        <patternFill>
          <bgColor theme="0" tint="-0.14996795556505021"/>
        </patternFill>
      </fill>
    </dxf>
    <dxf>
      <fill>
        <patternFill>
          <bgColor theme="7"/>
        </patternFill>
      </fill>
    </dxf>
    <dxf>
      <font>
        <color theme="7"/>
      </font>
    </dxf>
    <dxf>
      <font>
        <color theme="7"/>
      </font>
    </dxf>
    <dxf>
      <fill>
        <patternFill>
          <bgColor theme="7"/>
        </patternFill>
      </fill>
    </dxf>
    <dxf>
      <font>
        <color theme="7"/>
      </font>
    </dxf>
    <dxf>
      <fill>
        <patternFill>
          <bgColor theme="7"/>
        </patternFill>
      </fill>
    </dxf>
    <dxf>
      <font>
        <color theme="7"/>
      </font>
    </dxf>
    <dxf>
      <fill>
        <patternFill>
          <bgColor theme="7"/>
        </patternFill>
      </fill>
    </dxf>
    <dxf>
      <font>
        <color theme="7"/>
      </font>
    </dxf>
    <dxf>
      <fill>
        <patternFill>
          <bgColor theme="7"/>
        </patternFill>
      </fill>
    </dxf>
    <dxf>
      <font>
        <color theme="7"/>
      </font>
    </dxf>
    <dxf>
      <fill>
        <patternFill>
          <bgColor theme="7"/>
        </patternFill>
      </fill>
    </dxf>
    <dxf>
      <fill>
        <patternFill>
          <bgColor theme="7"/>
        </patternFill>
      </fill>
    </dxf>
    <dxf>
      <font>
        <color theme="7"/>
      </font>
    </dxf>
    <dxf>
      <fill>
        <patternFill>
          <bgColor theme="7"/>
        </patternFill>
      </fill>
    </dxf>
    <dxf>
      <fill>
        <patternFill>
          <bgColor theme="7"/>
        </patternFill>
      </fill>
    </dxf>
    <dxf>
      <font>
        <color theme="7"/>
      </font>
    </dxf>
    <dxf>
      <font>
        <color theme="7"/>
      </font>
    </dxf>
    <dxf>
      <fill>
        <patternFill>
          <bgColor theme="7"/>
        </patternFill>
      </fill>
    </dxf>
    <dxf>
      <font>
        <color theme="7"/>
      </font>
    </dxf>
    <dxf>
      <font>
        <color theme="7"/>
      </font>
    </dxf>
    <dxf>
      <fill>
        <patternFill>
          <bgColor theme="7"/>
        </patternFill>
      </fill>
    </dxf>
    <dxf>
      <font>
        <color theme="7"/>
      </font>
    </dxf>
    <dxf>
      <font>
        <color theme="7"/>
      </font>
    </dxf>
    <dxf>
      <fill>
        <patternFill>
          <bgColor theme="7"/>
        </patternFill>
      </fill>
    </dxf>
    <dxf>
      <font>
        <color theme="7"/>
      </font>
    </dxf>
    <dxf>
      <font>
        <color theme="7"/>
      </font>
    </dxf>
    <dxf>
      <fill>
        <patternFill>
          <bgColor theme="7"/>
        </patternFill>
      </fill>
    </dxf>
    <dxf>
      <font>
        <color theme="7"/>
      </font>
    </dxf>
    <dxf>
      <font>
        <color theme="7"/>
      </font>
    </dxf>
    <dxf>
      <fill>
        <patternFill>
          <bgColor theme="7"/>
        </patternFill>
      </fill>
    </dxf>
    <dxf>
      <font>
        <color theme="7"/>
      </font>
    </dxf>
    <dxf>
      <font>
        <color theme="7"/>
      </font>
    </dxf>
    <dxf>
      <fill>
        <patternFill>
          <bgColor theme="7"/>
        </patternFill>
      </fill>
    </dxf>
    <dxf>
      <font>
        <color theme="7"/>
      </font>
    </dxf>
    <dxf>
      <font>
        <color theme="7"/>
      </font>
    </dxf>
    <dxf>
      <font>
        <color theme="7"/>
      </font>
    </dxf>
    <dxf>
      <fill>
        <patternFill>
          <bgColor theme="7"/>
        </patternFill>
      </fill>
    </dxf>
    <dxf>
      <fill>
        <patternFill>
          <bgColor theme="7"/>
        </patternFill>
      </fill>
    </dxf>
    <dxf>
      <font>
        <color theme="7"/>
      </font>
    </dxf>
    <dxf>
      <font>
        <color theme="7"/>
      </font>
    </dxf>
    <dxf>
      <fill>
        <patternFill>
          <bgColor theme="7"/>
        </patternFill>
      </fill>
    </dxf>
    <dxf>
      <font>
        <color theme="7"/>
      </font>
    </dxf>
    <dxf>
      <fill>
        <patternFill>
          <bgColor theme="7"/>
        </patternFill>
      </fill>
    </dxf>
    <dxf>
      <font>
        <color theme="7"/>
      </font>
    </dxf>
    <dxf>
      <fill>
        <patternFill>
          <bgColor theme="7"/>
        </patternFill>
      </fill>
    </dxf>
    <dxf>
      <font>
        <color theme="7"/>
      </font>
    </dxf>
    <dxf>
      <fill>
        <patternFill>
          <bgColor theme="7"/>
        </patternFill>
      </fill>
    </dxf>
    <dxf>
      <font>
        <color theme="7"/>
      </font>
    </dxf>
    <dxf>
      <fill>
        <patternFill>
          <bgColor theme="7"/>
        </patternFill>
      </fill>
    </dxf>
    <dxf>
      <font>
        <color theme="7"/>
      </font>
    </dxf>
    <dxf>
      <fill>
        <patternFill>
          <bgColor theme="7"/>
        </patternFill>
      </fill>
    </dxf>
    <dxf>
      <font>
        <color theme="7"/>
      </font>
    </dxf>
    <dxf>
      <fill>
        <patternFill>
          <bgColor theme="7"/>
        </patternFill>
      </fill>
    </dxf>
    <dxf>
      <fill>
        <patternFill>
          <bgColor theme="7"/>
        </patternFill>
      </fill>
    </dxf>
    <dxf>
      <font>
        <color theme="7"/>
      </font>
    </dxf>
    <dxf>
      <fill>
        <patternFill>
          <bgColor theme="7"/>
        </patternFill>
      </fill>
    </dxf>
    <dxf>
      <font>
        <color theme="7"/>
      </font>
    </dxf>
    <dxf>
      <fill>
        <patternFill>
          <bgColor theme="7"/>
        </patternFill>
      </fill>
    </dxf>
    <dxf>
      <fill>
        <patternFill>
          <bgColor theme="7"/>
        </patternFill>
      </fill>
    </dxf>
    <dxf>
      <fill>
        <patternFill>
          <bgColor theme="7"/>
        </patternFill>
      </fill>
    </dxf>
    <dxf>
      <font>
        <color theme="7"/>
      </font>
    </dxf>
    <dxf>
      <fill>
        <patternFill>
          <bgColor theme="7"/>
        </patternFill>
      </fill>
    </dxf>
    <dxf>
      <fill>
        <patternFill>
          <bgColor theme="7"/>
        </patternFill>
      </fill>
    </dxf>
    <dxf>
      <fill>
        <patternFill>
          <bgColor theme="7"/>
        </patternFill>
      </fill>
    </dxf>
    <dxf>
      <font>
        <color theme="7"/>
      </font>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ont>
        <color theme="7"/>
      </font>
    </dxf>
    <dxf>
      <fill>
        <patternFill>
          <bgColor theme="7"/>
        </patternFill>
      </fill>
    </dxf>
    <dxf>
      <fill>
        <patternFill>
          <bgColor theme="7"/>
        </patternFill>
      </fill>
    </dxf>
    <dxf>
      <font>
        <color theme="7"/>
      </font>
    </dxf>
    <dxf>
      <font>
        <color theme="7"/>
      </font>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ont>
        <color theme="7"/>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FFC000"/>
      </font>
    </dxf>
    <dxf>
      <font>
        <color rgb="FFFF0000"/>
      </font>
      <fill>
        <patternFill>
          <bgColor theme="5" tint="0.79998168889431442"/>
        </patternFill>
      </fill>
    </dxf>
    <dxf>
      <font>
        <color rgb="FFFF0000"/>
      </font>
      <fill>
        <patternFill>
          <bgColor theme="5" tint="0.79998168889431442"/>
        </patternFill>
      </fill>
    </dxf>
    <dxf>
      <fill>
        <patternFill>
          <bgColor theme="0" tint="-0.14996795556505021"/>
        </patternFill>
      </fill>
    </dxf>
    <dxf>
      <font>
        <color rgb="FFFF0000"/>
      </font>
      <fill>
        <patternFill>
          <bgColor theme="5" tint="0.79998168889431442"/>
        </patternFill>
      </fill>
    </dxf>
    <dxf>
      <fill>
        <patternFill>
          <bgColor theme="0" tint="-0.14996795556505021"/>
        </patternFill>
      </fill>
    </dxf>
    <dxf>
      <font>
        <color rgb="FFFF0000"/>
      </font>
      <fill>
        <patternFill>
          <bgColor theme="5" tint="0.79998168889431442"/>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ont>
        <color rgb="FFFF0000"/>
      </font>
      <fill>
        <patternFill>
          <bgColor theme="5" tint="0.79998168889431442"/>
        </patternFill>
      </fill>
    </dxf>
    <dxf>
      <fill>
        <patternFill>
          <bgColor theme="7"/>
        </patternFill>
      </fill>
    </dxf>
    <dxf>
      <fill>
        <patternFill>
          <bgColor theme="7"/>
        </patternFill>
      </fill>
    </dxf>
    <dxf>
      <font>
        <color rgb="FFFF0000"/>
      </font>
      <fill>
        <patternFill>
          <bgColor theme="5" tint="0.79998168889431442"/>
        </patternFill>
      </fill>
    </dxf>
    <dxf>
      <font>
        <b/>
        <i val="0"/>
        <color rgb="FFFF0000"/>
      </font>
      <fill>
        <patternFill>
          <bgColor theme="5" tint="0.79998168889431442"/>
        </patternFill>
      </fill>
    </dxf>
    <dxf>
      <fill>
        <patternFill>
          <bgColor theme="7"/>
        </patternFill>
      </fill>
    </dxf>
    <dxf>
      <fill>
        <patternFill>
          <bgColor theme="7"/>
        </patternFill>
      </fill>
    </dxf>
    <dxf>
      <font>
        <color rgb="FFFF0000"/>
      </font>
      <fill>
        <patternFill>
          <bgColor theme="5" tint="0.79998168889431442"/>
        </patternFill>
      </fill>
    </dxf>
    <dxf>
      <font>
        <color rgb="FFFF0000"/>
      </font>
      <fill>
        <patternFill>
          <bgColor theme="5" tint="0.79998168889431442"/>
        </patternFill>
      </fill>
    </dxf>
    <dxf>
      <font>
        <b/>
        <i val="0"/>
        <color rgb="FFFF0000"/>
      </font>
      <fill>
        <patternFill>
          <bgColor theme="5" tint="0.7999816888943144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２日目以降のもろみ経過</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4.2352204639546844E-2"/>
          <c:y val="0.12566550374846339"/>
          <c:w val="0.94853143554185326"/>
          <c:h val="0.72942435918914394"/>
        </c:manualLayout>
      </c:layout>
      <c:scatterChart>
        <c:scatterStyle val="lineMarker"/>
        <c:varyColors val="0"/>
        <c:ser>
          <c:idx val="0"/>
          <c:order val="0"/>
          <c:tx>
            <c:v>室温</c:v>
          </c:tx>
          <c:spPr>
            <a:ln w="19050" cap="rnd">
              <a:solidFill>
                <a:srgbClr val="FF0000"/>
              </a:solidFill>
              <a:round/>
            </a:ln>
            <a:effectLst/>
          </c:spPr>
          <c:marker>
            <c:symbol val="circle"/>
            <c:size val="5"/>
            <c:spPr>
              <a:solidFill>
                <a:srgbClr val="FF0000"/>
              </a:solidFill>
              <a:ln w="9525">
                <a:solidFill>
                  <a:srgbClr val="FF0000"/>
                </a:solidFill>
                <a:bevel/>
              </a:ln>
              <a:effectLst/>
            </c:spPr>
          </c:marker>
          <c:xVal>
            <c:numRef>
              <c:f>〇号!$S$3:$BE$3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〇号!$S$10:$BE$10</c:f>
              <c:numCache>
                <c:formatCode>0.0_ </c:formatCode>
                <c:ptCount val="39"/>
              </c:numCache>
            </c:numRef>
          </c:yVal>
          <c:smooth val="0"/>
          <c:extLst>
            <c:ext xmlns:c16="http://schemas.microsoft.com/office/drawing/2014/chart" uri="{C3380CC4-5D6E-409C-BE32-E72D297353CC}">
              <c16:uniqueId val="{00000000-AE96-47E0-8523-F666E4A2E309}"/>
            </c:ext>
          </c:extLst>
        </c:ser>
        <c:ser>
          <c:idx val="1"/>
          <c:order val="1"/>
          <c:tx>
            <c:v>品温</c:v>
          </c:tx>
          <c:spPr>
            <a:ln w="19050" cap="rnd">
              <a:solidFill>
                <a:schemeClr val="tx1"/>
              </a:solidFill>
              <a:prstDash val="dash"/>
              <a:round/>
            </a:ln>
            <a:effectLst/>
          </c:spPr>
          <c:marker>
            <c:symbol val="circle"/>
            <c:size val="5"/>
            <c:spPr>
              <a:solidFill>
                <a:schemeClr val="tx1"/>
              </a:solidFill>
              <a:ln w="9525">
                <a:solidFill>
                  <a:schemeClr val="tx1"/>
                </a:solidFill>
              </a:ln>
              <a:effectLst/>
            </c:spPr>
          </c:marker>
          <c:xVal>
            <c:numRef>
              <c:f>〇号!$S$3:$BE$3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〇号!$S$11:$BE$11</c:f>
              <c:numCache>
                <c:formatCode>0.0_ </c:formatCode>
                <c:ptCount val="39"/>
              </c:numCache>
            </c:numRef>
          </c:yVal>
          <c:smooth val="0"/>
          <c:extLst>
            <c:ext xmlns:c16="http://schemas.microsoft.com/office/drawing/2014/chart" uri="{C3380CC4-5D6E-409C-BE32-E72D297353CC}">
              <c16:uniqueId val="{00000001-AE96-47E0-8523-F666E4A2E309}"/>
            </c:ext>
          </c:extLst>
        </c:ser>
        <c:ser>
          <c:idx val="2"/>
          <c:order val="2"/>
          <c:tx>
            <c:v>ボーメ</c:v>
          </c:tx>
          <c:spPr>
            <a:ln w="19050" cap="rnd">
              <a:solidFill>
                <a:srgbClr val="0070C0"/>
              </a:solidFill>
              <a:prstDash val="sysDash"/>
              <a:miter lim="800000"/>
            </a:ln>
            <a:effectLst/>
          </c:spPr>
          <c:marker>
            <c:symbol val="circle"/>
            <c:size val="5"/>
            <c:spPr>
              <a:solidFill>
                <a:srgbClr val="0070C0"/>
              </a:solidFill>
              <a:ln w="9525">
                <a:solidFill>
                  <a:srgbClr val="0070C0"/>
                </a:solidFill>
              </a:ln>
              <a:effectLst/>
            </c:spPr>
          </c:marker>
          <c:xVal>
            <c:numRef>
              <c:f>〇号!$S$3:$BE$3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〇号!$S$160:$BE$160</c:f>
              <c:numCache>
                <c:formatCode>General</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yVal>
          <c:smooth val="0"/>
          <c:extLst>
            <c:ext xmlns:c16="http://schemas.microsoft.com/office/drawing/2014/chart" uri="{C3380CC4-5D6E-409C-BE32-E72D297353CC}">
              <c16:uniqueId val="{00000002-AE96-47E0-8523-F666E4A2E309}"/>
            </c:ext>
          </c:extLst>
        </c:ser>
        <c:ser>
          <c:idx val="3"/>
          <c:order val="3"/>
          <c:tx>
            <c:v>アルコール分</c:v>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〇号!$S$3:$BE$3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〇号!$S$14:$BE$14</c:f>
              <c:numCache>
                <c:formatCode>0.0_ </c:formatCode>
                <c:ptCount val="39"/>
              </c:numCache>
            </c:numRef>
          </c:yVal>
          <c:smooth val="0"/>
          <c:extLst>
            <c:ext xmlns:c16="http://schemas.microsoft.com/office/drawing/2014/chart" uri="{C3380CC4-5D6E-409C-BE32-E72D297353CC}">
              <c16:uniqueId val="{00000003-AE96-47E0-8523-F666E4A2E309}"/>
            </c:ext>
          </c:extLst>
        </c:ser>
        <c:dLbls>
          <c:showLegendKey val="0"/>
          <c:showVal val="0"/>
          <c:showCatName val="0"/>
          <c:showSerName val="0"/>
          <c:showPercent val="0"/>
          <c:showBubbleSize val="0"/>
        </c:dLbls>
        <c:axId val="462690824"/>
        <c:axId val="327855400"/>
      </c:scatterChart>
      <c:valAx>
        <c:axId val="462690824"/>
        <c:scaling>
          <c:orientation val="minMax"/>
          <c:max val="40"/>
          <c:min val="2"/>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もろみ日数</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27855400"/>
        <c:crosses val="autoZero"/>
        <c:crossBetween val="midCat"/>
        <c:majorUnit val="1"/>
      </c:valAx>
      <c:valAx>
        <c:axId val="327855400"/>
        <c:scaling>
          <c:orientation val="minMax"/>
          <c:max val="2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_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62690824"/>
        <c:crosses val="autoZero"/>
        <c:crossBetween val="midCat"/>
        <c:majorUnit val="5"/>
      </c:valAx>
      <c:spPr>
        <a:noFill/>
        <a:ln>
          <a:noFill/>
        </a:ln>
        <a:effectLst/>
      </c:spPr>
    </c:plotArea>
    <c:legend>
      <c:legendPos val="r"/>
      <c:layout>
        <c:manualLayout>
          <c:xMode val="edge"/>
          <c:yMode val="edge"/>
          <c:x val="2.0352663978494463E-2"/>
          <c:y val="6.872038598495997E-2"/>
          <c:w val="0.27230936584318871"/>
          <c:h val="0.176369675248599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paperSize="8"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初添～留添のもろみ経過</a:t>
            </a:r>
          </a:p>
        </c:rich>
      </c:tx>
      <c:layout>
        <c:manualLayout>
          <c:xMode val="edge"/>
          <c:yMode val="edge"/>
          <c:x val="0.34804323843148621"/>
          <c:y val="2.713043329651854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7333574682475036E-2"/>
          <c:y val="0.11650355512463136"/>
          <c:w val="0.9310568541137082"/>
          <c:h val="0.74302342014940437"/>
        </c:manualLayout>
      </c:layout>
      <c:scatterChart>
        <c:scatterStyle val="lineMarker"/>
        <c:varyColors val="0"/>
        <c:ser>
          <c:idx val="0"/>
          <c:order val="0"/>
          <c:tx>
            <c:v>室温</c:v>
          </c:tx>
          <c:spPr>
            <a:ln w="19050" cap="rnd">
              <a:solidFill>
                <a:srgbClr val="FF0000"/>
              </a:solidFill>
              <a:round/>
            </a:ln>
            <a:effectLst/>
          </c:spPr>
          <c:marker>
            <c:symbol val="circle"/>
            <c:size val="5"/>
            <c:spPr>
              <a:solidFill>
                <a:srgbClr val="FF0000"/>
              </a:solidFill>
              <a:ln w="9525">
                <a:solidFill>
                  <a:srgbClr val="FF0000"/>
                </a:solidFill>
                <a:bevel/>
              </a:ln>
              <a:effectLst/>
            </c:spPr>
          </c:marker>
          <c:yVal>
            <c:numRef>
              <c:f>〇号!$D$10:$R$10</c:f>
              <c:numCache>
                <c:formatCode>0.0_ </c:formatCode>
                <c:ptCount val="15"/>
              </c:numCache>
            </c:numRef>
          </c:yVal>
          <c:smooth val="0"/>
          <c:extLst>
            <c:ext xmlns:c16="http://schemas.microsoft.com/office/drawing/2014/chart" uri="{C3380CC4-5D6E-409C-BE32-E72D297353CC}">
              <c16:uniqueId val="{00000000-22BC-43F4-B772-4380880BF688}"/>
            </c:ext>
          </c:extLst>
        </c:ser>
        <c:ser>
          <c:idx val="1"/>
          <c:order val="1"/>
          <c:tx>
            <c:v>品温</c:v>
          </c:tx>
          <c:spPr>
            <a:ln w="19050" cap="rnd">
              <a:solidFill>
                <a:schemeClr val="tx1"/>
              </a:solidFill>
              <a:prstDash val="dash"/>
              <a:round/>
            </a:ln>
            <a:effectLst/>
          </c:spPr>
          <c:marker>
            <c:symbol val="circle"/>
            <c:size val="5"/>
            <c:spPr>
              <a:solidFill>
                <a:schemeClr val="tx1"/>
              </a:solidFill>
              <a:ln w="9525">
                <a:solidFill>
                  <a:schemeClr val="tx1"/>
                </a:solidFill>
              </a:ln>
              <a:effectLst/>
            </c:spPr>
          </c:marker>
          <c:yVal>
            <c:numRef>
              <c:f>〇号!$D$11:$R$11</c:f>
              <c:numCache>
                <c:formatCode>0.0_ </c:formatCode>
                <c:ptCount val="15"/>
              </c:numCache>
            </c:numRef>
          </c:yVal>
          <c:smooth val="0"/>
          <c:extLst>
            <c:ext xmlns:c16="http://schemas.microsoft.com/office/drawing/2014/chart" uri="{C3380CC4-5D6E-409C-BE32-E72D297353CC}">
              <c16:uniqueId val="{00000001-22BC-43F4-B772-4380880BF688}"/>
            </c:ext>
          </c:extLst>
        </c:ser>
        <c:ser>
          <c:idx val="2"/>
          <c:order val="2"/>
          <c:tx>
            <c:v>ボーメ</c:v>
          </c:tx>
          <c:spPr>
            <a:ln w="19050" cap="rnd">
              <a:solidFill>
                <a:schemeClr val="accent5"/>
              </a:solidFill>
              <a:prstDash val="sysDash"/>
              <a:round/>
            </a:ln>
            <a:effectLst/>
          </c:spPr>
          <c:marker>
            <c:symbol val="circle"/>
            <c:size val="5"/>
            <c:spPr>
              <a:solidFill>
                <a:srgbClr val="0070C0"/>
              </a:solidFill>
              <a:ln w="9525">
                <a:solidFill>
                  <a:srgbClr val="0070C0"/>
                </a:solidFill>
              </a:ln>
              <a:effectLst/>
            </c:spPr>
          </c:marker>
          <c:yVal>
            <c:numRef>
              <c:f>〇号!$D$160:$R$160</c:f>
              <c:numCache>
                <c:formatCode>General</c:formatCode>
                <c:ptCount val="1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numCache>
            </c:numRef>
          </c:yVal>
          <c:smooth val="0"/>
          <c:extLst>
            <c:ext xmlns:c16="http://schemas.microsoft.com/office/drawing/2014/chart" uri="{C3380CC4-5D6E-409C-BE32-E72D297353CC}">
              <c16:uniqueId val="{00000002-22BC-43F4-B772-4380880BF688}"/>
            </c:ext>
          </c:extLst>
        </c:ser>
        <c:dLbls>
          <c:showLegendKey val="0"/>
          <c:showVal val="0"/>
          <c:showCatName val="0"/>
          <c:showSerName val="0"/>
          <c:showPercent val="0"/>
          <c:showBubbleSize val="0"/>
        </c:dLbls>
        <c:axId val="327856384"/>
        <c:axId val="462128704"/>
      </c:scatterChart>
      <c:valAx>
        <c:axId val="327856384"/>
        <c:scaling>
          <c:orientation val="minMax"/>
          <c:max val="15"/>
          <c:min val="1"/>
        </c:scaling>
        <c:delete val="1"/>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out"/>
        <c:minorTickMark val="none"/>
        <c:tickLblPos val="nextTo"/>
        <c:crossAx val="462128704"/>
        <c:crosses val="autoZero"/>
        <c:crossBetween val="midCat"/>
        <c:majorUnit val="1"/>
      </c:valAx>
      <c:valAx>
        <c:axId val="462128704"/>
        <c:scaling>
          <c:orientation val="minMax"/>
          <c:max val="2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_ "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27856384"/>
        <c:crosses val="autoZero"/>
        <c:crossBetween val="midCat"/>
        <c:majorUnit val="5"/>
      </c:valAx>
      <c:spPr>
        <a:noFill/>
        <a:ln>
          <a:noFill/>
        </a:ln>
        <a:effectLst/>
      </c:spPr>
    </c:plotArea>
    <c:legend>
      <c:legendPos val="r"/>
      <c:layout>
        <c:manualLayout>
          <c:xMode val="edge"/>
          <c:yMode val="edge"/>
          <c:x val="2.2127683767847163E-2"/>
          <c:y val="0.13286881047034291"/>
          <c:w val="0.43506229518470346"/>
          <c:h val="7.63353078260618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paperSize="8" orientation="landscape"/>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4463098605380325E-2"/>
          <c:y val="1.3072001984927891E-2"/>
          <c:w val="0.94661971756891117"/>
          <c:h val="0.82757513098237812"/>
        </c:manualLayout>
      </c:layout>
      <c:barChart>
        <c:barDir val="col"/>
        <c:grouping val="clustered"/>
        <c:varyColors val="0"/>
        <c:ser>
          <c:idx val="0"/>
          <c:order val="0"/>
          <c:tx>
            <c:v>エキス分100%換算値</c:v>
          </c:tx>
          <c:spPr>
            <a:solidFill>
              <a:schemeClr val="accent1"/>
            </a:solidFill>
            <a:ln>
              <a:noFill/>
            </a:ln>
            <a:effectLst/>
          </c:spPr>
          <c:invertIfNegative val="0"/>
          <c:val>
            <c:numRef>
              <c:f>'原エキス分100％・発酵度など'!$D$16:$AQ$16</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E73D-4CDB-B692-74EC2828FE79}"/>
            </c:ext>
          </c:extLst>
        </c:ser>
        <c:ser>
          <c:idx val="1"/>
          <c:order val="1"/>
          <c:tx>
            <c:v>アルコールエキス分100%換算値</c:v>
          </c:tx>
          <c:spPr>
            <a:solidFill>
              <a:srgbClr val="FF0000"/>
            </a:solidFill>
            <a:ln>
              <a:solidFill>
                <a:srgbClr val="FF0000"/>
              </a:solidFill>
            </a:ln>
            <a:effectLst/>
          </c:spPr>
          <c:invertIfNegative val="0"/>
          <c:val>
            <c:numRef>
              <c:f>'原エキス分100％・発酵度など'!$D$15:$AQ$15</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1-E73D-4CDB-B692-74EC2828FE79}"/>
            </c:ext>
          </c:extLst>
        </c:ser>
        <c:ser>
          <c:idx val="2"/>
          <c:order val="2"/>
          <c:tx>
            <c:v>原エキス分100%換算値</c:v>
          </c:tx>
          <c:spPr>
            <a:solidFill>
              <a:srgbClr val="92D050"/>
            </a:solidFill>
            <a:ln>
              <a:noFill/>
            </a:ln>
            <a:effectLst/>
          </c:spPr>
          <c:invertIfNegative val="0"/>
          <c:val>
            <c:numRef>
              <c:f>'原エキス分100％・発酵度など'!$D$17:$AQ$17</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2-E73D-4CDB-B692-74EC2828FE79}"/>
            </c:ext>
          </c:extLst>
        </c:ser>
        <c:dLbls>
          <c:showLegendKey val="0"/>
          <c:showVal val="0"/>
          <c:showCatName val="0"/>
          <c:showSerName val="0"/>
          <c:showPercent val="0"/>
          <c:showBubbleSize val="0"/>
        </c:dLbls>
        <c:gapWidth val="219"/>
        <c:overlap val="-27"/>
        <c:axId val="399598784"/>
        <c:axId val="399602704"/>
      </c:barChart>
      <c:lineChart>
        <c:grouping val="standard"/>
        <c:varyColors val="0"/>
        <c:ser>
          <c:idx val="3"/>
          <c:order val="4"/>
          <c:tx>
            <c:v>目標アルコールエキス分100%換算値</c:v>
          </c:tx>
          <c:spPr>
            <a:ln w="28575" cap="rnd">
              <a:solidFill>
                <a:srgbClr val="FF0000"/>
              </a:solidFill>
              <a:round/>
            </a:ln>
            <a:effectLst/>
          </c:spPr>
          <c:marker>
            <c:symbol val="none"/>
          </c:marker>
          <c:val>
            <c:numRef>
              <c:f>'原エキス分100％・発酵度など'!$D$42:$AQ$42</c:f>
              <c:numCache>
                <c:formatCode>General</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smooth val="0"/>
          <c:extLst>
            <c:ext xmlns:c16="http://schemas.microsoft.com/office/drawing/2014/chart" uri="{C3380CC4-5D6E-409C-BE32-E72D297353CC}">
              <c16:uniqueId val="{00000003-E73D-4CDB-B692-74EC2828FE79}"/>
            </c:ext>
          </c:extLst>
        </c:ser>
        <c:ser>
          <c:idx val="4"/>
          <c:order val="5"/>
          <c:tx>
            <c:v>目標エキス分100%換算値</c:v>
          </c:tx>
          <c:spPr>
            <a:ln w="28575" cap="rnd">
              <a:solidFill>
                <a:schemeClr val="accent5"/>
              </a:solidFill>
              <a:round/>
            </a:ln>
            <a:effectLst/>
          </c:spPr>
          <c:marker>
            <c:symbol val="none"/>
          </c:marker>
          <c:val>
            <c:numRef>
              <c:f>'原エキス分100％・発酵度など'!$D$43:$AQ$43</c:f>
              <c:numCache>
                <c:formatCode>General</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smooth val="0"/>
          <c:extLst>
            <c:ext xmlns:c16="http://schemas.microsoft.com/office/drawing/2014/chart" uri="{C3380CC4-5D6E-409C-BE32-E72D297353CC}">
              <c16:uniqueId val="{00000004-E73D-4CDB-B692-74EC2828FE79}"/>
            </c:ext>
          </c:extLst>
        </c:ser>
        <c:ser>
          <c:idx val="5"/>
          <c:order val="6"/>
          <c:tx>
            <c:v>目標原エキス分100%換算値</c:v>
          </c:tx>
          <c:spPr>
            <a:ln w="28575" cap="rnd">
              <a:solidFill>
                <a:srgbClr val="92D050"/>
              </a:solidFill>
              <a:round/>
            </a:ln>
            <a:effectLst/>
          </c:spPr>
          <c:marker>
            <c:symbol val="none"/>
          </c:marker>
          <c:val>
            <c:numRef>
              <c:f>'原エキス分100％・発酵度など'!$D$44:$AQ$44</c:f>
              <c:numCache>
                <c:formatCode>General</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smooth val="0"/>
          <c:extLst>
            <c:ext xmlns:c16="http://schemas.microsoft.com/office/drawing/2014/chart" uri="{C3380CC4-5D6E-409C-BE32-E72D297353CC}">
              <c16:uniqueId val="{00000005-E73D-4CDB-B692-74EC2828FE79}"/>
            </c:ext>
          </c:extLst>
        </c:ser>
        <c:dLbls>
          <c:showLegendKey val="0"/>
          <c:showVal val="0"/>
          <c:showCatName val="0"/>
          <c:showSerName val="0"/>
          <c:showPercent val="0"/>
          <c:showBubbleSize val="0"/>
        </c:dLbls>
        <c:marker val="1"/>
        <c:smooth val="0"/>
        <c:axId val="399598784"/>
        <c:axId val="399602704"/>
      </c:lineChart>
      <c:lineChart>
        <c:grouping val="standard"/>
        <c:varyColors val="0"/>
        <c:ser>
          <c:idx val="6"/>
          <c:order val="3"/>
          <c:tx>
            <c:v>発酵度</c:v>
          </c:tx>
          <c:spPr>
            <a:ln w="25400" cap="rnd">
              <a:noFill/>
              <a:round/>
            </a:ln>
            <a:effectLst/>
          </c:spPr>
          <c:marker>
            <c:symbol val="circle"/>
            <c:size val="5"/>
            <c:spPr>
              <a:solidFill>
                <a:srgbClr val="7030A0"/>
              </a:solidFill>
              <a:ln w="9525">
                <a:noFill/>
              </a:ln>
              <a:effectLst/>
            </c:spPr>
          </c:marker>
          <c:val>
            <c:numRef>
              <c:f>'原エキス分100％・発酵度など'!$D$41:$AQ$41</c:f>
              <c:numCache>
                <c:formatCode>0.0_ </c:formatCode>
                <c:ptCount val="40"/>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numCache>
            </c:numRef>
          </c:val>
          <c:smooth val="0"/>
          <c:extLst>
            <c:ext xmlns:c16="http://schemas.microsoft.com/office/drawing/2014/chart" uri="{C3380CC4-5D6E-409C-BE32-E72D297353CC}">
              <c16:uniqueId val="{00000006-E73D-4CDB-B692-74EC2828FE79}"/>
            </c:ext>
          </c:extLst>
        </c:ser>
        <c:ser>
          <c:idx val="7"/>
          <c:order val="7"/>
          <c:tx>
            <c:v>目標発酵度</c:v>
          </c:tx>
          <c:spPr>
            <a:ln w="25400" cap="rnd">
              <a:solidFill>
                <a:srgbClr val="7030A0"/>
              </a:solidFill>
              <a:round/>
            </a:ln>
            <a:effectLst/>
          </c:spPr>
          <c:marker>
            <c:symbol val="none"/>
          </c:marker>
          <c:val>
            <c:numRef>
              <c:f>'原エキス分100％・発酵度など'!$D$45:$AQ$45</c:f>
              <c:numCache>
                <c:formatCode>General</c:formatCode>
                <c:ptCount val="40"/>
                <c:pt idx="0">
                  <c:v>80</c:v>
                </c:pt>
                <c:pt idx="1">
                  <c:v>80</c:v>
                </c:pt>
                <c:pt idx="2">
                  <c:v>80</c:v>
                </c:pt>
                <c:pt idx="3">
                  <c:v>80</c:v>
                </c:pt>
                <c:pt idx="4">
                  <c:v>80</c:v>
                </c:pt>
                <c:pt idx="5">
                  <c:v>80</c:v>
                </c:pt>
                <c:pt idx="6">
                  <c:v>80</c:v>
                </c:pt>
                <c:pt idx="7">
                  <c:v>80</c:v>
                </c:pt>
                <c:pt idx="8">
                  <c:v>80</c:v>
                </c:pt>
                <c:pt idx="9">
                  <c:v>80</c:v>
                </c:pt>
                <c:pt idx="10">
                  <c:v>80</c:v>
                </c:pt>
                <c:pt idx="11">
                  <c:v>80</c:v>
                </c:pt>
                <c:pt idx="12">
                  <c:v>80</c:v>
                </c:pt>
                <c:pt idx="13">
                  <c:v>80</c:v>
                </c:pt>
                <c:pt idx="14">
                  <c:v>80</c:v>
                </c:pt>
                <c:pt idx="15">
                  <c:v>80</c:v>
                </c:pt>
                <c:pt idx="16">
                  <c:v>80</c:v>
                </c:pt>
                <c:pt idx="17">
                  <c:v>80</c:v>
                </c:pt>
                <c:pt idx="18">
                  <c:v>80</c:v>
                </c:pt>
                <c:pt idx="19">
                  <c:v>80</c:v>
                </c:pt>
                <c:pt idx="20">
                  <c:v>80</c:v>
                </c:pt>
                <c:pt idx="21">
                  <c:v>80</c:v>
                </c:pt>
                <c:pt idx="22">
                  <c:v>80</c:v>
                </c:pt>
                <c:pt idx="23">
                  <c:v>80</c:v>
                </c:pt>
                <c:pt idx="24">
                  <c:v>80</c:v>
                </c:pt>
                <c:pt idx="25">
                  <c:v>80</c:v>
                </c:pt>
                <c:pt idx="26">
                  <c:v>80</c:v>
                </c:pt>
                <c:pt idx="27">
                  <c:v>80</c:v>
                </c:pt>
                <c:pt idx="28">
                  <c:v>80</c:v>
                </c:pt>
                <c:pt idx="29">
                  <c:v>80</c:v>
                </c:pt>
                <c:pt idx="30">
                  <c:v>80</c:v>
                </c:pt>
                <c:pt idx="31">
                  <c:v>80</c:v>
                </c:pt>
                <c:pt idx="32">
                  <c:v>80</c:v>
                </c:pt>
                <c:pt idx="33">
                  <c:v>80</c:v>
                </c:pt>
                <c:pt idx="34">
                  <c:v>80</c:v>
                </c:pt>
                <c:pt idx="35">
                  <c:v>80</c:v>
                </c:pt>
                <c:pt idx="36">
                  <c:v>80</c:v>
                </c:pt>
                <c:pt idx="37">
                  <c:v>80</c:v>
                </c:pt>
                <c:pt idx="38">
                  <c:v>80</c:v>
                </c:pt>
                <c:pt idx="39">
                  <c:v>80</c:v>
                </c:pt>
              </c:numCache>
            </c:numRef>
          </c:val>
          <c:smooth val="0"/>
          <c:extLst>
            <c:ext xmlns:c16="http://schemas.microsoft.com/office/drawing/2014/chart" uri="{C3380CC4-5D6E-409C-BE32-E72D297353CC}">
              <c16:uniqueId val="{00000007-E73D-4CDB-B692-74EC2828FE79}"/>
            </c:ext>
          </c:extLst>
        </c:ser>
        <c:dLbls>
          <c:showLegendKey val="0"/>
          <c:showVal val="0"/>
          <c:showCatName val="0"/>
          <c:showSerName val="0"/>
          <c:showPercent val="0"/>
          <c:showBubbleSize val="0"/>
        </c:dLbls>
        <c:marker val="1"/>
        <c:smooth val="0"/>
        <c:axId val="399603096"/>
        <c:axId val="399602312"/>
      </c:lineChart>
      <c:catAx>
        <c:axId val="39959878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9602704"/>
        <c:crosses val="autoZero"/>
        <c:auto val="1"/>
        <c:lblAlgn val="ctr"/>
        <c:lblOffset val="100"/>
        <c:noMultiLvlLbl val="0"/>
      </c:catAx>
      <c:valAx>
        <c:axId val="39960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9598784"/>
        <c:crosses val="autoZero"/>
        <c:crossBetween val="between"/>
      </c:valAx>
      <c:valAx>
        <c:axId val="39960231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9603096"/>
        <c:crosses val="max"/>
        <c:crossBetween val="between"/>
      </c:valAx>
      <c:catAx>
        <c:axId val="399603096"/>
        <c:scaling>
          <c:orientation val="minMax"/>
        </c:scaling>
        <c:delete val="1"/>
        <c:axPos val="b"/>
        <c:majorTickMark val="out"/>
        <c:minorTickMark val="none"/>
        <c:tickLblPos val="nextTo"/>
        <c:crossAx val="39960231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BMD</a:t>
            </a:r>
            <a:r>
              <a:rPr lang="ja-JP" altLang="en-US"/>
              <a:t>曲線</a:t>
            </a:r>
            <a:endParaRPr lang="en-US" altLang="ja-JP"/>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662511129433855E-2"/>
          <c:y val="9.2524348913530535E-2"/>
          <c:w val="0.86605812046833863"/>
          <c:h val="0.79845533926390988"/>
        </c:manualLayout>
      </c:layout>
      <c:scatterChart>
        <c:scatterStyle val="lineMarker"/>
        <c:varyColors val="0"/>
        <c:ser>
          <c:idx val="0"/>
          <c:order val="0"/>
          <c:tx>
            <c:v>BMD曲線</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〇号!$S$3:$BE$3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〇号!$S$127:$BE$127</c:f>
              <c:numCache>
                <c:formatCode>0.0_ </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yVal>
          <c:smooth val="0"/>
          <c:extLst>
            <c:ext xmlns:c16="http://schemas.microsoft.com/office/drawing/2014/chart" uri="{C3380CC4-5D6E-409C-BE32-E72D297353CC}">
              <c16:uniqueId val="{00000000-46D1-4D17-98DC-4EC732CA95E1}"/>
            </c:ext>
          </c:extLst>
        </c:ser>
        <c:ser>
          <c:idx val="1"/>
          <c:order val="1"/>
          <c:tx>
            <c:v>目標BMD</c:v>
          </c:tx>
          <c:spPr>
            <a:ln w="19050" cap="rnd">
              <a:solidFill>
                <a:schemeClr val="accent2"/>
              </a:solidFill>
              <a:bevel/>
            </a:ln>
            <a:effectLst/>
          </c:spPr>
          <c:marker>
            <c:symbol val="circle"/>
            <c:size val="5"/>
            <c:spPr>
              <a:noFill/>
              <a:ln w="9525">
                <a:noFill/>
              </a:ln>
              <a:effectLst/>
            </c:spPr>
          </c:marker>
          <c:xVal>
            <c:numRef>
              <c:f>〇号!$S$3:$BE$3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〇号!$S$174:$BE$174</c:f>
              <c:numCache>
                <c:formatCode>0.0_ </c:formatCode>
                <c:ptCount val="39"/>
                <c:pt idx="0">
                  <c:v>45.3</c:v>
                </c:pt>
                <c:pt idx="1">
                  <c:v>45.3</c:v>
                </c:pt>
                <c:pt idx="2">
                  <c:v>45.3</c:v>
                </c:pt>
                <c:pt idx="3">
                  <c:v>45.3</c:v>
                </c:pt>
                <c:pt idx="4">
                  <c:v>45.3</c:v>
                </c:pt>
                <c:pt idx="5">
                  <c:v>45.3</c:v>
                </c:pt>
                <c:pt idx="6">
                  <c:v>45.3</c:v>
                </c:pt>
                <c:pt idx="7">
                  <c:v>45.3</c:v>
                </c:pt>
                <c:pt idx="8">
                  <c:v>45.3</c:v>
                </c:pt>
                <c:pt idx="9">
                  <c:v>45.3</c:v>
                </c:pt>
                <c:pt idx="10">
                  <c:v>45.3</c:v>
                </c:pt>
                <c:pt idx="11">
                  <c:v>45.3</c:v>
                </c:pt>
                <c:pt idx="12">
                  <c:v>45.3</c:v>
                </c:pt>
                <c:pt idx="13">
                  <c:v>45.3</c:v>
                </c:pt>
                <c:pt idx="14">
                  <c:v>45.3</c:v>
                </c:pt>
                <c:pt idx="15">
                  <c:v>45.3</c:v>
                </c:pt>
                <c:pt idx="16">
                  <c:v>45.3</c:v>
                </c:pt>
                <c:pt idx="17">
                  <c:v>45.3</c:v>
                </c:pt>
                <c:pt idx="18">
                  <c:v>45.3</c:v>
                </c:pt>
                <c:pt idx="19">
                  <c:v>45.3</c:v>
                </c:pt>
                <c:pt idx="20">
                  <c:v>45.3</c:v>
                </c:pt>
                <c:pt idx="21">
                  <c:v>45.3</c:v>
                </c:pt>
                <c:pt idx="22">
                  <c:v>45.3</c:v>
                </c:pt>
                <c:pt idx="23">
                  <c:v>45.3</c:v>
                </c:pt>
                <c:pt idx="24">
                  <c:v>45.3</c:v>
                </c:pt>
                <c:pt idx="25">
                  <c:v>45.3</c:v>
                </c:pt>
                <c:pt idx="26">
                  <c:v>45.3</c:v>
                </c:pt>
                <c:pt idx="27">
                  <c:v>45.3</c:v>
                </c:pt>
                <c:pt idx="28">
                  <c:v>45.3</c:v>
                </c:pt>
                <c:pt idx="29">
                  <c:v>45.3</c:v>
                </c:pt>
                <c:pt idx="30">
                  <c:v>45.3</c:v>
                </c:pt>
                <c:pt idx="31">
                  <c:v>45.3</c:v>
                </c:pt>
                <c:pt idx="32">
                  <c:v>45.3</c:v>
                </c:pt>
                <c:pt idx="33">
                  <c:v>45.3</c:v>
                </c:pt>
                <c:pt idx="34">
                  <c:v>45.3</c:v>
                </c:pt>
                <c:pt idx="35">
                  <c:v>45.3</c:v>
                </c:pt>
                <c:pt idx="36">
                  <c:v>45.3</c:v>
                </c:pt>
                <c:pt idx="37">
                  <c:v>45.3</c:v>
                </c:pt>
                <c:pt idx="38">
                  <c:v>45.3</c:v>
                </c:pt>
              </c:numCache>
            </c:numRef>
          </c:yVal>
          <c:smooth val="0"/>
          <c:extLst>
            <c:ext xmlns:c16="http://schemas.microsoft.com/office/drawing/2014/chart" uri="{C3380CC4-5D6E-409C-BE32-E72D297353CC}">
              <c16:uniqueId val="{00000001-46D1-4D17-98DC-4EC732CA95E1}"/>
            </c:ext>
          </c:extLst>
        </c:ser>
        <c:dLbls>
          <c:showLegendKey val="0"/>
          <c:showVal val="0"/>
          <c:showCatName val="0"/>
          <c:showSerName val="0"/>
          <c:showPercent val="0"/>
          <c:showBubbleSize val="0"/>
        </c:dLbls>
        <c:axId val="327346176"/>
        <c:axId val="327346960"/>
      </c:scatterChart>
      <c:valAx>
        <c:axId val="327346176"/>
        <c:scaling>
          <c:orientation val="minMax"/>
          <c:max val="40"/>
          <c:min val="2"/>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もろみ日数</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27346960"/>
        <c:crosses val="autoZero"/>
        <c:crossBetween val="midCat"/>
      </c:valAx>
      <c:valAx>
        <c:axId val="32734696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tLang="ja-JP"/>
                  <a:t>BMD</a:t>
                </a:r>
                <a:endParaRPr lang="ja-JP" alt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_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27346176"/>
        <c:crosses val="autoZero"/>
        <c:crossBetween val="midCat"/>
      </c:valAx>
      <c:spPr>
        <a:noFill/>
        <a:ln>
          <a:noFill/>
        </a:ln>
        <a:effectLst/>
      </c:spPr>
    </c:plotArea>
    <c:legend>
      <c:legendPos val="r"/>
      <c:layout>
        <c:manualLayout>
          <c:xMode val="edge"/>
          <c:yMode val="edge"/>
          <c:x val="0.68078522992763135"/>
          <c:y val="0.23854722282306054"/>
          <c:w val="0.22913105210173415"/>
          <c:h val="0.1448507992294954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A</a:t>
            </a:r>
            <a:r>
              <a:rPr lang="ja-JP" altLang="en-US"/>
              <a:t>－</a:t>
            </a:r>
            <a:r>
              <a:rPr lang="en-US" altLang="ja-JP"/>
              <a:t>B</a:t>
            </a:r>
            <a:r>
              <a:rPr lang="ja-JP" altLang="en-US"/>
              <a:t>直線</a:t>
            </a:r>
            <a:endParaRPr lang="en-US" altLang="ja-JP"/>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4063879600421576E-2"/>
          <c:y val="0.10421500879720529"/>
          <c:w val="0.89111145454625607"/>
          <c:h val="0.8145799825986203"/>
        </c:manualLayout>
      </c:layout>
      <c:scatterChart>
        <c:scatterStyle val="lineMarker"/>
        <c:varyColors val="0"/>
        <c:ser>
          <c:idx val="0"/>
          <c:order val="0"/>
          <c:tx>
            <c:v>もろみのA-B直線</c:v>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〇号!$S$14:$BE$14</c:f>
              <c:numCache>
                <c:formatCode>0.0_ </c:formatCode>
                <c:ptCount val="39"/>
              </c:numCache>
            </c:numRef>
          </c:xVal>
          <c:yVal>
            <c:numRef>
              <c:f>〇号!$S$160:$BE$160</c:f>
              <c:numCache>
                <c:formatCode>General</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yVal>
          <c:smooth val="0"/>
          <c:extLst>
            <c:ext xmlns:c16="http://schemas.microsoft.com/office/drawing/2014/chart" uri="{C3380CC4-5D6E-409C-BE32-E72D297353CC}">
              <c16:uniqueId val="{00000000-95E7-42D3-80E8-1043EA72D560}"/>
            </c:ext>
          </c:extLst>
        </c:ser>
        <c:ser>
          <c:idx val="1"/>
          <c:order val="1"/>
          <c:tx>
            <c:v>上限A-B直線</c:v>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〇号!$S$170:$W$170</c:f>
              <c:numCache>
                <c:formatCode>0.0_ </c:formatCode>
                <c:ptCount val="5"/>
                <c:pt idx="0">
                  <c:v>5.3</c:v>
                </c:pt>
                <c:pt idx="1">
                  <c:v>7.9</c:v>
                </c:pt>
                <c:pt idx="2">
                  <c:v>11.4</c:v>
                </c:pt>
                <c:pt idx="3">
                  <c:v>13.6</c:v>
                </c:pt>
                <c:pt idx="4">
                  <c:v>16</c:v>
                </c:pt>
              </c:numCache>
            </c:numRef>
          </c:xVal>
          <c:yVal>
            <c:numRef>
              <c:f>〇号!$S$162:$W$162</c:f>
              <c:numCache>
                <c:formatCode>General</c:formatCode>
                <c:ptCount val="5"/>
                <c:pt idx="0">
                  <c:v>7.6</c:v>
                </c:pt>
                <c:pt idx="1">
                  <c:v>6.2</c:v>
                </c:pt>
                <c:pt idx="2">
                  <c:v>3.8</c:v>
                </c:pt>
                <c:pt idx="3">
                  <c:v>2.2999999999999998</c:v>
                </c:pt>
                <c:pt idx="4">
                  <c:v>0.83</c:v>
                </c:pt>
              </c:numCache>
            </c:numRef>
          </c:yVal>
          <c:smooth val="0"/>
          <c:extLst>
            <c:ext xmlns:c16="http://schemas.microsoft.com/office/drawing/2014/chart" uri="{C3380CC4-5D6E-409C-BE32-E72D297353CC}">
              <c16:uniqueId val="{00000001-95E7-42D3-80E8-1043EA72D560}"/>
            </c:ext>
          </c:extLst>
        </c:ser>
        <c:ser>
          <c:idx val="2"/>
          <c:order val="2"/>
          <c:tx>
            <c:v>下限A-B直線</c:v>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〇号!$S$171:$W$171</c:f>
              <c:numCache>
                <c:formatCode>0.0_ </c:formatCode>
                <c:ptCount val="5"/>
                <c:pt idx="0">
                  <c:v>3.8</c:v>
                </c:pt>
                <c:pt idx="1">
                  <c:v>5.5</c:v>
                </c:pt>
                <c:pt idx="2">
                  <c:v>9</c:v>
                </c:pt>
                <c:pt idx="3">
                  <c:v>14.1</c:v>
                </c:pt>
                <c:pt idx="4">
                  <c:v>15.8</c:v>
                </c:pt>
              </c:numCache>
            </c:numRef>
          </c:xVal>
          <c:yVal>
            <c:numRef>
              <c:f>〇号!$S$163:$W$163</c:f>
              <c:numCache>
                <c:formatCode>General</c:formatCode>
                <c:ptCount val="5"/>
                <c:pt idx="0">
                  <c:v>5.4</c:v>
                </c:pt>
                <c:pt idx="1">
                  <c:v>5.2</c:v>
                </c:pt>
                <c:pt idx="2">
                  <c:v>3.4</c:v>
                </c:pt>
                <c:pt idx="3">
                  <c:v>0.97</c:v>
                </c:pt>
                <c:pt idx="4">
                  <c:v>0.1</c:v>
                </c:pt>
              </c:numCache>
            </c:numRef>
          </c:yVal>
          <c:smooth val="0"/>
          <c:extLst>
            <c:ext xmlns:c16="http://schemas.microsoft.com/office/drawing/2014/chart" uri="{C3380CC4-5D6E-409C-BE32-E72D297353CC}">
              <c16:uniqueId val="{00000002-95E7-42D3-80E8-1043EA72D560}"/>
            </c:ext>
          </c:extLst>
        </c:ser>
        <c:dLbls>
          <c:showLegendKey val="0"/>
          <c:showVal val="0"/>
          <c:showCatName val="0"/>
          <c:showSerName val="0"/>
          <c:showPercent val="0"/>
          <c:showBubbleSize val="0"/>
        </c:dLbls>
        <c:axId val="327345784"/>
        <c:axId val="463041496"/>
      </c:scatterChart>
      <c:valAx>
        <c:axId val="327345784"/>
        <c:scaling>
          <c:orientation val="minMax"/>
          <c:min val="0"/>
        </c:scaling>
        <c:delete val="0"/>
        <c:axPos val="b"/>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アルコール分</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_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63041496"/>
        <c:crosses val="autoZero"/>
        <c:crossBetween val="midCat"/>
        <c:minorUnit val="0.5"/>
      </c:valAx>
      <c:valAx>
        <c:axId val="463041496"/>
        <c:scaling>
          <c:orientation val="minMax"/>
          <c:max val="8"/>
          <c:min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ボーメ</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27345784"/>
        <c:crosses val="autoZero"/>
        <c:crossBetween val="midCat"/>
        <c:minorUnit val="0.5"/>
      </c:valAx>
      <c:spPr>
        <a:noFill/>
        <a:ln>
          <a:noFill/>
        </a:ln>
        <a:effectLst/>
      </c:spPr>
    </c:plotArea>
    <c:legend>
      <c:legendPos val="r"/>
      <c:layout>
        <c:manualLayout>
          <c:xMode val="edge"/>
          <c:yMode val="edge"/>
          <c:x val="0.62367568277708241"/>
          <c:y val="0.19139186106409595"/>
          <c:w val="0.28001381937865272"/>
          <c:h val="0.293820884538965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ja-JP" altLang="en-US" sz="1800"/>
              <a:t>原エキス分</a:t>
            </a:r>
            <a:r>
              <a:rPr lang="en-US" altLang="ja-JP" sz="1800"/>
              <a:t>100</a:t>
            </a:r>
            <a:r>
              <a:rPr lang="ja-JP" altLang="en-US" sz="1800"/>
              <a:t>％換算値（米の溶け具合）</a:t>
            </a:r>
          </a:p>
        </c:rich>
      </c:tx>
      <c:layout>
        <c:manualLayout>
          <c:xMode val="edge"/>
          <c:yMode val="edge"/>
          <c:x val="0.18677068045709069"/>
          <c:y val="1.7961828832604384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5643511707739655E-2"/>
          <c:y val="8.6516426312983272E-2"/>
          <c:w val="0.88196508733090884"/>
          <c:h val="0.78313715374127901"/>
        </c:manualLayout>
      </c:layout>
      <c:scatterChart>
        <c:scatterStyle val="lineMarker"/>
        <c:varyColors val="0"/>
        <c:ser>
          <c:idx val="11"/>
          <c:order val="0"/>
          <c:tx>
            <c:v>"R4,5全国金賞中間"</c:v>
          </c:tx>
          <c:spPr>
            <a:ln w="25400" cap="rnd">
              <a:noFill/>
              <a:round/>
            </a:ln>
            <a:effectLst/>
          </c:spPr>
          <c:marker>
            <c:symbol val="circle"/>
            <c:size val="5"/>
            <c:spPr>
              <a:solidFill>
                <a:schemeClr val="accent6">
                  <a:lumMod val="60000"/>
                </a:schemeClr>
              </a:solidFill>
              <a:ln w="9525">
                <a:solidFill>
                  <a:schemeClr val="accent6">
                    <a:lumMod val="60000"/>
                  </a:schemeClr>
                </a:solidFill>
              </a:ln>
              <a:effectLst/>
            </c:spPr>
          </c:marker>
          <c:xVal>
            <c:numRef>
              <c:f>'原エキス分100％・発酵度など'!$F$462:$AG$462</c:f>
              <c:numCache>
                <c:formatCode>General</c:formatCode>
                <c:ptCount val="28"/>
                <c:pt idx="0">
                  <c:v>3</c:v>
                </c:pt>
                <c:pt idx="1">
                  <c:v>4</c:v>
                </c:pt>
                <c:pt idx="2">
                  <c:v>5</c:v>
                </c:pt>
                <c:pt idx="3">
                  <c:v>6</c:v>
                </c:pt>
                <c:pt idx="4">
                  <c:v>7</c:v>
                </c:pt>
                <c:pt idx="5">
                  <c:v>8</c:v>
                </c:pt>
                <c:pt idx="6">
                  <c:v>9</c:v>
                </c:pt>
                <c:pt idx="7">
                  <c:v>10</c:v>
                </c:pt>
                <c:pt idx="8">
                  <c:v>11</c:v>
                </c:pt>
                <c:pt idx="9">
                  <c:v>12</c:v>
                </c:pt>
                <c:pt idx="10">
                  <c:v>13</c:v>
                </c:pt>
                <c:pt idx="11">
                  <c:v>14</c:v>
                </c:pt>
                <c:pt idx="12">
                  <c:v>15</c:v>
                </c:pt>
                <c:pt idx="13">
                  <c:v>16</c:v>
                </c:pt>
                <c:pt idx="14">
                  <c:v>17</c:v>
                </c:pt>
                <c:pt idx="15">
                  <c:v>18</c:v>
                </c:pt>
                <c:pt idx="16">
                  <c:v>19</c:v>
                </c:pt>
                <c:pt idx="17">
                  <c:v>20</c:v>
                </c:pt>
                <c:pt idx="18">
                  <c:v>21</c:v>
                </c:pt>
                <c:pt idx="19">
                  <c:v>22</c:v>
                </c:pt>
                <c:pt idx="20">
                  <c:v>23</c:v>
                </c:pt>
                <c:pt idx="21">
                  <c:v>24</c:v>
                </c:pt>
                <c:pt idx="22">
                  <c:v>25</c:v>
                </c:pt>
                <c:pt idx="23">
                  <c:v>26</c:v>
                </c:pt>
                <c:pt idx="24">
                  <c:v>27</c:v>
                </c:pt>
                <c:pt idx="25">
                  <c:v>28</c:v>
                </c:pt>
                <c:pt idx="26">
                  <c:v>29</c:v>
                </c:pt>
                <c:pt idx="27">
                  <c:v>30</c:v>
                </c:pt>
              </c:numCache>
            </c:numRef>
          </c:xVal>
          <c:yVal>
            <c:numRef>
              <c:f>'原エキス分100％・発酵度など'!$F$463:$AG$463</c:f>
              <c:numCache>
                <c:formatCode>General</c:formatCode>
                <c:ptCount val="28"/>
                <c:pt idx="0">
                  <c:v>24.97</c:v>
                </c:pt>
                <c:pt idx="1">
                  <c:v>27.307494444444444</c:v>
                </c:pt>
                <c:pt idx="2">
                  <c:v>29.743182205513779</c:v>
                </c:pt>
                <c:pt idx="3">
                  <c:v>31.662791587811398</c:v>
                </c:pt>
                <c:pt idx="4">
                  <c:v>33.020864129558824</c:v>
                </c:pt>
                <c:pt idx="5">
                  <c:v>34.834514930009398</c:v>
                </c:pt>
                <c:pt idx="6">
                  <c:v>35.724651175730237</c:v>
                </c:pt>
                <c:pt idx="7">
                  <c:v>36.625600528661984</c:v>
                </c:pt>
                <c:pt idx="8">
                  <c:v>37.582914118268107</c:v>
                </c:pt>
                <c:pt idx="9">
                  <c:v>38.617073395578849</c:v>
                </c:pt>
                <c:pt idx="10">
                  <c:v>39.460063145750112</c:v>
                </c:pt>
                <c:pt idx="11">
                  <c:v>40.476775660064312</c:v>
                </c:pt>
                <c:pt idx="12">
                  <c:v>40.99421424699495</c:v>
                </c:pt>
                <c:pt idx="13">
                  <c:v>41.45538624664173</c:v>
                </c:pt>
                <c:pt idx="14">
                  <c:v>42.188824142048034</c:v>
                </c:pt>
                <c:pt idx="15">
                  <c:v>42.995974867105019</c:v>
                </c:pt>
                <c:pt idx="16">
                  <c:v>43.48771579184308</c:v>
                </c:pt>
                <c:pt idx="17">
                  <c:v>44.196344866872565</c:v>
                </c:pt>
                <c:pt idx="18">
                  <c:v>44.411181004984655</c:v>
                </c:pt>
                <c:pt idx="19">
                  <c:v>44.957962494420556</c:v>
                </c:pt>
                <c:pt idx="20">
                  <c:v>44.938094052655792</c:v>
                </c:pt>
                <c:pt idx="21">
                  <c:v>45.397418444275409</c:v>
                </c:pt>
                <c:pt idx="24">
                  <c:v>46.281574772320127</c:v>
                </c:pt>
                <c:pt idx="25">
                  <c:v>46.564983401449823</c:v>
                </c:pt>
              </c:numCache>
            </c:numRef>
          </c:yVal>
          <c:smooth val="0"/>
          <c:extLst>
            <c:ext xmlns:c16="http://schemas.microsoft.com/office/drawing/2014/chart" uri="{C3380CC4-5D6E-409C-BE32-E72D297353CC}">
              <c16:uniqueId val="{00000004-B36C-472C-9866-4623822CC465}"/>
            </c:ext>
          </c:extLst>
        </c:ser>
        <c:ser>
          <c:idx val="9"/>
          <c:order val="1"/>
          <c:tx>
            <c:strRef>
              <c:f>'原エキス分100％・発酵度など'!$D$384</c:f>
              <c:strCache>
                <c:ptCount val="1"/>
                <c:pt idx="0">
                  <c:v>R4,5全国金賞上限</c:v>
                </c:pt>
              </c:strCache>
              <c:extLst xmlns:c15="http://schemas.microsoft.com/office/drawing/2012/chart"/>
            </c:strRef>
          </c:tx>
          <c:spPr>
            <a:ln w="25400" cap="rnd">
              <a:noFill/>
              <a:round/>
            </a:ln>
            <a:effectLst/>
          </c:spPr>
          <c:marker>
            <c:symbol val="circle"/>
            <c:size val="5"/>
            <c:spPr>
              <a:solidFill>
                <a:schemeClr val="accent4">
                  <a:lumMod val="60000"/>
                </a:schemeClr>
              </a:solidFill>
              <a:ln w="9525">
                <a:solidFill>
                  <a:schemeClr val="accent4">
                    <a:lumMod val="60000"/>
                  </a:schemeClr>
                </a:solidFill>
              </a:ln>
              <a:effectLst/>
            </c:spPr>
          </c:marker>
          <c:xVal>
            <c:numRef>
              <c:f>'原エキス分100％・発酵度など'!$D$392:$AQ$392</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'原エキス分100％・発酵度など'!$D$399:$AQ$399</c:f>
              <c:numCache>
                <c:formatCode>0.0_ </c:formatCode>
                <c:ptCount val="40"/>
                <c:pt idx="1">
                  <c:v>27.135000000000002</c:v>
                </c:pt>
                <c:pt idx="2">
                  <c:v>28.484999999999999</c:v>
                </c:pt>
                <c:pt idx="3">
                  <c:v>31.4</c:v>
                </c:pt>
                <c:pt idx="4">
                  <c:v>34.299999999999997</c:v>
                </c:pt>
                <c:pt idx="5">
                  <c:v>36.5</c:v>
                </c:pt>
                <c:pt idx="6">
                  <c:v>38.200000000000003</c:v>
                </c:pt>
                <c:pt idx="7">
                  <c:v>39.1</c:v>
                </c:pt>
                <c:pt idx="8">
                  <c:v>40.5</c:v>
                </c:pt>
                <c:pt idx="9">
                  <c:v>41.2</c:v>
                </c:pt>
                <c:pt idx="10">
                  <c:v>42.5</c:v>
                </c:pt>
                <c:pt idx="11">
                  <c:v>43.5</c:v>
                </c:pt>
                <c:pt idx="12">
                  <c:v>43.9</c:v>
                </c:pt>
                <c:pt idx="13">
                  <c:v>44.9</c:v>
                </c:pt>
                <c:pt idx="14">
                  <c:v>45.7</c:v>
                </c:pt>
                <c:pt idx="15">
                  <c:v>46.7</c:v>
                </c:pt>
                <c:pt idx="16">
                  <c:v>47.3</c:v>
                </c:pt>
                <c:pt idx="17">
                  <c:v>47.6</c:v>
                </c:pt>
                <c:pt idx="18">
                  <c:v>48.1</c:v>
                </c:pt>
                <c:pt idx="19">
                  <c:v>48.704999999999998</c:v>
                </c:pt>
                <c:pt idx="20">
                  <c:v>49.1</c:v>
                </c:pt>
                <c:pt idx="21">
                  <c:v>0</c:v>
                </c:pt>
                <c:pt idx="22">
                  <c:v>0</c:v>
                </c:pt>
                <c:pt idx="23">
                  <c:v>49.66</c:v>
                </c:pt>
                <c:pt idx="24">
                  <c:v>0</c:v>
                </c:pt>
                <c:pt idx="25">
                  <c:v>50.1</c:v>
                </c:pt>
                <c:pt idx="26">
                  <c:v>50.357480314960632</c:v>
                </c:pt>
                <c:pt idx="27">
                  <c:v>0</c:v>
                </c:pt>
                <c:pt idx="28">
                  <c:v>51.509448818897638</c:v>
                </c:pt>
                <c:pt idx="29">
                  <c:v>0</c:v>
                </c:pt>
                <c:pt idx="30">
                  <c:v>0</c:v>
                </c:pt>
                <c:pt idx="31">
                  <c:v>0</c:v>
                </c:pt>
                <c:pt idx="32">
                  <c:v>0</c:v>
                </c:pt>
                <c:pt idx="33">
                  <c:v>0</c:v>
                </c:pt>
                <c:pt idx="34">
                  <c:v>0</c:v>
                </c:pt>
                <c:pt idx="35">
                  <c:v>0</c:v>
                </c:pt>
                <c:pt idx="36">
                  <c:v>0</c:v>
                </c:pt>
                <c:pt idx="37">
                  <c:v>0</c:v>
                </c:pt>
                <c:pt idx="38">
                  <c:v>0</c:v>
                </c:pt>
                <c:pt idx="39">
                  <c:v>0</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6-B6EA-47B3-BDF6-3A7CCED43AA8}"/>
            </c:ext>
          </c:extLst>
        </c:ser>
        <c:ser>
          <c:idx val="10"/>
          <c:order val="2"/>
          <c:tx>
            <c:strRef>
              <c:f>'原エキス分100％・発酵度など'!$D$422</c:f>
              <c:strCache>
                <c:ptCount val="1"/>
                <c:pt idx="0">
                  <c:v>R4,5全国金賞下限</c:v>
                </c:pt>
              </c:strCache>
              <c:extLst xmlns:c15="http://schemas.microsoft.com/office/drawing/2012/chart"/>
            </c:strRef>
          </c:tx>
          <c:spPr>
            <a:ln w="25400" cap="rnd">
              <a:noFill/>
              <a:round/>
            </a:ln>
            <a:effectLst/>
          </c:spPr>
          <c:marker>
            <c:symbol val="circle"/>
            <c:size val="5"/>
            <c:spPr>
              <a:solidFill>
                <a:schemeClr val="accent5">
                  <a:lumMod val="60000"/>
                </a:schemeClr>
              </a:solidFill>
              <a:ln w="9525">
                <a:solidFill>
                  <a:schemeClr val="accent5">
                    <a:lumMod val="60000"/>
                  </a:schemeClr>
                </a:solidFill>
              </a:ln>
              <a:effectLst/>
            </c:spPr>
          </c:marker>
          <c:xVal>
            <c:numRef>
              <c:f>'原エキス分100％・発酵度など'!$D$430:$AQ$430</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'原エキス分100％・発酵度など'!$D$437:$AQ$437</c:f>
              <c:numCache>
                <c:formatCode>0.0_ </c:formatCode>
                <c:ptCount val="40"/>
                <c:pt idx="1">
                  <c:v>0</c:v>
                </c:pt>
                <c:pt idx="2">
                  <c:v>22.8</c:v>
                </c:pt>
                <c:pt idx="3">
                  <c:v>24.113066666666668</c:v>
                </c:pt>
                <c:pt idx="4">
                  <c:v>25.603199999999998</c:v>
                </c:pt>
                <c:pt idx="5">
                  <c:v>0</c:v>
                </c:pt>
                <c:pt idx="6">
                  <c:v>28.572916666666675</c:v>
                </c:pt>
                <c:pt idx="7">
                  <c:v>0</c:v>
                </c:pt>
                <c:pt idx="8">
                  <c:v>31.687500000000004</c:v>
                </c:pt>
                <c:pt idx="9">
                  <c:v>33.041666666666671</c:v>
                </c:pt>
                <c:pt idx="10">
                  <c:v>0</c:v>
                </c:pt>
                <c:pt idx="11">
                  <c:v>34.531250000000007</c:v>
                </c:pt>
                <c:pt idx="12">
                  <c:v>35.343750000000007</c:v>
                </c:pt>
                <c:pt idx="13">
                  <c:v>35.885416666666671</c:v>
                </c:pt>
                <c:pt idx="14">
                  <c:v>36.697916666666671</c:v>
                </c:pt>
                <c:pt idx="15">
                  <c:v>37.645833333333343</c:v>
                </c:pt>
                <c:pt idx="16">
                  <c:v>38.052083333333343</c:v>
                </c:pt>
                <c:pt idx="17">
                  <c:v>38.357380952380957</c:v>
                </c:pt>
                <c:pt idx="18">
                  <c:v>38.771309523809528</c:v>
                </c:pt>
                <c:pt idx="19">
                  <c:v>39.323214285714286</c:v>
                </c:pt>
                <c:pt idx="20">
                  <c:v>39.323214285714286</c:v>
                </c:pt>
                <c:pt idx="21">
                  <c:v>39.875119047619044</c:v>
                </c:pt>
                <c:pt idx="22">
                  <c:v>40.013095238095239</c:v>
                </c:pt>
                <c:pt idx="23">
                  <c:v>40.289047619047622</c:v>
                </c:pt>
                <c:pt idx="24">
                  <c:v>40.289047619047622</c:v>
                </c:pt>
                <c:pt idx="25">
                  <c:v>40.840952380952388</c:v>
                </c:pt>
                <c:pt idx="26">
                  <c:v>41.116904761904763</c:v>
                </c:pt>
                <c:pt idx="27">
                  <c:v>41.254880952380951</c:v>
                </c:pt>
                <c:pt idx="28">
                  <c:v>41.806785714285716</c:v>
                </c:pt>
                <c:pt idx="29">
                  <c:v>42.082738095238099</c:v>
                </c:pt>
                <c:pt idx="30">
                  <c:v>0</c:v>
                </c:pt>
                <c:pt idx="31">
                  <c:v>0</c:v>
                </c:pt>
                <c:pt idx="32">
                  <c:v>0</c:v>
                </c:pt>
                <c:pt idx="33">
                  <c:v>0</c:v>
                </c:pt>
                <c:pt idx="34">
                  <c:v>0</c:v>
                </c:pt>
                <c:pt idx="35">
                  <c:v>0</c:v>
                </c:pt>
                <c:pt idx="36">
                  <c:v>0</c:v>
                </c:pt>
                <c:pt idx="37">
                  <c:v>0</c:v>
                </c:pt>
                <c:pt idx="38">
                  <c:v>0</c:v>
                </c:pt>
                <c:pt idx="39">
                  <c:v>0</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7-B6EA-47B3-BDF6-3A7CCED43AA8}"/>
            </c:ext>
          </c:extLst>
        </c:ser>
        <c:ser>
          <c:idx val="0"/>
          <c:order val="3"/>
          <c:tx>
            <c:strRef>
              <c:f>'原エキス分100％・発酵度など'!$D$2</c:f>
              <c:strCache>
                <c:ptCount val="1"/>
                <c:pt idx="0">
                  <c:v>〇号</c:v>
                </c:pt>
              </c:strCache>
              <c:extLst xmlns:c15="http://schemas.microsoft.com/office/drawing/2012/chart"/>
            </c:strRef>
          </c:tx>
          <c:spPr>
            <a:ln w="25400" cap="rnd">
              <a:noFill/>
              <a:round/>
            </a:ln>
            <a:effectLst/>
          </c:spPr>
          <c:marker>
            <c:symbol val="circle"/>
            <c:size val="5"/>
            <c:spPr>
              <a:solidFill>
                <a:schemeClr val="accent1"/>
              </a:solidFill>
              <a:ln w="9525">
                <a:solidFill>
                  <a:schemeClr val="accent1"/>
                </a:solidFill>
              </a:ln>
              <a:effectLst/>
            </c:spPr>
          </c:marker>
          <c:xVal>
            <c:numRef>
              <c:f>'原エキス分100％・発酵度など'!$D$10:$AQ$10</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'原エキス分100％・発酵度など'!$D$17:$AQ$17</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0-B6EA-47B3-BDF6-3A7CCED43AA8}"/>
            </c:ext>
          </c:extLst>
        </c:ser>
        <c:ser>
          <c:idx val="1"/>
          <c:order val="4"/>
          <c:tx>
            <c:strRef>
              <c:f>'原エキス分100％・発酵度など'!$D$48</c:f>
              <c:strCache>
                <c:ptCount val="1"/>
              </c:strCache>
              <c:extLst xmlns:c15="http://schemas.microsoft.com/office/drawing/2012/chart"/>
            </c:strRef>
          </c:tx>
          <c:spPr>
            <a:ln w="25400" cap="rnd">
              <a:noFill/>
              <a:round/>
            </a:ln>
            <a:effectLst/>
          </c:spPr>
          <c:marker>
            <c:symbol val="circle"/>
            <c:size val="5"/>
            <c:spPr>
              <a:solidFill>
                <a:schemeClr val="accent2"/>
              </a:solidFill>
              <a:ln w="9525">
                <a:solidFill>
                  <a:schemeClr val="accent2"/>
                </a:solidFill>
              </a:ln>
              <a:effectLst/>
            </c:spPr>
          </c:marker>
          <c:xVal>
            <c:numRef>
              <c:f>'原エキス分100％・発酵度など'!$D$56:$AQ$56</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'原エキス分100％・発酵度など'!$D$63:$AQ$63</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8-B6EA-47B3-BDF6-3A7CCED43AA8}"/>
            </c:ext>
          </c:extLst>
        </c:ser>
        <c:ser>
          <c:idx val="2"/>
          <c:order val="5"/>
          <c:tx>
            <c:strRef>
              <c:f>'原エキス分100％・発酵度など'!$D$90</c:f>
              <c:strCache>
                <c:ptCount val="1"/>
              </c:strCache>
              <c:extLst xmlns:c15="http://schemas.microsoft.com/office/drawing/2012/chart"/>
            </c:strRef>
          </c:tx>
          <c:spPr>
            <a:ln w="25400" cap="rnd">
              <a:noFill/>
              <a:round/>
            </a:ln>
            <a:effectLst/>
          </c:spPr>
          <c:marker>
            <c:symbol val="circle"/>
            <c:size val="5"/>
            <c:spPr>
              <a:solidFill>
                <a:schemeClr val="accent3"/>
              </a:solidFill>
              <a:ln w="9525">
                <a:solidFill>
                  <a:schemeClr val="accent3"/>
                </a:solidFill>
              </a:ln>
              <a:effectLst/>
            </c:spPr>
          </c:marker>
          <c:xVal>
            <c:numRef>
              <c:f>'原エキス分100％・発酵度など'!$D$98:$AQ$98</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'原エキス分100％・発酵度など'!$D$105:$AQ$105</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9-B6EA-47B3-BDF6-3A7CCED43AA8}"/>
            </c:ext>
          </c:extLst>
        </c:ser>
        <c:ser>
          <c:idx val="3"/>
          <c:order val="6"/>
          <c:tx>
            <c:strRef>
              <c:f>'原エキス分100％・発酵度など'!$D$132</c:f>
              <c:strCache>
                <c:ptCount val="1"/>
              </c:strCache>
              <c:extLst xmlns:c15="http://schemas.microsoft.com/office/drawing/2012/chart"/>
            </c:strRef>
          </c:tx>
          <c:spPr>
            <a:ln w="25400" cap="rnd">
              <a:noFill/>
              <a:round/>
            </a:ln>
            <a:effectLst/>
          </c:spPr>
          <c:marker>
            <c:symbol val="circle"/>
            <c:size val="5"/>
            <c:spPr>
              <a:solidFill>
                <a:schemeClr val="accent4"/>
              </a:solidFill>
              <a:ln w="9525">
                <a:solidFill>
                  <a:schemeClr val="accent4"/>
                </a:solidFill>
              </a:ln>
              <a:effectLst/>
            </c:spPr>
          </c:marker>
          <c:xVal>
            <c:numRef>
              <c:f>'原エキス分100％・発酵度など'!$D$140:$AQ$140</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'原エキス分100％・発酵度など'!$D$147:$AQ$147</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A-B6EA-47B3-BDF6-3A7CCED43AA8}"/>
            </c:ext>
          </c:extLst>
        </c:ser>
        <c:ser>
          <c:idx val="4"/>
          <c:order val="7"/>
          <c:tx>
            <c:strRef>
              <c:f>'原エキス分100％・発酵度など'!$D$174</c:f>
              <c:strCache>
                <c:ptCount val="1"/>
              </c:strCache>
              <c:extLst xmlns:c15="http://schemas.microsoft.com/office/drawing/2012/chart"/>
            </c:strRef>
          </c:tx>
          <c:spPr>
            <a:ln w="25400" cap="rnd">
              <a:noFill/>
              <a:round/>
            </a:ln>
            <a:effectLst/>
          </c:spPr>
          <c:marker>
            <c:symbol val="circle"/>
            <c:size val="5"/>
            <c:spPr>
              <a:solidFill>
                <a:schemeClr val="accent5"/>
              </a:solidFill>
              <a:ln w="9525">
                <a:solidFill>
                  <a:schemeClr val="accent5"/>
                </a:solidFill>
              </a:ln>
              <a:effectLst/>
            </c:spPr>
          </c:marker>
          <c:xVal>
            <c:numRef>
              <c:f>'原エキス分100％・発酵度など'!$D$182:$AQ$182</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'原エキス分100％・発酵度など'!$D$189:$AQ$189</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1-B6EA-47B3-BDF6-3A7CCED43AA8}"/>
            </c:ext>
          </c:extLst>
        </c:ser>
        <c:ser>
          <c:idx val="5"/>
          <c:order val="8"/>
          <c:tx>
            <c:strRef>
              <c:f>'原エキス分100％・発酵度など'!$D$216</c:f>
              <c:strCache>
                <c:ptCount val="1"/>
              </c:strCache>
              <c:extLst xmlns:c15="http://schemas.microsoft.com/office/drawing/2012/chart"/>
            </c:strRef>
          </c:tx>
          <c:spPr>
            <a:ln w="25400" cap="rnd">
              <a:noFill/>
              <a:round/>
            </a:ln>
            <a:effectLst/>
          </c:spPr>
          <c:marker>
            <c:symbol val="circle"/>
            <c:size val="5"/>
            <c:spPr>
              <a:solidFill>
                <a:schemeClr val="accent6"/>
              </a:solidFill>
              <a:ln w="9525">
                <a:solidFill>
                  <a:schemeClr val="accent6"/>
                </a:solidFill>
              </a:ln>
              <a:effectLst/>
            </c:spPr>
          </c:marker>
          <c:xVal>
            <c:numRef>
              <c:f>'原エキス分100％・発酵度など'!$D$224:$AQ$224</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'原エキス分100％・発酵度など'!$D$231:$AQ$231</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2-B6EA-47B3-BDF6-3A7CCED43AA8}"/>
            </c:ext>
          </c:extLst>
        </c:ser>
        <c:ser>
          <c:idx val="6"/>
          <c:order val="9"/>
          <c:tx>
            <c:strRef>
              <c:f>'原エキス分100％・発酵度など'!$D$258</c:f>
              <c:strCache>
                <c:ptCount val="1"/>
              </c:strCache>
            </c:strRef>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xVal>
            <c:numRef>
              <c:f>'原エキス分100％・発酵度など'!$D$266:$AQ$266</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xVal>
          <c:yVal>
            <c:numRef>
              <c:f>'原エキス分100％・発酵度など'!$D$273:$AQ$273</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yVal>
          <c:smooth val="0"/>
          <c:extLst xmlns:c15="http://schemas.microsoft.com/office/drawing/2012/chart">
            <c:ext xmlns:c16="http://schemas.microsoft.com/office/drawing/2014/chart" uri="{C3380CC4-5D6E-409C-BE32-E72D297353CC}">
              <c16:uniqueId val="{00000003-B6EA-47B3-BDF6-3A7CCED43AA8}"/>
            </c:ext>
          </c:extLst>
        </c:ser>
        <c:ser>
          <c:idx val="7"/>
          <c:order val="10"/>
          <c:tx>
            <c:strRef>
              <c:f>'原エキス分100％・発酵度など'!$D$300</c:f>
              <c:strCache>
                <c:ptCount val="1"/>
              </c:strCache>
            </c:strRef>
          </c:tx>
          <c:spPr>
            <a:ln w="25400" cap="rnd">
              <a:noFill/>
              <a:round/>
            </a:ln>
            <a:effectLst/>
          </c:spPr>
          <c:marker>
            <c:symbol val="circle"/>
            <c:size val="5"/>
            <c:spPr>
              <a:solidFill>
                <a:schemeClr val="accent2">
                  <a:lumMod val="60000"/>
                </a:schemeClr>
              </a:solidFill>
              <a:ln w="9525">
                <a:solidFill>
                  <a:schemeClr val="accent2">
                    <a:lumMod val="60000"/>
                  </a:schemeClr>
                </a:solidFill>
              </a:ln>
              <a:effectLst/>
            </c:spPr>
          </c:marker>
          <c:xVal>
            <c:numRef>
              <c:f>'原エキス分100％・発酵度など'!$D$308:$AQ$308</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xVal>
          <c:yVal>
            <c:numRef>
              <c:f>'原エキス分100％・発酵度など'!$D$315:$AQ$315</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yVal>
          <c:smooth val="0"/>
          <c:extLst xmlns:c15="http://schemas.microsoft.com/office/drawing/2012/chart">
            <c:ext xmlns:c16="http://schemas.microsoft.com/office/drawing/2014/chart" uri="{C3380CC4-5D6E-409C-BE32-E72D297353CC}">
              <c16:uniqueId val="{00000004-B6EA-47B3-BDF6-3A7CCED43AA8}"/>
            </c:ext>
          </c:extLst>
        </c:ser>
        <c:ser>
          <c:idx val="8"/>
          <c:order val="11"/>
          <c:tx>
            <c:strRef>
              <c:f>'原エキス分100％・発酵度など'!$D$342</c:f>
              <c:strCache>
                <c:ptCount val="1"/>
              </c:strCache>
            </c:strRef>
          </c:tx>
          <c:spPr>
            <a:ln w="25400" cap="rnd">
              <a:noFill/>
              <a:round/>
            </a:ln>
            <a:effectLst/>
          </c:spPr>
          <c:marker>
            <c:symbol val="circle"/>
            <c:size val="5"/>
            <c:spPr>
              <a:solidFill>
                <a:schemeClr val="accent3">
                  <a:lumMod val="60000"/>
                </a:schemeClr>
              </a:solidFill>
              <a:ln w="9525">
                <a:solidFill>
                  <a:schemeClr val="accent3">
                    <a:lumMod val="60000"/>
                  </a:schemeClr>
                </a:solidFill>
              </a:ln>
              <a:effectLst/>
            </c:spPr>
          </c:marker>
          <c:xVal>
            <c:numRef>
              <c:f>'原エキス分100％・発酵度など'!$D$350:$AQ$350</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xVal>
          <c:yVal>
            <c:numRef>
              <c:f>'原エキス分100％・発酵度など'!$D$357:$AQ$357</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yVal>
          <c:smooth val="0"/>
          <c:extLst xmlns:c15="http://schemas.microsoft.com/office/drawing/2012/chart">
            <c:ext xmlns:c16="http://schemas.microsoft.com/office/drawing/2014/chart" uri="{C3380CC4-5D6E-409C-BE32-E72D297353CC}">
              <c16:uniqueId val="{00000005-B6EA-47B3-BDF6-3A7CCED43AA8}"/>
            </c:ext>
          </c:extLst>
        </c:ser>
        <c:dLbls>
          <c:showLegendKey val="0"/>
          <c:showVal val="0"/>
          <c:showCatName val="0"/>
          <c:showSerName val="0"/>
          <c:showPercent val="0"/>
          <c:showBubbleSize val="0"/>
        </c:dLbls>
        <c:axId val="399981712"/>
        <c:axId val="399984848"/>
        <c:extLst/>
      </c:scatterChart>
      <c:valAx>
        <c:axId val="399981712"/>
        <c:scaling>
          <c:orientation val="minMax"/>
          <c:max val="4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醪日数</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9984848"/>
        <c:crosses val="autoZero"/>
        <c:crossBetween val="midCat"/>
      </c:valAx>
      <c:valAx>
        <c:axId val="399984848"/>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原エキス分</a:t>
                </a:r>
                <a:r>
                  <a:rPr lang="en-US" altLang="ja-JP"/>
                  <a:t>100</a:t>
                </a:r>
                <a:r>
                  <a:rPr lang="ja-JP" altLang="en-US"/>
                  <a:t>％換算値</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9981712"/>
        <c:crosses val="autoZero"/>
        <c:crossBetween val="midCat"/>
      </c:valAx>
      <c:spPr>
        <a:noFill/>
        <a:ln w="25400">
          <a:noFill/>
        </a:ln>
        <a:effectLst/>
      </c:spPr>
    </c:plotArea>
    <c:legend>
      <c:legendPos val="r"/>
      <c:layout>
        <c:manualLayout>
          <c:xMode val="edge"/>
          <c:yMode val="edge"/>
          <c:x val="0.68301830556422272"/>
          <c:y val="0.351641146332413"/>
          <c:w val="0.20665386730436888"/>
          <c:h val="0.4456624055741245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4803149606299213" l="0.70866141732283472" r="0.70866141732283472" t="0.74803149606299213" header="0.31496062992125984" footer="0.31496062992125984"/>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ja-JP" altLang="en-US" sz="1800"/>
              <a:t>発酵度（糖化と発酵のバランス）</a:t>
            </a:r>
          </a:p>
        </c:rich>
      </c:tx>
      <c:layout>
        <c:manualLayout>
          <c:xMode val="edge"/>
          <c:yMode val="edge"/>
          <c:x val="0.28120634920634918"/>
          <c:y val="1.1551154515155296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8121546851440549E-2"/>
          <c:y val="8.1593353520264353E-2"/>
          <c:w val="0.93416296742994354"/>
          <c:h val="0.86073703267656987"/>
        </c:manualLayout>
      </c:layout>
      <c:scatterChart>
        <c:scatterStyle val="lineMarker"/>
        <c:varyColors val="0"/>
        <c:ser>
          <c:idx val="11"/>
          <c:order val="0"/>
          <c:tx>
            <c:v>R4,5全国金賞中間</c:v>
          </c:tx>
          <c:spPr>
            <a:ln w="25400" cap="rnd">
              <a:noFill/>
              <a:round/>
            </a:ln>
            <a:effectLst/>
          </c:spPr>
          <c:marker>
            <c:symbol val="circle"/>
            <c:size val="5"/>
            <c:spPr>
              <a:solidFill>
                <a:schemeClr val="accent6">
                  <a:lumMod val="60000"/>
                </a:schemeClr>
              </a:solidFill>
              <a:ln w="9525">
                <a:solidFill>
                  <a:schemeClr val="accent6">
                    <a:lumMod val="60000"/>
                  </a:schemeClr>
                </a:solidFill>
              </a:ln>
              <a:effectLst/>
            </c:spPr>
          </c:marker>
          <c:xVal>
            <c:numRef>
              <c:f>'原エキス分100％・発酵度など'!$D$459:$AQ$459</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xVal>
          <c:yVal>
            <c:numRef>
              <c:f>'原エキス分100％・発酵度など'!$D$460:$AQ$460</c:f>
              <c:numCache>
                <c:formatCode>General</c:formatCode>
                <c:ptCount val="40"/>
                <c:pt idx="1">
                  <c:v>0</c:v>
                </c:pt>
                <c:pt idx="2">
                  <c:v>24.133333333333336</c:v>
                </c:pt>
                <c:pt idx="3">
                  <c:v>29.025000000000002</c:v>
                </c:pt>
                <c:pt idx="4">
                  <c:v>32.9</c:v>
                </c:pt>
                <c:pt idx="5">
                  <c:v>36.587499999999999</c:v>
                </c:pt>
                <c:pt idx="6">
                  <c:v>41.121052631578948</c:v>
                </c:pt>
                <c:pt idx="7">
                  <c:v>46.711764705882345</c:v>
                </c:pt>
                <c:pt idx="8">
                  <c:v>51.188888888888897</c:v>
                </c:pt>
                <c:pt idx="9">
                  <c:v>55.055555555555557</c:v>
                </c:pt>
                <c:pt idx="10">
                  <c:v>58.524999999999999</c:v>
                </c:pt>
                <c:pt idx="11">
                  <c:v>61.929999999999993</c:v>
                </c:pt>
                <c:pt idx="12">
                  <c:v>65.086363636363657</c:v>
                </c:pt>
                <c:pt idx="13">
                  <c:v>67.104761904761901</c:v>
                </c:pt>
                <c:pt idx="14">
                  <c:v>69.247619047619025</c:v>
                </c:pt>
                <c:pt idx="15">
                  <c:v>70.60526315789474</c:v>
                </c:pt>
                <c:pt idx="16">
                  <c:v>72.257142857142838</c:v>
                </c:pt>
                <c:pt idx="17">
                  <c:v>73.257142857142853</c:v>
                </c:pt>
                <c:pt idx="18">
                  <c:v>74.536363636363632</c:v>
                </c:pt>
                <c:pt idx="19">
                  <c:v>75.271428571428572</c:v>
                </c:pt>
                <c:pt idx="20">
                  <c:v>76.218181818181833</c:v>
                </c:pt>
                <c:pt idx="21">
                  <c:v>76.825000000000017</c:v>
                </c:pt>
                <c:pt idx="22">
                  <c:v>77.650000000000006</c:v>
                </c:pt>
                <c:pt idx="23">
                  <c:v>77.772222222222226</c:v>
                </c:pt>
                <c:pt idx="24">
                  <c:v>78.158823529411762</c:v>
                </c:pt>
                <c:pt idx="25">
                  <c:v>78.67647058823529</c:v>
                </c:pt>
                <c:pt idx="26">
                  <c:v>79.2</c:v>
                </c:pt>
                <c:pt idx="27">
                  <c:v>79.899999999999991</c:v>
                </c:pt>
                <c:pt idx="28">
                  <c:v>80.142857142857139</c:v>
                </c:pt>
                <c:pt idx="29">
                  <c:v>80.7</c:v>
                </c:pt>
              </c:numCache>
            </c:numRef>
          </c:yVal>
          <c:smooth val="0"/>
          <c:extLst>
            <c:ext xmlns:c16="http://schemas.microsoft.com/office/drawing/2014/chart" uri="{C3380CC4-5D6E-409C-BE32-E72D297353CC}">
              <c16:uniqueId val="{00000000-0E2F-4797-A08E-07963FB4BC1D}"/>
            </c:ext>
          </c:extLst>
        </c:ser>
        <c:ser>
          <c:idx val="9"/>
          <c:order val="1"/>
          <c:tx>
            <c:strRef>
              <c:f>'原エキス分100％・発酵度など'!$D$384</c:f>
              <c:strCache>
                <c:ptCount val="1"/>
                <c:pt idx="0">
                  <c:v>R4,5全国金賞上限</c:v>
                </c:pt>
              </c:strCache>
              <c:extLst xmlns:c15="http://schemas.microsoft.com/office/drawing/2012/chart"/>
            </c:strRef>
          </c:tx>
          <c:spPr>
            <a:ln w="25400" cap="rnd">
              <a:noFill/>
              <a:round/>
            </a:ln>
            <a:effectLst/>
          </c:spPr>
          <c:marker>
            <c:symbol val="circle"/>
            <c:size val="5"/>
            <c:spPr>
              <a:solidFill>
                <a:schemeClr val="accent4">
                  <a:lumMod val="60000"/>
                </a:schemeClr>
              </a:solidFill>
              <a:ln w="9525">
                <a:solidFill>
                  <a:schemeClr val="accent4">
                    <a:lumMod val="60000"/>
                  </a:schemeClr>
                </a:solidFill>
              </a:ln>
              <a:effectLst/>
            </c:spPr>
          </c:marker>
          <c:xVal>
            <c:numRef>
              <c:f>'原エキス分100％・発酵度など'!$D$392:$AQ$392</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'原エキス分100％・発酵度など'!$D$400:$AQ$400</c:f>
              <c:numCache>
                <c:formatCode>0.0_ </c:formatCode>
                <c:ptCount val="40"/>
                <c:pt idx="1">
                  <c:v>0</c:v>
                </c:pt>
                <c:pt idx="2">
                  <c:v>25.4</c:v>
                </c:pt>
                <c:pt idx="3">
                  <c:v>33.9</c:v>
                </c:pt>
                <c:pt idx="4">
                  <c:v>40.9</c:v>
                </c:pt>
                <c:pt idx="5">
                  <c:v>48.5</c:v>
                </c:pt>
                <c:pt idx="6">
                  <c:v>53.5</c:v>
                </c:pt>
                <c:pt idx="7">
                  <c:v>58.3</c:v>
                </c:pt>
                <c:pt idx="8">
                  <c:v>62</c:v>
                </c:pt>
                <c:pt idx="9">
                  <c:v>65.8</c:v>
                </c:pt>
                <c:pt idx="10">
                  <c:v>68.2</c:v>
                </c:pt>
                <c:pt idx="11">
                  <c:v>70.3</c:v>
                </c:pt>
                <c:pt idx="12">
                  <c:v>72.5</c:v>
                </c:pt>
                <c:pt idx="13">
                  <c:v>74</c:v>
                </c:pt>
                <c:pt idx="14">
                  <c:v>74.7</c:v>
                </c:pt>
                <c:pt idx="15">
                  <c:v>76.400000000000006</c:v>
                </c:pt>
                <c:pt idx="16">
                  <c:v>77.2</c:v>
                </c:pt>
                <c:pt idx="17">
                  <c:v>78.2</c:v>
                </c:pt>
                <c:pt idx="18">
                  <c:v>78.8</c:v>
                </c:pt>
                <c:pt idx="19">
                  <c:v>79.2</c:v>
                </c:pt>
                <c:pt idx="20">
                  <c:v>79.7</c:v>
                </c:pt>
                <c:pt idx="21">
                  <c:v>80.400000000000006</c:v>
                </c:pt>
                <c:pt idx="22">
                  <c:v>80.5</c:v>
                </c:pt>
                <c:pt idx="23">
                  <c:v>80.5</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9-9668-4214-B9EB-3B74DA7560D3}"/>
            </c:ext>
          </c:extLst>
        </c:ser>
        <c:ser>
          <c:idx val="10"/>
          <c:order val="2"/>
          <c:tx>
            <c:strRef>
              <c:f>'原エキス分100％・発酵度など'!$D$422</c:f>
              <c:strCache>
                <c:ptCount val="1"/>
                <c:pt idx="0">
                  <c:v>R4,5全国金賞下限</c:v>
                </c:pt>
              </c:strCache>
              <c:extLst xmlns:c15="http://schemas.microsoft.com/office/drawing/2012/chart"/>
            </c:strRef>
          </c:tx>
          <c:spPr>
            <a:ln w="25400" cap="rnd">
              <a:noFill/>
              <a:round/>
            </a:ln>
            <a:effectLst/>
          </c:spPr>
          <c:marker>
            <c:symbol val="circle"/>
            <c:size val="5"/>
            <c:spPr>
              <a:solidFill>
                <a:schemeClr val="accent5">
                  <a:lumMod val="60000"/>
                </a:schemeClr>
              </a:solidFill>
              <a:ln w="9525">
                <a:solidFill>
                  <a:schemeClr val="accent5">
                    <a:lumMod val="60000"/>
                  </a:schemeClr>
                </a:solidFill>
              </a:ln>
              <a:effectLst/>
            </c:spPr>
          </c:marker>
          <c:xVal>
            <c:numRef>
              <c:f>'原エキス分100％・発酵度など'!$D$430:$AQ$430</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'原エキス分100％・発酵度など'!$D$438:$AQ$438</c:f>
              <c:numCache>
                <c:formatCode>0.0_ </c:formatCode>
                <c:ptCount val="40"/>
                <c:pt idx="1">
                  <c:v>0</c:v>
                </c:pt>
                <c:pt idx="2">
                  <c:v>0</c:v>
                </c:pt>
                <c:pt idx="5">
                  <c:v>23.3</c:v>
                </c:pt>
                <c:pt idx="6">
                  <c:v>27.4</c:v>
                </c:pt>
                <c:pt idx="7">
                  <c:v>35.700000000000003</c:v>
                </c:pt>
                <c:pt idx="8">
                  <c:v>43.2</c:v>
                </c:pt>
                <c:pt idx="9">
                  <c:v>45.6</c:v>
                </c:pt>
                <c:pt idx="10">
                  <c:v>50.4</c:v>
                </c:pt>
                <c:pt idx="11">
                  <c:v>54.2</c:v>
                </c:pt>
                <c:pt idx="12">
                  <c:v>58.6</c:v>
                </c:pt>
                <c:pt idx="13">
                  <c:v>61.8</c:v>
                </c:pt>
                <c:pt idx="14">
                  <c:v>63.3</c:v>
                </c:pt>
                <c:pt idx="15">
                  <c:v>65.5</c:v>
                </c:pt>
                <c:pt idx="16">
                  <c:v>66.7</c:v>
                </c:pt>
                <c:pt idx="17">
                  <c:v>68.400000000000006</c:v>
                </c:pt>
                <c:pt idx="18">
                  <c:v>69.599999999999994</c:v>
                </c:pt>
                <c:pt idx="19">
                  <c:v>71</c:v>
                </c:pt>
                <c:pt idx="20">
                  <c:v>72.099999999999994</c:v>
                </c:pt>
                <c:pt idx="21">
                  <c:v>72.900000000000006</c:v>
                </c:pt>
                <c:pt idx="22">
                  <c:v>73.099999999999994</c:v>
                </c:pt>
                <c:pt idx="23">
                  <c:v>74.3</c:v>
                </c:pt>
                <c:pt idx="24">
                  <c:v>74.900000000000006</c:v>
                </c:pt>
                <c:pt idx="25">
                  <c:v>75</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A-9668-4214-B9EB-3B74DA7560D3}"/>
            </c:ext>
          </c:extLst>
        </c:ser>
        <c:ser>
          <c:idx val="0"/>
          <c:order val="3"/>
          <c:tx>
            <c:strRef>
              <c:f>'原エキス分100％・発酵度など'!$D$2</c:f>
              <c:strCache>
                <c:ptCount val="1"/>
                <c:pt idx="0">
                  <c:v>〇号</c:v>
                </c:pt>
              </c:strCache>
            </c:strRef>
          </c:tx>
          <c:spPr>
            <a:ln w="25400" cap="rnd">
              <a:noFill/>
              <a:round/>
            </a:ln>
            <a:effectLst/>
          </c:spPr>
          <c:marker>
            <c:symbol val="circle"/>
            <c:size val="5"/>
            <c:spPr>
              <a:solidFill>
                <a:schemeClr val="accent1"/>
              </a:solidFill>
              <a:ln w="9525">
                <a:solidFill>
                  <a:schemeClr val="accent1"/>
                </a:solidFill>
              </a:ln>
              <a:effectLst/>
            </c:spPr>
          </c:marker>
          <c:xVal>
            <c:numRef>
              <c:f>'原エキス分100％・発酵度など'!$D$10:$AQ$10</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xVal>
          <c:yVal>
            <c:numRef>
              <c:f>'原エキス分100％・発酵度など'!$D$18:$AQ$18</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yVal>
          <c:smooth val="0"/>
          <c:extLst>
            <c:ext xmlns:c16="http://schemas.microsoft.com/office/drawing/2014/chart" uri="{C3380CC4-5D6E-409C-BE32-E72D297353CC}">
              <c16:uniqueId val="{00000000-9668-4214-B9EB-3B74DA7560D3}"/>
            </c:ext>
          </c:extLst>
        </c:ser>
        <c:ser>
          <c:idx val="1"/>
          <c:order val="4"/>
          <c:tx>
            <c:strRef>
              <c:f>'原エキス分100％・発酵度など'!$D$48</c:f>
              <c:strCache>
                <c:ptCount val="1"/>
              </c:strCache>
              <c:extLst xmlns:c15="http://schemas.microsoft.com/office/drawing/2012/chart"/>
            </c:strRef>
          </c:tx>
          <c:spPr>
            <a:ln w="25400" cap="rnd">
              <a:noFill/>
              <a:round/>
            </a:ln>
            <a:effectLst/>
          </c:spPr>
          <c:marker>
            <c:symbol val="circle"/>
            <c:size val="5"/>
            <c:spPr>
              <a:solidFill>
                <a:schemeClr val="accent2"/>
              </a:solidFill>
              <a:ln w="9525">
                <a:solidFill>
                  <a:schemeClr val="accent2"/>
                </a:solidFill>
              </a:ln>
              <a:effectLst/>
            </c:spPr>
          </c:marker>
          <c:xVal>
            <c:numRef>
              <c:f>'原エキス分100％・発酵度など'!$D$56:$AQ$56</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'原エキス分100％・発酵度など'!$D$64:$AQ$64</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1-9668-4214-B9EB-3B74DA7560D3}"/>
            </c:ext>
          </c:extLst>
        </c:ser>
        <c:ser>
          <c:idx val="2"/>
          <c:order val="5"/>
          <c:tx>
            <c:strRef>
              <c:f>'原エキス分100％・発酵度など'!$D$90</c:f>
              <c:strCache>
                <c:ptCount val="1"/>
              </c:strCache>
            </c:strRef>
          </c:tx>
          <c:spPr>
            <a:ln w="25400" cap="rnd">
              <a:noFill/>
              <a:round/>
            </a:ln>
            <a:effectLst/>
          </c:spPr>
          <c:marker>
            <c:symbol val="circle"/>
            <c:size val="5"/>
            <c:spPr>
              <a:solidFill>
                <a:schemeClr val="accent3"/>
              </a:solidFill>
              <a:ln w="9525">
                <a:solidFill>
                  <a:schemeClr val="accent3"/>
                </a:solidFill>
              </a:ln>
              <a:effectLst/>
            </c:spPr>
          </c:marker>
          <c:xVal>
            <c:numRef>
              <c:f>'原エキス分100％・発酵度など'!$D$98:$AQ$98</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xVal>
          <c:yVal>
            <c:numRef>
              <c:f>'原エキス分100％・発酵度など'!$D$106:$AQ$106</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yVal>
          <c:smooth val="0"/>
          <c:extLst xmlns:c15="http://schemas.microsoft.com/office/drawing/2012/chart">
            <c:ext xmlns:c16="http://schemas.microsoft.com/office/drawing/2014/chart" uri="{C3380CC4-5D6E-409C-BE32-E72D297353CC}">
              <c16:uniqueId val="{00000002-9668-4214-B9EB-3B74DA7560D3}"/>
            </c:ext>
          </c:extLst>
        </c:ser>
        <c:ser>
          <c:idx val="3"/>
          <c:order val="6"/>
          <c:tx>
            <c:strRef>
              <c:f>'原エキス分100％・発酵度など'!$D$132</c:f>
              <c:strCache>
                <c:ptCount val="1"/>
              </c:strCache>
            </c:strRef>
          </c:tx>
          <c:spPr>
            <a:ln w="25400" cap="rnd">
              <a:noFill/>
              <a:round/>
            </a:ln>
            <a:effectLst/>
          </c:spPr>
          <c:marker>
            <c:symbol val="circle"/>
            <c:size val="5"/>
            <c:spPr>
              <a:solidFill>
                <a:schemeClr val="accent4"/>
              </a:solidFill>
              <a:ln w="9525">
                <a:solidFill>
                  <a:schemeClr val="accent4"/>
                </a:solidFill>
              </a:ln>
              <a:effectLst/>
            </c:spPr>
          </c:marker>
          <c:xVal>
            <c:numRef>
              <c:f>'原エキス分100％・発酵度など'!$D$140:$AQ$140</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xVal>
          <c:yVal>
            <c:numRef>
              <c:f>'原エキス分100％・発酵度など'!$D$148:$AQ$148</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yVal>
          <c:smooth val="0"/>
          <c:extLst xmlns:c15="http://schemas.microsoft.com/office/drawing/2012/chart">
            <c:ext xmlns:c16="http://schemas.microsoft.com/office/drawing/2014/chart" uri="{C3380CC4-5D6E-409C-BE32-E72D297353CC}">
              <c16:uniqueId val="{00000003-9668-4214-B9EB-3B74DA7560D3}"/>
            </c:ext>
          </c:extLst>
        </c:ser>
        <c:ser>
          <c:idx val="4"/>
          <c:order val="7"/>
          <c:tx>
            <c:strRef>
              <c:f>'原エキス分100％・発酵度など'!$D$174</c:f>
              <c:strCache>
                <c:ptCount val="1"/>
              </c:strCache>
              <c:extLst xmlns:c15="http://schemas.microsoft.com/office/drawing/2012/chart"/>
            </c:strRef>
          </c:tx>
          <c:spPr>
            <a:ln w="25400" cap="rnd">
              <a:noFill/>
              <a:round/>
            </a:ln>
            <a:effectLst/>
          </c:spPr>
          <c:marker>
            <c:symbol val="circle"/>
            <c:size val="5"/>
            <c:spPr>
              <a:solidFill>
                <a:schemeClr val="accent5"/>
              </a:solidFill>
              <a:ln w="9525">
                <a:solidFill>
                  <a:schemeClr val="accent5"/>
                </a:solidFill>
              </a:ln>
              <a:effectLst/>
            </c:spPr>
          </c:marker>
          <c:xVal>
            <c:numRef>
              <c:f>'原エキス分100％・発酵度など'!$D$182:$AQ$182</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'原エキス分100％・発酵度など'!$D$190:$AQ$190</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4-9668-4214-B9EB-3B74DA7560D3}"/>
            </c:ext>
          </c:extLst>
        </c:ser>
        <c:ser>
          <c:idx val="5"/>
          <c:order val="8"/>
          <c:tx>
            <c:strRef>
              <c:f>'原エキス分100％・発酵度など'!$D$216</c:f>
              <c:strCache>
                <c:ptCount val="1"/>
              </c:strCache>
              <c:extLst xmlns:c15="http://schemas.microsoft.com/office/drawing/2012/chart"/>
            </c:strRef>
          </c:tx>
          <c:spPr>
            <a:ln w="25400" cap="rnd">
              <a:noFill/>
              <a:round/>
            </a:ln>
            <a:effectLst/>
          </c:spPr>
          <c:marker>
            <c:symbol val="circle"/>
            <c:size val="5"/>
            <c:spPr>
              <a:solidFill>
                <a:schemeClr val="accent6"/>
              </a:solidFill>
              <a:ln w="9525">
                <a:solidFill>
                  <a:schemeClr val="accent6"/>
                </a:solidFill>
              </a:ln>
              <a:effectLst/>
            </c:spPr>
          </c:marker>
          <c:xVal>
            <c:numRef>
              <c:f>'原エキス分100％・発酵度など'!$D$224:$AQ$224</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'原エキス分100％・発酵度など'!$D$232:$AQ$232</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5-9668-4214-B9EB-3B74DA7560D3}"/>
            </c:ext>
          </c:extLst>
        </c:ser>
        <c:ser>
          <c:idx val="6"/>
          <c:order val="9"/>
          <c:tx>
            <c:strRef>
              <c:f>'原エキス分100％・発酵度など'!$D$258</c:f>
              <c:strCache>
                <c:ptCount val="1"/>
              </c:strCache>
              <c:extLst xmlns:c15="http://schemas.microsoft.com/office/drawing/2012/chart"/>
            </c:strRef>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xVal>
            <c:numRef>
              <c:f>'原エキス分100％・発酵度など'!$D$266:$AQ$266</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'原エキス分100％・発酵度など'!$D$274:$AQ$274</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6-9668-4214-B9EB-3B74DA7560D3}"/>
            </c:ext>
          </c:extLst>
        </c:ser>
        <c:ser>
          <c:idx val="7"/>
          <c:order val="10"/>
          <c:tx>
            <c:strRef>
              <c:f>'原エキス分100％・発酵度など'!$D$300</c:f>
              <c:strCache>
                <c:ptCount val="1"/>
              </c:strCache>
              <c:extLst xmlns:c15="http://schemas.microsoft.com/office/drawing/2012/chart"/>
            </c:strRef>
          </c:tx>
          <c:spPr>
            <a:ln w="25400" cap="rnd">
              <a:noFill/>
              <a:round/>
            </a:ln>
            <a:effectLst/>
          </c:spPr>
          <c:marker>
            <c:symbol val="circle"/>
            <c:size val="5"/>
            <c:spPr>
              <a:solidFill>
                <a:schemeClr val="accent2">
                  <a:lumMod val="60000"/>
                </a:schemeClr>
              </a:solidFill>
              <a:ln w="9525">
                <a:solidFill>
                  <a:schemeClr val="accent2">
                    <a:lumMod val="60000"/>
                  </a:schemeClr>
                </a:solidFill>
              </a:ln>
              <a:effectLst/>
            </c:spPr>
          </c:marker>
          <c:xVal>
            <c:numRef>
              <c:f>'原エキス分100％・発酵度など'!$D$308:$AQ$308</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'原エキス分100％・発酵度など'!$D$316:$AQ$316</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7-9668-4214-B9EB-3B74DA7560D3}"/>
            </c:ext>
          </c:extLst>
        </c:ser>
        <c:ser>
          <c:idx val="8"/>
          <c:order val="11"/>
          <c:tx>
            <c:strRef>
              <c:f>'原エキス分100％・発酵度など'!$D$342</c:f>
              <c:strCache>
                <c:ptCount val="1"/>
              </c:strCache>
              <c:extLst xmlns:c15="http://schemas.microsoft.com/office/drawing/2012/chart"/>
            </c:strRef>
          </c:tx>
          <c:spPr>
            <a:ln w="25400" cap="rnd">
              <a:noFill/>
              <a:round/>
            </a:ln>
            <a:effectLst/>
          </c:spPr>
          <c:marker>
            <c:symbol val="circle"/>
            <c:size val="5"/>
            <c:spPr>
              <a:solidFill>
                <a:schemeClr val="accent3">
                  <a:lumMod val="60000"/>
                </a:schemeClr>
              </a:solidFill>
              <a:ln w="9525">
                <a:solidFill>
                  <a:schemeClr val="accent3">
                    <a:lumMod val="60000"/>
                  </a:schemeClr>
                </a:solidFill>
              </a:ln>
              <a:effectLst/>
            </c:spPr>
          </c:marker>
          <c:xVal>
            <c:numRef>
              <c:f>'原エキス分100％・発酵度など'!$D$350:$AQ$350</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'原エキス分100％・発酵度など'!$D$358:$AQ$358</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8-9668-4214-B9EB-3B74DA7560D3}"/>
            </c:ext>
          </c:extLst>
        </c:ser>
        <c:dLbls>
          <c:showLegendKey val="0"/>
          <c:showVal val="0"/>
          <c:showCatName val="0"/>
          <c:showSerName val="0"/>
          <c:showPercent val="0"/>
          <c:showBubbleSize val="0"/>
        </c:dLbls>
        <c:axId val="399982888"/>
        <c:axId val="399986808"/>
        <c:extLst/>
      </c:scatterChart>
      <c:valAx>
        <c:axId val="399982888"/>
        <c:scaling>
          <c:orientation val="minMax"/>
          <c:max val="3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醪日数</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9986808"/>
        <c:crosses val="autoZero"/>
        <c:crossBetween val="midCat"/>
      </c:valAx>
      <c:valAx>
        <c:axId val="399986808"/>
        <c:scaling>
          <c:orientation val="minMax"/>
          <c:min val="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発酵度</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9982888"/>
        <c:crosses val="autoZero"/>
        <c:crossBetween val="midCat"/>
      </c:valAx>
      <c:spPr>
        <a:noFill/>
        <a:ln>
          <a:noFill/>
        </a:ln>
        <a:effectLst/>
      </c:spPr>
    </c:plotArea>
    <c:legend>
      <c:legendPos val="r"/>
      <c:layout>
        <c:manualLayout>
          <c:xMode val="edge"/>
          <c:yMode val="edge"/>
          <c:x val="0.70031458504455535"/>
          <c:y val="0.36044236307715027"/>
          <c:w val="0.18676076696251298"/>
          <c:h val="0.4165526253686264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4803149606299213" l="0.70866141732283472" r="0.70866141732283472" t="0.74803149606299213" header="0.31496062992125984" footer="0.31496062992125984"/>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0" i="0" baseline="0">
                <a:effectLst/>
              </a:rPr>
              <a:t>アルコールエキス分</a:t>
            </a:r>
            <a:r>
              <a:rPr lang="en-US" altLang="ja-JP" sz="1800" b="0" i="0" baseline="0">
                <a:effectLst/>
              </a:rPr>
              <a:t>100</a:t>
            </a:r>
            <a:r>
              <a:rPr lang="ja-JP" altLang="en-US" sz="1800" b="0" i="0" baseline="0">
                <a:effectLst/>
              </a:rPr>
              <a:t>％</a:t>
            </a:r>
            <a:r>
              <a:rPr lang="ja-JP" altLang="ja-JP" sz="1800" b="0" i="0" baseline="0">
                <a:effectLst/>
              </a:rPr>
              <a:t>（発酵の進み具合）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5643511707739655E-2"/>
          <c:y val="8.6516426312983272E-2"/>
          <c:w val="0.88196508733090884"/>
          <c:h val="0.78313715374127901"/>
        </c:manualLayout>
      </c:layout>
      <c:scatterChart>
        <c:scatterStyle val="lineMarker"/>
        <c:varyColors val="0"/>
        <c:ser>
          <c:idx val="11"/>
          <c:order val="0"/>
          <c:tx>
            <c:v>"R4,5全国金賞中間"</c:v>
          </c:tx>
          <c:spPr>
            <a:ln w="25400" cap="rnd">
              <a:noFill/>
              <a:round/>
            </a:ln>
            <a:effectLst/>
          </c:spPr>
          <c:marker>
            <c:symbol val="circle"/>
            <c:size val="5"/>
            <c:spPr>
              <a:solidFill>
                <a:schemeClr val="accent6">
                  <a:lumMod val="60000"/>
                </a:schemeClr>
              </a:solidFill>
              <a:ln w="9525">
                <a:solidFill>
                  <a:schemeClr val="accent6">
                    <a:lumMod val="60000"/>
                  </a:schemeClr>
                </a:solidFill>
              </a:ln>
              <a:effectLst/>
            </c:spPr>
          </c:marker>
          <c:xVal>
            <c:numRef>
              <c:f>'原エキス分100％・発酵度など'!$F$462:$AG$462</c:f>
              <c:numCache>
                <c:formatCode>General</c:formatCode>
                <c:ptCount val="28"/>
                <c:pt idx="0">
                  <c:v>3</c:v>
                </c:pt>
                <c:pt idx="1">
                  <c:v>4</c:v>
                </c:pt>
                <c:pt idx="2">
                  <c:v>5</c:v>
                </c:pt>
                <c:pt idx="3">
                  <c:v>6</c:v>
                </c:pt>
                <c:pt idx="4">
                  <c:v>7</c:v>
                </c:pt>
                <c:pt idx="5">
                  <c:v>8</c:v>
                </c:pt>
                <c:pt idx="6">
                  <c:v>9</c:v>
                </c:pt>
                <c:pt idx="7">
                  <c:v>10</c:v>
                </c:pt>
                <c:pt idx="8">
                  <c:v>11</c:v>
                </c:pt>
                <c:pt idx="9">
                  <c:v>12</c:v>
                </c:pt>
                <c:pt idx="10">
                  <c:v>13</c:v>
                </c:pt>
                <c:pt idx="11">
                  <c:v>14</c:v>
                </c:pt>
                <c:pt idx="12">
                  <c:v>15</c:v>
                </c:pt>
                <c:pt idx="13">
                  <c:v>16</c:v>
                </c:pt>
                <c:pt idx="14">
                  <c:v>17</c:v>
                </c:pt>
                <c:pt idx="15">
                  <c:v>18</c:v>
                </c:pt>
                <c:pt idx="16">
                  <c:v>19</c:v>
                </c:pt>
                <c:pt idx="17">
                  <c:v>20</c:v>
                </c:pt>
                <c:pt idx="18">
                  <c:v>21</c:v>
                </c:pt>
                <c:pt idx="19">
                  <c:v>22</c:v>
                </c:pt>
                <c:pt idx="20">
                  <c:v>23</c:v>
                </c:pt>
                <c:pt idx="21">
                  <c:v>24</c:v>
                </c:pt>
                <c:pt idx="22">
                  <c:v>25</c:v>
                </c:pt>
                <c:pt idx="23">
                  <c:v>26</c:v>
                </c:pt>
                <c:pt idx="24">
                  <c:v>27</c:v>
                </c:pt>
                <c:pt idx="25">
                  <c:v>28</c:v>
                </c:pt>
                <c:pt idx="26">
                  <c:v>29</c:v>
                </c:pt>
                <c:pt idx="27">
                  <c:v>30</c:v>
                </c:pt>
              </c:numCache>
            </c:numRef>
          </c:xVal>
          <c:yVal>
            <c:numRef>
              <c:f>'原エキス分100％・発酵度など'!$F$466:$AF$466</c:f>
              <c:numCache>
                <c:formatCode>General</c:formatCode>
                <c:ptCount val="27"/>
                <c:pt idx="0">
                  <c:v>6.0333333333333341</c:v>
                </c:pt>
                <c:pt idx="1">
                  <c:v>7.95</c:v>
                </c:pt>
                <c:pt idx="2">
                  <c:v>9.8499999999999979</c:v>
                </c:pt>
                <c:pt idx="3">
                  <c:v>11.668750000000003</c:v>
                </c:pt>
                <c:pt idx="4">
                  <c:v>13.65263157894737</c:v>
                </c:pt>
                <c:pt idx="5">
                  <c:v>16.317647058823528</c:v>
                </c:pt>
                <c:pt idx="6">
                  <c:v>18.31666666666667</c:v>
                </c:pt>
                <c:pt idx="7">
                  <c:v>20.194444444444446</c:v>
                </c:pt>
                <c:pt idx="8">
                  <c:v>22.029999999999998</c:v>
                </c:pt>
                <c:pt idx="9">
                  <c:v>23.94</c:v>
                </c:pt>
                <c:pt idx="10">
                  <c:v>25.704545454545453</c:v>
                </c:pt>
                <c:pt idx="11">
                  <c:v>27.18095238095238</c:v>
                </c:pt>
                <c:pt idx="12">
                  <c:v>28.414285714285718</c:v>
                </c:pt>
                <c:pt idx="13">
                  <c:v>29.278947368421051</c:v>
                </c:pt>
                <c:pt idx="14">
                  <c:v>30.5</c:v>
                </c:pt>
                <c:pt idx="15">
                  <c:v>31.519047619047619</c:v>
                </c:pt>
                <c:pt idx="16">
                  <c:v>32.427272727272722</c:v>
                </c:pt>
                <c:pt idx="17">
                  <c:v>33.280952380952378</c:v>
                </c:pt>
                <c:pt idx="18">
                  <c:v>33.863636363636367</c:v>
                </c:pt>
                <c:pt idx="19">
                  <c:v>34.549999999999997</c:v>
                </c:pt>
                <c:pt idx="20">
                  <c:v>34.905000000000001</c:v>
                </c:pt>
                <c:pt idx="21">
                  <c:v>35.31111111111111</c:v>
                </c:pt>
                <c:pt idx="23">
                  <c:v>36.51764705882352</c:v>
                </c:pt>
                <c:pt idx="24">
                  <c:v>36.653333333333329</c:v>
                </c:pt>
                <c:pt idx="25">
                  <c:v>36.980000000000004</c:v>
                </c:pt>
                <c:pt idx="26">
                  <c:v>37.100000000000009</c:v>
                </c:pt>
              </c:numCache>
            </c:numRef>
          </c:yVal>
          <c:smooth val="0"/>
          <c:extLst>
            <c:ext xmlns:c16="http://schemas.microsoft.com/office/drawing/2014/chart" uri="{C3380CC4-5D6E-409C-BE32-E72D297353CC}">
              <c16:uniqueId val="{00000001-DD4C-4B38-AF8B-042AAC8A6883}"/>
            </c:ext>
          </c:extLst>
        </c:ser>
        <c:ser>
          <c:idx val="9"/>
          <c:order val="1"/>
          <c:tx>
            <c:strRef>
              <c:f>'原エキス分100％・発酵度など'!$D$384</c:f>
              <c:strCache>
                <c:ptCount val="1"/>
                <c:pt idx="0">
                  <c:v>R4,5全国金賞上限</c:v>
                </c:pt>
              </c:strCache>
              <c:extLst xmlns:c15="http://schemas.microsoft.com/office/drawing/2012/chart"/>
            </c:strRef>
          </c:tx>
          <c:spPr>
            <a:ln w="25400" cap="rnd">
              <a:noFill/>
              <a:round/>
            </a:ln>
            <a:effectLst/>
          </c:spPr>
          <c:marker>
            <c:symbol val="circle"/>
            <c:size val="5"/>
            <c:spPr>
              <a:solidFill>
                <a:schemeClr val="accent4">
                  <a:lumMod val="60000"/>
                </a:schemeClr>
              </a:solidFill>
              <a:ln w="9525">
                <a:solidFill>
                  <a:schemeClr val="accent4">
                    <a:lumMod val="60000"/>
                  </a:schemeClr>
                </a:solidFill>
              </a:ln>
              <a:effectLst/>
            </c:spPr>
          </c:marker>
          <c:xVal>
            <c:numRef>
              <c:f>'原エキス分100％・発酵度など'!$D$392:$AQ$392</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'原エキス分100％・発酵度など'!$D$416:$AQ$416</c:f>
              <c:numCache>
                <c:formatCode>0.0</c:formatCode>
                <c:ptCount val="40"/>
                <c:pt idx="2" formatCode="General">
                  <c:v>7</c:v>
                </c:pt>
                <c:pt idx="3" formatCode="General">
                  <c:v>9.4</c:v>
                </c:pt>
                <c:pt idx="4" formatCode="General">
                  <c:v>13.8</c:v>
                </c:pt>
                <c:pt idx="5" formatCode="General">
                  <c:v>17.100000000000001</c:v>
                </c:pt>
                <c:pt idx="6" formatCode="General">
                  <c:v>19.3</c:v>
                </c:pt>
                <c:pt idx="7" formatCode="General">
                  <c:v>21.3</c:v>
                </c:pt>
                <c:pt idx="8" formatCode="General">
                  <c:v>23.5</c:v>
                </c:pt>
                <c:pt idx="9" formatCode="General">
                  <c:v>25.4</c:v>
                </c:pt>
                <c:pt idx="10" formatCode="General">
                  <c:v>27</c:v>
                </c:pt>
                <c:pt idx="11" formatCode="General">
                  <c:v>28</c:v>
                </c:pt>
                <c:pt idx="12" formatCode="General">
                  <c:v>29.5</c:v>
                </c:pt>
                <c:pt idx="13" formatCode="General">
                  <c:v>31</c:v>
                </c:pt>
                <c:pt idx="14" formatCode="General">
                  <c:v>32.5</c:v>
                </c:pt>
                <c:pt idx="15" formatCode="General">
                  <c:v>34.1</c:v>
                </c:pt>
                <c:pt idx="16" formatCode="General">
                  <c:v>35.1</c:v>
                </c:pt>
                <c:pt idx="17" formatCode="General">
                  <c:v>35.9</c:v>
                </c:pt>
                <c:pt idx="18" formatCode="General">
                  <c:v>36.9</c:v>
                </c:pt>
                <c:pt idx="19" formatCode="General">
                  <c:v>37.799999999999997</c:v>
                </c:pt>
                <c:pt idx="20" formatCode="General">
                  <c:v>38.5</c:v>
                </c:pt>
                <c:pt idx="21" formatCode="General">
                  <c:v>39.4</c:v>
                </c:pt>
                <c:pt idx="22" formatCode="General">
                  <c:v>39.799999999999997</c:v>
                </c:pt>
                <c:pt idx="23" formatCode="General">
                  <c:v>39.9</c:v>
                </c:pt>
                <c:pt idx="26">
                  <c:v>40.6</c:v>
                </c:pt>
                <c:pt idx="28">
                  <c:v>40.9</c:v>
                </c:pt>
                <c:pt idx="31">
                  <c:v>#N/A</c:v>
                </c:pt>
                <c:pt idx="32">
                  <c:v>#N/A</c:v>
                </c:pt>
                <c:pt idx="33">
                  <c:v>#N/A</c:v>
                </c:pt>
                <c:pt idx="34">
                  <c:v>#N/A</c:v>
                </c:pt>
                <c:pt idx="35">
                  <c:v>#N/A</c:v>
                </c:pt>
                <c:pt idx="36">
                  <c:v>#N/A</c:v>
                </c:pt>
                <c:pt idx="37">
                  <c:v>#N/A</c:v>
                </c:pt>
                <c:pt idx="38">
                  <c:v>#N/A</c:v>
                </c:pt>
                <c:pt idx="39">
                  <c:v>#N/A</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6-FF5A-43F7-8985-455C4AA81DF1}"/>
            </c:ext>
          </c:extLst>
        </c:ser>
        <c:ser>
          <c:idx val="10"/>
          <c:order val="2"/>
          <c:tx>
            <c:strRef>
              <c:f>'原エキス分100％・発酵度など'!$D$422</c:f>
              <c:strCache>
                <c:ptCount val="1"/>
                <c:pt idx="0">
                  <c:v>R4,5全国金賞下限</c:v>
                </c:pt>
              </c:strCache>
              <c:extLst xmlns:c15="http://schemas.microsoft.com/office/drawing/2012/chart"/>
            </c:strRef>
          </c:tx>
          <c:spPr>
            <a:ln w="25400" cap="rnd">
              <a:noFill/>
              <a:round/>
            </a:ln>
            <a:effectLst/>
          </c:spPr>
          <c:marker>
            <c:symbol val="circle"/>
            <c:size val="5"/>
            <c:spPr>
              <a:solidFill>
                <a:schemeClr val="accent5">
                  <a:lumMod val="60000"/>
                </a:schemeClr>
              </a:solidFill>
              <a:ln w="9525">
                <a:solidFill>
                  <a:schemeClr val="accent5">
                    <a:lumMod val="60000"/>
                  </a:schemeClr>
                </a:solidFill>
              </a:ln>
              <a:effectLst/>
            </c:spPr>
          </c:marker>
          <c:xVal>
            <c:numRef>
              <c:f>'原エキス分100％・発酵度など'!$D$430:$AQ$430</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'原エキス分100％・発酵度など'!$D$454:$AQ$454</c:f>
              <c:numCache>
                <c:formatCode>0.0</c:formatCode>
                <c:ptCount val="40"/>
                <c:pt idx="2">
                  <c:v>5.3</c:v>
                </c:pt>
                <c:pt idx="4" formatCode="General">
                  <c:v>6</c:v>
                </c:pt>
                <c:pt idx="5" formatCode="General">
                  <c:v>6.8</c:v>
                </c:pt>
                <c:pt idx="6" formatCode="General">
                  <c:v>8.1999999999999993</c:v>
                </c:pt>
                <c:pt idx="7" formatCode="General">
                  <c:v>11.9</c:v>
                </c:pt>
                <c:pt idx="9" formatCode="General">
                  <c:v>15.8</c:v>
                </c:pt>
                <c:pt idx="10" formatCode="General">
                  <c:v>18.600000000000001</c:v>
                </c:pt>
                <c:pt idx="11" formatCode="General">
                  <c:v>20</c:v>
                </c:pt>
                <c:pt idx="12" formatCode="General">
                  <c:v>21.9</c:v>
                </c:pt>
                <c:pt idx="13" formatCode="General">
                  <c:v>23.8</c:v>
                </c:pt>
                <c:pt idx="14" formatCode="General">
                  <c:v>24.8</c:v>
                </c:pt>
                <c:pt idx="15" formatCode="General">
                  <c:v>25.9</c:v>
                </c:pt>
                <c:pt idx="16" formatCode="General">
                  <c:v>27.1</c:v>
                </c:pt>
                <c:pt idx="17" formatCode="General">
                  <c:v>28</c:v>
                </c:pt>
                <c:pt idx="18" formatCode="General">
                  <c:v>28.9</c:v>
                </c:pt>
                <c:pt idx="19" formatCode="General">
                  <c:v>29.7</c:v>
                </c:pt>
                <c:pt idx="20" formatCode="General">
                  <c:v>30.2</c:v>
                </c:pt>
                <c:pt idx="21" formatCode="General">
                  <c:v>30.8</c:v>
                </c:pt>
                <c:pt idx="22" formatCode="General">
                  <c:v>31.3</c:v>
                </c:pt>
                <c:pt idx="23" formatCode="General">
                  <c:v>31.7</c:v>
                </c:pt>
                <c:pt idx="24" formatCode="General">
                  <c:v>32.1</c:v>
                </c:pt>
                <c:pt idx="25" formatCode="General">
                  <c:v>32.6</c:v>
                </c:pt>
                <c:pt idx="26" formatCode="General">
                  <c:v>33</c:v>
                </c:pt>
                <c:pt idx="27" formatCode="General">
                  <c:v>33.5</c:v>
                </c:pt>
                <c:pt idx="28" formatCode="General">
                  <c:v>34.1</c:v>
                </c:pt>
                <c:pt idx="29" formatCode="General">
                  <c:v>34.5</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7-FF5A-43F7-8985-455C4AA81DF1}"/>
            </c:ext>
          </c:extLst>
        </c:ser>
        <c:ser>
          <c:idx val="0"/>
          <c:order val="3"/>
          <c:tx>
            <c:strRef>
              <c:f>'原エキス分100％・発酵度など'!$D$2</c:f>
              <c:strCache>
                <c:ptCount val="1"/>
                <c:pt idx="0">
                  <c:v>〇号</c:v>
                </c:pt>
              </c:strCache>
              <c:extLst xmlns:c15="http://schemas.microsoft.com/office/drawing/2012/chart"/>
            </c:strRef>
          </c:tx>
          <c:spPr>
            <a:ln w="25400" cap="rnd">
              <a:noFill/>
              <a:round/>
            </a:ln>
            <a:effectLst/>
          </c:spPr>
          <c:marker>
            <c:symbol val="circle"/>
            <c:size val="5"/>
            <c:spPr>
              <a:solidFill>
                <a:schemeClr val="accent1"/>
              </a:solidFill>
              <a:ln w="9525">
                <a:solidFill>
                  <a:schemeClr val="accent1"/>
                </a:solidFill>
              </a:ln>
              <a:effectLst/>
            </c:spPr>
          </c:marker>
          <c:xVal>
            <c:numRef>
              <c:f>'原エキス分100％・発酵度など'!$D$10:$AQ$10</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'原エキス分100％・発酵度など'!$D$38:$AQ$38</c:f>
              <c:numCache>
                <c:formatCode>0.0</c:formatCode>
                <c:ptCount val="40"/>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0-FF5A-43F7-8985-455C4AA81DF1}"/>
            </c:ext>
          </c:extLst>
        </c:ser>
        <c:ser>
          <c:idx val="1"/>
          <c:order val="4"/>
          <c:tx>
            <c:strRef>
              <c:f>'原エキス分100％・発酵度など'!$D$48</c:f>
              <c:strCache>
                <c:ptCount val="1"/>
              </c:strCache>
              <c:extLst xmlns:c15="http://schemas.microsoft.com/office/drawing/2012/chart"/>
            </c:strRef>
          </c:tx>
          <c:spPr>
            <a:ln w="25400" cap="rnd">
              <a:noFill/>
              <a:round/>
            </a:ln>
            <a:effectLst/>
          </c:spPr>
          <c:marker>
            <c:symbol val="circle"/>
            <c:size val="5"/>
            <c:spPr>
              <a:solidFill>
                <a:schemeClr val="accent2"/>
              </a:solidFill>
              <a:ln w="9525">
                <a:solidFill>
                  <a:schemeClr val="accent2"/>
                </a:solidFill>
              </a:ln>
              <a:effectLst/>
            </c:spPr>
          </c:marker>
          <c:xVal>
            <c:numRef>
              <c:f>'原エキス分100％・発酵度など'!$D$56:$AQ$56</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'原エキス分100％・発酵度など'!$D$84:$AQ$84</c:f>
              <c:numCache>
                <c:formatCode>0.0</c:formatCode>
                <c:ptCount val="40"/>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8-FF5A-43F7-8985-455C4AA81DF1}"/>
            </c:ext>
          </c:extLst>
        </c:ser>
        <c:ser>
          <c:idx val="2"/>
          <c:order val="5"/>
          <c:tx>
            <c:strRef>
              <c:f>'原エキス分100％・発酵度など'!$D$90</c:f>
              <c:strCache>
                <c:ptCount val="1"/>
              </c:strCache>
              <c:extLst xmlns:c15="http://schemas.microsoft.com/office/drawing/2012/chart"/>
            </c:strRef>
          </c:tx>
          <c:spPr>
            <a:ln w="25400" cap="rnd">
              <a:noFill/>
              <a:round/>
            </a:ln>
            <a:effectLst/>
          </c:spPr>
          <c:marker>
            <c:symbol val="circle"/>
            <c:size val="5"/>
            <c:spPr>
              <a:solidFill>
                <a:schemeClr val="accent3"/>
              </a:solidFill>
              <a:ln w="9525">
                <a:solidFill>
                  <a:schemeClr val="accent3"/>
                </a:solidFill>
              </a:ln>
              <a:effectLst/>
            </c:spPr>
          </c:marker>
          <c:xVal>
            <c:numRef>
              <c:f>'原エキス分100％・発酵度など'!$D$98:$AQ$98</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'原エキス分100％・発酵度など'!$D$126:$AQ$126</c:f>
              <c:numCache>
                <c:formatCode>0.0</c:formatCode>
                <c:ptCount val="40"/>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numCache>
            </c:numRef>
          </c:yVal>
          <c:smooth val="0"/>
          <c:extLst xmlns:c15="http://schemas.microsoft.com/office/drawing/2012/chart">
            <c:ext xmlns:c16="http://schemas.microsoft.com/office/drawing/2014/chart" uri="{C3380CC4-5D6E-409C-BE32-E72D297353CC}">
              <c16:uniqueId val="{00000009-FF5A-43F7-8985-455C4AA81DF1}"/>
            </c:ext>
          </c:extLst>
        </c:ser>
        <c:ser>
          <c:idx val="3"/>
          <c:order val="6"/>
          <c:tx>
            <c:strRef>
              <c:f>'原エキス分100％・発酵度など'!$D$132</c:f>
              <c:strCache>
                <c:ptCount val="1"/>
              </c:strCache>
              <c:extLst xmlns:c15="http://schemas.microsoft.com/office/drawing/2012/chart"/>
            </c:strRef>
          </c:tx>
          <c:spPr>
            <a:ln w="25400" cap="rnd">
              <a:noFill/>
              <a:round/>
            </a:ln>
            <a:effectLst/>
          </c:spPr>
          <c:marker>
            <c:symbol val="circle"/>
            <c:size val="5"/>
            <c:spPr>
              <a:solidFill>
                <a:schemeClr val="accent4"/>
              </a:solidFill>
              <a:ln w="9525">
                <a:solidFill>
                  <a:schemeClr val="accent4"/>
                </a:solidFill>
              </a:ln>
              <a:effectLst/>
            </c:spPr>
          </c:marker>
          <c:xVal>
            <c:numRef>
              <c:f>'原エキス分100％・発酵度など'!$D$140:$AQ$140</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'原エキス分100％・発酵度など'!$D$168:$AQ$168</c:f>
              <c:numCache>
                <c:formatCode>0.0</c:formatCode>
                <c:ptCount val="40"/>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A-FF5A-43F7-8985-455C4AA81DF1}"/>
            </c:ext>
          </c:extLst>
        </c:ser>
        <c:ser>
          <c:idx val="4"/>
          <c:order val="7"/>
          <c:tx>
            <c:strRef>
              <c:f>'原エキス分100％・発酵度など'!$D$174</c:f>
              <c:strCache>
                <c:ptCount val="1"/>
              </c:strCache>
              <c:extLst xmlns:c15="http://schemas.microsoft.com/office/drawing/2012/chart"/>
            </c:strRef>
          </c:tx>
          <c:spPr>
            <a:ln w="25400" cap="rnd">
              <a:noFill/>
              <a:round/>
            </a:ln>
            <a:effectLst/>
          </c:spPr>
          <c:marker>
            <c:symbol val="circle"/>
            <c:size val="5"/>
            <c:spPr>
              <a:solidFill>
                <a:schemeClr val="accent5"/>
              </a:solidFill>
              <a:ln w="9525">
                <a:solidFill>
                  <a:schemeClr val="accent5"/>
                </a:solidFill>
              </a:ln>
              <a:effectLst/>
            </c:spPr>
          </c:marker>
          <c:xVal>
            <c:numRef>
              <c:f>'原エキス分100％・発酵度など'!$D$182:$AQ$182</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'原エキス分100％・発酵度など'!$D$210:$AQ$210</c:f>
              <c:numCache>
                <c:formatCode>0.0</c:formatCode>
                <c:ptCount val="40"/>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1-FF5A-43F7-8985-455C4AA81DF1}"/>
            </c:ext>
          </c:extLst>
        </c:ser>
        <c:ser>
          <c:idx val="5"/>
          <c:order val="8"/>
          <c:tx>
            <c:strRef>
              <c:f>'原エキス分100％・発酵度など'!$D$216</c:f>
              <c:strCache>
                <c:ptCount val="1"/>
              </c:strCache>
              <c:extLst xmlns:c15="http://schemas.microsoft.com/office/drawing/2012/chart"/>
            </c:strRef>
          </c:tx>
          <c:spPr>
            <a:ln w="25400" cap="rnd">
              <a:noFill/>
              <a:round/>
            </a:ln>
            <a:effectLst/>
          </c:spPr>
          <c:marker>
            <c:symbol val="circle"/>
            <c:size val="5"/>
            <c:spPr>
              <a:solidFill>
                <a:schemeClr val="accent6"/>
              </a:solidFill>
              <a:ln w="9525">
                <a:solidFill>
                  <a:schemeClr val="accent6"/>
                </a:solidFill>
              </a:ln>
              <a:effectLst/>
            </c:spPr>
          </c:marker>
          <c:xVal>
            <c:numRef>
              <c:f>'原エキス分100％・発酵度など'!$D$224:$AQ$224</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'原エキス分100％・発酵度など'!$D$252:$AQ$252</c:f>
              <c:numCache>
                <c:formatCode>0.0</c:formatCode>
                <c:ptCount val="40"/>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2-FF5A-43F7-8985-455C4AA81DF1}"/>
            </c:ext>
          </c:extLst>
        </c:ser>
        <c:ser>
          <c:idx val="6"/>
          <c:order val="9"/>
          <c:tx>
            <c:strRef>
              <c:f>'原エキス分100％・発酵度など'!$D$258</c:f>
              <c:strCache>
                <c:ptCount val="1"/>
              </c:strCache>
            </c:strRef>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xVal>
            <c:numRef>
              <c:f>'原エキス分100％・発酵度など'!$D$266:$AQ$266</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xVal>
          <c:yVal>
            <c:numRef>
              <c:f>'原エキス分100％・発酵度など'!$D$294:$AQ$294</c:f>
              <c:numCache>
                <c:formatCode>0.0</c:formatCode>
                <c:ptCount val="40"/>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numCache>
            </c:numRef>
          </c:yVal>
          <c:smooth val="0"/>
          <c:extLst xmlns:c15="http://schemas.microsoft.com/office/drawing/2012/chart">
            <c:ext xmlns:c16="http://schemas.microsoft.com/office/drawing/2014/chart" uri="{C3380CC4-5D6E-409C-BE32-E72D297353CC}">
              <c16:uniqueId val="{00000003-FF5A-43F7-8985-455C4AA81DF1}"/>
            </c:ext>
          </c:extLst>
        </c:ser>
        <c:ser>
          <c:idx val="7"/>
          <c:order val="10"/>
          <c:tx>
            <c:strRef>
              <c:f>'原エキス分100％・発酵度など'!$D$300</c:f>
              <c:strCache>
                <c:ptCount val="1"/>
              </c:strCache>
            </c:strRef>
          </c:tx>
          <c:spPr>
            <a:ln w="25400" cap="rnd">
              <a:noFill/>
              <a:round/>
            </a:ln>
            <a:effectLst/>
          </c:spPr>
          <c:marker>
            <c:symbol val="circle"/>
            <c:size val="5"/>
            <c:spPr>
              <a:solidFill>
                <a:schemeClr val="accent2">
                  <a:lumMod val="60000"/>
                </a:schemeClr>
              </a:solidFill>
              <a:ln w="9525">
                <a:solidFill>
                  <a:schemeClr val="accent2">
                    <a:lumMod val="60000"/>
                  </a:schemeClr>
                </a:solidFill>
              </a:ln>
              <a:effectLst/>
            </c:spPr>
          </c:marker>
          <c:xVal>
            <c:numRef>
              <c:f>'原エキス分100％・発酵度など'!$D$308:$AQ$308</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xVal>
          <c:yVal>
            <c:numRef>
              <c:f>'原エキス分100％・発酵度など'!$D$336:$AQ$336</c:f>
              <c:numCache>
                <c:formatCode>0.0</c:formatCode>
                <c:ptCount val="40"/>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numCache>
            </c:numRef>
          </c:yVal>
          <c:smooth val="0"/>
          <c:extLst xmlns:c15="http://schemas.microsoft.com/office/drawing/2012/chart">
            <c:ext xmlns:c16="http://schemas.microsoft.com/office/drawing/2014/chart" uri="{C3380CC4-5D6E-409C-BE32-E72D297353CC}">
              <c16:uniqueId val="{00000004-FF5A-43F7-8985-455C4AA81DF1}"/>
            </c:ext>
          </c:extLst>
        </c:ser>
        <c:dLbls>
          <c:showLegendKey val="0"/>
          <c:showVal val="0"/>
          <c:showCatName val="0"/>
          <c:showSerName val="0"/>
          <c:showPercent val="0"/>
          <c:showBubbleSize val="0"/>
        </c:dLbls>
        <c:axId val="399981712"/>
        <c:axId val="399984848"/>
        <c:extLst>
          <c:ext xmlns:c15="http://schemas.microsoft.com/office/drawing/2012/chart" uri="{02D57815-91ED-43cb-92C2-25804820EDAC}">
            <c15:filteredScatterSeries>
              <c15:ser>
                <c:idx val="8"/>
                <c:order val="11"/>
                <c:tx>
                  <c:strRef>
                    <c:extLst>
                      <c:ext uri="{02D57815-91ED-43cb-92C2-25804820EDAC}">
                        <c15:formulaRef>
                          <c15:sqref>'原エキス分100％・発酵度など'!$D$342</c15:sqref>
                        </c15:formulaRef>
                      </c:ext>
                    </c:extLst>
                    <c:strCache>
                      <c:ptCount val="1"/>
                    </c:strCache>
                  </c:strRef>
                </c:tx>
                <c:spPr>
                  <a:ln w="25400" cap="rnd">
                    <a:noFill/>
                    <a:round/>
                  </a:ln>
                  <a:effectLst/>
                </c:spPr>
                <c:marker>
                  <c:symbol val="circle"/>
                  <c:size val="5"/>
                  <c:spPr>
                    <a:solidFill>
                      <a:schemeClr val="accent3">
                        <a:lumMod val="60000"/>
                      </a:schemeClr>
                    </a:solidFill>
                    <a:ln w="9525">
                      <a:solidFill>
                        <a:schemeClr val="accent3">
                          <a:lumMod val="60000"/>
                        </a:schemeClr>
                      </a:solidFill>
                    </a:ln>
                    <a:effectLst/>
                  </c:spPr>
                </c:marker>
                <c:xVal>
                  <c:numRef>
                    <c:extLst>
                      <c:ext uri="{02D57815-91ED-43cb-92C2-25804820EDAC}">
                        <c15:formulaRef>
                          <c15:sqref>'原エキス分100％・発酵度など'!$D$350:$AQ$350</c15:sqref>
                        </c15:formulaRef>
                      </c:ext>
                    </c:extLst>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xVal>
                <c:yVal>
                  <c:numRef>
                    <c:extLst>
                      <c:ext uri="{02D57815-91ED-43cb-92C2-25804820EDAC}">
                        <c15:formulaRef>
                          <c15:sqref>'原エキス分100％・発酵度など'!$D$378:$AQ$378</c15:sqref>
                        </c15:formulaRef>
                      </c:ext>
                    </c:extLst>
                    <c:numCache>
                      <c:formatCode>0.0</c:formatCode>
                      <c:ptCount val="40"/>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numCache>
                  </c:numRef>
                </c:yVal>
                <c:smooth val="0"/>
                <c:extLst>
                  <c:ext xmlns:c16="http://schemas.microsoft.com/office/drawing/2014/chart" uri="{C3380CC4-5D6E-409C-BE32-E72D297353CC}">
                    <c16:uniqueId val="{00000005-FF5A-43F7-8985-455C4AA81DF1}"/>
                  </c:ext>
                </c:extLst>
              </c15:ser>
            </c15:filteredScatterSeries>
          </c:ext>
        </c:extLst>
      </c:scatterChart>
      <c:valAx>
        <c:axId val="399981712"/>
        <c:scaling>
          <c:orientation val="minMax"/>
          <c:max val="4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醪日数</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9984848"/>
        <c:crosses val="autoZero"/>
        <c:crossBetween val="midCat"/>
      </c:valAx>
      <c:valAx>
        <c:axId val="399984848"/>
        <c:scaling>
          <c:orientation val="minMax"/>
          <c:max val="45"/>
          <c:min val="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tLang="ja-JP"/>
                  <a:t>a</a:t>
                </a:r>
                <a:r>
                  <a:rPr lang="ja-JP" altLang="en-US"/>
                  <a:t>アルコールエキス分</a:t>
                </a:r>
                <a:r>
                  <a:rPr lang="en-US" altLang="ja-JP"/>
                  <a:t>100</a:t>
                </a:r>
                <a:r>
                  <a:rPr lang="ja-JP" altLang="en-US"/>
                  <a:t>％換算値</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9981712"/>
        <c:crosses val="autoZero"/>
        <c:crossBetween val="midCat"/>
      </c:valAx>
      <c:spPr>
        <a:noFill/>
        <a:ln>
          <a:noFill/>
        </a:ln>
        <a:effectLst/>
      </c:spPr>
    </c:plotArea>
    <c:legend>
      <c:legendPos val="r"/>
      <c:layout>
        <c:manualLayout>
          <c:xMode val="edge"/>
          <c:yMode val="edge"/>
          <c:x val="0.68674773776373033"/>
          <c:y val="0.37796978760836297"/>
          <c:w val="0.21748580533242204"/>
          <c:h val="0.4076498918561115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4803149606299213" l="0.70866141732283472" r="0.70866141732283472" t="0.74803149606299213" header="0.31496062992125984" footer="0.31496062992125984"/>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16</xdr:col>
      <xdr:colOff>333375</xdr:colOff>
      <xdr:row>8</xdr:row>
      <xdr:rowOff>22225</xdr:rowOff>
    </xdr:from>
    <xdr:to>
      <xdr:col>56</xdr:col>
      <xdr:colOff>312510</xdr:colOff>
      <xdr:row>8</xdr:row>
      <xdr:rowOff>3006725</xdr:rowOff>
    </xdr:to>
    <xdr:graphicFrame macro="">
      <xdr:nvGraphicFramePr>
        <xdr:cNvPr id="2" name="グラフ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195384</xdr:colOff>
      <xdr:row>8</xdr:row>
      <xdr:rowOff>2576634</xdr:rowOff>
    </xdr:from>
    <xdr:to>
      <xdr:col>6</xdr:col>
      <xdr:colOff>244230</xdr:colOff>
      <xdr:row>8</xdr:row>
      <xdr:rowOff>2576634</xdr:rowOff>
    </xdr:to>
    <xdr:cxnSp macro="">
      <xdr:nvCxnSpPr>
        <xdr:cNvPr id="3" name="直線矢印コネクタ 2">
          <a:extLst>
            <a:ext uri="{FF2B5EF4-FFF2-40B4-BE49-F238E27FC236}">
              <a16:creationId xmlns:a16="http://schemas.microsoft.com/office/drawing/2014/main" id="{00000000-0008-0000-0300-000003000000}"/>
            </a:ext>
          </a:extLst>
        </xdr:cNvPr>
        <xdr:cNvCxnSpPr/>
      </xdr:nvCxnSpPr>
      <xdr:spPr>
        <a:xfrm>
          <a:off x="2014659" y="4300659"/>
          <a:ext cx="1306146" cy="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61057</xdr:colOff>
      <xdr:row>8</xdr:row>
      <xdr:rowOff>2320192</xdr:rowOff>
    </xdr:from>
    <xdr:to>
      <xdr:col>16</xdr:col>
      <xdr:colOff>341921</xdr:colOff>
      <xdr:row>8</xdr:row>
      <xdr:rowOff>2576634</xdr:rowOff>
    </xdr:to>
    <xdr:sp macro="" textlink="">
      <xdr:nvSpPr>
        <xdr:cNvPr id="4" name="テキスト ボックス 1">
          <a:extLst>
            <a:ext uri="{FF2B5EF4-FFF2-40B4-BE49-F238E27FC236}">
              <a16:creationId xmlns:a16="http://schemas.microsoft.com/office/drawing/2014/main" id="{00000000-0008-0000-0300-000004000000}"/>
            </a:ext>
          </a:extLst>
        </xdr:cNvPr>
        <xdr:cNvSpPr txBox="1"/>
      </xdr:nvSpPr>
      <xdr:spPr>
        <a:xfrm>
          <a:off x="6900007" y="4044217"/>
          <a:ext cx="699964" cy="25644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100"/>
            <a:t>留添</a:t>
          </a:r>
        </a:p>
      </xdr:txBody>
    </xdr:sp>
    <xdr:clientData/>
  </xdr:twoCellAnchor>
  <xdr:twoCellAnchor>
    <xdr:from>
      <xdr:col>3</xdr:col>
      <xdr:colOff>66675</xdr:colOff>
      <xdr:row>8</xdr:row>
      <xdr:rowOff>22225</xdr:rowOff>
    </xdr:from>
    <xdr:to>
      <xdr:col>17</xdr:col>
      <xdr:colOff>257175</xdr:colOff>
      <xdr:row>8</xdr:row>
      <xdr:rowOff>3009901</xdr:rowOff>
    </xdr:to>
    <xdr:graphicFrame macro="">
      <xdr:nvGraphicFramePr>
        <xdr:cNvPr id="5" name="グラフ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276225</xdr:colOff>
      <xdr:row>126</xdr:row>
      <xdr:rowOff>38100</xdr:rowOff>
    </xdr:from>
    <xdr:to>
      <xdr:col>14</xdr:col>
      <xdr:colOff>342900</xdr:colOff>
      <xdr:row>129</xdr:row>
      <xdr:rowOff>95250</xdr:rowOff>
    </xdr:to>
    <xdr:sp macro="" textlink="">
      <xdr:nvSpPr>
        <xdr:cNvPr id="9" name="テキスト ボックス 8">
          <a:extLst>
            <a:ext uri="{FF2B5EF4-FFF2-40B4-BE49-F238E27FC236}">
              <a16:creationId xmlns:a16="http://schemas.microsoft.com/office/drawing/2014/main" id="{00000000-0008-0000-0300-000009000000}"/>
            </a:ext>
          </a:extLst>
        </xdr:cNvPr>
        <xdr:cNvSpPr txBox="1"/>
      </xdr:nvSpPr>
      <xdr:spPr>
        <a:xfrm>
          <a:off x="3352800" y="33404175"/>
          <a:ext cx="3409950" cy="74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グラフ描画用に、一度ここで</a:t>
          </a:r>
          <a:r>
            <a:rPr kumimoji="1" lang="en-US" altLang="ja-JP" sz="1100"/>
            <a:t>#NA</a:t>
          </a:r>
          <a:r>
            <a:rPr kumimoji="1" lang="ja-JP" altLang="en-US" sz="1100"/>
            <a:t>を入れて計算したものを、＃</a:t>
          </a:r>
          <a:r>
            <a:rPr kumimoji="1" lang="en-US" altLang="ja-JP" sz="1100"/>
            <a:t>NA</a:t>
          </a:r>
          <a:r>
            <a:rPr kumimoji="1" lang="ja-JP" altLang="en-US" sz="1100"/>
            <a:t>を消して上の</a:t>
          </a:r>
          <a:r>
            <a:rPr kumimoji="1" lang="en-US" altLang="ja-JP" sz="1100"/>
            <a:t>17</a:t>
          </a:r>
          <a:r>
            <a:rPr kumimoji="1" lang="ja-JP" altLang="en-US" sz="1100"/>
            <a:t>～</a:t>
          </a:r>
          <a:r>
            <a:rPr kumimoji="1" lang="en-US" altLang="ja-JP" sz="1100"/>
            <a:t>25</a:t>
          </a:r>
          <a:r>
            <a:rPr kumimoji="1" lang="ja-JP" altLang="en-US" sz="1100"/>
            <a:t>行に持っていく（表示上、＃</a:t>
          </a:r>
          <a:r>
            <a:rPr kumimoji="1" lang="en-US" altLang="ja-JP" sz="1100"/>
            <a:t>NA</a:t>
          </a:r>
          <a:r>
            <a:rPr kumimoji="1" lang="ja-JP" altLang="en-US" sz="1100"/>
            <a:t>が見にくいため）</a:t>
          </a:r>
        </a:p>
      </xdr:txBody>
    </xdr:sp>
    <xdr:clientData/>
  </xdr:twoCellAnchor>
  <xdr:twoCellAnchor>
    <xdr:from>
      <xdr:col>6</xdr:col>
      <xdr:colOff>28575</xdr:colOff>
      <xdr:row>137</xdr:row>
      <xdr:rowOff>180975</xdr:rowOff>
    </xdr:from>
    <xdr:to>
      <xdr:col>14</xdr:col>
      <xdr:colOff>142875</xdr:colOff>
      <xdr:row>141</xdr:row>
      <xdr:rowOff>9525</xdr:rowOff>
    </xdr:to>
    <xdr:sp macro="" textlink="">
      <xdr:nvSpPr>
        <xdr:cNvPr id="10" name="テキスト ボックス 9">
          <a:extLst>
            <a:ext uri="{FF2B5EF4-FFF2-40B4-BE49-F238E27FC236}">
              <a16:creationId xmlns:a16="http://schemas.microsoft.com/office/drawing/2014/main" id="{00000000-0008-0000-0300-00000A000000}"/>
            </a:ext>
          </a:extLst>
        </xdr:cNvPr>
        <xdr:cNvSpPr txBox="1"/>
      </xdr:nvSpPr>
      <xdr:spPr>
        <a:xfrm>
          <a:off x="3105150" y="36061650"/>
          <a:ext cx="3457575" cy="74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グラフ描画用に、一度ここで計算したものを、＃</a:t>
          </a:r>
          <a:r>
            <a:rPr kumimoji="1" lang="en-US" altLang="ja-JP" sz="1100"/>
            <a:t>NA</a:t>
          </a:r>
          <a:r>
            <a:rPr kumimoji="1" lang="ja-JP" altLang="en-US" sz="1100"/>
            <a:t>を消して上の</a:t>
          </a:r>
          <a:r>
            <a:rPr kumimoji="1" lang="en-US" altLang="ja-JP" sz="1100"/>
            <a:t>17</a:t>
          </a:r>
          <a:r>
            <a:rPr kumimoji="1" lang="ja-JP" altLang="en-US" sz="1100"/>
            <a:t>～</a:t>
          </a:r>
          <a:r>
            <a:rPr kumimoji="1" lang="en-US" altLang="ja-JP" sz="1100"/>
            <a:t>25</a:t>
          </a:r>
          <a:r>
            <a:rPr kumimoji="1" lang="ja-JP" altLang="en-US" sz="1100"/>
            <a:t>行に持っていく（＃</a:t>
          </a:r>
          <a:r>
            <a:rPr kumimoji="1" lang="en-US" altLang="ja-JP" sz="1100"/>
            <a:t>NA</a:t>
          </a:r>
          <a:r>
            <a:rPr kumimoji="1" lang="ja-JP" altLang="en-US" sz="1100"/>
            <a:t>が見にくいため）</a:t>
          </a:r>
        </a:p>
      </xdr:txBody>
    </xdr:sp>
    <xdr:clientData/>
  </xdr:twoCellAnchor>
  <xdr:twoCellAnchor>
    <xdr:from>
      <xdr:col>44</xdr:col>
      <xdr:colOff>195943</xdr:colOff>
      <xdr:row>24</xdr:row>
      <xdr:rowOff>195942</xdr:rowOff>
    </xdr:from>
    <xdr:to>
      <xdr:col>49</xdr:col>
      <xdr:colOff>359229</xdr:colOff>
      <xdr:row>26</xdr:row>
      <xdr:rowOff>130628</xdr:rowOff>
    </xdr:to>
    <xdr:cxnSp macro="">
      <xdr:nvCxnSpPr>
        <xdr:cNvPr id="11" name="直線矢印コネクタ 10">
          <a:extLst>
            <a:ext uri="{FF2B5EF4-FFF2-40B4-BE49-F238E27FC236}">
              <a16:creationId xmlns:a16="http://schemas.microsoft.com/office/drawing/2014/main" id="{00000000-0008-0000-0300-00000B000000}"/>
            </a:ext>
          </a:extLst>
        </xdr:cNvPr>
        <xdr:cNvCxnSpPr/>
      </xdr:nvCxnSpPr>
      <xdr:spPr>
        <a:xfrm>
          <a:off x="19188793" y="8406492"/>
          <a:ext cx="2258786" cy="391886"/>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348343</xdr:colOff>
      <xdr:row>24</xdr:row>
      <xdr:rowOff>152400</xdr:rowOff>
    </xdr:from>
    <xdr:to>
      <xdr:col>49</xdr:col>
      <xdr:colOff>315686</xdr:colOff>
      <xdr:row>26</xdr:row>
      <xdr:rowOff>130630</xdr:rowOff>
    </xdr:to>
    <xdr:cxnSp macro="">
      <xdr:nvCxnSpPr>
        <xdr:cNvPr id="12" name="直線矢印コネクタ 11">
          <a:extLst>
            <a:ext uri="{FF2B5EF4-FFF2-40B4-BE49-F238E27FC236}">
              <a16:creationId xmlns:a16="http://schemas.microsoft.com/office/drawing/2014/main" id="{00000000-0008-0000-0300-00000C000000}"/>
            </a:ext>
          </a:extLst>
        </xdr:cNvPr>
        <xdr:cNvCxnSpPr/>
      </xdr:nvCxnSpPr>
      <xdr:spPr>
        <a:xfrm flipV="1">
          <a:off x="18922093" y="8362950"/>
          <a:ext cx="2481943" cy="435430"/>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43543</xdr:colOff>
      <xdr:row>24</xdr:row>
      <xdr:rowOff>54428</xdr:rowOff>
    </xdr:from>
    <xdr:to>
      <xdr:col>34</xdr:col>
      <xdr:colOff>217714</xdr:colOff>
      <xdr:row>25</xdr:row>
      <xdr:rowOff>206828</xdr:rowOff>
    </xdr:to>
    <xdr:sp macro="" textlink="">
      <xdr:nvSpPr>
        <xdr:cNvPr id="13" name="矢印: 左カーブ 12">
          <a:extLst>
            <a:ext uri="{FF2B5EF4-FFF2-40B4-BE49-F238E27FC236}">
              <a16:creationId xmlns:a16="http://schemas.microsoft.com/office/drawing/2014/main" id="{00000000-0008-0000-0300-00000D000000}"/>
            </a:ext>
          </a:extLst>
        </xdr:cNvPr>
        <xdr:cNvSpPr/>
      </xdr:nvSpPr>
      <xdr:spPr>
        <a:xfrm>
          <a:off x="14845393" y="8264978"/>
          <a:ext cx="174171" cy="381000"/>
        </a:xfrm>
        <a:prstGeom prst="curved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19</xdr:col>
      <xdr:colOff>357867</xdr:colOff>
      <xdr:row>24</xdr:row>
      <xdr:rowOff>54429</xdr:rowOff>
    </xdr:from>
    <xdr:to>
      <xdr:col>20</xdr:col>
      <xdr:colOff>161924</xdr:colOff>
      <xdr:row>25</xdr:row>
      <xdr:rowOff>206829</xdr:rowOff>
    </xdr:to>
    <xdr:sp macro="" textlink="">
      <xdr:nvSpPr>
        <xdr:cNvPr id="14" name="矢印: 左カーブ 13">
          <a:extLst>
            <a:ext uri="{FF2B5EF4-FFF2-40B4-BE49-F238E27FC236}">
              <a16:creationId xmlns:a16="http://schemas.microsoft.com/office/drawing/2014/main" id="{00000000-0008-0000-0300-00000E000000}"/>
            </a:ext>
          </a:extLst>
        </xdr:cNvPr>
        <xdr:cNvSpPr/>
      </xdr:nvSpPr>
      <xdr:spPr>
        <a:xfrm>
          <a:off x="8873217" y="8264979"/>
          <a:ext cx="223157" cy="381000"/>
        </a:xfrm>
        <a:prstGeom prst="curved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0.3669</cdr:x>
      <cdr:y>0.9359</cdr:y>
    </cdr:from>
    <cdr:to>
      <cdr:x>0.70165</cdr:x>
      <cdr:y>0.9359</cdr:y>
    </cdr:to>
    <cdr:cxnSp macro="">
      <cdr:nvCxnSpPr>
        <cdr:cNvPr id="3" name="直線矢印コネクタ 2">
          <a:extLst xmlns:a="http://schemas.openxmlformats.org/drawingml/2006/main">
            <a:ext uri="{FF2B5EF4-FFF2-40B4-BE49-F238E27FC236}">
              <a16:creationId xmlns:a16="http://schemas.microsoft.com/office/drawing/2014/main" id="{80B96794-E238-4EE9-BA20-AEAF480BDB52}"/>
            </a:ext>
          </a:extLst>
        </cdr:cNvPr>
        <cdr:cNvCxnSpPr/>
      </cdr:nvCxnSpPr>
      <cdr:spPr>
        <a:xfrm xmlns:a="http://schemas.openxmlformats.org/drawingml/2006/main">
          <a:off x="2018430" y="2781300"/>
          <a:ext cx="1841500" cy="2"/>
        </a:xfrm>
        <a:prstGeom xmlns:a="http://schemas.openxmlformats.org/drawingml/2006/main" prst="straightConnector1">
          <a:avLst/>
        </a:prstGeom>
        <a:ln xmlns:a="http://schemas.openxmlformats.org/drawingml/2006/main">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0.70396</cdr:x>
      <cdr:y>0.93784</cdr:y>
    </cdr:from>
    <cdr:to>
      <cdr:x>0.99307</cdr:x>
      <cdr:y>0.94017</cdr:y>
    </cdr:to>
    <cdr:cxnSp macro="">
      <cdr:nvCxnSpPr>
        <cdr:cNvPr id="4" name="直線矢印コネクタ 3">
          <a:extLst xmlns:a="http://schemas.openxmlformats.org/drawingml/2006/main">
            <a:ext uri="{FF2B5EF4-FFF2-40B4-BE49-F238E27FC236}">
              <a16:creationId xmlns:a16="http://schemas.microsoft.com/office/drawing/2014/main" id="{AAB4E4D8-2CE3-40BF-952D-7E6EBB7ADE67}"/>
            </a:ext>
          </a:extLst>
        </cdr:cNvPr>
        <cdr:cNvCxnSpPr/>
      </cdr:nvCxnSpPr>
      <cdr:spPr>
        <a:xfrm xmlns:a="http://schemas.openxmlformats.org/drawingml/2006/main" flipV="1">
          <a:off x="3872630" y="2787077"/>
          <a:ext cx="1590511" cy="6923"/>
        </a:xfrm>
        <a:prstGeom xmlns:a="http://schemas.openxmlformats.org/drawingml/2006/main" prst="straightConnector1">
          <a:avLst/>
        </a:prstGeom>
        <a:ln xmlns:a="http://schemas.openxmlformats.org/drawingml/2006/main">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0.12892</cdr:x>
      <cdr:y>0.84864</cdr:y>
    </cdr:from>
    <cdr:to>
      <cdr:x>0.24135</cdr:x>
      <cdr:y>0.94115</cdr:y>
    </cdr:to>
    <cdr:sp macro="" textlink="">
      <cdr:nvSpPr>
        <cdr:cNvPr id="5" name="テキスト ボックス 4"/>
        <cdr:cNvSpPr txBox="1"/>
      </cdr:nvSpPr>
      <cdr:spPr>
        <a:xfrm xmlns:a="http://schemas.openxmlformats.org/drawingml/2006/main">
          <a:off x="709212" y="2521994"/>
          <a:ext cx="618505" cy="2749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初添</a:t>
          </a:r>
        </a:p>
      </cdr:txBody>
    </cdr:sp>
  </cdr:relSizeAnchor>
  <cdr:relSizeAnchor xmlns:cdr="http://schemas.openxmlformats.org/drawingml/2006/chartDrawing">
    <cdr:from>
      <cdr:x>0.30743</cdr:x>
      <cdr:y>0.84974</cdr:y>
    </cdr:from>
    <cdr:to>
      <cdr:x>0.41986</cdr:x>
      <cdr:y>0.94225</cdr:y>
    </cdr:to>
    <cdr:sp macro="" textlink="">
      <cdr:nvSpPr>
        <cdr:cNvPr id="6" name="テキスト ボックス 1"/>
        <cdr:cNvSpPr txBox="1"/>
      </cdr:nvSpPr>
      <cdr:spPr>
        <a:xfrm xmlns:a="http://schemas.openxmlformats.org/drawingml/2006/main">
          <a:off x="1691223" y="2525262"/>
          <a:ext cx="618504" cy="2749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踊</a:t>
          </a:r>
        </a:p>
      </cdr:txBody>
    </cdr:sp>
  </cdr:relSizeAnchor>
  <cdr:relSizeAnchor xmlns:cdr="http://schemas.openxmlformats.org/drawingml/2006/chartDrawing">
    <cdr:from>
      <cdr:x>0.48389</cdr:x>
      <cdr:y>0.8452</cdr:y>
    </cdr:from>
    <cdr:to>
      <cdr:x>0.59631</cdr:x>
      <cdr:y>0.93772</cdr:y>
    </cdr:to>
    <cdr:sp macro="" textlink="">
      <cdr:nvSpPr>
        <cdr:cNvPr id="7" name="テキスト ボックス 1"/>
        <cdr:cNvSpPr txBox="1"/>
      </cdr:nvSpPr>
      <cdr:spPr>
        <a:xfrm xmlns:a="http://schemas.openxmlformats.org/drawingml/2006/main">
          <a:off x="2661988" y="2511780"/>
          <a:ext cx="618449" cy="2749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仲添</a:t>
          </a:r>
        </a:p>
      </cdr:txBody>
    </cdr:sp>
  </cdr:relSizeAnchor>
  <cdr:relSizeAnchor xmlns:cdr="http://schemas.openxmlformats.org/drawingml/2006/chartDrawing">
    <cdr:from>
      <cdr:x>0.808</cdr:x>
      <cdr:y>0.84188</cdr:y>
    </cdr:from>
    <cdr:to>
      <cdr:x>0.92042</cdr:x>
      <cdr:y>0.93439</cdr:y>
    </cdr:to>
    <cdr:sp macro="" textlink="">
      <cdr:nvSpPr>
        <cdr:cNvPr id="9" name="テキスト ボックス 1">
          <a:extLst xmlns:a="http://schemas.openxmlformats.org/drawingml/2006/main">
            <a:ext uri="{FF2B5EF4-FFF2-40B4-BE49-F238E27FC236}">
              <a16:creationId xmlns:a16="http://schemas.microsoft.com/office/drawing/2014/main" id="{0E05EE30-7D7C-4429-B596-ACA555BCEFA4}"/>
            </a:ext>
          </a:extLst>
        </cdr:cNvPr>
        <cdr:cNvSpPr txBox="1"/>
      </cdr:nvSpPr>
      <cdr:spPr>
        <a:xfrm xmlns:a="http://schemas.openxmlformats.org/drawingml/2006/main">
          <a:off x="4445000" y="2501900"/>
          <a:ext cx="618449" cy="2749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留添</a:t>
          </a:r>
        </a:p>
      </cdr:txBody>
    </cdr:sp>
  </cdr:relSizeAnchor>
  <cdr:relSizeAnchor xmlns:cdr="http://schemas.openxmlformats.org/drawingml/2006/chartDrawing">
    <cdr:from>
      <cdr:x>0.06018</cdr:x>
      <cdr:y>0.93789</cdr:y>
    </cdr:from>
    <cdr:to>
      <cdr:x>0.31102</cdr:x>
      <cdr:y>0.93838</cdr:y>
    </cdr:to>
    <cdr:cxnSp macro="">
      <cdr:nvCxnSpPr>
        <cdr:cNvPr id="13" name="直線矢印コネクタ 12">
          <a:extLst xmlns:a="http://schemas.openxmlformats.org/drawingml/2006/main">
            <a:ext uri="{FF2B5EF4-FFF2-40B4-BE49-F238E27FC236}">
              <a16:creationId xmlns:a16="http://schemas.microsoft.com/office/drawing/2014/main" id="{25993CD6-36AD-4DB1-A0DF-AD42BC661C95}"/>
            </a:ext>
          </a:extLst>
        </cdr:cNvPr>
        <cdr:cNvCxnSpPr/>
      </cdr:nvCxnSpPr>
      <cdr:spPr>
        <a:xfrm xmlns:a="http://schemas.openxmlformats.org/drawingml/2006/main" flipV="1">
          <a:off x="334335" y="2787207"/>
          <a:ext cx="1393472" cy="1477"/>
        </a:xfrm>
        <a:prstGeom xmlns:a="http://schemas.openxmlformats.org/drawingml/2006/main" prst="straightConnector1">
          <a:avLst/>
        </a:prstGeom>
        <a:ln xmlns:a="http://schemas.openxmlformats.org/drawingml/2006/main">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xml><?xml version="1.0" encoding="utf-8"?>
<xdr:wsDr xmlns:xdr="http://schemas.openxmlformats.org/drawingml/2006/spreadsheetDrawing" xmlns:a="http://schemas.openxmlformats.org/drawingml/2006/main">
  <xdr:twoCellAnchor>
    <xdr:from>
      <xdr:col>0</xdr:col>
      <xdr:colOff>0</xdr:colOff>
      <xdr:row>0</xdr:row>
      <xdr:rowOff>60052</xdr:rowOff>
    </xdr:from>
    <xdr:to>
      <xdr:col>16</xdr:col>
      <xdr:colOff>212912</xdr:colOff>
      <xdr:row>30</xdr:row>
      <xdr:rowOff>89480</xdr:rowOff>
    </xdr:to>
    <xdr:graphicFrame macro="">
      <xdr:nvGraphicFramePr>
        <xdr:cNvPr id="2" name="グラフ 1">
          <a:extLst>
            <a:ext uri="{FF2B5EF4-FFF2-40B4-BE49-F238E27FC236}">
              <a16:creationId xmlns:a16="http://schemas.microsoft.com/office/drawing/2014/main" id="{95980F5C-0849-405C-BC6D-7EB8C97885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33</xdr:row>
      <xdr:rowOff>0</xdr:rowOff>
    </xdr:from>
    <xdr:to>
      <xdr:col>8</xdr:col>
      <xdr:colOff>481853</xdr:colOff>
      <xdr:row>53</xdr:row>
      <xdr:rowOff>78441</xdr:rowOff>
    </xdr:to>
    <xdr:graphicFrame macro="">
      <xdr:nvGraphicFramePr>
        <xdr:cNvPr id="3" name="グラフ 2">
          <a:extLst>
            <a:ext uri="{FF2B5EF4-FFF2-40B4-BE49-F238E27FC236}">
              <a16:creationId xmlns:a16="http://schemas.microsoft.com/office/drawing/2014/main" id="{613AE058-4203-4C6B-837E-6498C1EE9A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134471</xdr:colOff>
      <xdr:row>32</xdr:row>
      <xdr:rowOff>153146</xdr:rowOff>
    </xdr:from>
    <xdr:to>
      <xdr:col>20</xdr:col>
      <xdr:colOff>485589</xdr:colOff>
      <xdr:row>53</xdr:row>
      <xdr:rowOff>67235</xdr:rowOff>
    </xdr:to>
    <xdr:graphicFrame macro="">
      <xdr:nvGraphicFramePr>
        <xdr:cNvPr id="6" name="グラフ 5">
          <a:extLst>
            <a:ext uri="{FF2B5EF4-FFF2-40B4-BE49-F238E27FC236}">
              <a16:creationId xmlns:a16="http://schemas.microsoft.com/office/drawing/2014/main" id="{33FB2679-0F69-4902-B147-7D064FCD79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9</xdr:col>
      <xdr:colOff>154626</xdr:colOff>
      <xdr:row>0</xdr:row>
      <xdr:rowOff>0</xdr:rowOff>
    </xdr:from>
    <xdr:to>
      <xdr:col>18</xdr:col>
      <xdr:colOff>258534</xdr:colOff>
      <xdr:row>35</xdr:row>
      <xdr:rowOff>55664</xdr:rowOff>
    </xdr:to>
    <xdr:graphicFrame macro="">
      <xdr:nvGraphicFramePr>
        <xdr:cNvPr id="3" name="グラフ 2">
          <a:extLst>
            <a:ext uri="{FF2B5EF4-FFF2-40B4-BE49-F238E27FC236}">
              <a16:creationId xmlns:a16="http://schemas.microsoft.com/office/drawing/2014/main" id="{5159700B-3C9B-4836-975E-AB6E91CC19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0</xdr:row>
      <xdr:rowOff>30924</xdr:rowOff>
    </xdr:from>
    <xdr:to>
      <xdr:col>9</xdr:col>
      <xdr:colOff>190501</xdr:colOff>
      <xdr:row>35</xdr:row>
      <xdr:rowOff>13607</xdr:rowOff>
    </xdr:to>
    <xdr:graphicFrame macro="">
      <xdr:nvGraphicFramePr>
        <xdr:cNvPr id="4" name="グラフ 3">
          <a:extLst>
            <a:ext uri="{FF2B5EF4-FFF2-40B4-BE49-F238E27FC236}">
              <a16:creationId xmlns:a16="http://schemas.microsoft.com/office/drawing/2014/main" id="{219FE6EF-61C6-498A-8C13-5F9E547F6D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86588</xdr:colOff>
      <xdr:row>0</xdr:row>
      <xdr:rowOff>0</xdr:rowOff>
    </xdr:from>
    <xdr:to>
      <xdr:col>26</xdr:col>
      <xdr:colOff>530678</xdr:colOff>
      <xdr:row>35</xdr:row>
      <xdr:rowOff>68036</xdr:rowOff>
    </xdr:to>
    <xdr:graphicFrame macro="">
      <xdr:nvGraphicFramePr>
        <xdr:cNvPr id="5" name="グラフ 4">
          <a:extLst>
            <a:ext uri="{FF2B5EF4-FFF2-40B4-BE49-F238E27FC236}">
              <a16:creationId xmlns:a16="http://schemas.microsoft.com/office/drawing/2014/main" id="{912486FA-946B-40CF-81B3-4E9AD3C82A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61578</xdr:colOff>
      <xdr:row>1</xdr:row>
      <xdr:rowOff>28575</xdr:rowOff>
    </xdr:from>
    <xdr:to>
      <xdr:col>1</xdr:col>
      <xdr:colOff>3332</xdr:colOff>
      <xdr:row>1</xdr:row>
      <xdr:rowOff>2423258</xdr:rowOff>
    </xdr:to>
    <xdr:pic>
      <xdr:nvPicPr>
        <xdr:cNvPr id="2" name="図 1">
          <a:extLst>
            <a:ext uri="{FF2B5EF4-FFF2-40B4-BE49-F238E27FC236}">
              <a16:creationId xmlns:a16="http://schemas.microsoft.com/office/drawing/2014/main" id="{5058DCB7-C200-48AE-BDBB-846D001914F8}"/>
            </a:ext>
          </a:extLst>
        </xdr:cNvPr>
        <xdr:cNvPicPr>
          <a:picLocks noChangeAspect="1"/>
        </xdr:cNvPicPr>
      </xdr:nvPicPr>
      <xdr:blipFill rotWithShape="1">
        <a:blip xmlns:r="http://schemas.openxmlformats.org/officeDocument/2006/relationships" r:embed="rId1"/>
        <a:srcRect r="20357" b="259"/>
        <a:stretch/>
      </xdr:blipFill>
      <xdr:spPr>
        <a:xfrm>
          <a:off x="61578" y="263525"/>
          <a:ext cx="3186604" cy="2394683"/>
        </a:xfrm>
        <a:prstGeom prst="rect">
          <a:avLst/>
        </a:prstGeom>
      </xdr:spPr>
    </xdr:pic>
    <xdr:clientData/>
  </xdr:twoCellAnchor>
  <xdr:twoCellAnchor>
    <xdr:from>
      <xdr:col>0</xdr:col>
      <xdr:colOff>728333</xdr:colOff>
      <xdr:row>1</xdr:row>
      <xdr:rowOff>2119313</xdr:rowOff>
    </xdr:from>
    <xdr:to>
      <xdr:col>0</xdr:col>
      <xdr:colOff>1008130</xdr:colOff>
      <xdr:row>1</xdr:row>
      <xdr:rowOff>2291954</xdr:rowOff>
    </xdr:to>
    <xdr:sp macro="" textlink="">
      <xdr:nvSpPr>
        <xdr:cNvPr id="3" name="楕円 2">
          <a:extLst>
            <a:ext uri="{FF2B5EF4-FFF2-40B4-BE49-F238E27FC236}">
              <a16:creationId xmlns:a16="http://schemas.microsoft.com/office/drawing/2014/main" id="{899EF2EA-0CAD-47B9-8345-2D242C5CA4A3}"/>
            </a:ext>
          </a:extLst>
        </xdr:cNvPr>
        <xdr:cNvSpPr/>
      </xdr:nvSpPr>
      <xdr:spPr>
        <a:xfrm>
          <a:off x="728333" y="2354263"/>
          <a:ext cx="279797" cy="17264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421327</xdr:colOff>
      <xdr:row>1</xdr:row>
      <xdr:rowOff>647700</xdr:rowOff>
    </xdr:from>
    <xdr:to>
      <xdr:col>0</xdr:col>
      <xdr:colOff>906517</xdr:colOff>
      <xdr:row>1</xdr:row>
      <xdr:rowOff>820341</xdr:rowOff>
    </xdr:to>
    <xdr:sp macro="" textlink="">
      <xdr:nvSpPr>
        <xdr:cNvPr id="4" name="楕円 3">
          <a:extLst>
            <a:ext uri="{FF2B5EF4-FFF2-40B4-BE49-F238E27FC236}">
              <a16:creationId xmlns:a16="http://schemas.microsoft.com/office/drawing/2014/main" id="{4151428E-7A49-421B-984F-4384CBC0CBF3}"/>
            </a:ext>
          </a:extLst>
        </xdr:cNvPr>
        <xdr:cNvSpPr/>
      </xdr:nvSpPr>
      <xdr:spPr>
        <a:xfrm>
          <a:off x="421327" y="882650"/>
          <a:ext cx="485190" cy="17264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1559071</xdr:colOff>
      <xdr:row>1</xdr:row>
      <xdr:rowOff>629307</xdr:rowOff>
    </xdr:from>
    <xdr:to>
      <xdr:col>0</xdr:col>
      <xdr:colOff>2259722</xdr:colOff>
      <xdr:row>1</xdr:row>
      <xdr:rowOff>801948</xdr:rowOff>
    </xdr:to>
    <xdr:sp macro="" textlink="">
      <xdr:nvSpPr>
        <xdr:cNvPr id="5" name="楕円 4">
          <a:extLst>
            <a:ext uri="{FF2B5EF4-FFF2-40B4-BE49-F238E27FC236}">
              <a16:creationId xmlns:a16="http://schemas.microsoft.com/office/drawing/2014/main" id="{164387D6-84B8-4274-9F14-8198348BA0FD}"/>
            </a:ext>
          </a:extLst>
        </xdr:cNvPr>
        <xdr:cNvSpPr/>
      </xdr:nvSpPr>
      <xdr:spPr>
        <a:xfrm>
          <a:off x="1559071" y="864257"/>
          <a:ext cx="700651" cy="172641"/>
        </a:xfrm>
        <a:prstGeom prst="ellipse">
          <a:avLst/>
        </a:prstGeom>
        <a:no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clientData/>
  </xdr:twoCellAnchor>
  <xdr:twoCellAnchor>
    <xdr:from>
      <xdr:col>0</xdr:col>
      <xdr:colOff>967155</xdr:colOff>
      <xdr:row>1</xdr:row>
      <xdr:rowOff>85396</xdr:rowOff>
    </xdr:from>
    <xdr:to>
      <xdr:col>1</xdr:col>
      <xdr:colOff>19708</xdr:colOff>
      <xdr:row>1</xdr:row>
      <xdr:rowOff>2144596</xdr:rowOff>
    </xdr:to>
    <xdr:cxnSp macro="">
      <xdr:nvCxnSpPr>
        <xdr:cNvPr id="6" name="直線矢印コネクタ 5">
          <a:extLst>
            <a:ext uri="{FF2B5EF4-FFF2-40B4-BE49-F238E27FC236}">
              <a16:creationId xmlns:a16="http://schemas.microsoft.com/office/drawing/2014/main" id="{FEFAF703-A8DC-4ED0-A09E-952D905EB6FD}"/>
            </a:ext>
          </a:extLst>
        </xdr:cNvPr>
        <xdr:cNvCxnSpPr>
          <a:endCxn id="3" idx="7"/>
        </xdr:cNvCxnSpPr>
      </xdr:nvCxnSpPr>
      <xdr:spPr>
        <a:xfrm flipH="1">
          <a:off x="967155" y="320346"/>
          <a:ext cx="2297403" cy="20592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2259722</xdr:colOff>
      <xdr:row>1</xdr:row>
      <xdr:rowOff>715628</xdr:rowOff>
    </xdr:from>
    <xdr:to>
      <xdr:col>1</xdr:col>
      <xdr:colOff>32845</xdr:colOff>
      <xdr:row>1</xdr:row>
      <xdr:rowOff>952500</xdr:rowOff>
    </xdr:to>
    <xdr:cxnSp macro="">
      <xdr:nvCxnSpPr>
        <xdr:cNvPr id="7" name="直線矢印コネクタ 6">
          <a:extLst>
            <a:ext uri="{FF2B5EF4-FFF2-40B4-BE49-F238E27FC236}">
              <a16:creationId xmlns:a16="http://schemas.microsoft.com/office/drawing/2014/main" id="{D38BE53F-25B0-4020-942C-B8519C40FB88}"/>
            </a:ext>
          </a:extLst>
        </xdr:cNvPr>
        <xdr:cNvCxnSpPr>
          <a:endCxn id="5" idx="6"/>
        </xdr:cNvCxnSpPr>
      </xdr:nvCxnSpPr>
      <xdr:spPr>
        <a:xfrm flipH="1" flipV="1">
          <a:off x="2259722" y="950578"/>
          <a:ext cx="1017973" cy="23687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56031</xdr:colOff>
      <xdr:row>2</xdr:row>
      <xdr:rowOff>5409</xdr:rowOff>
    </xdr:from>
    <xdr:to>
      <xdr:col>1</xdr:col>
      <xdr:colOff>623</xdr:colOff>
      <xdr:row>2</xdr:row>
      <xdr:rowOff>2518618</xdr:rowOff>
    </xdr:to>
    <xdr:pic>
      <xdr:nvPicPr>
        <xdr:cNvPr id="8" name="図 7">
          <a:extLst>
            <a:ext uri="{FF2B5EF4-FFF2-40B4-BE49-F238E27FC236}">
              <a16:creationId xmlns:a16="http://schemas.microsoft.com/office/drawing/2014/main" id="{76FB355C-8E4D-415E-BA16-2EDA9406BDD7}"/>
            </a:ext>
          </a:extLst>
        </xdr:cNvPr>
        <xdr:cNvPicPr>
          <a:picLocks noChangeAspect="1"/>
        </xdr:cNvPicPr>
      </xdr:nvPicPr>
      <xdr:blipFill rotWithShape="1">
        <a:blip xmlns:r="http://schemas.openxmlformats.org/officeDocument/2006/relationships" r:embed="rId2"/>
        <a:srcRect r="24343"/>
        <a:stretch/>
      </xdr:blipFill>
      <xdr:spPr>
        <a:xfrm>
          <a:off x="56031" y="2780359"/>
          <a:ext cx="3189442" cy="2513209"/>
        </a:xfrm>
        <a:prstGeom prst="rect">
          <a:avLst/>
        </a:prstGeom>
      </xdr:spPr>
    </xdr:pic>
    <xdr:clientData/>
  </xdr:twoCellAnchor>
  <xdr:twoCellAnchor>
    <xdr:from>
      <xdr:col>0</xdr:col>
      <xdr:colOff>91966</xdr:colOff>
      <xdr:row>2</xdr:row>
      <xdr:rowOff>807983</xdr:rowOff>
    </xdr:from>
    <xdr:to>
      <xdr:col>0</xdr:col>
      <xdr:colOff>1905000</xdr:colOff>
      <xdr:row>2</xdr:row>
      <xdr:rowOff>1261242</xdr:rowOff>
    </xdr:to>
    <xdr:sp macro="" textlink="">
      <xdr:nvSpPr>
        <xdr:cNvPr id="9" name="楕円 8">
          <a:extLst>
            <a:ext uri="{FF2B5EF4-FFF2-40B4-BE49-F238E27FC236}">
              <a16:creationId xmlns:a16="http://schemas.microsoft.com/office/drawing/2014/main" id="{CF7DA226-B4D2-41D8-908C-093CA0CA5102}"/>
            </a:ext>
          </a:extLst>
        </xdr:cNvPr>
        <xdr:cNvSpPr/>
      </xdr:nvSpPr>
      <xdr:spPr>
        <a:xfrm>
          <a:off x="91966" y="3582933"/>
          <a:ext cx="1813034" cy="45325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1753914</xdr:colOff>
      <xdr:row>2</xdr:row>
      <xdr:rowOff>137949</xdr:rowOff>
    </xdr:from>
    <xdr:to>
      <xdr:col>1</xdr:col>
      <xdr:colOff>78828</xdr:colOff>
      <xdr:row>2</xdr:row>
      <xdr:rowOff>860535</xdr:rowOff>
    </xdr:to>
    <xdr:cxnSp macro="">
      <xdr:nvCxnSpPr>
        <xdr:cNvPr id="10" name="直線矢印コネクタ 9">
          <a:extLst>
            <a:ext uri="{FF2B5EF4-FFF2-40B4-BE49-F238E27FC236}">
              <a16:creationId xmlns:a16="http://schemas.microsoft.com/office/drawing/2014/main" id="{D96ECE58-D462-4032-9A52-75EE40D9ACFD}"/>
            </a:ext>
          </a:extLst>
        </xdr:cNvPr>
        <xdr:cNvCxnSpPr/>
      </xdr:nvCxnSpPr>
      <xdr:spPr>
        <a:xfrm flipH="1">
          <a:off x="1753914" y="2912899"/>
          <a:ext cx="1569764" cy="72258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47621</xdr:colOff>
      <xdr:row>3</xdr:row>
      <xdr:rowOff>18468</xdr:rowOff>
    </xdr:from>
    <xdr:to>
      <xdr:col>1</xdr:col>
      <xdr:colOff>1465</xdr:colOff>
      <xdr:row>3</xdr:row>
      <xdr:rowOff>2500585</xdr:rowOff>
    </xdr:to>
    <xdr:pic>
      <xdr:nvPicPr>
        <xdr:cNvPr id="11" name="図 10">
          <a:extLst>
            <a:ext uri="{FF2B5EF4-FFF2-40B4-BE49-F238E27FC236}">
              <a16:creationId xmlns:a16="http://schemas.microsoft.com/office/drawing/2014/main" id="{E22F65E3-9083-4D19-9202-DED5C55BE6E0}"/>
            </a:ext>
          </a:extLst>
        </xdr:cNvPr>
        <xdr:cNvPicPr>
          <a:picLocks noChangeAspect="1"/>
        </xdr:cNvPicPr>
      </xdr:nvPicPr>
      <xdr:blipFill rotWithShape="1">
        <a:blip xmlns:r="http://schemas.openxmlformats.org/officeDocument/2006/relationships" r:embed="rId3"/>
        <a:srcRect r="22462"/>
        <a:stretch/>
      </xdr:blipFill>
      <xdr:spPr>
        <a:xfrm>
          <a:off x="47621" y="5333418"/>
          <a:ext cx="3198694" cy="2482117"/>
        </a:xfrm>
        <a:prstGeom prst="rect">
          <a:avLst/>
        </a:prstGeom>
      </xdr:spPr>
    </xdr:pic>
    <xdr:clientData/>
  </xdr:twoCellAnchor>
  <xdr:twoCellAnchor>
    <xdr:from>
      <xdr:col>0</xdr:col>
      <xdr:colOff>2345872</xdr:colOff>
      <xdr:row>3</xdr:row>
      <xdr:rowOff>283028</xdr:rowOff>
    </xdr:from>
    <xdr:to>
      <xdr:col>1</xdr:col>
      <xdr:colOff>114300</xdr:colOff>
      <xdr:row>3</xdr:row>
      <xdr:rowOff>930728</xdr:rowOff>
    </xdr:to>
    <xdr:cxnSp macro="">
      <xdr:nvCxnSpPr>
        <xdr:cNvPr id="12" name="直線矢印コネクタ 11">
          <a:extLst>
            <a:ext uri="{FF2B5EF4-FFF2-40B4-BE49-F238E27FC236}">
              <a16:creationId xmlns:a16="http://schemas.microsoft.com/office/drawing/2014/main" id="{D1250E6A-24DC-4595-BA5D-162D5B887EC7}"/>
            </a:ext>
          </a:extLst>
        </xdr:cNvPr>
        <xdr:cNvCxnSpPr/>
      </xdr:nvCxnSpPr>
      <xdr:spPr>
        <a:xfrm flipH="1">
          <a:off x="2345872" y="5597978"/>
          <a:ext cx="1013278" cy="6477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1780761</xdr:colOff>
      <xdr:row>3</xdr:row>
      <xdr:rowOff>936170</xdr:rowOff>
    </xdr:from>
    <xdr:to>
      <xdr:col>0</xdr:col>
      <xdr:colOff>2600739</xdr:colOff>
      <xdr:row>3</xdr:row>
      <xdr:rowOff>1035325</xdr:rowOff>
    </xdr:to>
    <xdr:sp macro="" textlink="">
      <xdr:nvSpPr>
        <xdr:cNvPr id="13" name="四角形: 角を丸くする 12">
          <a:extLst>
            <a:ext uri="{FF2B5EF4-FFF2-40B4-BE49-F238E27FC236}">
              <a16:creationId xmlns:a16="http://schemas.microsoft.com/office/drawing/2014/main" id="{8FED2452-A690-4B49-9885-AFEECAE23A9E}"/>
            </a:ext>
          </a:extLst>
        </xdr:cNvPr>
        <xdr:cNvSpPr/>
      </xdr:nvSpPr>
      <xdr:spPr>
        <a:xfrm>
          <a:off x="1780761" y="6251120"/>
          <a:ext cx="819978" cy="9915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1802531</xdr:colOff>
      <xdr:row>3</xdr:row>
      <xdr:rowOff>1736271</xdr:rowOff>
    </xdr:from>
    <xdr:to>
      <xdr:col>0</xdr:col>
      <xdr:colOff>3423556</xdr:colOff>
      <xdr:row>3</xdr:row>
      <xdr:rowOff>1937657</xdr:rowOff>
    </xdr:to>
    <xdr:sp macro="" textlink="">
      <xdr:nvSpPr>
        <xdr:cNvPr id="14" name="四角形: 角を丸くする 13">
          <a:extLst>
            <a:ext uri="{FF2B5EF4-FFF2-40B4-BE49-F238E27FC236}">
              <a16:creationId xmlns:a16="http://schemas.microsoft.com/office/drawing/2014/main" id="{5AC8EE9F-87F0-4C62-AFF3-DD35EFD67309}"/>
            </a:ext>
          </a:extLst>
        </xdr:cNvPr>
        <xdr:cNvSpPr/>
      </xdr:nvSpPr>
      <xdr:spPr>
        <a:xfrm>
          <a:off x="1802531" y="7051221"/>
          <a:ext cx="1443225" cy="201386"/>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3004457</xdr:colOff>
      <xdr:row>3</xdr:row>
      <xdr:rowOff>435428</xdr:rowOff>
    </xdr:from>
    <xdr:to>
      <xdr:col>1</xdr:col>
      <xdr:colOff>103414</xdr:colOff>
      <xdr:row>3</xdr:row>
      <xdr:rowOff>1703614</xdr:rowOff>
    </xdr:to>
    <xdr:cxnSp macro="">
      <xdr:nvCxnSpPr>
        <xdr:cNvPr id="15" name="直線矢印コネクタ 14">
          <a:extLst>
            <a:ext uri="{FF2B5EF4-FFF2-40B4-BE49-F238E27FC236}">
              <a16:creationId xmlns:a16="http://schemas.microsoft.com/office/drawing/2014/main" id="{153C90C1-9EB3-45FC-AF3E-12A493A63A21}"/>
            </a:ext>
          </a:extLst>
        </xdr:cNvPr>
        <xdr:cNvCxnSpPr/>
      </xdr:nvCxnSpPr>
      <xdr:spPr>
        <a:xfrm flipH="1">
          <a:off x="3004457" y="5750378"/>
          <a:ext cx="343807" cy="126818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41028</xdr:colOff>
      <xdr:row>4</xdr:row>
      <xdr:rowOff>47625</xdr:rowOff>
    </xdr:from>
    <xdr:to>
      <xdr:col>1</xdr:col>
      <xdr:colOff>1465</xdr:colOff>
      <xdr:row>4</xdr:row>
      <xdr:rowOff>2509369</xdr:rowOff>
    </xdr:to>
    <xdr:pic>
      <xdr:nvPicPr>
        <xdr:cNvPr id="16" name="図 15">
          <a:extLst>
            <a:ext uri="{FF2B5EF4-FFF2-40B4-BE49-F238E27FC236}">
              <a16:creationId xmlns:a16="http://schemas.microsoft.com/office/drawing/2014/main" id="{229C4FCB-ECC7-4504-A2AB-8EAC217CBFDC}"/>
            </a:ext>
          </a:extLst>
        </xdr:cNvPr>
        <xdr:cNvPicPr>
          <a:picLocks noChangeAspect="1"/>
        </xdr:cNvPicPr>
      </xdr:nvPicPr>
      <xdr:blipFill rotWithShape="1">
        <a:blip xmlns:r="http://schemas.openxmlformats.org/officeDocument/2006/relationships" r:embed="rId4"/>
        <a:srcRect r="21318"/>
        <a:stretch/>
      </xdr:blipFill>
      <xdr:spPr>
        <a:xfrm>
          <a:off x="41028" y="8124825"/>
          <a:ext cx="3205287" cy="2461744"/>
        </a:xfrm>
        <a:prstGeom prst="rect">
          <a:avLst/>
        </a:prstGeom>
      </xdr:spPr>
    </xdr:pic>
    <xdr:clientData/>
  </xdr:twoCellAnchor>
  <xdr:twoCellAnchor>
    <xdr:from>
      <xdr:col>0</xdr:col>
      <xdr:colOff>1457325</xdr:colOff>
      <xdr:row>4</xdr:row>
      <xdr:rowOff>283028</xdr:rowOff>
    </xdr:from>
    <xdr:to>
      <xdr:col>1</xdr:col>
      <xdr:colOff>114300</xdr:colOff>
      <xdr:row>4</xdr:row>
      <xdr:rowOff>2171700</xdr:rowOff>
    </xdr:to>
    <xdr:cxnSp macro="">
      <xdr:nvCxnSpPr>
        <xdr:cNvPr id="17" name="直線矢印コネクタ 16">
          <a:extLst>
            <a:ext uri="{FF2B5EF4-FFF2-40B4-BE49-F238E27FC236}">
              <a16:creationId xmlns:a16="http://schemas.microsoft.com/office/drawing/2014/main" id="{83BF5A81-00B0-4204-8DBB-438939CC7F77}"/>
            </a:ext>
          </a:extLst>
        </xdr:cNvPr>
        <xdr:cNvCxnSpPr/>
      </xdr:nvCxnSpPr>
      <xdr:spPr>
        <a:xfrm flipH="1">
          <a:off x="1457325" y="8360228"/>
          <a:ext cx="1901825" cy="188867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1752602</xdr:colOff>
      <xdr:row>4</xdr:row>
      <xdr:rowOff>459827</xdr:rowOff>
    </xdr:from>
    <xdr:to>
      <xdr:col>1</xdr:col>
      <xdr:colOff>137949</xdr:colOff>
      <xdr:row>4</xdr:row>
      <xdr:rowOff>962025</xdr:rowOff>
    </xdr:to>
    <xdr:cxnSp macro="">
      <xdr:nvCxnSpPr>
        <xdr:cNvPr id="18" name="直線矢印コネクタ 17">
          <a:extLst>
            <a:ext uri="{FF2B5EF4-FFF2-40B4-BE49-F238E27FC236}">
              <a16:creationId xmlns:a16="http://schemas.microsoft.com/office/drawing/2014/main" id="{0F672BED-4A7C-4415-9BE1-EF043919E6C4}"/>
            </a:ext>
          </a:extLst>
        </xdr:cNvPr>
        <xdr:cNvCxnSpPr/>
      </xdr:nvCxnSpPr>
      <xdr:spPr>
        <a:xfrm flipH="1">
          <a:off x="1752602" y="8537027"/>
          <a:ext cx="1630197" cy="502198"/>
        </a:xfrm>
        <a:prstGeom prst="straightConnector1">
          <a:avLst/>
        </a:prstGeom>
        <a:ln>
          <a:solidFill>
            <a:schemeClr val="accent5"/>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866775</xdr:colOff>
      <xdr:row>4</xdr:row>
      <xdr:rowOff>2200275</xdr:rowOff>
    </xdr:from>
    <xdr:to>
      <xdr:col>0</xdr:col>
      <xdr:colOff>1600200</xdr:colOff>
      <xdr:row>4</xdr:row>
      <xdr:rowOff>2381250</xdr:rowOff>
    </xdr:to>
    <xdr:sp macro="" textlink="">
      <xdr:nvSpPr>
        <xdr:cNvPr id="19" name="四角形: 角を丸くする 18">
          <a:extLst>
            <a:ext uri="{FF2B5EF4-FFF2-40B4-BE49-F238E27FC236}">
              <a16:creationId xmlns:a16="http://schemas.microsoft.com/office/drawing/2014/main" id="{703F5D86-0BBF-41AC-9E46-4E1352D50BFA}"/>
            </a:ext>
          </a:extLst>
        </xdr:cNvPr>
        <xdr:cNvSpPr/>
      </xdr:nvSpPr>
      <xdr:spPr>
        <a:xfrm>
          <a:off x="866775" y="10277475"/>
          <a:ext cx="733425" cy="18097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552450</xdr:colOff>
      <xdr:row>4</xdr:row>
      <xdr:rowOff>714375</xdr:rowOff>
    </xdr:from>
    <xdr:to>
      <xdr:col>0</xdr:col>
      <xdr:colOff>1695450</xdr:colOff>
      <xdr:row>4</xdr:row>
      <xdr:rowOff>1314450</xdr:rowOff>
    </xdr:to>
    <xdr:sp macro="" textlink="">
      <xdr:nvSpPr>
        <xdr:cNvPr id="20" name="四角形: 角を丸くする 19">
          <a:extLst>
            <a:ext uri="{FF2B5EF4-FFF2-40B4-BE49-F238E27FC236}">
              <a16:creationId xmlns:a16="http://schemas.microsoft.com/office/drawing/2014/main" id="{97646A12-5160-43D6-AAF7-CE7DF373ABFA}"/>
            </a:ext>
          </a:extLst>
        </xdr:cNvPr>
        <xdr:cNvSpPr/>
      </xdr:nvSpPr>
      <xdr:spPr>
        <a:xfrm>
          <a:off x="552450" y="8791575"/>
          <a:ext cx="1143000" cy="600075"/>
        </a:xfrm>
        <a:prstGeom prst="roundRect">
          <a:avLst/>
        </a:prstGeom>
        <a:no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3367455</xdr:colOff>
      <xdr:row>4</xdr:row>
      <xdr:rowOff>805962</xdr:rowOff>
    </xdr:from>
    <xdr:to>
      <xdr:col>1</xdr:col>
      <xdr:colOff>21981</xdr:colOff>
      <xdr:row>4</xdr:row>
      <xdr:rowOff>1129812</xdr:rowOff>
    </xdr:to>
    <xdr:cxnSp macro="">
      <xdr:nvCxnSpPr>
        <xdr:cNvPr id="21" name="直線矢印コネクタ 20">
          <a:extLst>
            <a:ext uri="{FF2B5EF4-FFF2-40B4-BE49-F238E27FC236}">
              <a16:creationId xmlns:a16="http://schemas.microsoft.com/office/drawing/2014/main" id="{EFAFA66D-0C33-4EBA-94B2-29D2677D0EBF}"/>
            </a:ext>
          </a:extLst>
        </xdr:cNvPr>
        <xdr:cNvCxnSpPr/>
      </xdr:nvCxnSpPr>
      <xdr:spPr>
        <a:xfrm flipH="1">
          <a:off x="3246805" y="8883162"/>
          <a:ext cx="20026" cy="323850"/>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885825</xdr:colOff>
      <xdr:row>4</xdr:row>
      <xdr:rowOff>1295400</xdr:rowOff>
    </xdr:from>
    <xdr:to>
      <xdr:col>0</xdr:col>
      <xdr:colOff>3324225</xdr:colOff>
      <xdr:row>4</xdr:row>
      <xdr:rowOff>1600200</xdr:rowOff>
    </xdr:to>
    <xdr:sp macro="" textlink="">
      <xdr:nvSpPr>
        <xdr:cNvPr id="22" name="四角形: 角を丸くする 21">
          <a:extLst>
            <a:ext uri="{FF2B5EF4-FFF2-40B4-BE49-F238E27FC236}">
              <a16:creationId xmlns:a16="http://schemas.microsoft.com/office/drawing/2014/main" id="{9F74BFD6-BDC2-4DCD-B465-8913A17930ED}"/>
            </a:ext>
          </a:extLst>
        </xdr:cNvPr>
        <xdr:cNvSpPr/>
      </xdr:nvSpPr>
      <xdr:spPr>
        <a:xfrm>
          <a:off x="885825" y="9372600"/>
          <a:ext cx="2355850" cy="304800"/>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2733449</xdr:colOff>
      <xdr:row>4</xdr:row>
      <xdr:rowOff>951742</xdr:rowOff>
    </xdr:from>
    <xdr:to>
      <xdr:col>1</xdr:col>
      <xdr:colOff>29307</xdr:colOff>
      <xdr:row>4</xdr:row>
      <xdr:rowOff>1421423</xdr:rowOff>
    </xdr:to>
    <xdr:cxnSp macro="">
      <xdr:nvCxnSpPr>
        <xdr:cNvPr id="23" name="直線矢印コネクタ 22">
          <a:extLst>
            <a:ext uri="{FF2B5EF4-FFF2-40B4-BE49-F238E27FC236}">
              <a16:creationId xmlns:a16="http://schemas.microsoft.com/office/drawing/2014/main" id="{5EC64167-0DA1-49CB-8BE6-C7F4BE054958}"/>
            </a:ext>
          </a:extLst>
        </xdr:cNvPr>
        <xdr:cNvCxnSpPr/>
      </xdr:nvCxnSpPr>
      <xdr:spPr>
        <a:xfrm flipH="1" flipV="1">
          <a:off x="2733449" y="9028942"/>
          <a:ext cx="540708" cy="469681"/>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42793</xdr:colOff>
      <xdr:row>5</xdr:row>
      <xdr:rowOff>44822</xdr:rowOff>
    </xdr:from>
    <xdr:to>
      <xdr:col>0</xdr:col>
      <xdr:colOff>3241863</xdr:colOff>
      <xdr:row>5</xdr:row>
      <xdr:rowOff>2524242</xdr:rowOff>
    </xdr:to>
    <xdr:pic>
      <xdr:nvPicPr>
        <xdr:cNvPr id="24" name="図 23">
          <a:extLst>
            <a:ext uri="{FF2B5EF4-FFF2-40B4-BE49-F238E27FC236}">
              <a16:creationId xmlns:a16="http://schemas.microsoft.com/office/drawing/2014/main" id="{D5D4D37E-FAAF-4819-917F-E84A151D80C1}"/>
            </a:ext>
          </a:extLst>
        </xdr:cNvPr>
        <xdr:cNvPicPr>
          <a:picLocks noChangeAspect="1"/>
        </xdr:cNvPicPr>
      </xdr:nvPicPr>
      <xdr:blipFill rotWithShape="1">
        <a:blip xmlns:r="http://schemas.openxmlformats.org/officeDocument/2006/relationships" r:embed="rId5"/>
        <a:srcRect r="22832"/>
        <a:stretch/>
      </xdr:blipFill>
      <xdr:spPr>
        <a:xfrm>
          <a:off x="42793" y="10662022"/>
          <a:ext cx="3199070" cy="2479420"/>
        </a:xfrm>
        <a:prstGeom prst="rect">
          <a:avLst/>
        </a:prstGeom>
      </xdr:spPr>
    </xdr:pic>
    <xdr:clientData/>
  </xdr:twoCellAnchor>
  <xdr:twoCellAnchor>
    <xdr:from>
      <xdr:col>0</xdr:col>
      <xdr:colOff>1143000</xdr:colOff>
      <xdr:row>5</xdr:row>
      <xdr:rowOff>283028</xdr:rowOff>
    </xdr:from>
    <xdr:to>
      <xdr:col>1</xdr:col>
      <xdr:colOff>114301</xdr:colOff>
      <xdr:row>5</xdr:row>
      <xdr:rowOff>828675</xdr:rowOff>
    </xdr:to>
    <xdr:cxnSp macro="">
      <xdr:nvCxnSpPr>
        <xdr:cNvPr id="25" name="直線矢印コネクタ 24">
          <a:extLst>
            <a:ext uri="{FF2B5EF4-FFF2-40B4-BE49-F238E27FC236}">
              <a16:creationId xmlns:a16="http://schemas.microsoft.com/office/drawing/2014/main" id="{C9B92756-A0FB-4A19-8D62-C04B568D40FD}"/>
            </a:ext>
          </a:extLst>
        </xdr:cNvPr>
        <xdr:cNvCxnSpPr/>
      </xdr:nvCxnSpPr>
      <xdr:spPr>
        <a:xfrm flipH="1">
          <a:off x="1143000" y="10900228"/>
          <a:ext cx="2216151" cy="54564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2095500</xdr:colOff>
      <xdr:row>5</xdr:row>
      <xdr:rowOff>907502</xdr:rowOff>
    </xdr:from>
    <xdr:to>
      <xdr:col>1</xdr:col>
      <xdr:colOff>118900</xdr:colOff>
      <xdr:row>5</xdr:row>
      <xdr:rowOff>1219200</xdr:rowOff>
    </xdr:to>
    <xdr:cxnSp macro="">
      <xdr:nvCxnSpPr>
        <xdr:cNvPr id="26" name="直線矢印コネクタ 25">
          <a:extLst>
            <a:ext uri="{FF2B5EF4-FFF2-40B4-BE49-F238E27FC236}">
              <a16:creationId xmlns:a16="http://schemas.microsoft.com/office/drawing/2014/main" id="{A9F46E30-1447-4425-A536-43C8DEC4120C}"/>
            </a:ext>
          </a:extLst>
        </xdr:cNvPr>
        <xdr:cNvCxnSpPr/>
      </xdr:nvCxnSpPr>
      <xdr:spPr>
        <a:xfrm flipH="1">
          <a:off x="2095500" y="11524702"/>
          <a:ext cx="1268250" cy="31169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3105150</xdr:colOff>
      <xdr:row>5</xdr:row>
      <xdr:rowOff>1281933</xdr:rowOff>
    </xdr:from>
    <xdr:to>
      <xdr:col>1</xdr:col>
      <xdr:colOff>59778</xdr:colOff>
      <xdr:row>5</xdr:row>
      <xdr:rowOff>1428750</xdr:rowOff>
    </xdr:to>
    <xdr:cxnSp macro="">
      <xdr:nvCxnSpPr>
        <xdr:cNvPr id="27" name="直線矢印コネクタ 26">
          <a:extLst>
            <a:ext uri="{FF2B5EF4-FFF2-40B4-BE49-F238E27FC236}">
              <a16:creationId xmlns:a16="http://schemas.microsoft.com/office/drawing/2014/main" id="{852B4CBD-9407-4A98-8B17-BBEA3D513933}"/>
            </a:ext>
          </a:extLst>
        </xdr:cNvPr>
        <xdr:cNvCxnSpPr/>
      </xdr:nvCxnSpPr>
      <xdr:spPr>
        <a:xfrm flipH="1">
          <a:off x="3105150" y="11899133"/>
          <a:ext cx="199478" cy="146817"/>
        </a:xfrm>
        <a:prstGeom prst="straightConnector1">
          <a:avLst/>
        </a:prstGeom>
        <a:ln>
          <a:solidFill>
            <a:schemeClr val="accent5"/>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390525</xdr:colOff>
      <xdr:row>5</xdr:row>
      <xdr:rowOff>1638300</xdr:rowOff>
    </xdr:from>
    <xdr:to>
      <xdr:col>1</xdr:col>
      <xdr:colOff>59778</xdr:colOff>
      <xdr:row>5</xdr:row>
      <xdr:rowOff>1815333</xdr:rowOff>
    </xdr:to>
    <xdr:cxnSp macro="">
      <xdr:nvCxnSpPr>
        <xdr:cNvPr id="28" name="直線矢印コネクタ 27">
          <a:extLst>
            <a:ext uri="{FF2B5EF4-FFF2-40B4-BE49-F238E27FC236}">
              <a16:creationId xmlns:a16="http://schemas.microsoft.com/office/drawing/2014/main" id="{A58FE944-B9D7-487E-B0EB-5199EBB6CA89}"/>
            </a:ext>
          </a:extLst>
        </xdr:cNvPr>
        <xdr:cNvCxnSpPr/>
      </xdr:nvCxnSpPr>
      <xdr:spPr>
        <a:xfrm flipH="1" flipV="1">
          <a:off x="390525" y="12255500"/>
          <a:ext cx="2914103" cy="177033"/>
        </a:xfrm>
        <a:prstGeom prst="straightConnector1">
          <a:avLst/>
        </a:prstGeom>
        <a:ln>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38833</xdr:colOff>
      <xdr:row>6</xdr:row>
      <xdr:rowOff>48344</xdr:rowOff>
    </xdr:from>
    <xdr:to>
      <xdr:col>1</xdr:col>
      <xdr:colOff>4639</xdr:colOff>
      <xdr:row>6</xdr:row>
      <xdr:rowOff>2500311</xdr:rowOff>
    </xdr:to>
    <xdr:pic>
      <xdr:nvPicPr>
        <xdr:cNvPr id="29" name="図 28">
          <a:extLst>
            <a:ext uri="{FF2B5EF4-FFF2-40B4-BE49-F238E27FC236}">
              <a16:creationId xmlns:a16="http://schemas.microsoft.com/office/drawing/2014/main" id="{067BDCAA-B046-4760-A83B-D28433EC6AD9}"/>
            </a:ext>
          </a:extLst>
        </xdr:cNvPr>
        <xdr:cNvPicPr>
          <a:picLocks noChangeAspect="1"/>
        </xdr:cNvPicPr>
      </xdr:nvPicPr>
      <xdr:blipFill rotWithShape="1">
        <a:blip xmlns:r="http://schemas.openxmlformats.org/officeDocument/2006/relationships" r:embed="rId6"/>
        <a:srcRect r="5022"/>
        <a:stretch/>
      </xdr:blipFill>
      <xdr:spPr>
        <a:xfrm>
          <a:off x="38833" y="13205544"/>
          <a:ext cx="3210656" cy="2451967"/>
        </a:xfrm>
        <a:prstGeom prst="rect">
          <a:avLst/>
        </a:prstGeom>
      </xdr:spPr>
    </xdr:pic>
    <xdr:clientData/>
  </xdr:twoCellAnchor>
  <xdr:twoCellAnchor>
    <xdr:from>
      <xdr:col>0</xdr:col>
      <xdr:colOff>1770063</xdr:colOff>
      <xdr:row>6</xdr:row>
      <xdr:rowOff>87312</xdr:rowOff>
    </xdr:from>
    <xdr:to>
      <xdr:col>1</xdr:col>
      <xdr:colOff>0</xdr:colOff>
      <xdr:row>6</xdr:row>
      <xdr:rowOff>825500</xdr:rowOff>
    </xdr:to>
    <xdr:cxnSp macro="">
      <xdr:nvCxnSpPr>
        <xdr:cNvPr id="30" name="直線矢印コネクタ 29">
          <a:extLst>
            <a:ext uri="{FF2B5EF4-FFF2-40B4-BE49-F238E27FC236}">
              <a16:creationId xmlns:a16="http://schemas.microsoft.com/office/drawing/2014/main" id="{9061236B-70B5-44CC-ABFB-5581908CF9C4}"/>
            </a:ext>
          </a:extLst>
        </xdr:cNvPr>
        <xdr:cNvCxnSpPr/>
      </xdr:nvCxnSpPr>
      <xdr:spPr>
        <a:xfrm flipH="1">
          <a:off x="1770063" y="13244512"/>
          <a:ext cx="1474787" cy="73818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3230563</xdr:colOff>
      <xdr:row>6</xdr:row>
      <xdr:rowOff>1293813</xdr:rowOff>
    </xdr:from>
    <xdr:to>
      <xdr:col>1</xdr:col>
      <xdr:colOff>103188</xdr:colOff>
      <xdr:row>6</xdr:row>
      <xdr:rowOff>1508125</xdr:rowOff>
    </xdr:to>
    <xdr:cxnSp macro="">
      <xdr:nvCxnSpPr>
        <xdr:cNvPr id="31" name="直線矢印コネクタ 30">
          <a:extLst>
            <a:ext uri="{FF2B5EF4-FFF2-40B4-BE49-F238E27FC236}">
              <a16:creationId xmlns:a16="http://schemas.microsoft.com/office/drawing/2014/main" id="{27D69368-1B1F-4071-9378-D599ABE90BC0}"/>
            </a:ext>
          </a:extLst>
        </xdr:cNvPr>
        <xdr:cNvCxnSpPr/>
      </xdr:nvCxnSpPr>
      <xdr:spPr>
        <a:xfrm flipH="1" flipV="1">
          <a:off x="3230563" y="14451013"/>
          <a:ext cx="117475" cy="2143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67235</xdr:colOff>
      <xdr:row>8</xdr:row>
      <xdr:rowOff>33618</xdr:rowOff>
    </xdr:from>
    <xdr:to>
      <xdr:col>1</xdr:col>
      <xdr:colOff>477</xdr:colOff>
      <xdr:row>9</xdr:row>
      <xdr:rowOff>11206</xdr:rowOff>
    </xdr:to>
    <xdr:pic>
      <xdr:nvPicPr>
        <xdr:cNvPr id="32" name="図 31">
          <a:extLst>
            <a:ext uri="{FF2B5EF4-FFF2-40B4-BE49-F238E27FC236}">
              <a16:creationId xmlns:a16="http://schemas.microsoft.com/office/drawing/2014/main" id="{49CEF061-7D05-4ED9-9570-5A7DB0ED388E}"/>
            </a:ext>
          </a:extLst>
        </xdr:cNvPr>
        <xdr:cNvPicPr>
          <a:picLocks noChangeAspect="1"/>
        </xdr:cNvPicPr>
      </xdr:nvPicPr>
      <xdr:blipFill rotWithShape="1">
        <a:blip xmlns:r="http://schemas.openxmlformats.org/officeDocument/2006/relationships" r:embed="rId7"/>
        <a:srcRect l="31056" t="24707" r="10994" b="5513"/>
        <a:stretch/>
      </xdr:blipFill>
      <xdr:spPr>
        <a:xfrm>
          <a:off x="67235" y="18067618"/>
          <a:ext cx="3178092" cy="2517588"/>
        </a:xfrm>
        <a:prstGeom prst="rect">
          <a:avLst/>
        </a:prstGeom>
      </xdr:spPr>
    </xdr:pic>
    <xdr:clientData/>
  </xdr:twoCellAnchor>
  <xdr:twoCellAnchor editAs="oneCell">
    <xdr:from>
      <xdr:col>0</xdr:col>
      <xdr:colOff>56032</xdr:colOff>
      <xdr:row>9</xdr:row>
      <xdr:rowOff>47580</xdr:rowOff>
    </xdr:from>
    <xdr:to>
      <xdr:col>1</xdr:col>
      <xdr:colOff>3707</xdr:colOff>
      <xdr:row>9</xdr:row>
      <xdr:rowOff>2507412</xdr:rowOff>
    </xdr:to>
    <xdr:pic>
      <xdr:nvPicPr>
        <xdr:cNvPr id="33" name="図 32">
          <a:extLst>
            <a:ext uri="{FF2B5EF4-FFF2-40B4-BE49-F238E27FC236}">
              <a16:creationId xmlns:a16="http://schemas.microsoft.com/office/drawing/2014/main" id="{3A629A0F-E712-443B-97F9-F858E85D5E21}"/>
            </a:ext>
          </a:extLst>
        </xdr:cNvPr>
        <xdr:cNvPicPr>
          <a:picLocks noChangeAspect="1"/>
        </xdr:cNvPicPr>
      </xdr:nvPicPr>
      <xdr:blipFill rotWithShape="1">
        <a:blip xmlns:r="http://schemas.openxmlformats.org/officeDocument/2006/relationships" r:embed="rId8"/>
        <a:srcRect r="21026"/>
        <a:stretch/>
      </xdr:blipFill>
      <xdr:spPr>
        <a:xfrm>
          <a:off x="56032" y="20621580"/>
          <a:ext cx="3192525" cy="2459832"/>
        </a:xfrm>
        <a:prstGeom prst="rect">
          <a:avLst/>
        </a:prstGeom>
      </xdr:spPr>
    </xdr:pic>
    <xdr:clientData/>
  </xdr:twoCellAnchor>
  <xdr:twoCellAnchor editAs="oneCell">
    <xdr:from>
      <xdr:col>0</xdr:col>
      <xdr:colOff>16934</xdr:colOff>
      <xdr:row>7</xdr:row>
      <xdr:rowOff>16934</xdr:rowOff>
    </xdr:from>
    <xdr:to>
      <xdr:col>0</xdr:col>
      <xdr:colOff>3191934</xdr:colOff>
      <xdr:row>7</xdr:row>
      <xdr:rowOff>2319867</xdr:rowOff>
    </xdr:to>
    <xdr:pic>
      <xdr:nvPicPr>
        <xdr:cNvPr id="34" name="図 33">
          <a:extLst>
            <a:ext uri="{FF2B5EF4-FFF2-40B4-BE49-F238E27FC236}">
              <a16:creationId xmlns:a16="http://schemas.microsoft.com/office/drawing/2014/main" id="{D8A46C9A-16C5-4E73-AD83-80BBD321A729}"/>
            </a:ext>
          </a:extLst>
        </xdr:cNvPr>
        <xdr:cNvPicPr>
          <a:picLocks noChangeAspect="1"/>
        </xdr:cNvPicPr>
      </xdr:nvPicPr>
      <xdr:blipFill>
        <a:blip xmlns:r="http://schemas.openxmlformats.org/officeDocument/2006/relationships" r:embed="rId9"/>
        <a:stretch>
          <a:fillRect/>
        </a:stretch>
      </xdr:blipFill>
      <xdr:spPr>
        <a:xfrm>
          <a:off x="16934" y="15714134"/>
          <a:ext cx="3175000" cy="2302933"/>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4DD48-CE7B-4139-ABD4-CB452C9922EE}">
  <sheetPr codeName="Sheet1"/>
  <dimension ref="A1:K14"/>
  <sheetViews>
    <sheetView view="pageBreakPreview" zoomScaleNormal="100" zoomScaleSheetLayoutView="100" workbookViewId="0">
      <pane ySplit="1" topLeftCell="A2" activePane="bottomLeft" state="frozen"/>
      <selection pane="bottomLeft" activeCell="A3" sqref="A3:K3"/>
    </sheetView>
  </sheetViews>
  <sheetFormatPr defaultRowHeight="13.5"/>
  <cols>
    <col min="1" max="1" width="13" bestFit="1" customWidth="1"/>
    <col min="5" max="5" width="10" customWidth="1"/>
    <col min="7" max="7" width="11.625" bestFit="1" customWidth="1"/>
    <col min="11" max="11" width="10.125" customWidth="1"/>
  </cols>
  <sheetData>
    <row r="1" spans="1:11" ht="21">
      <c r="A1" s="55" t="s">
        <v>357</v>
      </c>
      <c r="F1" s="220" t="s">
        <v>431</v>
      </c>
      <c r="G1" s="219">
        <v>45475</v>
      </c>
      <c r="I1" t="s">
        <v>64</v>
      </c>
    </row>
    <row r="3" spans="1:11" ht="122.1" customHeight="1">
      <c r="A3" s="445" t="s">
        <v>432</v>
      </c>
      <c r="B3" s="445"/>
      <c r="C3" s="445"/>
      <c r="D3" s="445"/>
      <c r="E3" s="445"/>
      <c r="F3" s="445"/>
      <c r="G3" s="445"/>
      <c r="H3" s="445"/>
      <c r="I3" s="445"/>
      <c r="J3" s="445"/>
      <c r="K3" s="445"/>
    </row>
    <row r="4" spans="1:11" ht="273.60000000000002" customHeight="1">
      <c r="A4" s="446" t="s">
        <v>433</v>
      </c>
      <c r="B4" s="447"/>
      <c r="C4" s="447"/>
      <c r="D4" s="447"/>
      <c r="E4" s="447"/>
      <c r="F4" s="447"/>
      <c r="G4" s="447"/>
      <c r="H4" s="447"/>
      <c r="I4" s="447"/>
      <c r="J4" s="447"/>
      <c r="K4" s="447"/>
    </row>
    <row r="5" spans="1:11" ht="96.95" customHeight="1">
      <c r="A5" s="448" t="s">
        <v>434</v>
      </c>
      <c r="B5" s="448"/>
      <c r="C5" s="448"/>
      <c r="D5" s="448"/>
      <c r="E5" s="448"/>
      <c r="F5" s="448"/>
      <c r="G5" s="448"/>
      <c r="H5" s="448"/>
      <c r="I5" s="448"/>
      <c r="J5" s="448"/>
      <c r="K5" s="448"/>
    </row>
    <row r="6" spans="1:11" ht="52.5" customHeight="1">
      <c r="A6" s="448" t="s">
        <v>444</v>
      </c>
      <c r="B6" s="448"/>
      <c r="C6" s="448"/>
      <c r="D6" s="448"/>
      <c r="E6" s="448"/>
      <c r="F6" s="448"/>
      <c r="G6" s="448"/>
      <c r="H6" s="448"/>
      <c r="I6" s="448"/>
      <c r="J6" s="448"/>
      <c r="K6" s="448"/>
    </row>
    <row r="7" spans="1:11">
      <c r="A7" t="s">
        <v>228</v>
      </c>
    </row>
    <row r="8" spans="1:11">
      <c r="A8" s="438" t="s">
        <v>229</v>
      </c>
      <c r="B8" s="438" t="s">
        <v>232</v>
      </c>
      <c r="C8" s="449" t="s">
        <v>231</v>
      </c>
      <c r="D8" s="449"/>
      <c r="E8" s="449"/>
      <c r="F8" s="449"/>
      <c r="G8" s="449"/>
      <c r="H8" s="449"/>
      <c r="I8" s="449"/>
      <c r="J8" s="450" t="s">
        <v>230</v>
      </c>
      <c r="K8" s="450"/>
    </row>
    <row r="9" spans="1:11">
      <c r="A9" s="168">
        <v>44146</v>
      </c>
      <c r="B9" s="169">
        <v>1</v>
      </c>
      <c r="C9" s="451" t="s">
        <v>234</v>
      </c>
      <c r="D9" s="451"/>
      <c r="E9" s="451"/>
      <c r="F9" s="451"/>
      <c r="G9" s="451"/>
      <c r="H9" s="451"/>
      <c r="I9" s="451"/>
      <c r="J9" s="452" t="s">
        <v>233</v>
      </c>
      <c r="K9" s="452"/>
    </row>
    <row r="10" spans="1:11" ht="27" customHeight="1">
      <c r="A10" s="168">
        <v>44327</v>
      </c>
      <c r="B10" s="169">
        <v>2</v>
      </c>
      <c r="C10" s="453" t="s">
        <v>235</v>
      </c>
      <c r="D10" s="453"/>
      <c r="E10" s="453"/>
      <c r="F10" s="453"/>
      <c r="G10" s="453"/>
      <c r="H10" s="453"/>
      <c r="I10" s="453"/>
      <c r="J10" s="452" t="s">
        <v>233</v>
      </c>
      <c r="K10" s="452"/>
    </row>
    <row r="11" spans="1:11">
      <c r="A11" s="168">
        <v>44770</v>
      </c>
      <c r="B11" s="169">
        <v>2.1</v>
      </c>
      <c r="C11" s="453" t="s">
        <v>358</v>
      </c>
      <c r="D11" s="453"/>
      <c r="E11" s="453"/>
      <c r="F11" s="453"/>
      <c r="G11" s="453"/>
      <c r="H11" s="453"/>
      <c r="I11" s="453"/>
      <c r="J11" s="452" t="s">
        <v>291</v>
      </c>
      <c r="K11" s="452"/>
    </row>
    <row r="12" spans="1:11" ht="48" customHeight="1">
      <c r="A12" s="168">
        <v>45079</v>
      </c>
      <c r="B12" s="169">
        <v>2</v>
      </c>
      <c r="C12" s="453" t="s">
        <v>359</v>
      </c>
      <c r="D12" s="453"/>
      <c r="E12" s="453"/>
      <c r="F12" s="453"/>
      <c r="G12" s="453"/>
      <c r="H12" s="453"/>
      <c r="I12" s="453"/>
      <c r="J12" s="452" t="s">
        <v>291</v>
      </c>
      <c r="K12" s="452"/>
    </row>
    <row r="13" spans="1:11" ht="15.75" customHeight="1">
      <c r="A13" s="168">
        <v>45468</v>
      </c>
      <c r="B13" s="169">
        <v>3.1</v>
      </c>
      <c r="C13" s="454" t="s">
        <v>435</v>
      </c>
      <c r="D13" s="455"/>
      <c r="E13" s="455"/>
      <c r="F13" s="455"/>
      <c r="G13" s="455"/>
      <c r="H13" s="455"/>
      <c r="I13" s="455"/>
      <c r="J13" s="452" t="s">
        <v>436</v>
      </c>
      <c r="K13" s="452"/>
    </row>
    <row r="14" spans="1:11" ht="15.75" customHeight="1">
      <c r="A14" s="168">
        <v>45475</v>
      </c>
      <c r="B14" s="169">
        <v>3.2</v>
      </c>
      <c r="C14" s="454" t="s">
        <v>437</v>
      </c>
      <c r="D14" s="455"/>
      <c r="E14" s="455"/>
      <c r="F14" s="455"/>
      <c r="G14" s="455"/>
      <c r="H14" s="455"/>
      <c r="I14" s="455"/>
      <c r="J14" s="452" t="s">
        <v>438</v>
      </c>
      <c r="K14" s="452"/>
    </row>
  </sheetData>
  <sheetProtection password="BD3E" sheet="1" objects="1" scenarios="1"/>
  <mergeCells count="18">
    <mergeCell ref="C12:I12"/>
    <mergeCell ref="J12:K12"/>
    <mergeCell ref="C13:I13"/>
    <mergeCell ref="J13:K13"/>
    <mergeCell ref="C14:I14"/>
    <mergeCell ref="J14:K14"/>
    <mergeCell ref="C9:I9"/>
    <mergeCell ref="J9:K9"/>
    <mergeCell ref="C10:I10"/>
    <mergeCell ref="J10:K10"/>
    <mergeCell ref="C11:I11"/>
    <mergeCell ref="J11:K11"/>
    <mergeCell ref="A3:K3"/>
    <mergeCell ref="A4:K4"/>
    <mergeCell ref="A5:K5"/>
    <mergeCell ref="A6:K6"/>
    <mergeCell ref="C8:I8"/>
    <mergeCell ref="J8:K8"/>
  </mergeCells>
  <phoneticPr fontId="1"/>
  <pageMargins left="0.26" right="0.2" top="0.75" bottom="0.75" header="0.3" footer="0.3"/>
  <pageSetup paperSize="9" scale="8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DA260"/>
  <sheetViews>
    <sheetView tabSelected="1" view="pageBreakPreview" zoomScale="75" zoomScaleNormal="75" zoomScaleSheetLayoutView="75" workbookViewId="0">
      <selection activeCell="AI123" sqref="AI123:AJ123"/>
    </sheetView>
  </sheetViews>
  <sheetFormatPr defaultRowHeight="13.5"/>
  <cols>
    <col min="2" max="2" width="5" style="2" customWidth="1"/>
    <col min="3" max="3" width="9.875" style="2" customWidth="1"/>
    <col min="4" max="7" width="5.5" style="2" customWidth="1"/>
    <col min="8" max="8" width="5.375" style="2" customWidth="1"/>
    <col min="9" max="57" width="5.5" style="2" customWidth="1"/>
    <col min="58" max="58" width="3.625" customWidth="1"/>
    <col min="59" max="63" width="9" customWidth="1"/>
    <col min="64" max="64" width="8.875" customWidth="1"/>
  </cols>
  <sheetData>
    <row r="1" spans="1:57" ht="24" customHeight="1" thickBot="1">
      <c r="A1" s="60" t="s">
        <v>405</v>
      </c>
      <c r="B1" s="431"/>
      <c r="C1" s="431"/>
      <c r="D1" s="431"/>
      <c r="E1" s="431"/>
      <c r="F1" s="431"/>
      <c r="G1" s="431"/>
      <c r="H1" s="431"/>
      <c r="I1" s="431"/>
      <c r="J1" s="431"/>
      <c r="K1" s="431"/>
      <c r="L1" s="431"/>
      <c r="M1" s="431"/>
      <c r="N1" s="431"/>
      <c r="O1" s="431"/>
      <c r="P1" s="431"/>
      <c r="Q1" s="431"/>
      <c r="R1" s="431"/>
      <c r="S1" s="431"/>
      <c r="T1" s="431"/>
      <c r="U1" s="431"/>
      <c r="V1" s="431"/>
      <c r="W1" s="431"/>
      <c r="X1" s="431"/>
      <c r="Y1" s="431"/>
      <c r="Z1" s="431"/>
      <c r="AA1" s="431"/>
      <c r="AB1" s="431"/>
      <c r="AC1" s="431"/>
      <c r="AD1" s="431"/>
      <c r="AE1" s="431"/>
      <c r="AF1" s="431"/>
      <c r="AG1" s="431"/>
      <c r="AH1" s="431"/>
      <c r="AI1" s="431"/>
      <c r="AJ1" s="431"/>
      <c r="AK1" s="431"/>
      <c r="AL1" s="431"/>
      <c r="AM1" s="431"/>
      <c r="AN1" s="431"/>
      <c r="AO1" s="431"/>
      <c r="AP1" s="431"/>
      <c r="AQ1" s="431"/>
      <c r="AR1" s="431"/>
      <c r="AS1" s="431"/>
      <c r="AT1" s="431"/>
      <c r="AU1" s="431"/>
      <c r="AV1" s="431"/>
      <c r="AW1" s="431"/>
      <c r="AX1" s="431"/>
      <c r="AY1" s="431"/>
      <c r="AZ1" s="431"/>
      <c r="BA1" s="431"/>
      <c r="BB1" s="431"/>
      <c r="BC1" s="431"/>
      <c r="BD1" s="431"/>
      <c r="BE1" s="431"/>
    </row>
    <row r="2" spans="1:57" ht="27.75" customHeight="1" thickBot="1">
      <c r="A2" s="571" t="s">
        <v>13</v>
      </c>
      <c r="B2" s="572"/>
      <c r="C2" s="572"/>
      <c r="D2" s="573" t="str">
        <f ca="1">RIGHT(CELL("filename",D2),LEN(CELL("filename",D2))-FIND("]",CELL("filename",D2)))</f>
        <v>〇号</v>
      </c>
      <c r="E2" s="574"/>
      <c r="F2" s="574"/>
      <c r="G2" s="574"/>
      <c r="H2" s="575"/>
      <c r="I2" s="571" t="s">
        <v>144</v>
      </c>
      <c r="J2" s="572"/>
      <c r="K2" s="572"/>
      <c r="L2" s="576">
        <v>1</v>
      </c>
      <c r="M2" s="577"/>
      <c r="N2" s="573" t="str">
        <f>IF(L2="","",INDEX(目標値!E4:N4,MATCH(L2,目標値!E3:N3,0)))</f>
        <v>吟醸１</v>
      </c>
      <c r="O2" s="574"/>
      <c r="P2" s="574"/>
      <c r="Q2" s="574"/>
      <c r="R2" s="574"/>
      <c r="S2" s="558" t="s">
        <v>287</v>
      </c>
      <c r="T2" s="559"/>
      <c r="U2" s="559"/>
      <c r="V2" s="560" t="s">
        <v>288</v>
      </c>
      <c r="W2" s="561"/>
      <c r="X2" s="561"/>
      <c r="Y2" s="562"/>
      <c r="BC2" s="2" t="str">
        <f>はじめに!F1</f>
        <v>Ver3.2</v>
      </c>
    </row>
    <row r="3" spans="1:57" ht="18" customHeight="1" thickBot="1">
      <c r="A3" s="578" t="s">
        <v>17</v>
      </c>
      <c r="B3" s="579"/>
      <c r="C3" s="580"/>
      <c r="D3" s="581" t="s">
        <v>14</v>
      </c>
      <c r="E3" s="582"/>
      <c r="F3" s="582"/>
      <c r="G3" s="583"/>
      <c r="H3" s="147" t="s">
        <v>15</v>
      </c>
      <c r="I3" s="581" t="s">
        <v>16</v>
      </c>
      <c r="J3" s="582"/>
      <c r="K3" s="582"/>
      <c r="L3" s="582"/>
      <c r="M3" s="584"/>
      <c r="N3" s="581" t="s">
        <v>21</v>
      </c>
      <c r="O3" s="582"/>
      <c r="P3" s="582"/>
      <c r="Q3" s="582"/>
      <c r="R3" s="583"/>
      <c r="S3" s="300">
        <v>2</v>
      </c>
      <c r="T3" s="301">
        <v>3</v>
      </c>
      <c r="U3" s="301">
        <v>4</v>
      </c>
      <c r="V3" s="302">
        <v>5</v>
      </c>
      <c r="W3" s="302">
        <v>6</v>
      </c>
      <c r="X3" s="302">
        <v>7</v>
      </c>
      <c r="Y3" s="302">
        <v>8</v>
      </c>
      <c r="Z3" s="240">
        <v>9</v>
      </c>
      <c r="AA3" s="240">
        <v>10</v>
      </c>
      <c r="AB3" s="240">
        <v>11</v>
      </c>
      <c r="AC3" s="240">
        <v>12</v>
      </c>
      <c r="AD3" s="240">
        <v>13</v>
      </c>
      <c r="AE3" s="240">
        <v>14</v>
      </c>
      <c r="AF3" s="240">
        <v>15</v>
      </c>
      <c r="AG3" s="240">
        <v>16</v>
      </c>
      <c r="AH3" s="240">
        <v>17</v>
      </c>
      <c r="AI3" s="240">
        <v>18</v>
      </c>
      <c r="AJ3" s="240">
        <v>19</v>
      </c>
      <c r="AK3" s="240">
        <v>20</v>
      </c>
      <c r="AL3" s="240">
        <v>21</v>
      </c>
      <c r="AM3" s="240">
        <v>22</v>
      </c>
      <c r="AN3" s="240">
        <v>23</v>
      </c>
      <c r="AO3" s="240">
        <v>24</v>
      </c>
      <c r="AP3" s="240">
        <v>25</v>
      </c>
      <c r="AQ3" s="240">
        <v>26</v>
      </c>
      <c r="AR3" s="240">
        <v>27</v>
      </c>
      <c r="AS3" s="240">
        <v>28</v>
      </c>
      <c r="AT3" s="240">
        <v>29</v>
      </c>
      <c r="AU3" s="240">
        <v>30</v>
      </c>
      <c r="AV3" s="240">
        <v>31</v>
      </c>
      <c r="AW3" s="240">
        <v>32</v>
      </c>
      <c r="AX3" s="240">
        <v>33</v>
      </c>
      <c r="AY3" s="240">
        <v>34</v>
      </c>
      <c r="AZ3" s="240">
        <v>35</v>
      </c>
      <c r="BA3" s="240">
        <v>36</v>
      </c>
      <c r="BB3" s="240">
        <v>37</v>
      </c>
      <c r="BC3" s="240">
        <v>38</v>
      </c>
      <c r="BD3" s="240">
        <v>39</v>
      </c>
      <c r="BE3" s="241">
        <v>40</v>
      </c>
    </row>
    <row r="4" spans="1:57" ht="18" customHeight="1">
      <c r="A4" s="588" t="s">
        <v>19</v>
      </c>
      <c r="B4" s="589"/>
      <c r="C4" s="590"/>
      <c r="D4" s="563"/>
      <c r="E4" s="564"/>
      <c r="F4" s="564"/>
      <c r="G4" s="565"/>
      <c r="H4" s="303">
        <f>D4+1</f>
        <v>1</v>
      </c>
      <c r="I4" s="566">
        <f>H4+1</f>
        <v>2</v>
      </c>
      <c r="J4" s="567"/>
      <c r="K4" s="567"/>
      <c r="L4" s="567"/>
      <c r="M4" s="568"/>
      <c r="N4" s="566">
        <f>I4+1</f>
        <v>3</v>
      </c>
      <c r="O4" s="567"/>
      <c r="P4" s="567"/>
      <c r="Q4" s="567"/>
      <c r="R4" s="568"/>
      <c r="S4" s="303">
        <f>N4+1</f>
        <v>4</v>
      </c>
      <c r="T4" s="303">
        <f>S4+1</f>
        <v>5</v>
      </c>
      <c r="U4" s="303">
        <f>T4+1</f>
        <v>6</v>
      </c>
      <c r="V4" s="303">
        <f t="shared" ref="V4:BE4" si="0">U4+1</f>
        <v>7</v>
      </c>
      <c r="W4" s="303">
        <f t="shared" si="0"/>
        <v>8</v>
      </c>
      <c r="X4" s="303">
        <f t="shared" si="0"/>
        <v>9</v>
      </c>
      <c r="Y4" s="303">
        <f t="shared" si="0"/>
        <v>10</v>
      </c>
      <c r="Z4" s="303">
        <f t="shared" si="0"/>
        <v>11</v>
      </c>
      <c r="AA4" s="303">
        <f t="shared" si="0"/>
        <v>12</v>
      </c>
      <c r="AB4" s="303">
        <f t="shared" si="0"/>
        <v>13</v>
      </c>
      <c r="AC4" s="303">
        <f t="shared" si="0"/>
        <v>14</v>
      </c>
      <c r="AD4" s="303">
        <f t="shared" si="0"/>
        <v>15</v>
      </c>
      <c r="AE4" s="303">
        <f t="shared" si="0"/>
        <v>16</v>
      </c>
      <c r="AF4" s="303">
        <f t="shared" si="0"/>
        <v>17</v>
      </c>
      <c r="AG4" s="303">
        <f t="shared" si="0"/>
        <v>18</v>
      </c>
      <c r="AH4" s="303">
        <f t="shared" si="0"/>
        <v>19</v>
      </c>
      <c r="AI4" s="303">
        <f t="shared" si="0"/>
        <v>20</v>
      </c>
      <c r="AJ4" s="303">
        <f t="shared" si="0"/>
        <v>21</v>
      </c>
      <c r="AK4" s="303">
        <f t="shared" si="0"/>
        <v>22</v>
      </c>
      <c r="AL4" s="303">
        <f t="shared" si="0"/>
        <v>23</v>
      </c>
      <c r="AM4" s="303">
        <f t="shared" si="0"/>
        <v>24</v>
      </c>
      <c r="AN4" s="303">
        <f t="shared" si="0"/>
        <v>25</v>
      </c>
      <c r="AO4" s="303">
        <f t="shared" si="0"/>
        <v>26</v>
      </c>
      <c r="AP4" s="303">
        <f t="shared" si="0"/>
        <v>27</v>
      </c>
      <c r="AQ4" s="303">
        <f t="shared" si="0"/>
        <v>28</v>
      </c>
      <c r="AR4" s="303">
        <f t="shared" si="0"/>
        <v>29</v>
      </c>
      <c r="AS4" s="303">
        <f t="shared" si="0"/>
        <v>30</v>
      </c>
      <c r="AT4" s="303">
        <f t="shared" si="0"/>
        <v>31</v>
      </c>
      <c r="AU4" s="303">
        <f t="shared" si="0"/>
        <v>32</v>
      </c>
      <c r="AV4" s="303">
        <f t="shared" si="0"/>
        <v>33</v>
      </c>
      <c r="AW4" s="303">
        <f t="shared" si="0"/>
        <v>34</v>
      </c>
      <c r="AX4" s="303">
        <f t="shared" si="0"/>
        <v>35</v>
      </c>
      <c r="AY4" s="303">
        <f t="shared" si="0"/>
        <v>36</v>
      </c>
      <c r="AZ4" s="303">
        <f t="shared" si="0"/>
        <v>37</v>
      </c>
      <c r="BA4" s="303">
        <f t="shared" si="0"/>
        <v>38</v>
      </c>
      <c r="BB4" s="303">
        <f t="shared" si="0"/>
        <v>39</v>
      </c>
      <c r="BC4" s="303">
        <f t="shared" si="0"/>
        <v>40</v>
      </c>
      <c r="BD4" s="303">
        <f t="shared" si="0"/>
        <v>41</v>
      </c>
      <c r="BE4" s="303">
        <f t="shared" si="0"/>
        <v>42</v>
      </c>
    </row>
    <row r="5" spans="1:57" ht="18" customHeight="1">
      <c r="A5" s="569" t="s">
        <v>20</v>
      </c>
      <c r="B5" s="570"/>
      <c r="C5" s="514"/>
      <c r="D5" s="144"/>
      <c r="E5" s="138"/>
      <c r="F5" s="138"/>
      <c r="G5" s="139"/>
      <c r="H5" s="145"/>
      <c r="I5" s="144"/>
      <c r="J5" s="138"/>
      <c r="K5" s="138"/>
      <c r="L5" s="138"/>
      <c r="M5" s="176"/>
      <c r="N5" s="144"/>
      <c r="O5" s="138"/>
      <c r="P5" s="138"/>
      <c r="Q5" s="138"/>
      <c r="R5" s="139"/>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38"/>
      <c r="AW5" s="138"/>
      <c r="AX5" s="138"/>
      <c r="AY5" s="138"/>
      <c r="AZ5" s="138"/>
      <c r="BA5" s="138"/>
      <c r="BB5" s="138"/>
      <c r="BC5" s="138"/>
      <c r="BD5" s="138"/>
      <c r="BE5" s="139"/>
    </row>
    <row r="6" spans="1:57" ht="18" customHeight="1">
      <c r="A6" s="569" t="s">
        <v>18</v>
      </c>
      <c r="B6" s="570"/>
      <c r="C6" s="514"/>
      <c r="D6" s="93" t="s">
        <v>22</v>
      </c>
      <c r="E6" s="248" t="s">
        <v>23</v>
      </c>
      <c r="F6" s="248" t="s">
        <v>24</v>
      </c>
      <c r="G6" s="94" t="s">
        <v>25</v>
      </c>
      <c r="H6" s="92" t="s">
        <v>259</v>
      </c>
      <c r="I6" s="93" t="s">
        <v>26</v>
      </c>
      <c r="J6" s="248" t="s">
        <v>22</v>
      </c>
      <c r="K6" s="248" t="s">
        <v>23</v>
      </c>
      <c r="L6" s="248" t="s">
        <v>24</v>
      </c>
      <c r="M6" s="178" t="s">
        <v>25</v>
      </c>
      <c r="N6" s="93" t="s">
        <v>26</v>
      </c>
      <c r="O6" s="248" t="s">
        <v>22</v>
      </c>
      <c r="P6" s="248" t="s">
        <v>23</v>
      </c>
      <c r="Q6" s="248" t="s">
        <v>24</v>
      </c>
      <c r="R6" s="94" t="s">
        <v>25</v>
      </c>
      <c r="S6" s="134"/>
      <c r="T6" s="134"/>
      <c r="U6" s="134"/>
      <c r="V6" s="134"/>
      <c r="W6" s="134"/>
      <c r="X6" s="134"/>
      <c r="Y6" s="134"/>
      <c r="Z6" s="134"/>
      <c r="AA6" s="134"/>
      <c r="AB6" s="134"/>
      <c r="AC6" s="134"/>
      <c r="AD6" s="134"/>
      <c r="AE6" s="134"/>
      <c r="AF6" s="134"/>
      <c r="AG6" s="134"/>
      <c r="AH6" s="134"/>
      <c r="AI6" s="134"/>
      <c r="AJ6" s="134"/>
      <c r="AK6" s="134"/>
      <c r="AL6" s="134"/>
      <c r="AM6" s="134"/>
      <c r="AN6" s="134"/>
      <c r="AO6" s="134"/>
      <c r="AP6" s="134"/>
      <c r="AQ6" s="134"/>
      <c r="AR6" s="134"/>
      <c r="AS6" s="134"/>
      <c r="AT6" s="134"/>
      <c r="AU6" s="134"/>
      <c r="AV6" s="248"/>
      <c r="AW6" s="248"/>
      <c r="AX6" s="248"/>
      <c r="AY6" s="248"/>
      <c r="AZ6" s="248"/>
      <c r="BA6" s="248"/>
      <c r="BB6" s="248"/>
      <c r="BC6" s="248"/>
      <c r="BD6" s="248"/>
      <c r="BE6" s="94"/>
    </row>
    <row r="7" spans="1:57" ht="18" customHeight="1">
      <c r="A7" s="569" t="s">
        <v>209</v>
      </c>
      <c r="B7" s="570"/>
      <c r="C7" s="514"/>
      <c r="D7" s="93"/>
      <c r="E7" s="248"/>
      <c r="F7" s="248"/>
      <c r="G7" s="94"/>
      <c r="H7" s="92"/>
      <c r="I7" s="93"/>
      <c r="J7" s="248"/>
      <c r="K7" s="248"/>
      <c r="L7" s="248"/>
      <c r="M7" s="178"/>
      <c r="N7" s="93"/>
      <c r="O7" s="248"/>
      <c r="P7" s="248"/>
      <c r="Q7" s="248"/>
      <c r="R7" s="94"/>
      <c r="S7" s="134"/>
      <c r="T7" s="296"/>
      <c r="U7" s="296"/>
      <c r="V7" s="296"/>
      <c r="W7" s="296"/>
      <c r="X7" s="296"/>
      <c r="Y7" s="296"/>
      <c r="Z7" s="296"/>
      <c r="AA7" s="248"/>
      <c r="AB7" s="248"/>
      <c r="AC7" s="248"/>
      <c r="AD7" s="248"/>
      <c r="AE7" s="248"/>
      <c r="AF7" s="248"/>
      <c r="AG7" s="248"/>
      <c r="AH7" s="248"/>
      <c r="AI7" s="248"/>
      <c r="AJ7" s="248"/>
      <c r="AK7" s="248"/>
      <c r="AL7" s="248"/>
      <c r="AM7" s="248"/>
      <c r="AN7" s="248"/>
      <c r="AO7" s="248"/>
      <c r="AP7" s="248"/>
      <c r="AQ7" s="248"/>
      <c r="AR7" s="248"/>
      <c r="AS7" s="248"/>
      <c r="AT7" s="248"/>
      <c r="AU7" s="248"/>
      <c r="AV7" s="248"/>
      <c r="AW7" s="248"/>
      <c r="AX7" s="248"/>
      <c r="AY7" s="248"/>
      <c r="AZ7" s="248"/>
      <c r="BA7" s="248"/>
      <c r="BB7" s="248"/>
      <c r="BC7" s="248"/>
      <c r="BD7" s="248"/>
      <c r="BE7" s="94"/>
    </row>
    <row r="8" spans="1:57" ht="18" customHeight="1">
      <c r="A8" s="569" t="s">
        <v>27</v>
      </c>
      <c r="B8" s="570"/>
      <c r="C8" s="514"/>
      <c r="D8" s="93"/>
      <c r="E8" s="248"/>
      <c r="F8" s="248"/>
      <c r="G8" s="94"/>
      <c r="H8" s="92"/>
      <c r="I8" s="93"/>
      <c r="J8" s="248"/>
      <c r="K8" s="248"/>
      <c r="L8" s="248"/>
      <c r="M8" s="178"/>
      <c r="N8" s="93"/>
      <c r="O8" s="248"/>
      <c r="P8" s="248"/>
      <c r="Q8" s="248"/>
      <c r="R8" s="94"/>
      <c r="S8" s="134"/>
      <c r="T8" s="248"/>
      <c r="U8" s="248"/>
      <c r="V8" s="248"/>
      <c r="W8" s="248"/>
      <c r="X8" s="248"/>
      <c r="Y8" s="248"/>
      <c r="Z8" s="248"/>
      <c r="AA8" s="248"/>
      <c r="AB8" s="248"/>
      <c r="AC8" s="248"/>
      <c r="AD8" s="248"/>
      <c r="AE8" s="248"/>
      <c r="AF8" s="248"/>
      <c r="AG8" s="248"/>
      <c r="AH8" s="248"/>
      <c r="AI8" s="248"/>
      <c r="AJ8" s="248"/>
      <c r="AK8" s="248"/>
      <c r="AL8" s="248"/>
      <c r="AM8" s="248"/>
      <c r="AN8" s="248"/>
      <c r="AO8" s="248"/>
      <c r="AP8" s="248"/>
      <c r="AQ8" s="248"/>
      <c r="AR8" s="248"/>
      <c r="AS8" s="248"/>
      <c r="AT8" s="248"/>
      <c r="AU8" s="248"/>
      <c r="AV8" s="248"/>
      <c r="AW8" s="248"/>
      <c r="AX8" s="248"/>
      <c r="AY8" s="248"/>
      <c r="AZ8" s="248"/>
      <c r="BA8" s="248"/>
      <c r="BB8" s="248"/>
      <c r="BC8" s="248"/>
      <c r="BD8" s="248"/>
      <c r="BE8" s="94"/>
    </row>
    <row r="9" spans="1:57" ht="240.75" customHeight="1">
      <c r="A9" s="569" t="s">
        <v>62</v>
      </c>
      <c r="B9" s="570"/>
      <c r="C9" s="514"/>
      <c r="D9" s="64"/>
      <c r="E9" s="128"/>
      <c r="F9" s="128"/>
      <c r="G9" s="65"/>
      <c r="H9" s="146"/>
      <c r="I9" s="64"/>
      <c r="J9" s="128"/>
      <c r="K9" s="128"/>
      <c r="L9" s="128"/>
      <c r="M9" s="177"/>
      <c r="N9" s="64"/>
      <c r="O9" s="128"/>
      <c r="P9" s="128"/>
      <c r="Q9" s="128"/>
      <c r="R9" s="65"/>
      <c r="S9" s="141"/>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65"/>
    </row>
    <row r="10" spans="1:57" ht="18" customHeight="1">
      <c r="A10" s="569" t="s">
        <v>277</v>
      </c>
      <c r="B10" s="570"/>
      <c r="C10" s="514"/>
      <c r="D10" s="95"/>
      <c r="E10" s="96"/>
      <c r="F10" s="96"/>
      <c r="G10" s="97"/>
      <c r="H10" s="98"/>
      <c r="I10" s="95"/>
      <c r="J10" s="96"/>
      <c r="K10" s="96"/>
      <c r="L10" s="96"/>
      <c r="M10" s="179"/>
      <c r="N10" s="95"/>
      <c r="O10" s="96"/>
      <c r="P10" s="96"/>
      <c r="Q10" s="96"/>
      <c r="R10" s="97"/>
      <c r="S10" s="143"/>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7"/>
    </row>
    <row r="11" spans="1:57" ht="18" customHeight="1">
      <c r="A11" s="569" t="s">
        <v>99</v>
      </c>
      <c r="B11" s="570"/>
      <c r="C11" s="514"/>
      <c r="D11" s="95"/>
      <c r="E11" s="96"/>
      <c r="F11" s="96"/>
      <c r="G11" s="97"/>
      <c r="H11" s="98"/>
      <c r="I11" s="95"/>
      <c r="J11" s="96"/>
      <c r="K11" s="96"/>
      <c r="L11" s="96"/>
      <c r="M11" s="179"/>
      <c r="N11" s="95"/>
      <c r="O11" s="96"/>
      <c r="P11" s="96"/>
      <c r="Q11" s="96"/>
      <c r="R11" s="97"/>
      <c r="S11" s="143"/>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7"/>
    </row>
    <row r="12" spans="1:57" s="4" customFormat="1" ht="18" customHeight="1">
      <c r="A12" s="585" t="s">
        <v>1</v>
      </c>
      <c r="B12" s="586"/>
      <c r="C12" s="587" t="s">
        <v>65</v>
      </c>
      <c r="D12" s="95"/>
      <c r="E12" s="96"/>
      <c r="F12" s="96"/>
      <c r="G12" s="97"/>
      <c r="H12" s="98"/>
      <c r="I12" s="95"/>
      <c r="J12" s="96"/>
      <c r="K12" s="96"/>
      <c r="L12" s="96"/>
      <c r="M12" s="179"/>
      <c r="N12" s="95"/>
      <c r="O12" s="96"/>
      <c r="P12" s="96"/>
      <c r="Q12" s="96"/>
      <c r="R12" s="97"/>
      <c r="S12" s="143"/>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267"/>
      <c r="BB12" s="267"/>
      <c r="BC12" s="267"/>
      <c r="BD12" s="166"/>
      <c r="BE12" s="167"/>
    </row>
    <row r="13" spans="1:57" s="4" customFormat="1" ht="18" customHeight="1">
      <c r="A13" s="585" t="s">
        <v>2</v>
      </c>
      <c r="B13" s="586"/>
      <c r="C13" s="587"/>
      <c r="D13" s="197"/>
      <c r="E13" s="198"/>
      <c r="F13" s="198"/>
      <c r="G13" s="199"/>
      <c r="H13" s="200"/>
      <c r="I13" s="197"/>
      <c r="J13" s="198"/>
      <c r="K13" s="198"/>
      <c r="L13" s="198"/>
      <c r="M13" s="201"/>
      <c r="N13" s="197"/>
      <c r="O13" s="198"/>
      <c r="P13" s="198"/>
      <c r="Q13" s="198"/>
      <c r="R13" s="199"/>
      <c r="S13" s="143"/>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166"/>
      <c r="BE13" s="268"/>
    </row>
    <row r="14" spans="1:57" ht="18" customHeight="1">
      <c r="A14" s="569" t="s">
        <v>28</v>
      </c>
      <c r="B14" s="570"/>
      <c r="C14" s="514"/>
      <c r="D14" s="111"/>
      <c r="E14" s="112"/>
      <c r="F14" s="112"/>
      <c r="G14" s="113"/>
      <c r="H14" s="114"/>
      <c r="I14" s="111"/>
      <c r="J14" s="112"/>
      <c r="K14" s="112"/>
      <c r="L14" s="112"/>
      <c r="M14" s="180"/>
      <c r="N14" s="111"/>
      <c r="O14" s="112"/>
      <c r="P14" s="112"/>
      <c r="Q14" s="112"/>
      <c r="R14" s="113"/>
      <c r="S14" s="142"/>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267"/>
      <c r="BB14" s="267"/>
      <c r="BC14" s="267"/>
      <c r="BD14" s="112"/>
      <c r="BE14" s="113"/>
    </row>
    <row r="15" spans="1:57" ht="18" customHeight="1">
      <c r="A15" s="569" t="s">
        <v>158</v>
      </c>
      <c r="B15" s="570"/>
      <c r="C15" s="514"/>
      <c r="D15" s="202"/>
      <c r="E15" s="203"/>
      <c r="F15" s="203"/>
      <c r="G15" s="204"/>
      <c r="H15" s="205"/>
      <c r="I15" s="202"/>
      <c r="J15" s="203"/>
      <c r="K15" s="203"/>
      <c r="L15" s="203"/>
      <c r="M15" s="206"/>
      <c r="N15" s="202"/>
      <c r="O15" s="203"/>
      <c r="P15" s="203"/>
      <c r="Q15" s="203"/>
      <c r="R15" s="204"/>
      <c r="S15" s="207"/>
      <c r="T15" s="203"/>
      <c r="U15" s="203"/>
      <c r="V15" s="203"/>
      <c r="W15" s="203"/>
      <c r="X15" s="203"/>
      <c r="Y15" s="203"/>
      <c r="Z15" s="203"/>
      <c r="AA15" s="203"/>
      <c r="AB15" s="203"/>
      <c r="AC15" s="203"/>
      <c r="AD15" s="203"/>
      <c r="AE15" s="203"/>
      <c r="AF15" s="203"/>
      <c r="AG15" s="203"/>
      <c r="AH15" s="203"/>
      <c r="AI15" s="203"/>
      <c r="AJ15" s="203"/>
      <c r="AK15" s="203"/>
      <c r="AL15" s="203"/>
      <c r="AM15" s="203"/>
      <c r="AN15" s="203"/>
      <c r="AO15" s="203"/>
      <c r="AP15" s="203"/>
      <c r="AQ15" s="203"/>
      <c r="AR15" s="203"/>
      <c r="AS15" s="203"/>
      <c r="AT15" s="203"/>
      <c r="AU15" s="203"/>
      <c r="AV15" s="203"/>
      <c r="AW15" s="203"/>
      <c r="AX15" s="203"/>
      <c r="AY15" s="203"/>
      <c r="AZ15" s="203"/>
      <c r="BA15" s="203"/>
      <c r="BB15" s="203"/>
      <c r="BC15" s="203"/>
      <c r="BD15" s="203"/>
      <c r="BE15" s="204"/>
    </row>
    <row r="16" spans="1:57" ht="18" customHeight="1">
      <c r="A16" s="569" t="s">
        <v>160</v>
      </c>
      <c r="B16" s="570"/>
      <c r="C16" s="514"/>
      <c r="D16" s="202"/>
      <c r="E16" s="203"/>
      <c r="F16" s="203"/>
      <c r="G16" s="204"/>
      <c r="H16" s="205"/>
      <c r="I16" s="202"/>
      <c r="J16" s="203"/>
      <c r="K16" s="203"/>
      <c r="L16" s="203"/>
      <c r="M16" s="206"/>
      <c r="N16" s="202"/>
      <c r="O16" s="203"/>
      <c r="P16" s="203"/>
      <c r="Q16" s="203"/>
      <c r="R16" s="204"/>
      <c r="S16" s="207"/>
      <c r="T16" s="203"/>
      <c r="U16" s="203"/>
      <c r="V16" s="203"/>
      <c r="W16" s="203"/>
      <c r="X16" s="203"/>
      <c r="Y16" s="203"/>
      <c r="Z16" s="203"/>
      <c r="AA16" s="203"/>
      <c r="AB16" s="203"/>
      <c r="AC16" s="203"/>
      <c r="AD16" s="203"/>
      <c r="AE16" s="203"/>
      <c r="AF16" s="203"/>
      <c r="AG16" s="203"/>
      <c r="AH16" s="203"/>
      <c r="AI16" s="203"/>
      <c r="AJ16" s="203"/>
      <c r="AK16" s="203"/>
      <c r="AL16" s="203"/>
      <c r="AM16" s="203"/>
      <c r="AN16" s="203"/>
      <c r="AO16" s="203"/>
      <c r="AP16" s="203"/>
      <c r="AQ16" s="203"/>
      <c r="AR16" s="203"/>
      <c r="AS16" s="203"/>
      <c r="AT16" s="203"/>
      <c r="AU16" s="203"/>
      <c r="AV16" s="203"/>
      <c r="AW16" s="203"/>
      <c r="AX16" s="203"/>
      <c r="AY16" s="203"/>
      <c r="AZ16" s="203"/>
      <c r="BA16" s="203"/>
      <c r="BB16" s="203"/>
      <c r="BC16" s="203"/>
      <c r="BD16" s="203"/>
      <c r="BE16" s="204"/>
    </row>
    <row r="17" spans="1:58" ht="18" customHeight="1">
      <c r="A17" s="569" t="s">
        <v>156</v>
      </c>
      <c r="B17" s="570"/>
      <c r="C17" s="514"/>
      <c r="D17" s="202"/>
      <c r="E17" s="203"/>
      <c r="F17" s="203"/>
      <c r="G17" s="204"/>
      <c r="H17" s="205"/>
      <c r="I17" s="202"/>
      <c r="J17" s="203"/>
      <c r="K17" s="203"/>
      <c r="L17" s="203"/>
      <c r="M17" s="206"/>
      <c r="N17" s="202"/>
      <c r="O17" s="203"/>
      <c r="P17" s="203"/>
      <c r="Q17" s="203"/>
      <c r="R17" s="204"/>
      <c r="S17" s="207"/>
      <c r="T17" s="203"/>
      <c r="U17" s="203"/>
      <c r="V17" s="203"/>
      <c r="W17" s="203"/>
      <c r="X17" s="203"/>
      <c r="Y17" s="203"/>
      <c r="Z17" s="203"/>
      <c r="AA17" s="203"/>
      <c r="AB17" s="203"/>
      <c r="AC17" s="203"/>
      <c r="AD17" s="203"/>
      <c r="AE17" s="203"/>
      <c r="AF17" s="203"/>
      <c r="AG17" s="203"/>
      <c r="AH17" s="203"/>
      <c r="AI17" s="203"/>
      <c r="AJ17" s="203"/>
      <c r="AK17" s="203"/>
      <c r="AL17" s="203"/>
      <c r="AM17" s="203"/>
      <c r="AN17" s="203"/>
      <c r="AO17" s="203"/>
      <c r="AP17" s="203"/>
      <c r="AQ17" s="203"/>
      <c r="AR17" s="203"/>
      <c r="AS17" s="203"/>
      <c r="AT17" s="203"/>
      <c r="AU17" s="203"/>
      <c r="AV17" s="203"/>
      <c r="AW17" s="203"/>
      <c r="AX17" s="203"/>
      <c r="AY17" s="203"/>
      <c r="AZ17" s="203"/>
      <c r="BA17" s="203"/>
      <c r="BB17" s="203"/>
      <c r="BC17" s="203"/>
      <c r="BD17" s="203"/>
      <c r="BE17" s="204"/>
    </row>
    <row r="18" spans="1:58" s="4" customFormat="1" ht="18" customHeight="1">
      <c r="A18" s="569" t="s">
        <v>161</v>
      </c>
      <c r="B18" s="570"/>
      <c r="C18" s="514"/>
      <c r="D18" s="130"/>
      <c r="E18" s="131"/>
      <c r="F18" s="131"/>
      <c r="G18" s="132"/>
      <c r="H18" s="133"/>
      <c r="I18" s="130"/>
      <c r="J18" s="131"/>
      <c r="K18" s="131"/>
      <c r="L18" s="131"/>
      <c r="M18" s="181"/>
      <c r="N18" s="130"/>
      <c r="O18" s="131"/>
      <c r="P18" s="131"/>
      <c r="Q18" s="131"/>
      <c r="R18" s="132"/>
      <c r="S18" s="304" t="str">
        <f>IF(IFERROR(S127,"")="","",S127)</f>
        <v/>
      </c>
      <c r="T18" s="304" t="str">
        <f>IF(IFERROR(T127,"")="","",T127)</f>
        <v/>
      </c>
      <c r="U18" s="304" t="str">
        <f t="shared" ref="S18:BE20" si="1">IF(IFERROR(U127,"")="","",U127)</f>
        <v/>
      </c>
      <c r="V18" s="304" t="str">
        <f t="shared" si="1"/>
        <v/>
      </c>
      <c r="W18" s="304" t="str">
        <f t="shared" si="1"/>
        <v/>
      </c>
      <c r="X18" s="304" t="str">
        <f t="shared" si="1"/>
        <v/>
      </c>
      <c r="Y18" s="304" t="str">
        <f t="shared" si="1"/>
        <v/>
      </c>
      <c r="Z18" s="304" t="str">
        <f t="shared" si="1"/>
        <v/>
      </c>
      <c r="AA18" s="304" t="str">
        <f t="shared" si="1"/>
        <v/>
      </c>
      <c r="AB18" s="304" t="str">
        <f t="shared" si="1"/>
        <v/>
      </c>
      <c r="AC18" s="304" t="str">
        <f t="shared" si="1"/>
        <v/>
      </c>
      <c r="AD18" s="304" t="str">
        <f t="shared" si="1"/>
        <v/>
      </c>
      <c r="AE18" s="304" t="str">
        <f t="shared" si="1"/>
        <v/>
      </c>
      <c r="AF18" s="304" t="str">
        <f>IF(IFERROR(AF127,"")="","",AF127)</f>
        <v/>
      </c>
      <c r="AG18" s="304" t="str">
        <f t="shared" si="1"/>
        <v/>
      </c>
      <c r="AH18" s="304" t="str">
        <f t="shared" si="1"/>
        <v/>
      </c>
      <c r="AI18" s="304" t="str">
        <f t="shared" si="1"/>
        <v/>
      </c>
      <c r="AJ18" s="304" t="str">
        <f t="shared" si="1"/>
        <v/>
      </c>
      <c r="AK18" s="304" t="str">
        <f t="shared" si="1"/>
        <v/>
      </c>
      <c r="AL18" s="304" t="str">
        <f t="shared" si="1"/>
        <v/>
      </c>
      <c r="AM18" s="304" t="str">
        <f t="shared" si="1"/>
        <v/>
      </c>
      <c r="AN18" s="304" t="str">
        <f t="shared" si="1"/>
        <v/>
      </c>
      <c r="AO18" s="304" t="str">
        <f t="shared" si="1"/>
        <v/>
      </c>
      <c r="AP18" s="304" t="str">
        <f t="shared" si="1"/>
        <v/>
      </c>
      <c r="AQ18" s="304" t="str">
        <f t="shared" si="1"/>
        <v/>
      </c>
      <c r="AR18" s="304" t="str">
        <f t="shared" si="1"/>
        <v/>
      </c>
      <c r="AS18" s="304" t="str">
        <f t="shared" si="1"/>
        <v/>
      </c>
      <c r="AT18" s="304" t="str">
        <f t="shared" si="1"/>
        <v/>
      </c>
      <c r="AU18" s="304" t="str">
        <f t="shared" si="1"/>
        <v/>
      </c>
      <c r="AV18" s="304" t="str">
        <f t="shared" si="1"/>
        <v/>
      </c>
      <c r="AW18" s="304" t="str">
        <f t="shared" si="1"/>
        <v/>
      </c>
      <c r="AX18" s="304" t="str">
        <f t="shared" si="1"/>
        <v/>
      </c>
      <c r="AY18" s="304" t="str">
        <f t="shared" si="1"/>
        <v/>
      </c>
      <c r="AZ18" s="304" t="str">
        <f t="shared" si="1"/>
        <v/>
      </c>
      <c r="BA18" s="304" t="str">
        <f t="shared" si="1"/>
        <v/>
      </c>
      <c r="BB18" s="304" t="str">
        <f t="shared" si="1"/>
        <v/>
      </c>
      <c r="BC18" s="304" t="str">
        <f t="shared" si="1"/>
        <v/>
      </c>
      <c r="BD18" s="304" t="str">
        <f t="shared" si="1"/>
        <v/>
      </c>
      <c r="BE18" s="304" t="str">
        <f t="shared" si="1"/>
        <v/>
      </c>
    </row>
    <row r="19" spans="1:58" s="4" customFormat="1" ht="18" customHeight="1">
      <c r="A19" s="569" t="s">
        <v>213</v>
      </c>
      <c r="B19" s="570"/>
      <c r="C19" s="514"/>
      <c r="D19" s="130"/>
      <c r="E19" s="131"/>
      <c r="F19" s="131"/>
      <c r="G19" s="132"/>
      <c r="H19" s="133"/>
      <c r="I19" s="130"/>
      <c r="J19" s="131"/>
      <c r="K19" s="131"/>
      <c r="L19" s="131"/>
      <c r="M19" s="181"/>
      <c r="N19" s="130"/>
      <c r="O19" s="131"/>
      <c r="P19" s="131"/>
      <c r="Q19" s="131"/>
      <c r="R19" s="132"/>
      <c r="S19" s="304" t="str">
        <f t="shared" si="1"/>
        <v/>
      </c>
      <c r="T19" s="305" t="str">
        <f>IF(IFERROR(T128,"")="","",T128)</f>
        <v/>
      </c>
      <c r="U19" s="305" t="str">
        <f t="shared" si="1"/>
        <v/>
      </c>
      <c r="V19" s="305" t="str">
        <f t="shared" si="1"/>
        <v/>
      </c>
      <c r="W19" s="305" t="str">
        <f t="shared" si="1"/>
        <v/>
      </c>
      <c r="X19" s="305" t="str">
        <f t="shared" si="1"/>
        <v/>
      </c>
      <c r="Y19" s="305" t="str">
        <f t="shared" si="1"/>
        <v/>
      </c>
      <c r="Z19" s="305" t="str">
        <f t="shared" si="1"/>
        <v/>
      </c>
      <c r="AA19" s="305" t="str">
        <f>IF(IFERROR(AA128,"")="","",AA128)</f>
        <v/>
      </c>
      <c r="AB19" s="305" t="str">
        <f>IF(IFERROR(AB128,"")="","",AB128)</f>
        <v/>
      </c>
      <c r="AC19" s="305" t="str">
        <f t="shared" si="1"/>
        <v/>
      </c>
      <c r="AD19" s="305" t="str">
        <f t="shared" si="1"/>
        <v/>
      </c>
      <c r="AE19" s="305" t="str">
        <f t="shared" si="1"/>
        <v/>
      </c>
      <c r="AF19" s="305" t="str">
        <f t="shared" si="1"/>
        <v/>
      </c>
      <c r="AG19" s="305" t="str">
        <f t="shared" si="1"/>
        <v/>
      </c>
      <c r="AH19" s="305" t="str">
        <f t="shared" si="1"/>
        <v/>
      </c>
      <c r="AI19" s="305" t="str">
        <f t="shared" si="1"/>
        <v/>
      </c>
      <c r="AJ19" s="305" t="str">
        <f t="shared" si="1"/>
        <v/>
      </c>
      <c r="AK19" s="305" t="str">
        <f t="shared" si="1"/>
        <v/>
      </c>
      <c r="AL19" s="305" t="str">
        <f t="shared" si="1"/>
        <v/>
      </c>
      <c r="AM19" s="305" t="str">
        <f t="shared" si="1"/>
        <v/>
      </c>
      <c r="AN19" s="305" t="str">
        <f t="shared" si="1"/>
        <v/>
      </c>
      <c r="AO19" s="305" t="str">
        <f t="shared" si="1"/>
        <v/>
      </c>
      <c r="AP19" s="305" t="str">
        <f t="shared" si="1"/>
        <v/>
      </c>
      <c r="AQ19" s="305" t="str">
        <f t="shared" si="1"/>
        <v/>
      </c>
      <c r="AR19" s="305" t="str">
        <f t="shared" si="1"/>
        <v/>
      </c>
      <c r="AS19" s="305" t="str">
        <f t="shared" si="1"/>
        <v/>
      </c>
      <c r="AT19" s="305" t="str">
        <f t="shared" si="1"/>
        <v/>
      </c>
      <c r="AU19" s="305" t="str">
        <f t="shared" si="1"/>
        <v/>
      </c>
      <c r="AV19" s="305" t="str">
        <f t="shared" si="1"/>
        <v/>
      </c>
      <c r="AW19" s="305" t="str">
        <f t="shared" si="1"/>
        <v/>
      </c>
      <c r="AX19" s="305" t="str">
        <f t="shared" si="1"/>
        <v/>
      </c>
      <c r="AY19" s="305" t="str">
        <f t="shared" si="1"/>
        <v/>
      </c>
      <c r="AZ19" s="305" t="str">
        <f t="shared" si="1"/>
        <v/>
      </c>
      <c r="BA19" s="305" t="str">
        <f t="shared" si="1"/>
        <v/>
      </c>
      <c r="BB19" s="305" t="str">
        <f t="shared" si="1"/>
        <v/>
      </c>
      <c r="BC19" s="305" t="str">
        <f t="shared" si="1"/>
        <v/>
      </c>
      <c r="BD19" s="305" t="str">
        <f t="shared" si="1"/>
        <v/>
      </c>
      <c r="BE19" s="306" t="str">
        <f t="shared" si="1"/>
        <v/>
      </c>
    </row>
    <row r="20" spans="1:58" ht="18" hidden="1" customHeight="1">
      <c r="A20" s="569" t="s">
        <v>215</v>
      </c>
      <c r="B20" s="570"/>
      <c r="C20" s="514"/>
      <c r="D20" s="130"/>
      <c r="E20" s="131"/>
      <c r="F20" s="131"/>
      <c r="G20" s="132"/>
      <c r="H20" s="133"/>
      <c r="I20" s="130"/>
      <c r="J20" s="131"/>
      <c r="K20" s="131"/>
      <c r="L20" s="131"/>
      <c r="M20" s="181"/>
      <c r="N20" s="130"/>
      <c r="O20" s="131"/>
      <c r="P20" s="131"/>
      <c r="Q20" s="131"/>
      <c r="R20" s="132"/>
      <c r="S20" s="304" t="str">
        <f t="shared" si="1"/>
        <v/>
      </c>
      <c r="T20" s="305" t="str">
        <f t="shared" si="1"/>
        <v/>
      </c>
      <c r="U20" s="305" t="str">
        <f t="shared" si="1"/>
        <v/>
      </c>
      <c r="V20" s="305" t="str">
        <f t="shared" si="1"/>
        <v/>
      </c>
      <c r="W20" s="305" t="str">
        <f t="shared" si="1"/>
        <v/>
      </c>
      <c r="X20" s="305" t="str">
        <f t="shared" si="1"/>
        <v/>
      </c>
      <c r="Y20" s="305" t="str">
        <f t="shared" si="1"/>
        <v/>
      </c>
      <c r="Z20" s="305" t="str">
        <f t="shared" si="1"/>
        <v/>
      </c>
      <c r="AA20" s="305" t="str">
        <f t="shared" si="1"/>
        <v/>
      </c>
      <c r="AB20" s="305" t="str">
        <f t="shared" si="1"/>
        <v/>
      </c>
      <c r="AC20" s="305" t="str">
        <f t="shared" si="1"/>
        <v/>
      </c>
      <c r="AD20" s="305" t="str">
        <f t="shared" si="1"/>
        <v/>
      </c>
      <c r="AE20" s="305" t="str">
        <f t="shared" si="1"/>
        <v/>
      </c>
      <c r="AF20" s="305" t="str">
        <f t="shared" si="1"/>
        <v/>
      </c>
      <c r="AG20" s="305" t="str">
        <f t="shared" si="1"/>
        <v/>
      </c>
      <c r="AH20" s="305" t="str">
        <f t="shared" si="1"/>
        <v/>
      </c>
      <c r="AI20" s="305" t="str">
        <f t="shared" si="1"/>
        <v/>
      </c>
      <c r="AJ20" s="305" t="str">
        <f t="shared" si="1"/>
        <v/>
      </c>
      <c r="AK20" s="305" t="str">
        <f t="shared" si="1"/>
        <v/>
      </c>
      <c r="AL20" s="305" t="str">
        <f t="shared" si="1"/>
        <v/>
      </c>
      <c r="AM20" s="305" t="str">
        <f t="shared" si="1"/>
        <v/>
      </c>
      <c r="AN20" s="305" t="str">
        <f t="shared" si="1"/>
        <v/>
      </c>
      <c r="AO20" s="305" t="str">
        <f t="shared" si="1"/>
        <v/>
      </c>
      <c r="AP20" s="305" t="str">
        <f t="shared" si="1"/>
        <v/>
      </c>
      <c r="AQ20" s="305" t="str">
        <f t="shared" si="1"/>
        <v/>
      </c>
      <c r="AR20" s="305" t="str">
        <f t="shared" si="1"/>
        <v/>
      </c>
      <c r="AS20" s="305" t="str">
        <f t="shared" si="1"/>
        <v/>
      </c>
      <c r="AT20" s="305" t="str">
        <f t="shared" si="1"/>
        <v/>
      </c>
      <c r="AU20" s="305" t="str">
        <f t="shared" si="1"/>
        <v/>
      </c>
      <c r="AV20" s="305" t="str">
        <f t="shared" si="1"/>
        <v/>
      </c>
      <c r="AW20" s="305" t="str">
        <f t="shared" si="1"/>
        <v/>
      </c>
      <c r="AX20" s="305" t="str">
        <f t="shared" si="1"/>
        <v/>
      </c>
      <c r="AY20" s="305" t="str">
        <f t="shared" si="1"/>
        <v/>
      </c>
      <c r="AZ20" s="305" t="str">
        <f t="shared" si="1"/>
        <v/>
      </c>
      <c r="BA20" s="305" t="str">
        <f t="shared" si="1"/>
        <v/>
      </c>
      <c r="BB20" s="305" t="str">
        <f t="shared" si="1"/>
        <v/>
      </c>
      <c r="BC20" s="305" t="str">
        <f t="shared" si="1"/>
        <v/>
      </c>
      <c r="BD20" s="305" t="str">
        <f t="shared" si="1"/>
        <v/>
      </c>
      <c r="BE20" s="306" t="str">
        <f t="shared" si="1"/>
        <v/>
      </c>
    </row>
    <row r="21" spans="1:58" s="4" customFormat="1" ht="18" customHeight="1">
      <c r="A21" s="569" t="s">
        <v>214</v>
      </c>
      <c r="B21" s="570"/>
      <c r="C21" s="514"/>
      <c r="D21" s="233"/>
      <c r="E21" s="238"/>
      <c r="F21" s="238"/>
      <c r="G21" s="249"/>
      <c r="H21" s="232"/>
      <c r="I21" s="233"/>
      <c r="J21" s="238"/>
      <c r="K21" s="238"/>
      <c r="L21" s="238"/>
      <c r="M21" s="239"/>
      <c r="N21" s="233"/>
      <c r="O21" s="238"/>
      <c r="P21" s="238"/>
      <c r="Q21" s="238"/>
      <c r="R21" s="249"/>
      <c r="S21" s="305" t="str">
        <f t="shared" ref="S21:BE21" si="2">IF($I$27="しない",IF(IFERROR(S130,"")="","",S130),IF(IFERROR(S143,"")="","",S143))</f>
        <v/>
      </c>
      <c r="T21" s="305" t="str">
        <f t="shared" si="2"/>
        <v/>
      </c>
      <c r="U21" s="305" t="str">
        <f t="shared" si="2"/>
        <v/>
      </c>
      <c r="V21" s="305" t="str">
        <f t="shared" si="2"/>
        <v/>
      </c>
      <c r="W21" s="305" t="str">
        <f t="shared" si="2"/>
        <v/>
      </c>
      <c r="X21" s="305" t="str">
        <f t="shared" si="2"/>
        <v/>
      </c>
      <c r="Y21" s="305" t="str">
        <f t="shared" si="2"/>
        <v/>
      </c>
      <c r="Z21" s="305" t="str">
        <f t="shared" si="2"/>
        <v/>
      </c>
      <c r="AA21" s="305" t="str">
        <f t="shared" si="2"/>
        <v/>
      </c>
      <c r="AB21" s="305" t="str">
        <f t="shared" si="2"/>
        <v/>
      </c>
      <c r="AC21" s="305" t="str">
        <f t="shared" si="2"/>
        <v/>
      </c>
      <c r="AD21" s="305" t="str">
        <f t="shared" si="2"/>
        <v/>
      </c>
      <c r="AE21" s="305" t="str">
        <f t="shared" si="2"/>
        <v/>
      </c>
      <c r="AF21" s="305" t="str">
        <f t="shared" si="2"/>
        <v/>
      </c>
      <c r="AG21" s="305" t="str">
        <f t="shared" si="2"/>
        <v/>
      </c>
      <c r="AH21" s="305" t="str">
        <f t="shared" si="2"/>
        <v/>
      </c>
      <c r="AI21" s="305" t="str">
        <f t="shared" si="2"/>
        <v/>
      </c>
      <c r="AJ21" s="305" t="str">
        <f t="shared" si="2"/>
        <v/>
      </c>
      <c r="AK21" s="305" t="str">
        <f t="shared" si="2"/>
        <v/>
      </c>
      <c r="AL21" s="305" t="str">
        <f t="shared" si="2"/>
        <v/>
      </c>
      <c r="AM21" s="305" t="str">
        <f t="shared" si="2"/>
        <v/>
      </c>
      <c r="AN21" s="305" t="str">
        <f t="shared" si="2"/>
        <v/>
      </c>
      <c r="AO21" s="305" t="str">
        <f t="shared" si="2"/>
        <v/>
      </c>
      <c r="AP21" s="305" t="str">
        <f t="shared" si="2"/>
        <v/>
      </c>
      <c r="AQ21" s="305" t="str">
        <f t="shared" si="2"/>
        <v/>
      </c>
      <c r="AR21" s="305" t="str">
        <f t="shared" si="2"/>
        <v/>
      </c>
      <c r="AS21" s="305" t="str">
        <f t="shared" si="2"/>
        <v/>
      </c>
      <c r="AT21" s="305" t="str">
        <f t="shared" si="2"/>
        <v/>
      </c>
      <c r="AU21" s="305" t="str">
        <f t="shared" si="2"/>
        <v/>
      </c>
      <c r="AV21" s="305" t="str">
        <f t="shared" si="2"/>
        <v/>
      </c>
      <c r="AW21" s="305" t="str">
        <f t="shared" si="2"/>
        <v/>
      </c>
      <c r="AX21" s="305" t="str">
        <f t="shared" si="2"/>
        <v/>
      </c>
      <c r="AY21" s="305" t="str">
        <f t="shared" si="2"/>
        <v/>
      </c>
      <c r="AZ21" s="305" t="str">
        <f t="shared" si="2"/>
        <v/>
      </c>
      <c r="BA21" s="305" t="str">
        <f t="shared" si="2"/>
        <v/>
      </c>
      <c r="BB21" s="305" t="str">
        <f t="shared" si="2"/>
        <v/>
      </c>
      <c r="BC21" s="305" t="str">
        <f t="shared" si="2"/>
        <v/>
      </c>
      <c r="BD21" s="305" t="str">
        <f t="shared" si="2"/>
        <v/>
      </c>
      <c r="BE21" s="306" t="str">
        <f t="shared" si="2"/>
        <v/>
      </c>
    </row>
    <row r="22" spans="1:58" ht="18" hidden="1" customHeight="1">
      <c r="A22" s="591" t="s">
        <v>212</v>
      </c>
      <c r="B22" s="592"/>
      <c r="C22" s="593"/>
      <c r="D22" s="233"/>
      <c r="E22" s="238"/>
      <c r="F22" s="238"/>
      <c r="G22" s="249"/>
      <c r="H22" s="232"/>
      <c r="I22" s="233"/>
      <c r="J22" s="238"/>
      <c r="K22" s="238"/>
      <c r="L22" s="238"/>
      <c r="M22" s="239"/>
      <c r="N22" s="233"/>
      <c r="O22" s="238"/>
      <c r="P22" s="238"/>
      <c r="Q22" s="238"/>
      <c r="R22" s="249"/>
      <c r="S22" s="304" t="str">
        <f t="shared" ref="S22:BE22" ca="1" si="3">IF($I$26="しない",IF(IFERROR(S144,"")="","",S144),IF(IFERROR(S140,"")="","",S140))</f>
        <v/>
      </c>
      <c r="T22" s="305" t="str">
        <f t="shared" ca="1" si="3"/>
        <v/>
      </c>
      <c r="U22" s="305" t="str">
        <f t="shared" ca="1" si="3"/>
        <v/>
      </c>
      <c r="V22" s="305" t="str">
        <f t="shared" ca="1" si="3"/>
        <v/>
      </c>
      <c r="W22" s="305" t="str">
        <f t="shared" ca="1" si="3"/>
        <v/>
      </c>
      <c r="X22" s="305" t="str">
        <f t="shared" ca="1" si="3"/>
        <v/>
      </c>
      <c r="Y22" s="305" t="str">
        <f t="shared" ca="1" si="3"/>
        <v/>
      </c>
      <c r="Z22" s="305" t="str">
        <f t="shared" ca="1" si="3"/>
        <v/>
      </c>
      <c r="AA22" s="305" t="str">
        <f t="shared" ca="1" si="3"/>
        <v/>
      </c>
      <c r="AB22" s="305" t="str">
        <f t="shared" ca="1" si="3"/>
        <v/>
      </c>
      <c r="AC22" s="305" t="str">
        <f t="shared" ca="1" si="3"/>
        <v/>
      </c>
      <c r="AD22" s="305" t="str">
        <f t="shared" ca="1" si="3"/>
        <v/>
      </c>
      <c r="AE22" s="305" t="str">
        <f t="shared" ca="1" si="3"/>
        <v/>
      </c>
      <c r="AF22" s="305" t="str">
        <f t="shared" ca="1" si="3"/>
        <v/>
      </c>
      <c r="AG22" s="305" t="str">
        <f t="shared" ca="1" si="3"/>
        <v/>
      </c>
      <c r="AH22" s="305" t="str">
        <f t="shared" ca="1" si="3"/>
        <v/>
      </c>
      <c r="AI22" s="305" t="str">
        <f t="shared" ca="1" si="3"/>
        <v/>
      </c>
      <c r="AJ22" s="305" t="str">
        <f t="shared" ca="1" si="3"/>
        <v/>
      </c>
      <c r="AK22" s="305" t="str">
        <f t="shared" ca="1" si="3"/>
        <v/>
      </c>
      <c r="AL22" s="305" t="str">
        <f t="shared" ca="1" si="3"/>
        <v/>
      </c>
      <c r="AM22" s="305" t="str">
        <f t="shared" ca="1" si="3"/>
        <v/>
      </c>
      <c r="AN22" s="305" t="str">
        <f t="shared" ca="1" si="3"/>
        <v/>
      </c>
      <c r="AO22" s="305" t="str">
        <f t="shared" ca="1" si="3"/>
        <v/>
      </c>
      <c r="AP22" s="305" t="str">
        <f t="shared" ca="1" si="3"/>
        <v/>
      </c>
      <c r="AQ22" s="305" t="str">
        <f t="shared" ca="1" si="3"/>
        <v/>
      </c>
      <c r="AR22" s="305" t="str">
        <f t="shared" ca="1" si="3"/>
        <v/>
      </c>
      <c r="AS22" s="305" t="str">
        <f t="shared" ca="1" si="3"/>
        <v/>
      </c>
      <c r="AT22" s="305" t="str">
        <f t="shared" ca="1" si="3"/>
        <v/>
      </c>
      <c r="AU22" s="305" t="str">
        <f t="shared" ca="1" si="3"/>
        <v/>
      </c>
      <c r="AV22" s="305" t="str">
        <f t="shared" ca="1" si="3"/>
        <v/>
      </c>
      <c r="AW22" s="305" t="str">
        <f t="shared" ca="1" si="3"/>
        <v/>
      </c>
      <c r="AX22" s="305" t="str">
        <f t="shared" ca="1" si="3"/>
        <v/>
      </c>
      <c r="AY22" s="305" t="str">
        <f t="shared" ca="1" si="3"/>
        <v/>
      </c>
      <c r="AZ22" s="305" t="str">
        <f t="shared" ca="1" si="3"/>
        <v/>
      </c>
      <c r="BA22" s="305" t="str">
        <f t="shared" ca="1" si="3"/>
        <v/>
      </c>
      <c r="BB22" s="305" t="str">
        <f t="shared" ca="1" si="3"/>
        <v/>
      </c>
      <c r="BC22" s="305" t="str">
        <f t="shared" ca="1" si="3"/>
        <v/>
      </c>
      <c r="BD22" s="305" t="str">
        <f t="shared" ca="1" si="3"/>
        <v/>
      </c>
      <c r="BE22" s="306" t="str">
        <f t="shared" ca="1" si="3"/>
        <v/>
      </c>
    </row>
    <row r="23" spans="1:58" ht="18" hidden="1" customHeight="1">
      <c r="A23" s="594" t="s">
        <v>216</v>
      </c>
      <c r="B23" s="521"/>
      <c r="C23" s="595"/>
      <c r="D23" s="233"/>
      <c r="E23" s="238"/>
      <c r="F23" s="238"/>
      <c r="G23" s="249"/>
      <c r="H23" s="232"/>
      <c r="I23" s="233"/>
      <c r="J23" s="238"/>
      <c r="K23" s="238"/>
      <c r="L23" s="238"/>
      <c r="M23" s="239"/>
      <c r="N23" s="233"/>
      <c r="O23" s="238"/>
      <c r="P23" s="238"/>
      <c r="Q23" s="238"/>
      <c r="R23" s="249"/>
      <c r="S23" s="304" t="str">
        <f t="shared" ref="S23:BE23" ca="1" si="4">IF($I$26="しない",IF(IFERROR(S145,"")="","",S145),IF(IFERROR(S141,"")="","",S141))</f>
        <v/>
      </c>
      <c r="T23" s="305" t="str">
        <f t="shared" ca="1" si="4"/>
        <v/>
      </c>
      <c r="U23" s="305" t="str">
        <f t="shared" ca="1" si="4"/>
        <v/>
      </c>
      <c r="V23" s="305" t="str">
        <f t="shared" ca="1" si="4"/>
        <v/>
      </c>
      <c r="W23" s="305" t="str">
        <f t="shared" ca="1" si="4"/>
        <v/>
      </c>
      <c r="X23" s="305" t="str">
        <f t="shared" ca="1" si="4"/>
        <v/>
      </c>
      <c r="Y23" s="305" t="str">
        <f t="shared" ca="1" si="4"/>
        <v/>
      </c>
      <c r="Z23" s="305" t="str">
        <f t="shared" ca="1" si="4"/>
        <v/>
      </c>
      <c r="AA23" s="305" t="str">
        <f t="shared" ca="1" si="4"/>
        <v/>
      </c>
      <c r="AB23" s="305" t="str">
        <f t="shared" ca="1" si="4"/>
        <v/>
      </c>
      <c r="AC23" s="305" t="str">
        <f t="shared" ca="1" si="4"/>
        <v/>
      </c>
      <c r="AD23" s="305" t="str">
        <f t="shared" ca="1" si="4"/>
        <v/>
      </c>
      <c r="AE23" s="305" t="str">
        <f t="shared" ca="1" si="4"/>
        <v/>
      </c>
      <c r="AF23" s="305" t="str">
        <f t="shared" ca="1" si="4"/>
        <v/>
      </c>
      <c r="AG23" s="305" t="str">
        <f t="shared" ca="1" si="4"/>
        <v/>
      </c>
      <c r="AH23" s="305" t="str">
        <f t="shared" ca="1" si="4"/>
        <v/>
      </c>
      <c r="AI23" s="305" t="str">
        <f t="shared" ca="1" si="4"/>
        <v/>
      </c>
      <c r="AJ23" s="305" t="str">
        <f t="shared" ca="1" si="4"/>
        <v/>
      </c>
      <c r="AK23" s="305" t="str">
        <f t="shared" ca="1" si="4"/>
        <v/>
      </c>
      <c r="AL23" s="305" t="str">
        <f t="shared" ca="1" si="4"/>
        <v/>
      </c>
      <c r="AM23" s="305" t="str">
        <f t="shared" ca="1" si="4"/>
        <v/>
      </c>
      <c r="AN23" s="305" t="str">
        <f t="shared" ca="1" si="4"/>
        <v/>
      </c>
      <c r="AO23" s="305" t="str">
        <f t="shared" ca="1" si="4"/>
        <v/>
      </c>
      <c r="AP23" s="305" t="str">
        <f t="shared" ca="1" si="4"/>
        <v/>
      </c>
      <c r="AQ23" s="305" t="str">
        <f t="shared" ca="1" si="4"/>
        <v/>
      </c>
      <c r="AR23" s="305" t="str">
        <f t="shared" ca="1" si="4"/>
        <v/>
      </c>
      <c r="AS23" s="305" t="str">
        <f t="shared" ca="1" si="4"/>
        <v/>
      </c>
      <c r="AT23" s="305" t="str">
        <f t="shared" ca="1" si="4"/>
        <v/>
      </c>
      <c r="AU23" s="305" t="str">
        <f t="shared" ca="1" si="4"/>
        <v/>
      </c>
      <c r="AV23" s="305" t="str">
        <f t="shared" ca="1" si="4"/>
        <v/>
      </c>
      <c r="AW23" s="305" t="str">
        <f t="shared" ca="1" si="4"/>
        <v/>
      </c>
      <c r="AX23" s="305" t="str">
        <f t="shared" ca="1" si="4"/>
        <v/>
      </c>
      <c r="AY23" s="305" t="str">
        <f t="shared" ca="1" si="4"/>
        <v/>
      </c>
      <c r="AZ23" s="305" t="str">
        <f t="shared" ca="1" si="4"/>
        <v/>
      </c>
      <c r="BA23" s="305" t="str">
        <f t="shared" ca="1" si="4"/>
        <v/>
      </c>
      <c r="BB23" s="305" t="str">
        <f t="shared" ca="1" si="4"/>
        <v/>
      </c>
      <c r="BC23" s="305" t="str">
        <f t="shared" ca="1" si="4"/>
        <v/>
      </c>
      <c r="BD23" s="305" t="str">
        <f t="shared" ca="1" si="4"/>
        <v/>
      </c>
      <c r="BE23" s="306" t="str">
        <f t="shared" ca="1" si="4"/>
        <v/>
      </c>
      <c r="BF23" s="226"/>
    </row>
    <row r="24" spans="1:58" ht="18" hidden="1" customHeight="1" thickBot="1">
      <c r="A24" s="596" t="s">
        <v>217</v>
      </c>
      <c r="B24" s="597"/>
      <c r="C24" s="598"/>
      <c r="D24" s="237"/>
      <c r="E24" s="250"/>
      <c r="F24" s="250"/>
      <c r="G24" s="135"/>
      <c r="H24" s="236"/>
      <c r="I24" s="233"/>
      <c r="J24" s="238"/>
      <c r="K24" s="238"/>
      <c r="L24" s="238"/>
      <c r="M24" s="239"/>
      <c r="N24" s="237"/>
      <c r="O24" s="250"/>
      <c r="P24" s="250"/>
      <c r="Q24" s="250"/>
      <c r="R24" s="135"/>
      <c r="S24" s="307" t="str">
        <f t="shared" ref="S24:BE24" ca="1" si="5">IF($I$26="しない",IF(IFERROR(S146,"")="","",S146),IF(IFERROR(S142,"")="","",S142))</f>
        <v/>
      </c>
      <c r="T24" s="308" t="str">
        <f t="shared" ca="1" si="5"/>
        <v/>
      </c>
      <c r="U24" s="308" t="str">
        <f t="shared" ca="1" si="5"/>
        <v/>
      </c>
      <c r="V24" s="308" t="str">
        <f t="shared" ca="1" si="5"/>
        <v/>
      </c>
      <c r="W24" s="308" t="str">
        <f t="shared" ca="1" si="5"/>
        <v/>
      </c>
      <c r="X24" s="308" t="str">
        <f t="shared" ca="1" si="5"/>
        <v/>
      </c>
      <c r="Y24" s="308" t="str">
        <f t="shared" ca="1" si="5"/>
        <v/>
      </c>
      <c r="Z24" s="308" t="str">
        <f t="shared" ca="1" si="5"/>
        <v/>
      </c>
      <c r="AA24" s="308" t="str">
        <f t="shared" ca="1" si="5"/>
        <v/>
      </c>
      <c r="AB24" s="308" t="str">
        <f t="shared" ca="1" si="5"/>
        <v/>
      </c>
      <c r="AC24" s="308" t="str">
        <f t="shared" ca="1" si="5"/>
        <v/>
      </c>
      <c r="AD24" s="308" t="str">
        <f t="shared" ca="1" si="5"/>
        <v/>
      </c>
      <c r="AE24" s="308" t="str">
        <f t="shared" ca="1" si="5"/>
        <v/>
      </c>
      <c r="AF24" s="308" t="str">
        <f t="shared" ca="1" si="5"/>
        <v/>
      </c>
      <c r="AG24" s="308" t="str">
        <f t="shared" ca="1" si="5"/>
        <v/>
      </c>
      <c r="AH24" s="308" t="str">
        <f t="shared" ca="1" si="5"/>
        <v/>
      </c>
      <c r="AI24" s="308" t="str">
        <f t="shared" ca="1" si="5"/>
        <v/>
      </c>
      <c r="AJ24" s="308" t="str">
        <f t="shared" ca="1" si="5"/>
        <v/>
      </c>
      <c r="AK24" s="308" t="str">
        <f t="shared" ca="1" si="5"/>
        <v/>
      </c>
      <c r="AL24" s="308" t="str">
        <f t="shared" ca="1" si="5"/>
        <v/>
      </c>
      <c r="AM24" s="308" t="str">
        <f t="shared" ca="1" si="5"/>
        <v/>
      </c>
      <c r="AN24" s="308" t="str">
        <f t="shared" ca="1" si="5"/>
        <v/>
      </c>
      <c r="AO24" s="308" t="str">
        <f t="shared" ca="1" si="5"/>
        <v/>
      </c>
      <c r="AP24" s="308" t="str">
        <f t="shared" ca="1" si="5"/>
        <v/>
      </c>
      <c r="AQ24" s="308" t="str">
        <f t="shared" ca="1" si="5"/>
        <v/>
      </c>
      <c r="AR24" s="308" t="str">
        <f t="shared" ca="1" si="5"/>
        <v/>
      </c>
      <c r="AS24" s="308" t="str">
        <f t="shared" ca="1" si="5"/>
        <v/>
      </c>
      <c r="AT24" s="308" t="str">
        <f t="shared" ca="1" si="5"/>
        <v/>
      </c>
      <c r="AU24" s="308" t="str">
        <f t="shared" ca="1" si="5"/>
        <v/>
      </c>
      <c r="AV24" s="308" t="str">
        <f t="shared" ca="1" si="5"/>
        <v/>
      </c>
      <c r="AW24" s="308" t="str">
        <f t="shared" ca="1" si="5"/>
        <v/>
      </c>
      <c r="AX24" s="308" t="str">
        <f t="shared" ca="1" si="5"/>
        <v/>
      </c>
      <c r="AY24" s="308" t="str">
        <f t="shared" ca="1" si="5"/>
        <v/>
      </c>
      <c r="AZ24" s="308" t="str">
        <f t="shared" ca="1" si="5"/>
        <v/>
      </c>
      <c r="BA24" s="308" t="str">
        <f t="shared" ca="1" si="5"/>
        <v/>
      </c>
      <c r="BB24" s="308" t="str">
        <f t="shared" ca="1" si="5"/>
        <v/>
      </c>
      <c r="BC24" s="308" t="str">
        <f t="shared" ca="1" si="5"/>
        <v/>
      </c>
      <c r="BD24" s="308" t="str">
        <f t="shared" ca="1" si="5"/>
        <v/>
      </c>
      <c r="BE24" s="309" t="str">
        <f t="shared" ca="1" si="5"/>
        <v/>
      </c>
    </row>
    <row r="25" spans="1:58" ht="18" hidden="1" customHeight="1" thickBot="1">
      <c r="A25" s="599" t="s">
        <v>206</v>
      </c>
      <c r="B25" s="600"/>
      <c r="C25" s="600"/>
      <c r="D25" s="600"/>
      <c r="E25" s="600"/>
      <c r="F25" s="600"/>
      <c r="G25" s="600"/>
      <c r="H25" s="601"/>
      <c r="I25" s="618">
        <v>1</v>
      </c>
      <c r="J25" s="618"/>
      <c r="K25" s="618"/>
      <c r="L25" s="618"/>
      <c r="M25" s="266" t="s">
        <v>207</v>
      </c>
      <c r="N25" s="619" t="s">
        <v>224</v>
      </c>
      <c r="O25" s="620"/>
      <c r="P25" s="620"/>
      <c r="Q25" s="620"/>
      <c r="R25" s="620"/>
      <c r="S25" s="621">
        <f>IF(L2="","",E211)</f>
        <v>7.1</v>
      </c>
      <c r="T25" s="621"/>
      <c r="U25" s="621"/>
      <c r="V25" s="622" t="str">
        <f>IF(S26="","",IF(S25-S26&gt;2,"目標よりも最高ボーメが相当低い。",IF(S25-S26&gt;1,"目標より最高ボーメが低い。",IF(S25-S26&lt;-2,"目標より最高ボーメが相当高い。",IF(S25-S26&lt;-1,"目標より最高ボーメが高い。",""))))&amp;IF(S26&gt;7,"絶対的に最高ボーメが高いので、濃糖圧迫に注意すること（酸が高くなり、後半の切れが悪くなる）。",IF(S26&lt;4,"絶対的に最高ボーメが低いので、溶け具合や発酵具合を確認すること（身ウスになったり、香りが低くなる）。",""))&amp;IF(F154&gt;6,"最高ボーメが来るのが遅れ気味である。",""))</f>
        <v/>
      </c>
      <c r="W25" s="622"/>
      <c r="X25" s="622"/>
      <c r="Y25" s="622"/>
      <c r="Z25" s="622"/>
      <c r="AA25" s="623"/>
      <c r="AB25" s="619" t="s">
        <v>225</v>
      </c>
      <c r="AC25" s="620"/>
      <c r="AD25" s="620"/>
      <c r="AE25" s="620"/>
      <c r="AF25" s="620"/>
      <c r="AG25" s="628">
        <f>IF(L2="","",E212)</f>
        <v>45.3</v>
      </c>
      <c r="AH25" s="628"/>
      <c r="AI25" s="628"/>
      <c r="AJ25" s="622" t="str">
        <f>IF(AG26="","",IF(AG25-AG26&gt;10,"目標よりも最高BMDが相当低い。",IF(AG25-AG26&gt;5,"目標より最高BMDが低い。",IF(AG25-AG26&lt;-10,"目標より最高BMDが相当高い。",IF(AG25-AG26&lt;-5,"目標より最高BMDが高い。",""))))&amp;IF(AG26&gt;60,"絶対的に最高BMDが高いので、濃糖圧迫に注意すること（酸が高くなり、後半の切れが悪くなる）。",IF(AG26&lt;50,"絶対的に最高BMDが低いので、溶け具合や発酵具合を確認すること（身ウスになったり、香りが低くなる）。",""))&amp;IF(F157&gt;14,"最高BMDが来るのが遅れ気味である。",IF(F157&lt;7,"最高BMDが来るのが早めである。","")))</f>
        <v/>
      </c>
      <c r="AK25" s="622"/>
      <c r="AL25" s="622"/>
      <c r="AM25" s="622"/>
      <c r="AN25" s="622"/>
      <c r="AO25" s="623"/>
      <c r="AP25" s="633" t="str">
        <f>"目標アルコール分（"&amp;E213&amp;"度）の時の予測日本酒度"</f>
        <v>目標アルコール分（15.6度）の時の予測日本酒度</v>
      </c>
      <c r="AQ25" s="634"/>
      <c r="AR25" s="634"/>
      <c r="AS25" s="634"/>
      <c r="AT25" s="634"/>
      <c r="AU25" s="634"/>
      <c r="AV25" s="634"/>
      <c r="AW25" s="634"/>
      <c r="AX25" s="635" t="str">
        <f>IF(COUNTA(S13:BE13)=0,"",IF(H150=0,"",H149+(E213-H150)/1.8*10))</f>
        <v/>
      </c>
      <c r="AY25" s="635"/>
      <c r="AZ25" s="635"/>
      <c r="BA25" s="602" t="str">
        <f>IF(AX25="","",IF(AX27="","",IF(AX25+10&lt;E214,"原エキスが目標よりも相当多く、相当甘くなる、ないしは高いアルコール分になる。早めかつ多めの追水が望ましい。",IF(AX25+5&lt;E214,"原エキスが目標よりも多めのため、甘めないしは高めのアルコール分になる。追水で調整。",IF(AX25&gt;E214+10,"原エキスが目標よりも相当低く、相当辛い、ないしは低いアルコール分になる。早めの酵素添加等の対応が必要。追水は厳禁。",IF(AX25&gt;E214+5,"原エキスが目標よりも低めのため、辛めないしは低めのアルコール分になる。必要に応じ酵素剤を打つとともに、追水量は控えめにする。",""))))))</f>
        <v/>
      </c>
      <c r="BB25" s="603"/>
      <c r="BC25" s="603"/>
      <c r="BD25" s="603"/>
      <c r="BE25" s="604"/>
    </row>
    <row r="26" spans="1:58" ht="18" hidden="1" customHeight="1" thickBot="1">
      <c r="A26" s="611" t="s">
        <v>218</v>
      </c>
      <c r="B26" s="612"/>
      <c r="C26" s="612"/>
      <c r="D26" s="612"/>
      <c r="E26" s="612"/>
      <c r="F26" s="612"/>
      <c r="G26" s="612"/>
      <c r="H26" s="613"/>
      <c r="I26" s="614" t="s">
        <v>285</v>
      </c>
      <c r="J26" s="614"/>
      <c r="K26" s="614"/>
      <c r="L26" s="614"/>
      <c r="M26" s="614"/>
      <c r="N26" s="615" t="s">
        <v>223</v>
      </c>
      <c r="O26" s="616"/>
      <c r="P26" s="616"/>
      <c r="Q26" s="616"/>
      <c r="R26" s="616"/>
      <c r="S26" s="617" t="str">
        <f>IF(F153="","",IF(COUNTA(S12:BE12)=0,"",F153))</f>
        <v/>
      </c>
      <c r="T26" s="617"/>
      <c r="U26" s="617"/>
      <c r="V26" s="624"/>
      <c r="W26" s="624"/>
      <c r="X26" s="624"/>
      <c r="Y26" s="624"/>
      <c r="Z26" s="624"/>
      <c r="AA26" s="625"/>
      <c r="AB26" s="615" t="s">
        <v>226</v>
      </c>
      <c r="AC26" s="616"/>
      <c r="AD26" s="616"/>
      <c r="AE26" s="616"/>
      <c r="AF26" s="616"/>
      <c r="AG26" s="617" t="str">
        <f>IF(F156="","",IF(COUNTA(S12:BE12)=0,"",F156))</f>
        <v/>
      </c>
      <c r="AH26" s="617"/>
      <c r="AI26" s="617"/>
      <c r="AJ26" s="624"/>
      <c r="AK26" s="624"/>
      <c r="AL26" s="624"/>
      <c r="AM26" s="624"/>
      <c r="AN26" s="624"/>
      <c r="AO26" s="625"/>
      <c r="AP26" s="182"/>
      <c r="AQ26" s="183"/>
      <c r="AR26" s="183"/>
      <c r="AS26" s="183"/>
      <c r="AT26" s="183"/>
      <c r="AU26" s="183"/>
      <c r="AV26" s="183"/>
      <c r="AW26" s="183"/>
      <c r="AX26" s="183"/>
      <c r="AY26" s="183"/>
      <c r="AZ26" s="183"/>
      <c r="BA26" s="605"/>
      <c r="BB26" s="606"/>
      <c r="BC26" s="606"/>
      <c r="BD26" s="606"/>
      <c r="BE26" s="607"/>
    </row>
    <row r="27" spans="1:58" ht="18" hidden="1" customHeight="1" thickBot="1">
      <c r="A27" s="611" t="s">
        <v>284</v>
      </c>
      <c r="B27" s="612"/>
      <c r="C27" s="612"/>
      <c r="D27" s="612"/>
      <c r="E27" s="612"/>
      <c r="F27" s="612"/>
      <c r="G27" s="612"/>
      <c r="H27" s="613"/>
      <c r="I27" s="639" t="s">
        <v>292</v>
      </c>
      <c r="J27" s="614"/>
      <c r="K27" s="614"/>
      <c r="L27" s="614"/>
      <c r="M27" s="640"/>
      <c r="N27" s="641" t="s">
        <v>208</v>
      </c>
      <c r="O27" s="642"/>
      <c r="P27" s="642"/>
      <c r="Q27" s="642"/>
      <c r="R27" s="642"/>
      <c r="S27" s="632" t="str">
        <f>IF(S26="","",IF(F154="","",F154&amp;"日"))</f>
        <v/>
      </c>
      <c r="T27" s="632"/>
      <c r="U27" s="632"/>
      <c r="V27" s="626"/>
      <c r="W27" s="626"/>
      <c r="X27" s="626"/>
      <c r="Y27" s="626"/>
      <c r="Z27" s="626"/>
      <c r="AA27" s="627"/>
      <c r="AB27" s="641" t="s">
        <v>167</v>
      </c>
      <c r="AC27" s="642"/>
      <c r="AD27" s="642"/>
      <c r="AE27" s="642"/>
      <c r="AF27" s="642"/>
      <c r="AG27" s="632" t="str">
        <f>IF(AG26="","",IF(F157="","",F157&amp;"日"))</f>
        <v/>
      </c>
      <c r="AH27" s="632"/>
      <c r="AI27" s="632"/>
      <c r="AJ27" s="626"/>
      <c r="AK27" s="626"/>
      <c r="AL27" s="626"/>
      <c r="AM27" s="626"/>
      <c r="AN27" s="626"/>
      <c r="AO27" s="627"/>
      <c r="AP27" s="629" t="str">
        <f>"目標日本酒度（"&amp;IF(E214&lt;0,E214,IF(E214&gt;0,"+"&amp;E214,"±"&amp;E214))&amp;"）の時の予測アルコール分（度）"</f>
        <v>目標日本酒度（-5.8）の時の予測アルコール分（度）</v>
      </c>
      <c r="AQ27" s="630"/>
      <c r="AR27" s="630"/>
      <c r="AS27" s="630"/>
      <c r="AT27" s="630"/>
      <c r="AU27" s="630"/>
      <c r="AV27" s="630"/>
      <c r="AW27" s="630"/>
      <c r="AX27" s="631" t="str">
        <f>IF(COUNTA(S13:BE13)=0,"",IF(AX25="","",ROUND((E214-H149)/10*1.8+H150,1)&amp;"度"))</f>
        <v/>
      </c>
      <c r="AY27" s="631"/>
      <c r="AZ27" s="631"/>
      <c r="BA27" s="608"/>
      <c r="BB27" s="609"/>
      <c r="BC27" s="609"/>
      <c r="BD27" s="609"/>
      <c r="BE27" s="610"/>
    </row>
    <row r="28" spans="1:58" s="4" customFormat="1" ht="19.5" customHeight="1" thickBot="1">
      <c r="B28" s="42"/>
      <c r="C28" s="231"/>
      <c r="D28" s="231"/>
      <c r="E28" s="42"/>
      <c r="F28" s="42"/>
      <c r="G28" s="42"/>
      <c r="H28" s="42"/>
      <c r="I28" s="42"/>
      <c r="J28" s="42"/>
      <c r="K28" s="42"/>
      <c r="L28" s="42"/>
      <c r="M28" s="42"/>
      <c r="N28" s="42"/>
      <c r="O28" s="42"/>
      <c r="P28" s="42"/>
      <c r="Q28" s="42"/>
      <c r="R28" s="42"/>
      <c r="T28" s="42"/>
      <c r="U28" s="42"/>
      <c r="V28" s="42"/>
      <c r="W28" s="42"/>
      <c r="X28" s="42"/>
      <c r="Y28" s="42"/>
      <c r="Z28" s="42"/>
      <c r="AB28" s="42"/>
      <c r="AC28" s="42"/>
      <c r="AD28" s="42"/>
      <c r="AE28" s="42"/>
      <c r="AF28" s="42"/>
      <c r="AG28" s="42"/>
      <c r="AH28" s="42"/>
      <c r="AI28" s="42"/>
      <c r="AT28" s="42"/>
      <c r="AU28" s="42"/>
      <c r="AV28" s="42"/>
      <c r="AW28" s="42"/>
      <c r="AX28" s="42"/>
      <c r="AY28" s="42"/>
      <c r="AZ28" s="42"/>
      <c r="BA28" s="42"/>
      <c r="BB28" s="42"/>
      <c r="BC28" s="42"/>
      <c r="BD28" s="42"/>
      <c r="BF28" s="225"/>
    </row>
    <row r="29" spans="1:58" s="52" customFormat="1" ht="19.5" customHeight="1">
      <c r="A29" s="619" t="s">
        <v>45</v>
      </c>
      <c r="B29" s="620"/>
      <c r="C29" s="247" t="s">
        <v>47</v>
      </c>
      <c r="D29" s="99"/>
      <c r="E29" s="100"/>
      <c r="F29" s="100"/>
      <c r="G29" s="101"/>
      <c r="H29" s="149"/>
      <c r="I29" s="99"/>
      <c r="J29" s="100"/>
      <c r="K29" s="100"/>
      <c r="L29" s="100"/>
      <c r="M29" s="101"/>
      <c r="N29" s="99"/>
      <c r="O29" s="100"/>
      <c r="P29" s="100"/>
      <c r="Q29" s="100"/>
      <c r="R29" s="101"/>
      <c r="S29" s="102"/>
      <c r="T29" s="100"/>
      <c r="U29" s="100"/>
      <c r="V29" s="100"/>
      <c r="W29" s="100"/>
      <c r="X29" s="100"/>
      <c r="Y29" s="100"/>
      <c r="Z29" s="100"/>
      <c r="AA29" s="103"/>
      <c r="AB29" s="100"/>
      <c r="AC29" s="100"/>
      <c r="AD29" s="100"/>
      <c r="AE29" s="100"/>
      <c r="AF29" s="100"/>
      <c r="AG29" s="100"/>
      <c r="AH29" s="100"/>
      <c r="AI29" s="100"/>
      <c r="AJ29" s="100"/>
      <c r="AK29" s="100"/>
      <c r="AL29" s="100"/>
      <c r="AM29" s="100"/>
      <c r="AN29" s="100"/>
      <c r="AO29" s="100"/>
      <c r="AP29" s="100"/>
      <c r="AQ29" s="100"/>
      <c r="AR29" s="100"/>
      <c r="AS29" s="100"/>
      <c r="AT29" s="100"/>
      <c r="AU29" s="100"/>
      <c r="AV29" s="100"/>
      <c r="AW29" s="100"/>
      <c r="AX29" s="100"/>
      <c r="AY29" s="100"/>
      <c r="AZ29" s="100"/>
      <c r="BA29" s="100"/>
      <c r="BB29" s="100"/>
      <c r="BC29" s="100"/>
      <c r="BD29" s="100"/>
      <c r="BE29" s="104"/>
    </row>
    <row r="30" spans="1:58" s="52" customFormat="1" ht="20.100000000000001" customHeight="1" thickBot="1">
      <c r="A30" s="187"/>
      <c r="B30" s="244" t="s">
        <v>46</v>
      </c>
      <c r="C30" s="246" t="s">
        <v>163</v>
      </c>
      <c r="D30" s="636"/>
      <c r="E30" s="637"/>
      <c r="F30" s="637"/>
      <c r="G30" s="638"/>
      <c r="H30" s="245"/>
      <c r="I30" s="636"/>
      <c r="J30" s="637"/>
      <c r="K30" s="637"/>
      <c r="L30" s="637"/>
      <c r="M30" s="638"/>
      <c r="N30" s="636"/>
      <c r="O30" s="637"/>
      <c r="P30" s="637"/>
      <c r="Q30" s="637"/>
      <c r="R30" s="638"/>
      <c r="S30" s="108"/>
      <c r="T30" s="243"/>
      <c r="U30" s="243"/>
      <c r="V30" s="243"/>
      <c r="W30" s="243"/>
      <c r="X30" s="243"/>
      <c r="Y30" s="243"/>
      <c r="Z30" s="243"/>
      <c r="AA30" s="109"/>
      <c r="AB30" s="243"/>
      <c r="AC30" s="243"/>
      <c r="AD30" s="243"/>
      <c r="AE30" s="243"/>
      <c r="AF30" s="243"/>
      <c r="AG30" s="243"/>
      <c r="AH30" s="243"/>
      <c r="AI30" s="243"/>
      <c r="AJ30" s="243"/>
      <c r="AK30" s="243"/>
      <c r="AL30" s="243"/>
      <c r="AM30" s="243"/>
      <c r="AN30" s="243"/>
      <c r="AO30" s="243"/>
      <c r="AP30" s="243"/>
      <c r="AQ30" s="243"/>
      <c r="AR30" s="243"/>
      <c r="AS30" s="243"/>
      <c r="AT30" s="243"/>
      <c r="AU30" s="243"/>
      <c r="AV30" s="243"/>
      <c r="AW30" s="243"/>
      <c r="AX30" s="243"/>
      <c r="AY30" s="243"/>
      <c r="AZ30" s="243"/>
      <c r="BA30" s="243"/>
      <c r="BB30" s="243"/>
      <c r="BC30" s="243"/>
      <c r="BD30" s="243"/>
      <c r="BE30" s="110"/>
    </row>
    <row r="31" spans="1:58" s="52" customFormat="1" ht="20.100000000000001" customHeight="1">
      <c r="A31" s="619" t="s">
        <v>48</v>
      </c>
      <c r="B31" s="620"/>
      <c r="C31" s="247" t="s">
        <v>99</v>
      </c>
      <c r="D31" s="99"/>
      <c r="E31" s="100"/>
      <c r="F31" s="100"/>
      <c r="G31" s="101"/>
      <c r="H31" s="149"/>
      <c r="I31" s="99"/>
      <c r="J31" s="100"/>
      <c r="K31" s="100"/>
      <c r="L31" s="100"/>
      <c r="M31" s="101"/>
      <c r="N31" s="99"/>
      <c r="O31" s="100"/>
      <c r="P31" s="100"/>
      <c r="Q31" s="100"/>
      <c r="R31" s="101"/>
      <c r="S31" s="102"/>
      <c r="T31" s="100"/>
      <c r="U31" s="100"/>
      <c r="V31" s="100"/>
      <c r="W31" s="100"/>
      <c r="X31" s="100"/>
      <c r="Y31" s="100"/>
      <c r="Z31" s="100"/>
      <c r="AA31" s="103"/>
      <c r="AB31" s="100"/>
      <c r="AC31" s="100"/>
      <c r="AD31" s="100"/>
      <c r="AE31" s="100"/>
      <c r="AF31" s="100"/>
      <c r="AG31" s="100"/>
      <c r="AH31" s="100"/>
      <c r="AI31" s="100"/>
      <c r="AJ31" s="100"/>
      <c r="AK31" s="100"/>
      <c r="AL31" s="100"/>
      <c r="AM31" s="100"/>
      <c r="AN31" s="100"/>
      <c r="AO31" s="100"/>
      <c r="AP31" s="100"/>
      <c r="AQ31" s="100"/>
      <c r="AR31" s="100"/>
      <c r="AS31" s="100"/>
      <c r="AT31" s="100"/>
      <c r="AU31" s="100"/>
      <c r="AV31" s="100"/>
      <c r="AW31" s="100"/>
      <c r="AX31" s="100"/>
      <c r="AY31" s="100"/>
      <c r="AZ31" s="100"/>
      <c r="BA31" s="100"/>
      <c r="BB31" s="100"/>
      <c r="BC31" s="100"/>
      <c r="BD31" s="100"/>
      <c r="BE31" s="104"/>
    </row>
    <row r="32" spans="1:58" s="52" customFormat="1" ht="20.100000000000001" customHeight="1">
      <c r="A32" s="643"/>
      <c r="B32" s="645" t="s">
        <v>46</v>
      </c>
      <c r="C32" s="249" t="s">
        <v>47</v>
      </c>
      <c r="D32" s="235"/>
      <c r="E32" s="218"/>
      <c r="F32" s="218"/>
      <c r="G32" s="234"/>
      <c r="H32" s="150"/>
      <c r="I32" s="235"/>
      <c r="J32" s="218"/>
      <c r="K32" s="218"/>
      <c r="L32" s="218"/>
      <c r="M32" s="234"/>
      <c r="N32" s="235"/>
      <c r="O32" s="218"/>
      <c r="P32" s="218"/>
      <c r="Q32" s="218"/>
      <c r="R32" s="234"/>
      <c r="S32" s="105"/>
      <c r="T32" s="218"/>
      <c r="U32" s="218"/>
      <c r="V32" s="218"/>
      <c r="W32" s="218"/>
      <c r="X32" s="218"/>
      <c r="Y32" s="218"/>
      <c r="Z32" s="218"/>
      <c r="AA32" s="106"/>
      <c r="AB32" s="218"/>
      <c r="AC32" s="218"/>
      <c r="AD32" s="218"/>
      <c r="AE32" s="218"/>
      <c r="AF32" s="218"/>
      <c r="AG32" s="218"/>
      <c r="AH32" s="218"/>
      <c r="AI32" s="218"/>
      <c r="AJ32" s="218"/>
      <c r="AK32" s="218"/>
      <c r="AL32" s="218"/>
      <c r="AM32" s="218"/>
      <c r="AN32" s="218"/>
      <c r="AO32" s="218"/>
      <c r="AP32" s="218"/>
      <c r="AQ32" s="218"/>
      <c r="AR32" s="218"/>
      <c r="AS32" s="218"/>
      <c r="AT32" s="218"/>
      <c r="AU32" s="218"/>
      <c r="AV32" s="218"/>
      <c r="AW32" s="218"/>
      <c r="AX32" s="218"/>
      <c r="AY32" s="218"/>
      <c r="AZ32" s="218"/>
      <c r="BA32" s="218"/>
      <c r="BB32" s="218"/>
      <c r="BC32" s="218"/>
      <c r="BD32" s="218"/>
      <c r="BE32" s="107"/>
    </row>
    <row r="33" spans="1:57" s="52" customFormat="1" ht="20.100000000000001" customHeight="1" thickBot="1">
      <c r="A33" s="644"/>
      <c r="B33" s="646"/>
      <c r="C33" s="246" t="s">
        <v>163</v>
      </c>
      <c r="D33" s="647"/>
      <c r="E33" s="648"/>
      <c r="F33" s="648"/>
      <c r="G33" s="649"/>
      <c r="H33" s="245"/>
      <c r="I33" s="647"/>
      <c r="J33" s="648"/>
      <c r="K33" s="648"/>
      <c r="L33" s="648"/>
      <c r="M33" s="649"/>
      <c r="N33" s="647"/>
      <c r="O33" s="648"/>
      <c r="P33" s="648"/>
      <c r="Q33" s="648"/>
      <c r="R33" s="649"/>
      <c r="S33" s="108"/>
      <c r="T33" s="243"/>
      <c r="U33" s="243"/>
      <c r="V33" s="243"/>
      <c r="W33" s="243"/>
      <c r="X33" s="243"/>
      <c r="Y33" s="243"/>
      <c r="Z33" s="243"/>
      <c r="AA33" s="109"/>
      <c r="AB33" s="243"/>
      <c r="AC33" s="243"/>
      <c r="AD33" s="243"/>
      <c r="AE33" s="243"/>
      <c r="AF33" s="243"/>
      <c r="AG33" s="243"/>
      <c r="AH33" s="243"/>
      <c r="AI33" s="243"/>
      <c r="AJ33" s="243"/>
      <c r="AK33" s="243"/>
      <c r="AL33" s="243"/>
      <c r="AM33" s="243"/>
      <c r="AN33" s="243"/>
      <c r="AO33" s="243"/>
      <c r="AP33" s="243"/>
      <c r="AQ33" s="243"/>
      <c r="AR33" s="243"/>
      <c r="AS33" s="243"/>
      <c r="AT33" s="243"/>
      <c r="AU33" s="243"/>
      <c r="AV33" s="243"/>
      <c r="AW33" s="243"/>
      <c r="AX33" s="243"/>
      <c r="AY33" s="243"/>
      <c r="AZ33" s="243"/>
      <c r="BA33" s="243"/>
      <c r="BB33" s="243"/>
      <c r="BC33" s="243"/>
      <c r="BD33" s="243"/>
      <c r="BE33" s="110"/>
    </row>
    <row r="34" spans="1:57" s="52" customFormat="1" ht="20.100000000000001" customHeight="1">
      <c r="A34" s="619" t="s">
        <v>48</v>
      </c>
      <c r="B34" s="620"/>
      <c r="C34" s="247" t="s">
        <v>99</v>
      </c>
      <c r="D34" s="188"/>
      <c r="E34" s="189"/>
      <c r="F34" s="189"/>
      <c r="G34" s="190"/>
      <c r="H34" s="191"/>
      <c r="I34" s="188"/>
      <c r="J34" s="189"/>
      <c r="K34" s="189"/>
      <c r="L34" s="189"/>
      <c r="M34" s="190"/>
      <c r="N34" s="188"/>
      <c r="O34" s="189"/>
      <c r="P34" s="189"/>
      <c r="Q34" s="189"/>
      <c r="R34" s="190"/>
      <c r="S34" s="192"/>
      <c r="T34" s="189"/>
      <c r="U34" s="189"/>
      <c r="V34" s="189"/>
      <c r="W34" s="189"/>
      <c r="X34" s="189"/>
      <c r="Y34" s="189"/>
      <c r="Z34" s="189"/>
      <c r="AA34" s="193"/>
      <c r="AB34" s="189"/>
      <c r="AC34" s="189"/>
      <c r="AD34" s="189"/>
      <c r="AE34" s="189"/>
      <c r="AF34" s="189"/>
      <c r="AG34" s="189"/>
      <c r="AH34" s="189"/>
      <c r="AI34" s="189"/>
      <c r="AJ34" s="189"/>
      <c r="AK34" s="189"/>
      <c r="AL34" s="189"/>
      <c r="AM34" s="189"/>
      <c r="AN34" s="189"/>
      <c r="AO34" s="189"/>
      <c r="AP34" s="189"/>
      <c r="AQ34" s="189"/>
      <c r="AR34" s="189"/>
      <c r="AS34" s="189"/>
      <c r="AT34" s="189"/>
      <c r="AU34" s="189"/>
      <c r="AV34" s="189"/>
      <c r="AW34" s="189"/>
      <c r="AX34" s="189"/>
      <c r="AY34" s="189"/>
      <c r="AZ34" s="189"/>
      <c r="BA34" s="189"/>
      <c r="BB34" s="189"/>
      <c r="BC34" s="189"/>
      <c r="BD34" s="189"/>
      <c r="BE34" s="194"/>
    </row>
    <row r="35" spans="1:57" s="52" customFormat="1" ht="20.100000000000001" customHeight="1">
      <c r="A35" s="643"/>
      <c r="B35" s="645" t="s">
        <v>46</v>
      </c>
      <c r="C35" s="249" t="s">
        <v>47</v>
      </c>
      <c r="D35" s="235"/>
      <c r="E35" s="218"/>
      <c r="F35" s="218"/>
      <c r="G35" s="234"/>
      <c r="H35" s="150"/>
      <c r="I35" s="235"/>
      <c r="J35" s="218"/>
      <c r="K35" s="218"/>
      <c r="L35" s="218"/>
      <c r="M35" s="234"/>
      <c r="N35" s="235"/>
      <c r="O35" s="218"/>
      <c r="P35" s="218"/>
      <c r="Q35" s="218"/>
      <c r="R35" s="234"/>
      <c r="S35" s="105"/>
      <c r="T35" s="218"/>
      <c r="U35" s="218"/>
      <c r="V35" s="218"/>
      <c r="W35" s="218"/>
      <c r="X35" s="218"/>
      <c r="Y35" s="218"/>
      <c r="Z35" s="218"/>
      <c r="AA35" s="106"/>
      <c r="AB35" s="218"/>
      <c r="AC35" s="218"/>
      <c r="AD35" s="218"/>
      <c r="AE35" s="218"/>
      <c r="AF35" s="218"/>
      <c r="AG35" s="218"/>
      <c r="AH35" s="218"/>
      <c r="AI35" s="218"/>
      <c r="AJ35" s="218"/>
      <c r="AK35" s="218"/>
      <c r="AL35" s="218"/>
      <c r="AM35" s="218"/>
      <c r="AN35" s="218"/>
      <c r="AO35" s="218"/>
      <c r="AP35" s="218"/>
      <c r="AQ35" s="218"/>
      <c r="AR35" s="218"/>
      <c r="AS35" s="218"/>
      <c r="AT35" s="218"/>
      <c r="AU35" s="218"/>
      <c r="AV35" s="218"/>
      <c r="AW35" s="218"/>
      <c r="AX35" s="218"/>
      <c r="AY35" s="218"/>
      <c r="AZ35" s="218"/>
      <c r="BA35" s="218"/>
      <c r="BB35" s="218"/>
      <c r="BC35" s="218"/>
      <c r="BD35" s="218"/>
      <c r="BE35" s="107"/>
    </row>
    <row r="36" spans="1:57" s="52" customFormat="1" ht="20.100000000000001" customHeight="1" thickBot="1">
      <c r="A36" s="644"/>
      <c r="B36" s="646"/>
      <c r="C36" s="246" t="s">
        <v>163</v>
      </c>
      <c r="D36" s="647"/>
      <c r="E36" s="648"/>
      <c r="F36" s="648"/>
      <c r="G36" s="649"/>
      <c r="H36" s="245"/>
      <c r="I36" s="647"/>
      <c r="J36" s="648"/>
      <c r="K36" s="648"/>
      <c r="L36" s="648"/>
      <c r="M36" s="649"/>
      <c r="N36" s="647"/>
      <c r="O36" s="648"/>
      <c r="P36" s="648"/>
      <c r="Q36" s="648"/>
      <c r="R36" s="649"/>
      <c r="S36" s="108"/>
      <c r="T36" s="243"/>
      <c r="U36" s="243"/>
      <c r="V36" s="243"/>
      <c r="W36" s="243"/>
      <c r="X36" s="243"/>
      <c r="Y36" s="243"/>
      <c r="Z36" s="243"/>
      <c r="AA36" s="109"/>
      <c r="AB36" s="243"/>
      <c r="AC36" s="243"/>
      <c r="AD36" s="243"/>
      <c r="AE36" s="243"/>
      <c r="AF36" s="243"/>
      <c r="AG36" s="243"/>
      <c r="AH36" s="243"/>
      <c r="AI36" s="243"/>
      <c r="AJ36" s="243"/>
      <c r="AK36" s="243"/>
      <c r="AL36" s="243"/>
      <c r="AM36" s="243"/>
      <c r="AN36" s="243"/>
      <c r="AO36" s="243"/>
      <c r="AP36" s="243"/>
      <c r="AQ36" s="243"/>
      <c r="AR36" s="243"/>
      <c r="AS36" s="243"/>
      <c r="AT36" s="243"/>
      <c r="AU36" s="243"/>
      <c r="AV36" s="243"/>
      <c r="AW36" s="243"/>
      <c r="AX36" s="243"/>
      <c r="AY36" s="243"/>
      <c r="AZ36" s="243"/>
      <c r="BA36" s="243"/>
      <c r="BB36" s="243"/>
      <c r="BC36" s="243"/>
      <c r="BD36" s="243"/>
      <c r="BE36" s="110"/>
    </row>
    <row r="37" spans="1:57" s="52" customFormat="1" ht="20.100000000000001" customHeight="1" thickBot="1">
      <c r="A37" s="662" t="s">
        <v>164</v>
      </c>
      <c r="B37" s="663"/>
      <c r="C37" s="664"/>
      <c r="D37" s="665" t="str">
        <f>IF(SUM(D30,D33,D36)=0,"",IF(SUM(D68:I68)=0,"",ROUND(SUM(D30,D33,D36)/SUM(D68:I68),3)))</f>
        <v/>
      </c>
      <c r="E37" s="666"/>
      <c r="F37" s="666"/>
      <c r="G37" s="667"/>
      <c r="H37" s="195"/>
      <c r="I37" s="665" t="str">
        <f>IF(SUM(I30,I33,I36)=0,"",IF(SUM(D68:L68)=0,"",ROUND(SUM(I30,I33,I36)/SUM(D68:L68),3)))</f>
        <v/>
      </c>
      <c r="J37" s="666"/>
      <c r="K37" s="666"/>
      <c r="L37" s="666"/>
      <c r="M37" s="667"/>
      <c r="N37" s="665" t="str">
        <f>IF(N30="","",IF(SUM(D68:O68)=0,"",ROUND(SUM(N30,N33,N36)/SUM(D68:O68),3)))</f>
        <v/>
      </c>
      <c r="O37" s="666"/>
      <c r="P37" s="666"/>
      <c r="Q37" s="666"/>
      <c r="R37" s="667"/>
      <c r="S37" s="581" t="s">
        <v>236</v>
      </c>
      <c r="T37" s="582"/>
      <c r="U37" s="582"/>
      <c r="V37" s="582"/>
      <c r="W37" s="659" t="str">
        <f>IF(D68="","",IF(Y68="","",ROUND(D68/Y68,3)))</f>
        <v/>
      </c>
      <c r="X37" s="659"/>
      <c r="Y37" s="660"/>
      <c r="Z37" s="581" t="s">
        <v>4</v>
      </c>
      <c r="AA37" s="582"/>
      <c r="AB37" s="582"/>
      <c r="AC37" s="582"/>
      <c r="AD37" s="661" t="str">
        <f>IF(IFERROR(Q186,"")="","",Q186)</f>
        <v/>
      </c>
      <c r="AE37" s="661"/>
      <c r="AF37" s="661"/>
      <c r="AG37" s="650" t="str">
        <f>IF(IFERROR(R186,"")="","",R186)</f>
        <v/>
      </c>
      <c r="AH37" s="651"/>
      <c r="AI37" s="651"/>
      <c r="AJ37" s="651"/>
      <c r="AK37" s="650" t="str">
        <f>IF(IFERROR(T186,"")="","",T186)</f>
        <v/>
      </c>
      <c r="AL37" s="651"/>
      <c r="AM37" s="651"/>
      <c r="AN37" s="652"/>
      <c r="AO37" s="581" t="s">
        <v>148</v>
      </c>
      <c r="AP37" s="582"/>
      <c r="AQ37" s="582"/>
      <c r="AR37" s="582"/>
      <c r="AS37" s="661" t="str">
        <f>IF(IFERROR(AA186,"")="","",AA186)</f>
        <v/>
      </c>
      <c r="AT37" s="661"/>
      <c r="AU37" s="661"/>
      <c r="AV37" s="650" t="str">
        <f>IF(IFERROR(AB186,"")="","",AB186)</f>
        <v/>
      </c>
      <c r="AW37" s="651"/>
      <c r="AX37" s="651"/>
      <c r="AY37" s="652"/>
      <c r="BD37" s="53"/>
    </row>
    <row r="38" spans="1:57" s="52" customFormat="1" ht="20.100000000000001" customHeight="1" thickBot="1">
      <c r="A38" s="653" t="s">
        <v>246</v>
      </c>
      <c r="B38" s="654"/>
      <c r="C38" s="655"/>
      <c r="D38" s="656" t="str">
        <f>IF(SUM(D71:I71)=0,"",IF(SUM(D68:I68)=0,"",ROUND(SUM(D71:I71)/SUM(D68:I68),3)))</f>
        <v/>
      </c>
      <c r="E38" s="657"/>
      <c r="F38" s="657"/>
      <c r="G38" s="658"/>
      <c r="H38" s="254"/>
      <c r="I38" s="656" t="str">
        <f>IF(SUM(D71:L71)=0,"",IF(SUM(D68:L68)=0,"",ROUND(SUM(D71:L71)/SUM(D68:L68),3)))</f>
        <v/>
      </c>
      <c r="J38" s="657"/>
      <c r="K38" s="657"/>
      <c r="L38" s="657"/>
      <c r="M38" s="658"/>
      <c r="N38" s="656" t="str">
        <f>IF(SUM(D71:O71)=0,"",IF(SUM(D68:O68)=0,"",ROUND(SUM(D71:O71)/SUM(D68:O68),3)))</f>
        <v/>
      </c>
      <c r="O38" s="657"/>
      <c r="P38" s="657"/>
      <c r="Q38" s="657"/>
      <c r="R38" s="658"/>
      <c r="S38" s="581" t="s">
        <v>237</v>
      </c>
      <c r="T38" s="582"/>
      <c r="U38" s="582"/>
      <c r="V38" s="582"/>
      <c r="W38" s="659" t="str">
        <f>IF(Y70="","",Y70/Y68)</f>
        <v/>
      </c>
      <c r="X38" s="659"/>
      <c r="Y38" s="660"/>
      <c r="Z38" s="581" t="s">
        <v>146</v>
      </c>
      <c r="AA38" s="582"/>
      <c r="AB38" s="582"/>
      <c r="AC38" s="582"/>
      <c r="AD38" s="661" t="str">
        <f>IF(IFERROR(Q187,"")="","",Q187)</f>
        <v/>
      </c>
      <c r="AE38" s="661"/>
      <c r="AF38" s="661"/>
      <c r="AG38" s="650" t="str">
        <f>IF(IFERROR(R187,"")="","",R187)</f>
        <v/>
      </c>
      <c r="AH38" s="651"/>
      <c r="AI38" s="651"/>
      <c r="AJ38" s="651"/>
      <c r="AK38" s="650" t="str">
        <f>IF(IFERROR(T187,"")="","",T187)</f>
        <v/>
      </c>
      <c r="AL38" s="651"/>
      <c r="AM38" s="651"/>
      <c r="AN38" s="652"/>
      <c r="AO38" s="581" t="s">
        <v>149</v>
      </c>
      <c r="AP38" s="582"/>
      <c r="AQ38" s="582"/>
      <c r="AR38" s="582"/>
      <c r="AS38" s="661" t="str">
        <f>IF(IFERROR(AA187,"")="","",AA187)</f>
        <v/>
      </c>
      <c r="AT38" s="661"/>
      <c r="AU38" s="661"/>
      <c r="AV38" s="650" t="str">
        <f>IF(IFERROR(AB187,"")="","",AB187)</f>
        <v/>
      </c>
      <c r="AW38" s="651"/>
      <c r="AX38" s="651"/>
      <c r="AY38" s="652"/>
      <c r="BD38" s="53"/>
    </row>
    <row r="39" spans="1:57" s="52" customFormat="1" ht="20.25" customHeight="1" thickBot="1">
      <c r="B39" s="53"/>
      <c r="C39" s="53"/>
      <c r="D39" s="56"/>
      <c r="E39" s="56"/>
      <c r="F39" s="56"/>
      <c r="G39" s="56"/>
      <c r="H39" s="53"/>
      <c r="I39" s="56"/>
      <c r="J39" s="56"/>
      <c r="K39" s="56"/>
      <c r="L39" s="56"/>
      <c r="M39" s="56"/>
      <c r="N39" s="56"/>
      <c r="O39" s="56"/>
      <c r="P39" s="56"/>
      <c r="Q39" s="56"/>
      <c r="R39" s="56"/>
      <c r="S39" s="581" t="s">
        <v>247</v>
      </c>
      <c r="T39" s="582"/>
      <c r="U39" s="582"/>
      <c r="V39" s="582"/>
      <c r="W39" s="659" t="str">
        <f>IF(SUM(D68:O68)=0,"",IF(SUM(D71:O71)+S71=0,"",ROUND((SUM(D71:O71)+S71)/SUM(D68:O68),3)))</f>
        <v/>
      </c>
      <c r="X39" s="659"/>
      <c r="Y39" s="660"/>
      <c r="Z39" s="581" t="s">
        <v>116</v>
      </c>
      <c r="AA39" s="582"/>
      <c r="AB39" s="582"/>
      <c r="AC39" s="582"/>
      <c r="AD39" s="661" t="str">
        <f>IF(IFERROR(Q188,"")="","",Q188)</f>
        <v/>
      </c>
      <c r="AE39" s="661"/>
      <c r="AF39" s="661"/>
      <c r="AG39" s="650" t="str">
        <f>IF(IFERROR(R188,"")="","",R188)</f>
        <v/>
      </c>
      <c r="AH39" s="651"/>
      <c r="AI39" s="651"/>
      <c r="AJ39" s="651"/>
      <c r="AK39" s="650" t="str">
        <f>IF(IFERROR(T188,"")="","",T188)</f>
        <v/>
      </c>
      <c r="AL39" s="651"/>
      <c r="AM39" s="651"/>
      <c r="AN39" s="652"/>
      <c r="AO39" s="668" t="s">
        <v>253</v>
      </c>
      <c r="AP39" s="669"/>
      <c r="AQ39" s="669"/>
      <c r="AR39" s="669"/>
      <c r="BC39" s="53"/>
    </row>
    <row r="40" spans="1:57" s="52" customFormat="1" ht="20.25" customHeight="1" thickBot="1">
      <c r="D40" s="53"/>
      <c r="E40" s="53"/>
      <c r="F40" s="53"/>
      <c r="G40" s="53"/>
      <c r="H40" s="53"/>
      <c r="I40" s="53"/>
      <c r="J40" s="53"/>
      <c r="K40" s="53"/>
      <c r="L40" s="53"/>
      <c r="M40" s="53"/>
      <c r="N40" s="53"/>
      <c r="O40" s="53"/>
      <c r="P40" s="53"/>
      <c r="Q40" s="53"/>
      <c r="R40" s="53"/>
      <c r="T40" s="53"/>
      <c r="U40" s="53"/>
      <c r="V40" s="53"/>
      <c r="W40" s="53"/>
      <c r="X40" s="53"/>
      <c r="Y40" s="53"/>
      <c r="Z40" s="175"/>
      <c r="AB40" s="53"/>
      <c r="AC40" s="53"/>
      <c r="AD40" s="53"/>
      <c r="AE40" s="53"/>
      <c r="AF40" s="53"/>
      <c r="BC40" s="53"/>
    </row>
    <row r="41" spans="1:57" ht="20.25" customHeight="1" thickBot="1">
      <c r="A41" s="838" t="s">
        <v>66</v>
      </c>
      <c r="B41" s="839"/>
      <c r="C41" s="840"/>
      <c r="AH41" s="53"/>
      <c r="AK41" s="183"/>
      <c r="AL41" s="183"/>
      <c r="AM41" s="183"/>
      <c r="AN41" s="183"/>
      <c r="AO41" s="183"/>
      <c r="AP41" s="313"/>
      <c r="AQ41" s="86"/>
      <c r="AR41" s="86"/>
      <c r="AS41" s="86"/>
      <c r="AT41" s="86"/>
      <c r="AU41" s="86"/>
      <c r="AV41" s="86"/>
      <c r="AW41" s="86"/>
      <c r="AX41" s="86"/>
      <c r="AY41" s="86"/>
      <c r="AZ41" s="86"/>
      <c r="BA41" s="86"/>
      <c r="BB41" s="86"/>
      <c r="BC41" s="183"/>
      <c r="BD41" s="183"/>
    </row>
    <row r="42" spans="1:57" ht="20.25" customHeight="1">
      <c r="A42" s="844"/>
      <c r="B42" s="845"/>
      <c r="C42" s="845"/>
      <c r="D42" s="845"/>
      <c r="E42" s="845"/>
      <c r="F42" s="845"/>
      <c r="G42" s="845"/>
      <c r="H42" s="845"/>
      <c r="I42" s="845"/>
      <c r="J42" s="845"/>
      <c r="K42" s="845"/>
      <c r="L42" s="845"/>
      <c r="M42" s="845"/>
      <c r="N42" s="845"/>
      <c r="O42" s="845"/>
      <c r="P42" s="845"/>
      <c r="Q42" s="845"/>
      <c r="R42" s="845"/>
      <c r="S42" s="845"/>
      <c r="T42" s="845"/>
      <c r="U42" s="845"/>
      <c r="V42" s="845"/>
      <c r="W42" s="845"/>
      <c r="X42" s="845"/>
      <c r="Y42" s="845"/>
      <c r="Z42" s="845"/>
      <c r="AA42" s="845"/>
      <c r="AB42" s="845"/>
      <c r="AC42" s="845"/>
      <c r="AD42" s="845"/>
      <c r="AE42" s="845"/>
      <c r="AF42" s="845"/>
      <c r="AG42" s="845"/>
      <c r="AH42" s="845"/>
      <c r="AI42" s="845"/>
      <c r="AJ42" s="845"/>
      <c r="AK42" s="845"/>
      <c r="AL42" s="845"/>
      <c r="AM42" s="845"/>
      <c r="AN42" s="845"/>
      <c r="AO42" s="845"/>
      <c r="AP42" s="845"/>
      <c r="AQ42" s="845"/>
      <c r="AR42" s="845"/>
      <c r="AS42" s="845"/>
      <c r="AT42" s="845"/>
      <c r="AU42" s="845"/>
      <c r="AV42" s="845"/>
      <c r="AW42" s="845"/>
      <c r="AX42" s="845"/>
      <c r="AY42" s="845"/>
      <c r="AZ42" s="845"/>
      <c r="BA42" s="845"/>
      <c r="BB42" s="845"/>
      <c r="BC42" s="845"/>
      <c r="BD42" s="845"/>
      <c r="BE42" s="846"/>
    </row>
    <row r="43" spans="1:57" ht="20.25" customHeight="1">
      <c r="A43" s="847"/>
      <c r="B43" s="848"/>
      <c r="C43" s="848"/>
      <c r="D43" s="848"/>
      <c r="E43" s="848"/>
      <c r="F43" s="848"/>
      <c r="G43" s="848"/>
      <c r="H43" s="848"/>
      <c r="I43" s="848"/>
      <c r="J43" s="848"/>
      <c r="K43" s="848"/>
      <c r="L43" s="848"/>
      <c r="M43" s="848"/>
      <c r="N43" s="848"/>
      <c r="O43" s="848"/>
      <c r="P43" s="848"/>
      <c r="Q43" s="848"/>
      <c r="R43" s="848"/>
      <c r="S43" s="848"/>
      <c r="T43" s="848"/>
      <c r="U43" s="848"/>
      <c r="V43" s="848"/>
      <c r="W43" s="848"/>
      <c r="X43" s="848"/>
      <c r="Y43" s="848"/>
      <c r="Z43" s="848"/>
      <c r="AA43" s="848"/>
      <c r="AB43" s="848"/>
      <c r="AC43" s="848"/>
      <c r="AD43" s="848"/>
      <c r="AE43" s="848"/>
      <c r="AF43" s="848"/>
      <c r="AG43" s="848"/>
      <c r="AH43" s="848"/>
      <c r="AI43" s="848"/>
      <c r="AJ43" s="848"/>
      <c r="AK43" s="848"/>
      <c r="AL43" s="848"/>
      <c r="AM43" s="848"/>
      <c r="AN43" s="848"/>
      <c r="AO43" s="848"/>
      <c r="AP43" s="848"/>
      <c r="AQ43" s="848"/>
      <c r="AR43" s="848"/>
      <c r="AS43" s="848"/>
      <c r="AT43" s="848"/>
      <c r="AU43" s="848"/>
      <c r="AV43" s="848"/>
      <c r="AW43" s="848"/>
      <c r="AX43" s="848"/>
      <c r="AY43" s="848"/>
      <c r="AZ43" s="848"/>
      <c r="BA43" s="848"/>
      <c r="BB43" s="848"/>
      <c r="BC43" s="848"/>
      <c r="BD43" s="848"/>
      <c r="BE43" s="849"/>
    </row>
    <row r="44" spans="1:57" ht="20.25" customHeight="1">
      <c r="A44" s="847"/>
      <c r="B44" s="848"/>
      <c r="C44" s="848"/>
      <c r="D44" s="848"/>
      <c r="E44" s="848"/>
      <c r="F44" s="848"/>
      <c r="G44" s="848"/>
      <c r="H44" s="848"/>
      <c r="I44" s="848"/>
      <c r="J44" s="848"/>
      <c r="K44" s="848"/>
      <c r="L44" s="848"/>
      <c r="M44" s="848"/>
      <c r="N44" s="848"/>
      <c r="O44" s="848"/>
      <c r="P44" s="848"/>
      <c r="Q44" s="848"/>
      <c r="R44" s="848"/>
      <c r="S44" s="848"/>
      <c r="T44" s="848"/>
      <c r="U44" s="848"/>
      <c r="V44" s="848"/>
      <c r="W44" s="848"/>
      <c r="X44" s="848"/>
      <c r="Y44" s="848"/>
      <c r="Z44" s="848"/>
      <c r="AA44" s="848"/>
      <c r="AB44" s="848"/>
      <c r="AC44" s="848"/>
      <c r="AD44" s="848"/>
      <c r="AE44" s="848"/>
      <c r="AF44" s="848"/>
      <c r="AG44" s="848"/>
      <c r="AH44" s="848"/>
      <c r="AI44" s="848"/>
      <c r="AJ44" s="848"/>
      <c r="AK44" s="848"/>
      <c r="AL44" s="848"/>
      <c r="AM44" s="848"/>
      <c r="AN44" s="848"/>
      <c r="AO44" s="848"/>
      <c r="AP44" s="848"/>
      <c r="AQ44" s="848"/>
      <c r="AR44" s="848"/>
      <c r="AS44" s="848"/>
      <c r="AT44" s="848"/>
      <c r="AU44" s="848"/>
      <c r="AV44" s="848"/>
      <c r="AW44" s="848"/>
      <c r="AX44" s="848"/>
      <c r="AY44" s="848"/>
      <c r="AZ44" s="848"/>
      <c r="BA44" s="848"/>
      <c r="BB44" s="848"/>
      <c r="BC44" s="848"/>
      <c r="BD44" s="848"/>
      <c r="BE44" s="849"/>
    </row>
    <row r="45" spans="1:57" ht="20.25" customHeight="1">
      <c r="A45" s="847"/>
      <c r="B45" s="848"/>
      <c r="C45" s="848"/>
      <c r="D45" s="848"/>
      <c r="E45" s="848"/>
      <c r="F45" s="848"/>
      <c r="G45" s="848"/>
      <c r="H45" s="848"/>
      <c r="I45" s="848"/>
      <c r="J45" s="848"/>
      <c r="K45" s="848"/>
      <c r="L45" s="848"/>
      <c r="M45" s="848"/>
      <c r="N45" s="848"/>
      <c r="O45" s="848"/>
      <c r="P45" s="848"/>
      <c r="Q45" s="848"/>
      <c r="R45" s="848"/>
      <c r="S45" s="848"/>
      <c r="T45" s="848"/>
      <c r="U45" s="848"/>
      <c r="V45" s="848"/>
      <c r="W45" s="848"/>
      <c r="X45" s="848"/>
      <c r="Y45" s="848"/>
      <c r="Z45" s="848"/>
      <c r="AA45" s="848"/>
      <c r="AB45" s="848"/>
      <c r="AC45" s="848"/>
      <c r="AD45" s="848"/>
      <c r="AE45" s="848"/>
      <c r="AF45" s="848"/>
      <c r="AG45" s="848"/>
      <c r="AH45" s="848"/>
      <c r="AI45" s="848"/>
      <c r="AJ45" s="848"/>
      <c r="AK45" s="848"/>
      <c r="AL45" s="848"/>
      <c r="AM45" s="848"/>
      <c r="AN45" s="848"/>
      <c r="AO45" s="848"/>
      <c r="AP45" s="848"/>
      <c r="AQ45" s="848"/>
      <c r="AR45" s="848"/>
      <c r="AS45" s="848"/>
      <c r="AT45" s="848"/>
      <c r="AU45" s="848"/>
      <c r="AV45" s="848"/>
      <c r="AW45" s="848"/>
      <c r="AX45" s="848"/>
      <c r="AY45" s="848"/>
      <c r="AZ45" s="848"/>
      <c r="BA45" s="848"/>
      <c r="BB45" s="848"/>
      <c r="BC45" s="848"/>
      <c r="BD45" s="848"/>
      <c r="BE45" s="849"/>
    </row>
    <row r="46" spans="1:57" ht="20.25" customHeight="1">
      <c r="A46" s="847"/>
      <c r="B46" s="848"/>
      <c r="C46" s="848"/>
      <c r="D46" s="848"/>
      <c r="E46" s="848"/>
      <c r="F46" s="848"/>
      <c r="G46" s="848"/>
      <c r="H46" s="848"/>
      <c r="I46" s="848"/>
      <c r="J46" s="848"/>
      <c r="K46" s="848"/>
      <c r="L46" s="848"/>
      <c r="M46" s="848"/>
      <c r="N46" s="848"/>
      <c r="O46" s="848"/>
      <c r="P46" s="848"/>
      <c r="Q46" s="848"/>
      <c r="R46" s="848"/>
      <c r="S46" s="848"/>
      <c r="T46" s="848"/>
      <c r="U46" s="848"/>
      <c r="V46" s="848"/>
      <c r="W46" s="848"/>
      <c r="X46" s="848"/>
      <c r="Y46" s="848"/>
      <c r="Z46" s="848"/>
      <c r="AA46" s="848"/>
      <c r="AB46" s="848"/>
      <c r="AC46" s="848"/>
      <c r="AD46" s="848"/>
      <c r="AE46" s="848"/>
      <c r="AF46" s="848"/>
      <c r="AG46" s="848"/>
      <c r="AH46" s="848"/>
      <c r="AI46" s="848"/>
      <c r="AJ46" s="848"/>
      <c r="AK46" s="848"/>
      <c r="AL46" s="848"/>
      <c r="AM46" s="848"/>
      <c r="AN46" s="848"/>
      <c r="AO46" s="848"/>
      <c r="AP46" s="848"/>
      <c r="AQ46" s="848"/>
      <c r="AR46" s="848"/>
      <c r="AS46" s="848"/>
      <c r="AT46" s="848"/>
      <c r="AU46" s="848"/>
      <c r="AV46" s="848"/>
      <c r="AW46" s="848"/>
      <c r="AX46" s="848"/>
      <c r="AY46" s="848"/>
      <c r="AZ46" s="848"/>
      <c r="BA46" s="848"/>
      <c r="BB46" s="848"/>
      <c r="BC46" s="848"/>
      <c r="BD46" s="848"/>
      <c r="BE46" s="849"/>
    </row>
    <row r="47" spans="1:57" ht="20.25" customHeight="1">
      <c r="A47" s="847"/>
      <c r="B47" s="848"/>
      <c r="C47" s="848"/>
      <c r="D47" s="848"/>
      <c r="E47" s="848"/>
      <c r="F47" s="848"/>
      <c r="G47" s="848"/>
      <c r="H47" s="848"/>
      <c r="I47" s="848"/>
      <c r="J47" s="848"/>
      <c r="K47" s="848"/>
      <c r="L47" s="848"/>
      <c r="M47" s="848"/>
      <c r="N47" s="848"/>
      <c r="O47" s="848"/>
      <c r="P47" s="848"/>
      <c r="Q47" s="848"/>
      <c r="R47" s="848"/>
      <c r="S47" s="848"/>
      <c r="T47" s="848"/>
      <c r="U47" s="848"/>
      <c r="V47" s="848"/>
      <c r="W47" s="848"/>
      <c r="X47" s="848"/>
      <c r="Y47" s="848"/>
      <c r="Z47" s="848"/>
      <c r="AA47" s="848"/>
      <c r="AB47" s="848"/>
      <c r="AC47" s="848"/>
      <c r="AD47" s="848"/>
      <c r="AE47" s="848"/>
      <c r="AF47" s="848"/>
      <c r="AG47" s="848"/>
      <c r="AH47" s="848"/>
      <c r="AI47" s="848"/>
      <c r="AJ47" s="848"/>
      <c r="AK47" s="848"/>
      <c r="AL47" s="848"/>
      <c r="AM47" s="848"/>
      <c r="AN47" s="848"/>
      <c r="AO47" s="848"/>
      <c r="AP47" s="848"/>
      <c r="AQ47" s="848"/>
      <c r="AR47" s="848"/>
      <c r="AS47" s="848"/>
      <c r="AT47" s="848"/>
      <c r="AU47" s="848"/>
      <c r="AV47" s="848"/>
      <c r="AW47" s="848"/>
      <c r="AX47" s="848"/>
      <c r="AY47" s="848"/>
      <c r="AZ47" s="848"/>
      <c r="BA47" s="848"/>
      <c r="BB47" s="848"/>
      <c r="BC47" s="848"/>
      <c r="BD47" s="848"/>
      <c r="BE47" s="849"/>
    </row>
    <row r="48" spans="1:57" ht="20.25" customHeight="1">
      <c r="A48" s="847"/>
      <c r="B48" s="848"/>
      <c r="C48" s="848"/>
      <c r="D48" s="848"/>
      <c r="E48" s="848"/>
      <c r="F48" s="848"/>
      <c r="G48" s="848"/>
      <c r="H48" s="848"/>
      <c r="I48" s="848"/>
      <c r="J48" s="848"/>
      <c r="K48" s="848"/>
      <c r="L48" s="848"/>
      <c r="M48" s="848"/>
      <c r="N48" s="848"/>
      <c r="O48" s="848"/>
      <c r="P48" s="848"/>
      <c r="Q48" s="848"/>
      <c r="R48" s="848"/>
      <c r="S48" s="848"/>
      <c r="T48" s="848"/>
      <c r="U48" s="848"/>
      <c r="V48" s="848"/>
      <c r="W48" s="848"/>
      <c r="X48" s="848"/>
      <c r="Y48" s="848"/>
      <c r="Z48" s="848"/>
      <c r="AA48" s="848"/>
      <c r="AB48" s="848"/>
      <c r="AC48" s="848"/>
      <c r="AD48" s="848"/>
      <c r="AE48" s="848"/>
      <c r="AF48" s="848"/>
      <c r="AG48" s="848"/>
      <c r="AH48" s="848"/>
      <c r="AI48" s="848"/>
      <c r="AJ48" s="848"/>
      <c r="AK48" s="848"/>
      <c r="AL48" s="848"/>
      <c r="AM48" s="848"/>
      <c r="AN48" s="848"/>
      <c r="AO48" s="848"/>
      <c r="AP48" s="848"/>
      <c r="AQ48" s="848"/>
      <c r="AR48" s="848"/>
      <c r="AS48" s="848"/>
      <c r="AT48" s="848"/>
      <c r="AU48" s="848"/>
      <c r="AV48" s="848"/>
      <c r="AW48" s="848"/>
      <c r="AX48" s="848"/>
      <c r="AY48" s="848"/>
      <c r="AZ48" s="848"/>
      <c r="BA48" s="848"/>
      <c r="BB48" s="848"/>
      <c r="BC48" s="848"/>
      <c r="BD48" s="848"/>
      <c r="BE48" s="849"/>
    </row>
    <row r="49" spans="1:60" ht="20.25" customHeight="1">
      <c r="A49" s="847"/>
      <c r="B49" s="848"/>
      <c r="C49" s="848"/>
      <c r="D49" s="848"/>
      <c r="E49" s="848"/>
      <c r="F49" s="848"/>
      <c r="G49" s="848"/>
      <c r="H49" s="848"/>
      <c r="I49" s="848"/>
      <c r="J49" s="848"/>
      <c r="K49" s="848"/>
      <c r="L49" s="848"/>
      <c r="M49" s="848"/>
      <c r="N49" s="848"/>
      <c r="O49" s="848"/>
      <c r="P49" s="848"/>
      <c r="Q49" s="848"/>
      <c r="R49" s="848"/>
      <c r="S49" s="848"/>
      <c r="T49" s="848"/>
      <c r="U49" s="848"/>
      <c r="V49" s="848"/>
      <c r="W49" s="848"/>
      <c r="X49" s="848"/>
      <c r="Y49" s="848"/>
      <c r="Z49" s="848"/>
      <c r="AA49" s="848"/>
      <c r="AB49" s="848"/>
      <c r="AC49" s="848"/>
      <c r="AD49" s="848"/>
      <c r="AE49" s="848"/>
      <c r="AF49" s="848"/>
      <c r="AG49" s="848"/>
      <c r="AH49" s="848"/>
      <c r="AI49" s="848"/>
      <c r="AJ49" s="848"/>
      <c r="AK49" s="848"/>
      <c r="AL49" s="848"/>
      <c r="AM49" s="848"/>
      <c r="AN49" s="848"/>
      <c r="AO49" s="848"/>
      <c r="AP49" s="848"/>
      <c r="AQ49" s="848"/>
      <c r="AR49" s="848"/>
      <c r="AS49" s="848"/>
      <c r="AT49" s="848"/>
      <c r="AU49" s="848"/>
      <c r="AV49" s="848"/>
      <c r="AW49" s="848"/>
      <c r="AX49" s="848"/>
      <c r="AY49" s="848"/>
      <c r="AZ49" s="848"/>
      <c r="BA49" s="848"/>
      <c r="BB49" s="848"/>
      <c r="BC49" s="848"/>
      <c r="BD49" s="848"/>
      <c r="BE49" s="849"/>
    </row>
    <row r="50" spans="1:60" ht="20.25" customHeight="1">
      <c r="A50" s="847"/>
      <c r="B50" s="848"/>
      <c r="C50" s="848"/>
      <c r="D50" s="848"/>
      <c r="E50" s="848"/>
      <c r="F50" s="848"/>
      <c r="G50" s="848"/>
      <c r="H50" s="848"/>
      <c r="I50" s="848"/>
      <c r="J50" s="848"/>
      <c r="K50" s="848"/>
      <c r="L50" s="848"/>
      <c r="M50" s="848"/>
      <c r="N50" s="848"/>
      <c r="O50" s="848"/>
      <c r="P50" s="848"/>
      <c r="Q50" s="848"/>
      <c r="R50" s="848"/>
      <c r="S50" s="848"/>
      <c r="T50" s="848"/>
      <c r="U50" s="848"/>
      <c r="V50" s="848"/>
      <c r="W50" s="848"/>
      <c r="X50" s="848"/>
      <c r="Y50" s="848"/>
      <c r="Z50" s="848"/>
      <c r="AA50" s="848"/>
      <c r="AB50" s="848"/>
      <c r="AC50" s="848"/>
      <c r="AD50" s="848"/>
      <c r="AE50" s="848"/>
      <c r="AF50" s="848"/>
      <c r="AG50" s="848"/>
      <c r="AH50" s="848"/>
      <c r="AI50" s="848"/>
      <c r="AJ50" s="848"/>
      <c r="AK50" s="848"/>
      <c r="AL50" s="848"/>
      <c r="AM50" s="848"/>
      <c r="AN50" s="848"/>
      <c r="AO50" s="848"/>
      <c r="AP50" s="848"/>
      <c r="AQ50" s="848"/>
      <c r="AR50" s="848"/>
      <c r="AS50" s="848"/>
      <c r="AT50" s="848"/>
      <c r="AU50" s="848"/>
      <c r="AV50" s="848"/>
      <c r="AW50" s="848"/>
      <c r="AX50" s="848"/>
      <c r="AY50" s="848"/>
      <c r="AZ50" s="848"/>
      <c r="BA50" s="848"/>
      <c r="BB50" s="848"/>
      <c r="BC50" s="848"/>
      <c r="BD50" s="848"/>
      <c r="BE50" s="849"/>
    </row>
    <row r="51" spans="1:60" ht="20.25" customHeight="1">
      <c r="A51" s="847"/>
      <c r="B51" s="848"/>
      <c r="C51" s="848"/>
      <c r="D51" s="848"/>
      <c r="E51" s="848"/>
      <c r="F51" s="848"/>
      <c r="G51" s="848"/>
      <c r="H51" s="848"/>
      <c r="I51" s="848"/>
      <c r="J51" s="848"/>
      <c r="K51" s="848"/>
      <c r="L51" s="848"/>
      <c r="M51" s="848"/>
      <c r="N51" s="848"/>
      <c r="O51" s="848"/>
      <c r="P51" s="848"/>
      <c r="Q51" s="848"/>
      <c r="R51" s="848"/>
      <c r="S51" s="848"/>
      <c r="T51" s="848"/>
      <c r="U51" s="848"/>
      <c r="V51" s="848"/>
      <c r="W51" s="848"/>
      <c r="X51" s="848"/>
      <c r="Y51" s="848"/>
      <c r="Z51" s="848"/>
      <c r="AA51" s="848"/>
      <c r="AB51" s="848"/>
      <c r="AC51" s="848"/>
      <c r="AD51" s="848"/>
      <c r="AE51" s="848"/>
      <c r="AF51" s="848"/>
      <c r="AG51" s="848"/>
      <c r="AH51" s="848"/>
      <c r="AI51" s="848"/>
      <c r="AJ51" s="848"/>
      <c r="AK51" s="848"/>
      <c r="AL51" s="848"/>
      <c r="AM51" s="848"/>
      <c r="AN51" s="848"/>
      <c r="AO51" s="848"/>
      <c r="AP51" s="848"/>
      <c r="AQ51" s="848"/>
      <c r="AR51" s="848"/>
      <c r="AS51" s="848"/>
      <c r="AT51" s="848"/>
      <c r="AU51" s="848"/>
      <c r="AV51" s="848"/>
      <c r="AW51" s="848"/>
      <c r="AX51" s="848"/>
      <c r="AY51" s="848"/>
      <c r="AZ51" s="848"/>
      <c r="BA51" s="848"/>
      <c r="BB51" s="848"/>
      <c r="BC51" s="848"/>
      <c r="BD51" s="848"/>
      <c r="BE51" s="849"/>
    </row>
    <row r="52" spans="1:60" ht="20.25" customHeight="1">
      <c r="A52" s="847"/>
      <c r="B52" s="848"/>
      <c r="C52" s="848"/>
      <c r="D52" s="848"/>
      <c r="E52" s="848"/>
      <c r="F52" s="848"/>
      <c r="G52" s="848"/>
      <c r="H52" s="848"/>
      <c r="I52" s="848"/>
      <c r="J52" s="848"/>
      <c r="K52" s="848"/>
      <c r="L52" s="848"/>
      <c r="M52" s="848"/>
      <c r="N52" s="848"/>
      <c r="O52" s="848"/>
      <c r="P52" s="848"/>
      <c r="Q52" s="848"/>
      <c r="R52" s="848"/>
      <c r="S52" s="848"/>
      <c r="T52" s="848"/>
      <c r="U52" s="848"/>
      <c r="V52" s="848"/>
      <c r="W52" s="848"/>
      <c r="X52" s="848"/>
      <c r="Y52" s="848"/>
      <c r="Z52" s="848"/>
      <c r="AA52" s="848"/>
      <c r="AB52" s="848"/>
      <c r="AC52" s="848"/>
      <c r="AD52" s="848"/>
      <c r="AE52" s="848"/>
      <c r="AF52" s="848"/>
      <c r="AG52" s="848"/>
      <c r="AH52" s="848"/>
      <c r="AI52" s="848"/>
      <c r="AJ52" s="848"/>
      <c r="AK52" s="848"/>
      <c r="AL52" s="848"/>
      <c r="AM52" s="848"/>
      <c r="AN52" s="848"/>
      <c r="AO52" s="848"/>
      <c r="AP52" s="848"/>
      <c r="AQ52" s="848"/>
      <c r="AR52" s="848"/>
      <c r="AS52" s="848"/>
      <c r="AT52" s="848"/>
      <c r="AU52" s="848"/>
      <c r="AV52" s="848"/>
      <c r="AW52" s="848"/>
      <c r="AX52" s="848"/>
      <c r="AY52" s="848"/>
      <c r="AZ52" s="848"/>
      <c r="BA52" s="848"/>
      <c r="BB52" s="848"/>
      <c r="BC52" s="848"/>
      <c r="BD52" s="848"/>
      <c r="BE52" s="849"/>
    </row>
    <row r="53" spans="1:60" ht="20.25" customHeight="1">
      <c r="A53" s="847"/>
      <c r="B53" s="848"/>
      <c r="C53" s="848"/>
      <c r="D53" s="848"/>
      <c r="E53" s="848"/>
      <c r="F53" s="848"/>
      <c r="G53" s="848"/>
      <c r="H53" s="848"/>
      <c r="I53" s="848"/>
      <c r="J53" s="848"/>
      <c r="K53" s="848"/>
      <c r="L53" s="848"/>
      <c r="M53" s="848"/>
      <c r="N53" s="848"/>
      <c r="O53" s="848"/>
      <c r="P53" s="848"/>
      <c r="Q53" s="848"/>
      <c r="R53" s="848"/>
      <c r="S53" s="848"/>
      <c r="T53" s="848"/>
      <c r="U53" s="848"/>
      <c r="V53" s="848"/>
      <c r="W53" s="848"/>
      <c r="X53" s="848"/>
      <c r="Y53" s="848"/>
      <c r="Z53" s="848"/>
      <c r="AA53" s="848"/>
      <c r="AB53" s="848"/>
      <c r="AC53" s="848"/>
      <c r="AD53" s="848"/>
      <c r="AE53" s="848"/>
      <c r="AF53" s="848"/>
      <c r="AG53" s="848"/>
      <c r="AH53" s="848"/>
      <c r="AI53" s="848"/>
      <c r="AJ53" s="848"/>
      <c r="AK53" s="848"/>
      <c r="AL53" s="848"/>
      <c r="AM53" s="848"/>
      <c r="AN53" s="848"/>
      <c r="AO53" s="848"/>
      <c r="AP53" s="848"/>
      <c r="AQ53" s="848"/>
      <c r="AR53" s="848"/>
      <c r="AS53" s="848"/>
      <c r="AT53" s="848"/>
      <c r="AU53" s="848"/>
      <c r="AV53" s="848"/>
      <c r="AW53" s="848"/>
      <c r="AX53" s="848"/>
      <c r="AY53" s="848"/>
      <c r="AZ53" s="848"/>
      <c r="BA53" s="848"/>
      <c r="BB53" s="848"/>
      <c r="BC53" s="848"/>
      <c r="BD53" s="848"/>
      <c r="BE53" s="849"/>
    </row>
    <row r="54" spans="1:60" ht="20.25" customHeight="1">
      <c r="A54" s="847"/>
      <c r="B54" s="848"/>
      <c r="C54" s="848"/>
      <c r="D54" s="848"/>
      <c r="E54" s="848"/>
      <c r="F54" s="848"/>
      <c r="G54" s="848"/>
      <c r="H54" s="848"/>
      <c r="I54" s="848"/>
      <c r="J54" s="848"/>
      <c r="K54" s="848"/>
      <c r="L54" s="848"/>
      <c r="M54" s="848"/>
      <c r="N54" s="848"/>
      <c r="O54" s="848"/>
      <c r="P54" s="848"/>
      <c r="Q54" s="848"/>
      <c r="R54" s="848"/>
      <c r="S54" s="848"/>
      <c r="T54" s="848"/>
      <c r="U54" s="848"/>
      <c r="V54" s="848"/>
      <c r="W54" s="848"/>
      <c r="X54" s="848"/>
      <c r="Y54" s="848"/>
      <c r="Z54" s="848"/>
      <c r="AA54" s="848"/>
      <c r="AB54" s="848"/>
      <c r="AC54" s="848"/>
      <c r="AD54" s="848"/>
      <c r="AE54" s="848"/>
      <c r="AF54" s="848"/>
      <c r="AG54" s="848"/>
      <c r="AH54" s="848"/>
      <c r="AI54" s="848"/>
      <c r="AJ54" s="848"/>
      <c r="AK54" s="848"/>
      <c r="AL54" s="848"/>
      <c r="AM54" s="848"/>
      <c r="AN54" s="848"/>
      <c r="AO54" s="848"/>
      <c r="AP54" s="848"/>
      <c r="AQ54" s="848"/>
      <c r="AR54" s="848"/>
      <c r="AS54" s="848"/>
      <c r="AT54" s="848"/>
      <c r="AU54" s="848"/>
      <c r="AV54" s="848"/>
      <c r="AW54" s="848"/>
      <c r="AX54" s="848"/>
      <c r="AY54" s="848"/>
      <c r="AZ54" s="848"/>
      <c r="BA54" s="848"/>
      <c r="BB54" s="848"/>
      <c r="BC54" s="848"/>
      <c r="BD54" s="848"/>
      <c r="BE54" s="849"/>
    </row>
    <row r="55" spans="1:60" ht="20.25" customHeight="1">
      <c r="A55" s="847"/>
      <c r="B55" s="848"/>
      <c r="C55" s="848"/>
      <c r="D55" s="848"/>
      <c r="E55" s="848"/>
      <c r="F55" s="848"/>
      <c r="G55" s="848"/>
      <c r="H55" s="848"/>
      <c r="I55" s="848"/>
      <c r="J55" s="848"/>
      <c r="K55" s="848"/>
      <c r="L55" s="848"/>
      <c r="M55" s="848"/>
      <c r="N55" s="848"/>
      <c r="O55" s="848"/>
      <c r="P55" s="848"/>
      <c r="Q55" s="848"/>
      <c r="R55" s="848"/>
      <c r="S55" s="848"/>
      <c r="T55" s="848"/>
      <c r="U55" s="848"/>
      <c r="V55" s="848"/>
      <c r="W55" s="848"/>
      <c r="X55" s="848"/>
      <c r="Y55" s="848"/>
      <c r="Z55" s="848"/>
      <c r="AA55" s="848"/>
      <c r="AB55" s="848"/>
      <c r="AC55" s="848"/>
      <c r="AD55" s="848"/>
      <c r="AE55" s="848"/>
      <c r="AF55" s="848"/>
      <c r="AG55" s="848"/>
      <c r="AH55" s="848"/>
      <c r="AI55" s="848"/>
      <c r="AJ55" s="848"/>
      <c r="AK55" s="848"/>
      <c r="AL55" s="848"/>
      <c r="AM55" s="848"/>
      <c r="AN55" s="848"/>
      <c r="AO55" s="848"/>
      <c r="AP55" s="848"/>
      <c r="AQ55" s="848"/>
      <c r="AR55" s="848"/>
      <c r="AS55" s="848"/>
      <c r="AT55" s="848"/>
      <c r="AU55" s="848"/>
      <c r="AV55" s="848"/>
      <c r="AW55" s="848"/>
      <c r="AX55" s="848"/>
      <c r="AY55" s="848"/>
      <c r="AZ55" s="848"/>
      <c r="BA55" s="848"/>
      <c r="BB55" s="848"/>
      <c r="BC55" s="848"/>
      <c r="BD55" s="848"/>
      <c r="BE55" s="849"/>
    </row>
    <row r="56" spans="1:60" ht="20.25" customHeight="1">
      <c r="A56" s="847"/>
      <c r="B56" s="848"/>
      <c r="C56" s="848"/>
      <c r="D56" s="848"/>
      <c r="E56" s="848"/>
      <c r="F56" s="848"/>
      <c r="G56" s="848"/>
      <c r="H56" s="848"/>
      <c r="I56" s="848"/>
      <c r="J56" s="848"/>
      <c r="K56" s="848"/>
      <c r="L56" s="848"/>
      <c r="M56" s="848"/>
      <c r="N56" s="848"/>
      <c r="O56" s="848"/>
      <c r="P56" s="848"/>
      <c r="Q56" s="848"/>
      <c r="R56" s="848"/>
      <c r="S56" s="848"/>
      <c r="T56" s="848"/>
      <c r="U56" s="848"/>
      <c r="V56" s="848"/>
      <c r="W56" s="848"/>
      <c r="X56" s="848"/>
      <c r="Y56" s="848"/>
      <c r="Z56" s="848"/>
      <c r="AA56" s="848"/>
      <c r="AB56" s="848"/>
      <c r="AC56" s="848"/>
      <c r="AD56" s="848"/>
      <c r="AE56" s="848"/>
      <c r="AF56" s="848"/>
      <c r="AG56" s="848"/>
      <c r="AH56" s="848"/>
      <c r="AI56" s="848"/>
      <c r="AJ56" s="848"/>
      <c r="AK56" s="848"/>
      <c r="AL56" s="848"/>
      <c r="AM56" s="848"/>
      <c r="AN56" s="848"/>
      <c r="AO56" s="848"/>
      <c r="AP56" s="848"/>
      <c r="AQ56" s="848"/>
      <c r="AR56" s="848"/>
      <c r="AS56" s="848"/>
      <c r="AT56" s="848"/>
      <c r="AU56" s="848"/>
      <c r="AV56" s="848"/>
      <c r="AW56" s="848"/>
      <c r="AX56" s="848"/>
      <c r="AY56" s="848"/>
      <c r="AZ56" s="848"/>
      <c r="BA56" s="848"/>
      <c r="BB56" s="848"/>
      <c r="BC56" s="848"/>
      <c r="BD56" s="848"/>
      <c r="BE56" s="849"/>
    </row>
    <row r="57" spans="1:60" ht="20.25" customHeight="1">
      <c r="A57" s="847"/>
      <c r="B57" s="848"/>
      <c r="C57" s="848"/>
      <c r="D57" s="848"/>
      <c r="E57" s="848"/>
      <c r="F57" s="848"/>
      <c r="G57" s="848"/>
      <c r="H57" s="848"/>
      <c r="I57" s="848"/>
      <c r="J57" s="848"/>
      <c r="K57" s="848"/>
      <c r="L57" s="848"/>
      <c r="M57" s="848"/>
      <c r="N57" s="848"/>
      <c r="O57" s="848"/>
      <c r="P57" s="848"/>
      <c r="Q57" s="848"/>
      <c r="R57" s="848"/>
      <c r="S57" s="848"/>
      <c r="T57" s="848"/>
      <c r="U57" s="848"/>
      <c r="V57" s="848"/>
      <c r="W57" s="848"/>
      <c r="X57" s="848"/>
      <c r="Y57" s="848"/>
      <c r="Z57" s="848"/>
      <c r="AA57" s="848"/>
      <c r="AB57" s="848"/>
      <c r="AC57" s="848"/>
      <c r="AD57" s="848"/>
      <c r="AE57" s="848"/>
      <c r="AF57" s="848"/>
      <c r="AG57" s="848"/>
      <c r="AH57" s="848"/>
      <c r="AI57" s="848"/>
      <c r="AJ57" s="848"/>
      <c r="AK57" s="848"/>
      <c r="AL57" s="848"/>
      <c r="AM57" s="848"/>
      <c r="AN57" s="848"/>
      <c r="AO57" s="848"/>
      <c r="AP57" s="848"/>
      <c r="AQ57" s="848"/>
      <c r="AR57" s="848"/>
      <c r="AS57" s="848"/>
      <c r="AT57" s="848"/>
      <c r="AU57" s="848"/>
      <c r="AV57" s="848"/>
      <c r="AW57" s="848"/>
      <c r="AX57" s="848"/>
      <c r="AY57" s="848"/>
      <c r="AZ57" s="848"/>
      <c r="BA57" s="848"/>
      <c r="BB57" s="848"/>
      <c r="BC57" s="848"/>
      <c r="BD57" s="848"/>
      <c r="BE57" s="849"/>
    </row>
    <row r="58" spans="1:60" ht="20.25" customHeight="1">
      <c r="A58" s="847"/>
      <c r="B58" s="848"/>
      <c r="C58" s="848"/>
      <c r="D58" s="848"/>
      <c r="E58" s="848"/>
      <c r="F58" s="848"/>
      <c r="G58" s="848"/>
      <c r="H58" s="848"/>
      <c r="I58" s="848"/>
      <c r="J58" s="848"/>
      <c r="K58" s="848"/>
      <c r="L58" s="848"/>
      <c r="M58" s="848"/>
      <c r="N58" s="848"/>
      <c r="O58" s="848"/>
      <c r="P58" s="848"/>
      <c r="Q58" s="848"/>
      <c r="R58" s="848"/>
      <c r="S58" s="848"/>
      <c r="T58" s="848"/>
      <c r="U58" s="848"/>
      <c r="V58" s="848"/>
      <c r="W58" s="848"/>
      <c r="X58" s="848"/>
      <c r="Y58" s="848"/>
      <c r="Z58" s="848"/>
      <c r="AA58" s="848"/>
      <c r="AB58" s="848"/>
      <c r="AC58" s="848"/>
      <c r="AD58" s="848"/>
      <c r="AE58" s="848"/>
      <c r="AF58" s="848"/>
      <c r="AG58" s="848"/>
      <c r="AH58" s="848"/>
      <c r="AI58" s="848"/>
      <c r="AJ58" s="848"/>
      <c r="AK58" s="848"/>
      <c r="AL58" s="848"/>
      <c r="AM58" s="848"/>
      <c r="AN58" s="848"/>
      <c r="AO58" s="848"/>
      <c r="AP58" s="848"/>
      <c r="AQ58" s="848"/>
      <c r="AR58" s="848"/>
      <c r="AS58" s="848"/>
      <c r="AT58" s="848"/>
      <c r="AU58" s="848"/>
      <c r="AV58" s="848"/>
      <c r="AW58" s="848"/>
      <c r="AX58" s="848"/>
      <c r="AY58" s="848"/>
      <c r="AZ58" s="848"/>
      <c r="BA58" s="848"/>
      <c r="BB58" s="848"/>
      <c r="BC58" s="848"/>
      <c r="BD58" s="848"/>
      <c r="BE58" s="849"/>
    </row>
    <row r="59" spans="1:60" ht="20.25" customHeight="1">
      <c r="A59" s="847"/>
      <c r="B59" s="848"/>
      <c r="C59" s="848"/>
      <c r="D59" s="848"/>
      <c r="E59" s="848"/>
      <c r="F59" s="848"/>
      <c r="G59" s="848"/>
      <c r="H59" s="848"/>
      <c r="I59" s="848"/>
      <c r="J59" s="848"/>
      <c r="K59" s="848"/>
      <c r="L59" s="848"/>
      <c r="M59" s="848"/>
      <c r="N59" s="848"/>
      <c r="O59" s="848"/>
      <c r="P59" s="848"/>
      <c r="Q59" s="848"/>
      <c r="R59" s="848"/>
      <c r="S59" s="848"/>
      <c r="T59" s="848"/>
      <c r="U59" s="848"/>
      <c r="V59" s="848"/>
      <c r="W59" s="848"/>
      <c r="X59" s="848"/>
      <c r="Y59" s="848"/>
      <c r="Z59" s="848"/>
      <c r="AA59" s="848"/>
      <c r="AB59" s="848"/>
      <c r="AC59" s="848"/>
      <c r="AD59" s="848"/>
      <c r="AE59" s="848"/>
      <c r="AF59" s="848"/>
      <c r="AG59" s="848"/>
      <c r="AH59" s="848"/>
      <c r="AI59" s="848"/>
      <c r="AJ59" s="848"/>
      <c r="AK59" s="848"/>
      <c r="AL59" s="848"/>
      <c r="AM59" s="848"/>
      <c r="AN59" s="848"/>
      <c r="AO59" s="848"/>
      <c r="AP59" s="848"/>
      <c r="AQ59" s="848"/>
      <c r="AR59" s="848"/>
      <c r="AS59" s="848"/>
      <c r="AT59" s="848"/>
      <c r="AU59" s="848"/>
      <c r="AV59" s="848"/>
      <c r="AW59" s="848"/>
      <c r="AX59" s="848"/>
      <c r="AY59" s="848"/>
      <c r="AZ59" s="848"/>
      <c r="BA59" s="848"/>
      <c r="BB59" s="848"/>
      <c r="BC59" s="848"/>
      <c r="BD59" s="848"/>
      <c r="BE59" s="849"/>
    </row>
    <row r="60" spans="1:60" ht="20.25" customHeight="1">
      <c r="A60" s="847"/>
      <c r="B60" s="848"/>
      <c r="C60" s="848"/>
      <c r="D60" s="848"/>
      <c r="E60" s="848"/>
      <c r="F60" s="848"/>
      <c r="G60" s="848"/>
      <c r="H60" s="848"/>
      <c r="I60" s="848"/>
      <c r="J60" s="848"/>
      <c r="K60" s="848"/>
      <c r="L60" s="848"/>
      <c r="M60" s="848"/>
      <c r="N60" s="848"/>
      <c r="O60" s="848"/>
      <c r="P60" s="848"/>
      <c r="Q60" s="848"/>
      <c r="R60" s="848"/>
      <c r="S60" s="848"/>
      <c r="T60" s="848"/>
      <c r="U60" s="848"/>
      <c r="V60" s="848"/>
      <c r="W60" s="848"/>
      <c r="X60" s="848"/>
      <c r="Y60" s="848"/>
      <c r="Z60" s="848"/>
      <c r="AA60" s="848"/>
      <c r="AB60" s="848"/>
      <c r="AC60" s="848"/>
      <c r="AD60" s="848"/>
      <c r="AE60" s="848"/>
      <c r="AF60" s="848"/>
      <c r="AG60" s="848"/>
      <c r="AH60" s="848"/>
      <c r="AI60" s="848"/>
      <c r="AJ60" s="848"/>
      <c r="AK60" s="848"/>
      <c r="AL60" s="848"/>
      <c r="AM60" s="848"/>
      <c r="AN60" s="848"/>
      <c r="AO60" s="848"/>
      <c r="AP60" s="848"/>
      <c r="AQ60" s="848"/>
      <c r="AR60" s="848"/>
      <c r="AS60" s="848"/>
      <c r="AT60" s="848"/>
      <c r="AU60" s="848"/>
      <c r="AV60" s="848"/>
      <c r="AW60" s="848"/>
      <c r="AX60" s="848"/>
      <c r="AY60" s="848"/>
      <c r="AZ60" s="848"/>
      <c r="BA60" s="848"/>
      <c r="BB60" s="848"/>
      <c r="BC60" s="848"/>
      <c r="BD60" s="848"/>
      <c r="BE60" s="849"/>
    </row>
    <row r="61" spans="1:60" ht="20.25" customHeight="1" thickBot="1">
      <c r="A61" s="850"/>
      <c r="B61" s="851"/>
      <c r="C61" s="851"/>
      <c r="D61" s="851"/>
      <c r="E61" s="851"/>
      <c r="F61" s="851"/>
      <c r="G61" s="851"/>
      <c r="H61" s="851"/>
      <c r="I61" s="851"/>
      <c r="J61" s="851"/>
      <c r="K61" s="851"/>
      <c r="L61" s="851"/>
      <c r="M61" s="851"/>
      <c r="N61" s="851"/>
      <c r="O61" s="851"/>
      <c r="P61" s="851"/>
      <c r="Q61" s="851"/>
      <c r="R61" s="851"/>
      <c r="S61" s="851"/>
      <c r="T61" s="851"/>
      <c r="U61" s="851"/>
      <c r="V61" s="851"/>
      <c r="W61" s="851"/>
      <c r="X61" s="851"/>
      <c r="Y61" s="851"/>
      <c r="Z61" s="851"/>
      <c r="AA61" s="851"/>
      <c r="AB61" s="851"/>
      <c r="AC61" s="851"/>
      <c r="AD61" s="851"/>
      <c r="AE61" s="851"/>
      <c r="AF61" s="851"/>
      <c r="AG61" s="851"/>
      <c r="AH61" s="851"/>
      <c r="AI61" s="851"/>
      <c r="AJ61" s="851"/>
      <c r="AK61" s="851"/>
      <c r="AL61" s="851"/>
      <c r="AM61" s="851"/>
      <c r="AN61" s="851"/>
      <c r="AO61" s="851"/>
      <c r="AP61" s="851"/>
      <c r="AQ61" s="851"/>
      <c r="AR61" s="851"/>
      <c r="AS61" s="851"/>
      <c r="AT61" s="851"/>
      <c r="AU61" s="851"/>
      <c r="AV61" s="851"/>
      <c r="AW61" s="851"/>
      <c r="AX61" s="851"/>
      <c r="AY61" s="851"/>
      <c r="AZ61" s="851"/>
      <c r="BA61" s="851"/>
      <c r="BB61" s="851"/>
      <c r="BC61" s="851"/>
      <c r="BD61" s="851"/>
      <c r="BE61" s="852"/>
    </row>
    <row r="62" spans="1:60" s="52" customFormat="1" ht="20.25" customHeight="1">
      <c r="D62" s="53"/>
      <c r="E62" s="53"/>
      <c r="F62" s="53"/>
      <c r="G62" s="53"/>
      <c r="H62" s="53"/>
      <c r="I62" s="53"/>
      <c r="J62" s="53"/>
      <c r="K62" s="53"/>
      <c r="L62" s="53"/>
      <c r="M62" s="53"/>
      <c r="N62" s="53"/>
      <c r="O62" s="53"/>
      <c r="P62" s="53"/>
      <c r="Q62" s="53"/>
      <c r="R62" s="53"/>
      <c r="T62" s="53"/>
      <c r="U62" s="53"/>
      <c r="V62" s="53"/>
      <c r="W62" s="53"/>
      <c r="X62" s="53"/>
      <c r="Y62" s="53"/>
      <c r="Z62" s="175"/>
      <c r="AB62" s="53"/>
      <c r="AC62" s="53"/>
      <c r="AD62" s="53"/>
      <c r="AE62" s="53"/>
      <c r="AF62" s="53"/>
      <c r="BC62" s="53"/>
    </row>
    <row r="63" spans="1:60" ht="12" customHeight="1" thickBot="1">
      <c r="AN63" s="85"/>
      <c r="AO63" s="85"/>
      <c r="AP63" s="85"/>
      <c r="AQ63" s="85"/>
      <c r="AR63" s="85"/>
      <c r="AS63" s="85"/>
      <c r="AT63" s="85"/>
      <c r="AU63" s="85"/>
      <c r="AV63" s="85"/>
      <c r="AW63" s="85"/>
      <c r="AX63" s="85"/>
      <c r="AY63" s="85"/>
      <c r="AZ63" s="85"/>
      <c r="BA63" s="85"/>
      <c r="BB63" s="85"/>
      <c r="BC63" s="85"/>
      <c r="BD63" s="85"/>
      <c r="BE63" s="85"/>
      <c r="BF63" s="86"/>
      <c r="BH63" s="86"/>
    </row>
    <row r="64" spans="1:60" ht="27.75" customHeight="1" thickBot="1">
      <c r="A64" s="571" t="s">
        <v>13</v>
      </c>
      <c r="B64" s="572"/>
      <c r="C64" s="572"/>
      <c r="D64" s="573" t="str">
        <f ca="1">D2</f>
        <v>〇号</v>
      </c>
      <c r="E64" s="574"/>
      <c r="F64" s="574"/>
      <c r="G64" s="574"/>
      <c r="H64" s="575"/>
      <c r="AN64" s="61"/>
      <c r="AO64" s="61"/>
      <c r="AP64" s="61"/>
      <c r="AQ64" s="61"/>
      <c r="AR64" s="61"/>
      <c r="AS64" s="61"/>
      <c r="AT64" s="61"/>
      <c r="AU64" s="61"/>
      <c r="AV64" s="61"/>
      <c r="AW64" s="61"/>
      <c r="AX64" s="61"/>
      <c r="AY64" s="61"/>
      <c r="AZ64" s="61"/>
      <c r="BA64" s="61"/>
      <c r="BB64" s="61"/>
      <c r="BC64" s="61"/>
      <c r="BD64" s="61"/>
      <c r="BE64" s="61"/>
    </row>
    <row r="65" spans="1:105" ht="20.25" customHeight="1">
      <c r="A65" s="60" t="s">
        <v>276</v>
      </c>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row>
    <row r="66" spans="1:105" ht="12" customHeight="1" thickBot="1">
      <c r="A66" s="314"/>
      <c r="B66" s="315"/>
      <c r="C66" s="315"/>
      <c r="D66" s="315"/>
      <c r="E66" s="315"/>
      <c r="F66" s="315"/>
      <c r="G66" s="315"/>
      <c r="H66" s="315"/>
      <c r="I66" s="315"/>
      <c r="J66" s="315"/>
      <c r="K66" s="315"/>
      <c r="L66" s="315"/>
      <c r="M66" s="315"/>
      <c r="N66" s="315"/>
      <c r="O66" s="315"/>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row>
    <row r="67" spans="1:105" s="52" customFormat="1" ht="20.25" customHeight="1" thickBot="1">
      <c r="A67" s="588" t="s">
        <v>63</v>
      </c>
      <c r="B67" s="589"/>
      <c r="C67" s="589"/>
      <c r="D67" s="589" t="s">
        <v>49</v>
      </c>
      <c r="E67" s="589"/>
      <c r="F67" s="589"/>
      <c r="G67" s="589" t="s">
        <v>14</v>
      </c>
      <c r="H67" s="589"/>
      <c r="I67" s="589"/>
      <c r="J67" s="589" t="s">
        <v>16</v>
      </c>
      <c r="K67" s="589"/>
      <c r="L67" s="589"/>
      <c r="M67" s="589" t="s">
        <v>50</v>
      </c>
      <c r="N67" s="589"/>
      <c r="O67" s="589"/>
      <c r="P67" s="663" t="s">
        <v>51</v>
      </c>
      <c r="Q67" s="663"/>
      <c r="R67" s="663"/>
      <c r="S67" s="670" t="s">
        <v>54</v>
      </c>
      <c r="T67" s="670"/>
      <c r="U67" s="670"/>
      <c r="V67" s="670" t="s">
        <v>55</v>
      </c>
      <c r="W67" s="670"/>
      <c r="X67" s="670"/>
      <c r="Y67" s="670" t="s">
        <v>53</v>
      </c>
      <c r="Z67" s="670"/>
      <c r="AA67" s="681"/>
      <c r="AB67" s="222"/>
      <c r="AC67" s="682" t="s">
        <v>59</v>
      </c>
      <c r="AD67" s="682"/>
      <c r="AE67" s="682"/>
      <c r="AF67" s="682"/>
      <c r="AG67" s="683"/>
      <c r="AH67" s="684" t="s">
        <v>169</v>
      </c>
      <c r="AI67" s="685"/>
      <c r="AJ67" s="685"/>
      <c r="AK67" s="685"/>
      <c r="AM67" s="688" t="s">
        <v>49</v>
      </c>
      <c r="AN67" s="518" t="s">
        <v>67</v>
      </c>
      <c r="AO67" s="519"/>
      <c r="AP67" s="676"/>
      <c r="AQ67" s="671"/>
      <c r="AR67" s="671"/>
      <c r="AS67" s="672"/>
      <c r="AV67" s="673" t="s">
        <v>23</v>
      </c>
      <c r="AW67" s="518" t="s">
        <v>112</v>
      </c>
      <c r="AX67" s="519"/>
      <c r="AY67" s="676"/>
      <c r="AZ67" s="677"/>
      <c r="BA67" s="678"/>
      <c r="BB67" s="679"/>
    </row>
    <row r="68" spans="1:105" s="52" customFormat="1" ht="20.25" customHeight="1">
      <c r="A68" s="569" t="s">
        <v>166</v>
      </c>
      <c r="B68" s="570"/>
      <c r="C68" s="570"/>
      <c r="D68" s="680" t="str">
        <f>IF(D69+D70=0,"",D69+D70)</f>
        <v/>
      </c>
      <c r="E68" s="680"/>
      <c r="F68" s="680"/>
      <c r="G68" s="680" t="str">
        <f>IF(G69+G70=0,"",G69+G70)</f>
        <v/>
      </c>
      <c r="H68" s="680"/>
      <c r="I68" s="680"/>
      <c r="J68" s="680" t="str">
        <f>IF(J69+J70=0,"",J69+J70)</f>
        <v/>
      </c>
      <c r="K68" s="680"/>
      <c r="L68" s="680"/>
      <c r="M68" s="680" t="str">
        <f>IF(M69+M70=0,"",M69+M70)</f>
        <v/>
      </c>
      <c r="N68" s="680"/>
      <c r="O68" s="680"/>
      <c r="P68" s="680" t="str">
        <f>IF(P69+P70=0,"",P69+P70)</f>
        <v/>
      </c>
      <c r="Q68" s="680"/>
      <c r="R68" s="680"/>
      <c r="S68" s="692"/>
      <c r="T68" s="692"/>
      <c r="U68" s="692"/>
      <c r="V68" s="692"/>
      <c r="W68" s="692"/>
      <c r="X68" s="692"/>
      <c r="Y68" s="693" t="str">
        <f>IF(SUM(D68:X68)=0,"",SUM(D68:X68))</f>
        <v/>
      </c>
      <c r="Z68" s="693"/>
      <c r="AA68" s="694"/>
      <c r="AB68" s="222"/>
      <c r="AC68" s="706" t="s">
        <v>56</v>
      </c>
      <c r="AD68" s="707"/>
      <c r="AE68" s="708"/>
      <c r="AF68" s="709"/>
      <c r="AG68" s="710"/>
      <c r="AH68" s="686"/>
      <c r="AI68" s="687"/>
      <c r="AJ68" s="687"/>
      <c r="AK68" s="687"/>
      <c r="AM68" s="689"/>
      <c r="AN68" s="513" t="s">
        <v>68</v>
      </c>
      <c r="AO68" s="523"/>
      <c r="AP68" s="711"/>
      <c r="AQ68" s="479"/>
      <c r="AR68" s="479"/>
      <c r="AS68" s="481"/>
      <c r="AV68" s="674"/>
      <c r="AW68" s="700" t="s">
        <v>90</v>
      </c>
      <c r="AX68" s="701"/>
      <c r="AY68" s="702"/>
      <c r="AZ68" s="703"/>
      <c r="BA68" s="704"/>
      <c r="BB68" s="705"/>
    </row>
    <row r="69" spans="1:105" s="52" customFormat="1" ht="20.25" customHeight="1" thickBot="1">
      <c r="A69" s="569" t="s">
        <v>95</v>
      </c>
      <c r="B69" s="570"/>
      <c r="C69" s="570"/>
      <c r="D69" s="699"/>
      <c r="E69" s="699"/>
      <c r="F69" s="699"/>
      <c r="G69" s="699"/>
      <c r="H69" s="699"/>
      <c r="I69" s="699"/>
      <c r="J69" s="699"/>
      <c r="K69" s="699"/>
      <c r="L69" s="699"/>
      <c r="M69" s="699"/>
      <c r="N69" s="699"/>
      <c r="O69" s="699"/>
      <c r="P69" s="699"/>
      <c r="Q69" s="699"/>
      <c r="R69" s="699"/>
      <c r="S69" s="692"/>
      <c r="T69" s="692"/>
      <c r="U69" s="692"/>
      <c r="V69" s="692"/>
      <c r="W69" s="692"/>
      <c r="X69" s="692"/>
      <c r="Y69" s="693" t="str">
        <f>IF(SUM(D69:X69)=0,"",SUM(D69:X69))</f>
        <v/>
      </c>
      <c r="Z69" s="693"/>
      <c r="AA69" s="694"/>
      <c r="AB69" s="222"/>
      <c r="AC69" s="695" t="s">
        <v>57</v>
      </c>
      <c r="AD69" s="569"/>
      <c r="AE69" s="696"/>
      <c r="AF69" s="697"/>
      <c r="AG69" s="698"/>
      <c r="AH69" s="638"/>
      <c r="AI69" s="717"/>
      <c r="AJ69" s="717"/>
      <c r="AK69" s="717"/>
      <c r="AM69" s="689"/>
      <c r="AN69" s="513" t="s">
        <v>69</v>
      </c>
      <c r="AO69" s="523"/>
      <c r="AP69" s="711"/>
      <c r="AQ69" s="479"/>
      <c r="AR69" s="479"/>
      <c r="AS69" s="481"/>
      <c r="AV69" s="674"/>
      <c r="AW69" s="700" t="s">
        <v>271</v>
      </c>
      <c r="AX69" s="701"/>
      <c r="AY69" s="702"/>
      <c r="AZ69" s="703"/>
      <c r="BA69" s="704"/>
      <c r="BB69" s="705"/>
    </row>
    <row r="70" spans="1:105" s="52" customFormat="1" ht="20.25" customHeight="1" thickBot="1">
      <c r="A70" s="569" t="s">
        <v>52</v>
      </c>
      <c r="B70" s="570"/>
      <c r="C70" s="570"/>
      <c r="D70" s="699"/>
      <c r="E70" s="699"/>
      <c r="F70" s="699"/>
      <c r="G70" s="699"/>
      <c r="H70" s="699"/>
      <c r="I70" s="699"/>
      <c r="J70" s="699"/>
      <c r="K70" s="699"/>
      <c r="L70" s="699"/>
      <c r="M70" s="699"/>
      <c r="N70" s="699"/>
      <c r="O70" s="699"/>
      <c r="P70" s="699"/>
      <c r="Q70" s="699"/>
      <c r="R70" s="699"/>
      <c r="S70" s="692"/>
      <c r="T70" s="692"/>
      <c r="U70" s="692"/>
      <c r="V70" s="692"/>
      <c r="W70" s="692"/>
      <c r="X70" s="692"/>
      <c r="Y70" s="693" t="str">
        <f>IF(SUM(D70:X70)=0,"",SUM(D70:X70))</f>
        <v/>
      </c>
      <c r="Z70" s="693"/>
      <c r="AA70" s="694"/>
      <c r="AB70" s="54"/>
      <c r="AC70" s="712" t="s">
        <v>58</v>
      </c>
      <c r="AD70" s="713"/>
      <c r="AE70" s="714"/>
      <c r="AF70" s="715"/>
      <c r="AG70" s="716"/>
      <c r="AH70" s="718"/>
      <c r="AI70" s="719"/>
      <c r="AJ70" s="719"/>
      <c r="AK70" s="719"/>
      <c r="AM70" s="689"/>
      <c r="AN70" s="513" t="s">
        <v>70</v>
      </c>
      <c r="AO70" s="523"/>
      <c r="AP70" s="711"/>
      <c r="AQ70" s="479"/>
      <c r="AR70" s="479"/>
      <c r="AS70" s="481"/>
      <c r="AV70" s="674"/>
      <c r="AW70" s="700" t="s">
        <v>89</v>
      </c>
      <c r="AX70" s="701"/>
      <c r="AY70" s="702"/>
      <c r="AZ70" s="703"/>
      <c r="BA70" s="704"/>
      <c r="BB70" s="705"/>
    </row>
    <row r="71" spans="1:105" s="52" customFormat="1" ht="20.25" customHeight="1" thickBot="1">
      <c r="A71" s="569" t="s">
        <v>165</v>
      </c>
      <c r="B71" s="570"/>
      <c r="C71" s="570"/>
      <c r="D71" s="699"/>
      <c r="E71" s="699"/>
      <c r="F71" s="699"/>
      <c r="G71" s="699"/>
      <c r="H71" s="699"/>
      <c r="I71" s="699"/>
      <c r="J71" s="699"/>
      <c r="K71" s="699"/>
      <c r="L71" s="699"/>
      <c r="M71" s="699"/>
      <c r="N71" s="699"/>
      <c r="O71" s="699"/>
      <c r="P71" s="699"/>
      <c r="Q71" s="699"/>
      <c r="R71" s="699"/>
      <c r="S71" s="693">
        <f>IF(SUM(D7:BE7)=0,0,SUM(D7:BE7))</f>
        <v>0</v>
      </c>
      <c r="T71" s="693"/>
      <c r="U71" s="693"/>
      <c r="V71" s="692"/>
      <c r="W71" s="692"/>
      <c r="X71" s="692"/>
      <c r="Y71" s="693" t="str">
        <f>IF(SUM(D71:X71)=0,"",SUM(D71:X71))</f>
        <v/>
      </c>
      <c r="Z71" s="693"/>
      <c r="AA71" s="694"/>
      <c r="AB71" s="223"/>
      <c r="AC71" s="730" t="s">
        <v>82</v>
      </c>
      <c r="AD71" s="730"/>
      <c r="AE71" s="730"/>
      <c r="AF71" s="730"/>
      <c r="AG71" s="731"/>
      <c r="AH71" s="718"/>
      <c r="AI71" s="719"/>
      <c r="AJ71" s="719"/>
      <c r="AK71" s="719"/>
      <c r="AM71" s="689"/>
      <c r="AN71" s="513" t="s">
        <v>163</v>
      </c>
      <c r="AO71" s="523"/>
      <c r="AP71" s="711"/>
      <c r="AQ71" s="479"/>
      <c r="AR71" s="479"/>
      <c r="AS71" s="481"/>
      <c r="AV71" s="674"/>
      <c r="AW71" s="720" t="s">
        <v>91</v>
      </c>
      <c r="AX71" s="721"/>
      <c r="AY71" s="722"/>
      <c r="AZ71" s="703"/>
      <c r="BA71" s="704"/>
      <c r="BB71" s="705"/>
    </row>
    <row r="72" spans="1:105" s="52" customFormat="1" ht="20.25" customHeight="1" thickBot="1">
      <c r="A72" s="594" t="s">
        <v>237</v>
      </c>
      <c r="B72" s="521"/>
      <c r="C72" s="723"/>
      <c r="D72" s="724" t="str">
        <f>IF(D70=0,"",D70/D68)</f>
        <v/>
      </c>
      <c r="E72" s="725"/>
      <c r="F72" s="726"/>
      <c r="G72" s="724" t="str">
        <f>IF(G70=0,"",G70/G68)</f>
        <v/>
      </c>
      <c r="H72" s="725"/>
      <c r="I72" s="726"/>
      <c r="J72" s="724" t="str">
        <f>IF(J70=0,"",J70/J68)</f>
        <v/>
      </c>
      <c r="K72" s="725"/>
      <c r="L72" s="726"/>
      <c r="M72" s="724" t="str">
        <f>IF(M70=0,"",M70/M68)</f>
        <v/>
      </c>
      <c r="N72" s="725"/>
      <c r="O72" s="726"/>
      <c r="P72" s="724" t="str">
        <f>IF(P70=0,"",P70/P68)</f>
        <v/>
      </c>
      <c r="Q72" s="725"/>
      <c r="R72" s="726"/>
      <c r="S72" s="727"/>
      <c r="T72" s="728"/>
      <c r="U72" s="729"/>
      <c r="V72" s="727"/>
      <c r="W72" s="728"/>
      <c r="X72" s="729"/>
      <c r="Y72" s="724" t="str">
        <f>IF(Y70="","",Y70/Y68)</f>
        <v/>
      </c>
      <c r="Z72" s="725"/>
      <c r="AA72" s="732"/>
      <c r="AB72" s="223"/>
      <c r="AC72" s="733"/>
      <c r="AD72" s="733"/>
      <c r="AE72" s="733"/>
      <c r="AF72" s="733"/>
      <c r="AG72" s="734"/>
      <c r="AH72" s="718"/>
      <c r="AI72" s="719"/>
      <c r="AJ72" s="719"/>
      <c r="AK72" s="719"/>
      <c r="AM72" s="690"/>
      <c r="AN72" s="737" t="s">
        <v>61</v>
      </c>
      <c r="AO72" s="738"/>
      <c r="AP72" s="739"/>
      <c r="AQ72" s="756"/>
      <c r="AR72" s="757"/>
      <c r="AS72" s="758"/>
      <c r="AV72" s="675"/>
      <c r="AW72" s="516" t="s">
        <v>168</v>
      </c>
      <c r="AX72" s="765"/>
      <c r="AY72" s="766"/>
      <c r="AZ72" s="767" t="str">
        <f>IF(AZ68="","",IF(AZ69="","",ROUND(AZ68/AZ69,2)))</f>
        <v/>
      </c>
      <c r="BA72" s="768"/>
      <c r="BB72" s="769"/>
    </row>
    <row r="73" spans="1:105" s="52" customFormat="1" ht="20.25" customHeight="1" thickBot="1">
      <c r="A73" s="594" t="s">
        <v>246</v>
      </c>
      <c r="B73" s="521"/>
      <c r="C73" s="723"/>
      <c r="D73" s="724" t="str">
        <f>IF(D68="","",IF(D71=0,"",D71/D68))</f>
        <v/>
      </c>
      <c r="E73" s="725"/>
      <c r="F73" s="726"/>
      <c r="G73" s="724" t="str">
        <f>IF(G68="","",IF(G71=0,"",G71/G68))</f>
        <v/>
      </c>
      <c r="H73" s="725"/>
      <c r="I73" s="726"/>
      <c r="J73" s="724" t="str">
        <f>IF(J68="","",IF(J71=0,"",J71/J68))</f>
        <v/>
      </c>
      <c r="K73" s="725"/>
      <c r="L73" s="726"/>
      <c r="M73" s="724" t="str">
        <f>IF(M68="","",IF(M71=0,"",M71/M68))</f>
        <v/>
      </c>
      <c r="N73" s="725"/>
      <c r="O73" s="726"/>
      <c r="P73" s="724" t="str">
        <f>IF(P68="","",IF(P71=0,"",P71/P68))</f>
        <v/>
      </c>
      <c r="Q73" s="725"/>
      <c r="R73" s="726"/>
      <c r="S73" s="727"/>
      <c r="T73" s="728"/>
      <c r="U73" s="729"/>
      <c r="V73" s="727"/>
      <c r="W73" s="728"/>
      <c r="X73" s="729"/>
      <c r="Y73" s="724" t="str">
        <f>IF(Y68="","",IF(Y71="","",Y71/Y68))</f>
        <v/>
      </c>
      <c r="Z73" s="725"/>
      <c r="AA73" s="732"/>
      <c r="AB73" s="221"/>
      <c r="AC73" s="735"/>
      <c r="AD73" s="735"/>
      <c r="AE73" s="735"/>
      <c r="AF73" s="735"/>
      <c r="AG73" s="736"/>
      <c r="AH73" s="718"/>
      <c r="AI73" s="719"/>
      <c r="AJ73" s="719"/>
      <c r="AK73" s="719"/>
      <c r="AM73" s="690"/>
      <c r="AN73" s="740"/>
      <c r="AO73" s="741"/>
      <c r="AP73" s="742"/>
      <c r="AQ73" s="759"/>
      <c r="AR73" s="760"/>
      <c r="AS73" s="761"/>
    </row>
    <row r="74" spans="1:105" s="52" customFormat="1" ht="20.25" customHeight="1" thickBot="1">
      <c r="A74" s="569" t="s">
        <v>248</v>
      </c>
      <c r="B74" s="570"/>
      <c r="C74" s="570"/>
      <c r="D74" s="727"/>
      <c r="E74" s="728"/>
      <c r="F74" s="729"/>
      <c r="G74" s="727"/>
      <c r="H74" s="728"/>
      <c r="I74" s="729"/>
      <c r="J74" s="727"/>
      <c r="K74" s="728"/>
      <c r="L74" s="729"/>
      <c r="M74" s="727"/>
      <c r="N74" s="728"/>
      <c r="O74" s="729"/>
      <c r="P74" s="727"/>
      <c r="Q74" s="728"/>
      <c r="R74" s="729"/>
      <c r="S74" s="692"/>
      <c r="T74" s="692"/>
      <c r="U74" s="692"/>
      <c r="V74" s="693">
        <f>IF(AB91="",0,IF(AB92="",0,ROUND(AB91*AB92/30,1)))</f>
        <v>0</v>
      </c>
      <c r="W74" s="693"/>
      <c r="X74" s="693"/>
      <c r="Y74" s="693">
        <f>V74</f>
        <v>0</v>
      </c>
      <c r="Z74" s="693"/>
      <c r="AA74" s="694"/>
      <c r="AB74" s="221"/>
      <c r="AC74" s="735"/>
      <c r="AD74" s="735"/>
      <c r="AE74" s="735"/>
      <c r="AF74" s="735"/>
      <c r="AG74" s="736"/>
      <c r="AH74" s="718"/>
      <c r="AI74" s="719"/>
      <c r="AJ74" s="719"/>
      <c r="AK74" s="719"/>
      <c r="AM74" s="691"/>
      <c r="AN74" s="743"/>
      <c r="AO74" s="744"/>
      <c r="AP74" s="745"/>
      <c r="AQ74" s="762"/>
      <c r="AR74" s="763"/>
      <c r="AS74" s="764"/>
      <c r="AV74" s="750" t="s">
        <v>249</v>
      </c>
      <c r="AW74" s="663" t="s">
        <v>73</v>
      </c>
      <c r="AX74" s="663"/>
      <c r="AY74" s="663"/>
      <c r="AZ74" s="663" t="s">
        <v>250</v>
      </c>
      <c r="BA74" s="663"/>
      <c r="BB74" s="663"/>
      <c r="BC74" s="663" t="s">
        <v>251</v>
      </c>
      <c r="BD74" s="663"/>
      <c r="BE74" s="664"/>
    </row>
    <row r="75" spans="1:105" s="52" customFormat="1" ht="20.25" customHeight="1" thickBot="1">
      <c r="A75" s="569" t="s">
        <v>239</v>
      </c>
      <c r="B75" s="570"/>
      <c r="C75" s="570"/>
      <c r="D75" s="775" t="str">
        <f>IF(D68="","",D68/$D$68)</f>
        <v/>
      </c>
      <c r="E75" s="776"/>
      <c r="F75" s="777"/>
      <c r="G75" s="775" t="str">
        <f>IF($D$68="","",IF(G68="","",G68/$D$68))</f>
        <v/>
      </c>
      <c r="H75" s="776"/>
      <c r="I75" s="777"/>
      <c r="J75" s="775" t="str">
        <f>IF($D$68="","",IF(J68="","",J68/$D$68))</f>
        <v/>
      </c>
      <c r="K75" s="776"/>
      <c r="L75" s="777"/>
      <c r="M75" s="775" t="str">
        <f>IF($D$68="","",IF(M68="","",M68/$D$68))</f>
        <v/>
      </c>
      <c r="N75" s="776"/>
      <c r="O75" s="777"/>
      <c r="P75" s="775" t="str">
        <f>IF($D$68="","",IF(P68="","",P68/$D$68))</f>
        <v/>
      </c>
      <c r="Q75" s="776"/>
      <c r="R75" s="777"/>
      <c r="S75" s="692"/>
      <c r="T75" s="692"/>
      <c r="U75" s="692"/>
      <c r="V75" s="692"/>
      <c r="W75" s="692"/>
      <c r="X75" s="692"/>
      <c r="Y75" s="692"/>
      <c r="Z75" s="692"/>
      <c r="AA75" s="753"/>
      <c r="AB75" s="221"/>
      <c r="AC75" s="735"/>
      <c r="AD75" s="735"/>
      <c r="AE75" s="735"/>
      <c r="AF75" s="735"/>
      <c r="AG75" s="736"/>
      <c r="AH75" s="718"/>
      <c r="AI75" s="719"/>
      <c r="AJ75" s="719"/>
      <c r="AK75" s="719"/>
      <c r="AV75" s="751"/>
      <c r="AW75" s="754"/>
      <c r="AX75" s="754"/>
      <c r="AY75" s="754"/>
      <c r="AZ75" s="755"/>
      <c r="BA75" s="754"/>
      <c r="BB75" s="754"/>
      <c r="BC75" s="754"/>
      <c r="BD75" s="754"/>
      <c r="BE75" s="696"/>
    </row>
    <row r="76" spans="1:105" s="52" customFormat="1" ht="20.25" customHeight="1" thickBot="1">
      <c r="A76" s="653" t="s">
        <v>238</v>
      </c>
      <c r="B76" s="654"/>
      <c r="C76" s="654"/>
      <c r="D76" s="746"/>
      <c r="E76" s="746"/>
      <c r="F76" s="746"/>
      <c r="G76" s="747" t="str">
        <f>IF($G$68="","",G68/$G$68)</f>
        <v/>
      </c>
      <c r="H76" s="748"/>
      <c r="I76" s="749"/>
      <c r="J76" s="747" t="str">
        <f>IF($G$68="","",IF(J68="","",J68/$G$68))</f>
        <v/>
      </c>
      <c r="K76" s="748"/>
      <c r="L76" s="749"/>
      <c r="M76" s="747" t="str">
        <f>IF($G$68="","",IF(M68="","",M68/$G$68))</f>
        <v/>
      </c>
      <c r="N76" s="748"/>
      <c r="O76" s="749"/>
      <c r="P76" s="747" t="str">
        <f>IF($G$68="","",IF(P68="","",P68/$G$68))</f>
        <v/>
      </c>
      <c r="Q76" s="748"/>
      <c r="R76" s="749"/>
      <c r="S76" s="770"/>
      <c r="T76" s="771"/>
      <c r="U76" s="772"/>
      <c r="V76" s="770"/>
      <c r="W76" s="771"/>
      <c r="X76" s="772"/>
      <c r="Y76" s="770"/>
      <c r="Z76" s="771"/>
      <c r="AA76" s="773"/>
      <c r="AB76" s="224"/>
      <c r="AC76" s="735"/>
      <c r="AD76" s="735"/>
      <c r="AE76" s="735"/>
      <c r="AF76" s="735"/>
      <c r="AG76" s="736"/>
      <c r="AH76" s="718"/>
      <c r="AI76" s="719"/>
      <c r="AJ76" s="719"/>
      <c r="AK76" s="719"/>
      <c r="AV76" s="752"/>
      <c r="AW76" s="637"/>
      <c r="AX76" s="637"/>
      <c r="AY76" s="637"/>
      <c r="AZ76" s="637"/>
      <c r="BA76" s="637"/>
      <c r="BB76" s="637"/>
      <c r="BC76" s="637"/>
      <c r="BD76" s="637"/>
      <c r="BE76" s="638"/>
    </row>
    <row r="77" spans="1:105" ht="20.25" customHeight="1" thickBot="1">
      <c r="CV77" s="2"/>
      <c r="CW77" s="2"/>
      <c r="CX77" s="2"/>
      <c r="CY77" s="2"/>
      <c r="CZ77" s="2"/>
      <c r="DA77" s="2"/>
    </row>
    <row r="78" spans="1:105" ht="20.25" customHeight="1">
      <c r="A78" s="781" t="s">
        <v>58</v>
      </c>
      <c r="B78" s="784" t="s">
        <v>74</v>
      </c>
      <c r="C78" s="784"/>
      <c r="D78" s="784" t="s">
        <v>14</v>
      </c>
      <c r="E78" s="784"/>
      <c r="F78" s="784"/>
      <c r="G78" s="518" t="s">
        <v>16</v>
      </c>
      <c r="H78" s="519"/>
      <c r="I78" s="676"/>
      <c r="J78" s="518" t="s">
        <v>50</v>
      </c>
      <c r="K78" s="519"/>
      <c r="L78" s="785"/>
      <c r="O78" s="786" t="s">
        <v>94</v>
      </c>
      <c r="P78" s="808" t="s">
        <v>74</v>
      </c>
      <c r="Q78" s="808"/>
      <c r="R78" s="809" t="s">
        <v>283</v>
      </c>
      <c r="S78" s="810"/>
      <c r="T78" s="809" t="s">
        <v>96</v>
      </c>
      <c r="U78" s="784"/>
      <c r="V78" s="784" t="s">
        <v>78</v>
      </c>
      <c r="W78" s="784"/>
      <c r="X78" s="784"/>
      <c r="Y78" s="784"/>
      <c r="Z78" s="784" t="s">
        <v>79</v>
      </c>
      <c r="AA78" s="784"/>
      <c r="AB78" s="784"/>
      <c r="AC78" s="784"/>
      <c r="AD78" s="784"/>
      <c r="AE78" s="784"/>
      <c r="AF78" s="784"/>
      <c r="AG78" s="784"/>
      <c r="AH78" s="784"/>
      <c r="AI78" s="784"/>
      <c r="AJ78" s="784"/>
      <c r="AK78" s="784" t="s">
        <v>80</v>
      </c>
      <c r="AL78" s="784"/>
      <c r="AM78" s="784"/>
      <c r="AN78" s="784"/>
      <c r="AO78" s="784"/>
      <c r="AP78" s="784"/>
      <c r="AQ78" s="784"/>
      <c r="AR78" s="784"/>
      <c r="AS78" s="784"/>
      <c r="AT78" s="784"/>
      <c r="AU78" s="784"/>
      <c r="AV78" s="784"/>
      <c r="AW78" s="784"/>
      <c r="AX78" s="784"/>
      <c r="AY78" s="784"/>
      <c r="AZ78" s="784"/>
      <c r="BA78" s="784"/>
      <c r="BB78" s="784"/>
      <c r="BC78" s="784"/>
      <c r="BD78" s="802"/>
      <c r="CV78" s="2"/>
      <c r="CW78" s="2"/>
      <c r="CX78" s="2"/>
      <c r="CY78" s="2"/>
      <c r="CZ78" s="2"/>
      <c r="DA78" s="2"/>
    </row>
    <row r="79" spans="1:105" ht="20.25" customHeight="1">
      <c r="A79" s="782"/>
      <c r="B79" s="778" t="s">
        <v>75</v>
      </c>
      <c r="C79" s="778"/>
      <c r="D79" s="479"/>
      <c r="E79" s="479"/>
      <c r="F79" s="479"/>
      <c r="G79" s="703"/>
      <c r="H79" s="704"/>
      <c r="I79" s="774"/>
      <c r="J79" s="703"/>
      <c r="K79" s="704"/>
      <c r="L79" s="705"/>
      <c r="O79" s="787"/>
      <c r="P79" s="803"/>
      <c r="Q79" s="803"/>
      <c r="R79" s="780"/>
      <c r="S79" s="780"/>
      <c r="T79" s="778"/>
      <c r="U79" s="778"/>
      <c r="V79" s="778" t="s">
        <v>278</v>
      </c>
      <c r="W79" s="778"/>
      <c r="X79" s="778" t="s">
        <v>81</v>
      </c>
      <c r="Y79" s="778"/>
      <c r="Z79" s="778" t="s">
        <v>81</v>
      </c>
      <c r="AA79" s="778"/>
      <c r="AB79" s="779" t="s">
        <v>282</v>
      </c>
      <c r="AC79" s="780"/>
      <c r="AD79" s="780"/>
      <c r="AE79" s="806" t="s">
        <v>274</v>
      </c>
      <c r="AF79" s="806"/>
      <c r="AG79" s="806"/>
      <c r="AH79" s="806" t="s">
        <v>279</v>
      </c>
      <c r="AI79" s="806"/>
      <c r="AJ79" s="806"/>
      <c r="AK79" s="778" t="s">
        <v>81</v>
      </c>
      <c r="AL79" s="778"/>
      <c r="AM79" s="779" t="s">
        <v>93</v>
      </c>
      <c r="AN79" s="780"/>
      <c r="AO79" s="780"/>
      <c r="AP79" s="806" t="s">
        <v>170</v>
      </c>
      <c r="AQ79" s="806"/>
      <c r="AR79" s="806"/>
      <c r="AS79" s="806" t="s">
        <v>280</v>
      </c>
      <c r="AT79" s="806"/>
      <c r="AU79" s="806"/>
      <c r="AV79" s="779" t="s">
        <v>97</v>
      </c>
      <c r="AW79" s="780"/>
      <c r="AX79" s="780"/>
      <c r="AY79" s="806" t="s">
        <v>171</v>
      </c>
      <c r="AZ79" s="806"/>
      <c r="BA79" s="806"/>
      <c r="BB79" s="806" t="s">
        <v>281</v>
      </c>
      <c r="BC79" s="806"/>
      <c r="BD79" s="807"/>
      <c r="CV79" s="2"/>
      <c r="CW79" s="2"/>
      <c r="CX79" s="2"/>
      <c r="CY79" s="2"/>
      <c r="CZ79" s="2"/>
      <c r="DA79" s="2"/>
    </row>
    <row r="80" spans="1:105" ht="20.25" customHeight="1">
      <c r="A80" s="782"/>
      <c r="B80" s="778" t="s">
        <v>76</v>
      </c>
      <c r="C80" s="778"/>
      <c r="D80" s="479"/>
      <c r="E80" s="479"/>
      <c r="F80" s="479"/>
      <c r="G80" s="703"/>
      <c r="H80" s="704"/>
      <c r="I80" s="774"/>
      <c r="J80" s="703"/>
      <c r="K80" s="704"/>
      <c r="L80" s="705"/>
      <c r="O80" s="787"/>
      <c r="P80" s="803"/>
      <c r="Q80" s="803"/>
      <c r="R80" s="780"/>
      <c r="S80" s="780"/>
      <c r="T80" s="778"/>
      <c r="U80" s="778"/>
      <c r="V80" s="778"/>
      <c r="W80" s="778"/>
      <c r="X80" s="778"/>
      <c r="Y80" s="778"/>
      <c r="Z80" s="778"/>
      <c r="AA80" s="778"/>
      <c r="AB80" s="780"/>
      <c r="AC80" s="780"/>
      <c r="AD80" s="780"/>
      <c r="AE80" s="806"/>
      <c r="AF80" s="806"/>
      <c r="AG80" s="806"/>
      <c r="AH80" s="806"/>
      <c r="AI80" s="806"/>
      <c r="AJ80" s="806"/>
      <c r="AK80" s="778"/>
      <c r="AL80" s="778"/>
      <c r="AM80" s="780"/>
      <c r="AN80" s="780"/>
      <c r="AO80" s="780"/>
      <c r="AP80" s="806"/>
      <c r="AQ80" s="806"/>
      <c r="AR80" s="806"/>
      <c r="AS80" s="806"/>
      <c r="AT80" s="806"/>
      <c r="AU80" s="806"/>
      <c r="AV80" s="780"/>
      <c r="AW80" s="780"/>
      <c r="AX80" s="780"/>
      <c r="AY80" s="806"/>
      <c r="AZ80" s="806"/>
      <c r="BA80" s="806"/>
      <c r="BB80" s="806"/>
      <c r="BC80" s="806"/>
      <c r="BD80" s="807"/>
      <c r="CV80" s="2"/>
      <c r="CW80" s="2"/>
      <c r="CX80" s="2"/>
      <c r="CY80" s="2"/>
      <c r="CZ80" s="2"/>
      <c r="DA80" s="2"/>
    </row>
    <row r="81" spans="1:105" ht="20.25" customHeight="1" thickBot="1">
      <c r="A81" s="783"/>
      <c r="B81" s="789" t="s">
        <v>77</v>
      </c>
      <c r="C81" s="789"/>
      <c r="D81" s="790"/>
      <c r="E81" s="790"/>
      <c r="F81" s="790"/>
      <c r="G81" s="791"/>
      <c r="H81" s="792"/>
      <c r="I81" s="793"/>
      <c r="J81" s="791"/>
      <c r="K81" s="792"/>
      <c r="L81" s="794"/>
      <c r="O81" s="787"/>
      <c r="P81" s="803" t="s">
        <v>273</v>
      </c>
      <c r="Q81" s="803"/>
      <c r="R81" s="804" t="str">
        <f>IF(D69=0,"",D69)</f>
        <v/>
      </c>
      <c r="S81" s="804"/>
      <c r="T81" s="479"/>
      <c r="U81" s="479"/>
      <c r="V81" s="479"/>
      <c r="W81" s="479"/>
      <c r="X81" s="479"/>
      <c r="Y81" s="479"/>
      <c r="Z81" s="479"/>
      <c r="AA81" s="479"/>
      <c r="AB81" s="479"/>
      <c r="AC81" s="479"/>
      <c r="AD81" s="479"/>
      <c r="AE81" s="804" t="str">
        <f>IF($R81="","",IF(AB81="","",ROUND((AB81-$R81)/$R81*100,1)))</f>
        <v/>
      </c>
      <c r="AF81" s="804"/>
      <c r="AG81" s="804"/>
      <c r="AH81" s="813" t="str">
        <f>IF(T81="","",IF(AE81="","",ROUND(100*(AE81+T81)/(100+AE81),1)))</f>
        <v/>
      </c>
      <c r="AI81" s="814"/>
      <c r="AJ81" s="815"/>
      <c r="AK81" s="479"/>
      <c r="AL81" s="479"/>
      <c r="AM81" s="479"/>
      <c r="AN81" s="479"/>
      <c r="AO81" s="479"/>
      <c r="AP81" s="804" t="str">
        <f>IF($R81="","",IF(AM81="","",ROUND((AM81-$R81)/$R81*100,1)))</f>
        <v/>
      </c>
      <c r="AQ81" s="804"/>
      <c r="AR81" s="804"/>
      <c r="AS81" s="804" t="str">
        <f>IF(T81="","",IF(AP81="","",ROUND(100*(AP81+T81)/(100+AP81),1)))</f>
        <v/>
      </c>
      <c r="AT81" s="804"/>
      <c r="AU81" s="804"/>
      <c r="AV81" s="479"/>
      <c r="AW81" s="479"/>
      <c r="AX81" s="479"/>
      <c r="AY81" s="804" t="str">
        <f>IF($R81="","",IF(AV81="","",ROUND((AV81-$R81)/$R81*100,1)))</f>
        <v/>
      </c>
      <c r="AZ81" s="804"/>
      <c r="BA81" s="804"/>
      <c r="BB81" s="804" t="str">
        <f>IF(T81="","",IF(AY81="","",ROUND(100*(AY81+T81)/(100+AY81),1)))</f>
        <v/>
      </c>
      <c r="BC81" s="804"/>
      <c r="BD81" s="805"/>
      <c r="CV81" s="2"/>
      <c r="CW81" s="2"/>
      <c r="CX81" s="2"/>
      <c r="CY81" s="2"/>
      <c r="CZ81" s="2"/>
      <c r="DA81" s="2"/>
    </row>
    <row r="82" spans="1:105" ht="20.25" customHeight="1" thickBot="1">
      <c r="O82" s="787"/>
      <c r="P82" s="811" t="s">
        <v>14</v>
      </c>
      <c r="Q82" s="812"/>
      <c r="R82" s="804" t="str">
        <f>IF(G69=0,"",G69)</f>
        <v/>
      </c>
      <c r="S82" s="804"/>
      <c r="T82" s="703"/>
      <c r="U82" s="774"/>
      <c r="V82" s="703"/>
      <c r="W82" s="774"/>
      <c r="X82" s="703"/>
      <c r="Y82" s="774"/>
      <c r="Z82" s="703"/>
      <c r="AA82" s="774"/>
      <c r="AB82" s="703"/>
      <c r="AC82" s="704"/>
      <c r="AD82" s="774"/>
      <c r="AE82" s="804" t="str">
        <f>IF($R82="","",IF(AB82="","",ROUND((AB82-$R82)/$R82*100,1)))</f>
        <v/>
      </c>
      <c r="AF82" s="804"/>
      <c r="AG82" s="804"/>
      <c r="AH82" s="813" t="str">
        <f t="shared" ref="AH82:AH88" si="6">IF(T82="","",IF(AE82="","",ROUND(100*(AE82+T82)/(100+AE82),1)))</f>
        <v/>
      </c>
      <c r="AI82" s="814"/>
      <c r="AJ82" s="815"/>
      <c r="AK82" s="479"/>
      <c r="AL82" s="479"/>
      <c r="AM82" s="703"/>
      <c r="AN82" s="704"/>
      <c r="AO82" s="774"/>
      <c r="AP82" s="804" t="str">
        <f>IF($R82="","",IF(AM82="","",ROUND((AM82-$R82)/$R82*100,1)))</f>
        <v/>
      </c>
      <c r="AQ82" s="804"/>
      <c r="AR82" s="804"/>
      <c r="AS82" s="804" t="str">
        <f t="shared" ref="AS82:AS88" si="7">IF(T82="","",IF(AP82="","",ROUND(100*(AP82+T82)/(100+AP82),1)))</f>
        <v/>
      </c>
      <c r="AT82" s="804"/>
      <c r="AU82" s="804"/>
      <c r="AV82" s="703"/>
      <c r="AW82" s="704"/>
      <c r="AX82" s="774"/>
      <c r="AY82" s="804" t="str">
        <f t="shared" ref="AY82:AY88" si="8">IF($R82="","",IF(AV82="","",ROUND((AV82-$R82)/$R82*100,1)))</f>
        <v/>
      </c>
      <c r="AZ82" s="804"/>
      <c r="BA82" s="804"/>
      <c r="BB82" s="804" t="str">
        <f t="shared" ref="BB82:BB88" si="9">IF(T82="","",IF(AY82="","",ROUND(100*(AY82+T82)/(100+AY82),1)))</f>
        <v/>
      </c>
      <c r="BC82" s="804"/>
      <c r="BD82" s="805"/>
      <c r="CV82" s="2"/>
      <c r="CW82" s="2"/>
      <c r="CX82" s="2"/>
      <c r="CY82" s="2"/>
      <c r="CZ82" s="2"/>
      <c r="DA82" s="2"/>
    </row>
    <row r="83" spans="1:105" ht="20.25" customHeight="1">
      <c r="A83" s="799" t="s">
        <v>71</v>
      </c>
      <c r="B83" s="784" t="s">
        <v>72</v>
      </c>
      <c r="C83" s="784"/>
      <c r="D83" s="784"/>
      <c r="E83" s="784"/>
      <c r="F83" s="784"/>
      <c r="G83" s="784"/>
      <c r="H83" s="784"/>
      <c r="I83" s="784"/>
      <c r="J83" s="802"/>
      <c r="O83" s="787"/>
      <c r="P83" s="811" t="s">
        <v>16</v>
      </c>
      <c r="Q83" s="812"/>
      <c r="R83" s="804" t="str">
        <f>IF(J69=0,"",J69)</f>
        <v/>
      </c>
      <c r="S83" s="804"/>
      <c r="T83" s="703"/>
      <c r="U83" s="774"/>
      <c r="V83" s="703"/>
      <c r="W83" s="774"/>
      <c r="X83" s="703"/>
      <c r="Y83" s="774"/>
      <c r="Z83" s="703"/>
      <c r="AA83" s="774"/>
      <c r="AB83" s="703"/>
      <c r="AC83" s="704"/>
      <c r="AD83" s="774"/>
      <c r="AE83" s="804" t="str">
        <f t="shared" ref="AE83:AE88" si="10">IF($R83="","",IF(AB83="","",ROUND((AB83-$R83)/$R83*100,1)))</f>
        <v/>
      </c>
      <c r="AF83" s="804"/>
      <c r="AG83" s="804"/>
      <c r="AH83" s="813" t="str">
        <f t="shared" si="6"/>
        <v/>
      </c>
      <c r="AI83" s="814"/>
      <c r="AJ83" s="815"/>
      <c r="AK83" s="479"/>
      <c r="AL83" s="479"/>
      <c r="AM83" s="703"/>
      <c r="AN83" s="704"/>
      <c r="AO83" s="774"/>
      <c r="AP83" s="804" t="str">
        <f t="shared" ref="AP83:AP88" si="11">IF($R83="","",IF(AM83="","",ROUND((AM83-$R83)/$R83*100,1)))</f>
        <v/>
      </c>
      <c r="AQ83" s="804"/>
      <c r="AR83" s="804"/>
      <c r="AS83" s="804" t="str">
        <f t="shared" si="7"/>
        <v/>
      </c>
      <c r="AT83" s="804"/>
      <c r="AU83" s="804"/>
      <c r="AV83" s="703"/>
      <c r="AW83" s="704"/>
      <c r="AX83" s="774"/>
      <c r="AY83" s="804" t="str">
        <f t="shared" si="8"/>
        <v/>
      </c>
      <c r="AZ83" s="804"/>
      <c r="BA83" s="804"/>
      <c r="BB83" s="804" t="str">
        <f t="shared" si="9"/>
        <v/>
      </c>
      <c r="BC83" s="804"/>
      <c r="BD83" s="805"/>
      <c r="CV83" s="2"/>
      <c r="CW83" s="2"/>
      <c r="CX83" s="2"/>
      <c r="CY83" s="2"/>
      <c r="CZ83" s="2"/>
      <c r="DA83" s="2"/>
    </row>
    <row r="84" spans="1:105" ht="20.25" customHeight="1">
      <c r="A84" s="800"/>
      <c r="B84" s="737" t="s">
        <v>73</v>
      </c>
      <c r="C84" s="738"/>
      <c r="D84" s="739"/>
      <c r="E84" s="737" t="s">
        <v>92</v>
      </c>
      <c r="F84" s="738"/>
      <c r="G84" s="739"/>
      <c r="H84" s="819" t="s">
        <v>272</v>
      </c>
      <c r="I84" s="820"/>
      <c r="J84" s="821"/>
      <c r="M84" s="49"/>
      <c r="N84" s="49"/>
      <c r="O84" s="787"/>
      <c r="P84" s="811" t="s">
        <v>50</v>
      </c>
      <c r="Q84" s="812"/>
      <c r="R84" s="804" t="str">
        <f>IF(M69=0,"",M69)</f>
        <v/>
      </c>
      <c r="S84" s="804"/>
      <c r="T84" s="703"/>
      <c r="U84" s="774"/>
      <c r="V84" s="703"/>
      <c r="W84" s="774"/>
      <c r="X84" s="703"/>
      <c r="Y84" s="774"/>
      <c r="Z84" s="703"/>
      <c r="AA84" s="774"/>
      <c r="AB84" s="703"/>
      <c r="AC84" s="704"/>
      <c r="AD84" s="774"/>
      <c r="AE84" s="804" t="str">
        <f t="shared" si="10"/>
        <v/>
      </c>
      <c r="AF84" s="804"/>
      <c r="AG84" s="804"/>
      <c r="AH84" s="813" t="str">
        <f t="shared" si="6"/>
        <v/>
      </c>
      <c r="AI84" s="814"/>
      <c r="AJ84" s="815"/>
      <c r="AK84" s="479"/>
      <c r="AL84" s="479"/>
      <c r="AM84" s="703"/>
      <c r="AN84" s="704"/>
      <c r="AO84" s="774"/>
      <c r="AP84" s="804" t="str">
        <f t="shared" si="11"/>
        <v/>
      </c>
      <c r="AQ84" s="804"/>
      <c r="AR84" s="804"/>
      <c r="AS84" s="804" t="str">
        <f t="shared" si="7"/>
        <v/>
      </c>
      <c r="AT84" s="804"/>
      <c r="AU84" s="804"/>
      <c r="AV84" s="703"/>
      <c r="AW84" s="704"/>
      <c r="AX84" s="774"/>
      <c r="AY84" s="804" t="str">
        <f t="shared" si="8"/>
        <v/>
      </c>
      <c r="AZ84" s="804"/>
      <c r="BA84" s="804"/>
      <c r="BB84" s="804" t="str">
        <f t="shared" si="9"/>
        <v/>
      </c>
      <c r="BC84" s="804"/>
      <c r="BD84" s="805"/>
      <c r="CV84" s="2"/>
      <c r="CW84" s="2"/>
      <c r="CX84" s="2"/>
      <c r="CY84" s="2"/>
      <c r="CZ84" s="2"/>
      <c r="DA84" s="2"/>
    </row>
    <row r="85" spans="1:105" ht="20.25" customHeight="1">
      <c r="A85" s="800"/>
      <c r="B85" s="816"/>
      <c r="C85" s="817"/>
      <c r="D85" s="818"/>
      <c r="E85" s="816"/>
      <c r="F85" s="817"/>
      <c r="G85" s="818"/>
      <c r="H85" s="822"/>
      <c r="I85" s="823"/>
      <c r="J85" s="824"/>
      <c r="O85" s="787"/>
      <c r="P85" s="803" t="s">
        <v>260</v>
      </c>
      <c r="Q85" s="803"/>
      <c r="R85" s="804" t="str">
        <f>IF(D70=0,"",D70)</f>
        <v/>
      </c>
      <c r="S85" s="804"/>
      <c r="T85" s="703"/>
      <c r="U85" s="774"/>
      <c r="V85" s="703"/>
      <c r="W85" s="774"/>
      <c r="X85" s="703"/>
      <c r="Y85" s="774"/>
      <c r="Z85" s="703"/>
      <c r="AA85" s="774"/>
      <c r="AB85" s="703"/>
      <c r="AC85" s="704"/>
      <c r="AD85" s="774"/>
      <c r="AE85" s="804" t="str">
        <f t="shared" si="10"/>
        <v/>
      </c>
      <c r="AF85" s="804"/>
      <c r="AG85" s="804"/>
      <c r="AH85" s="813" t="str">
        <f t="shared" si="6"/>
        <v/>
      </c>
      <c r="AI85" s="814"/>
      <c r="AJ85" s="815"/>
      <c r="AK85" s="479"/>
      <c r="AL85" s="479"/>
      <c r="AM85" s="703"/>
      <c r="AN85" s="704"/>
      <c r="AO85" s="774"/>
      <c r="AP85" s="804" t="str">
        <f t="shared" si="11"/>
        <v/>
      </c>
      <c r="AQ85" s="804"/>
      <c r="AR85" s="804"/>
      <c r="AS85" s="804" t="str">
        <f t="shared" si="7"/>
        <v/>
      </c>
      <c r="AT85" s="804"/>
      <c r="AU85" s="804"/>
      <c r="AV85" s="703"/>
      <c r="AW85" s="704"/>
      <c r="AX85" s="774"/>
      <c r="AY85" s="804" t="str">
        <f t="shared" si="8"/>
        <v/>
      </c>
      <c r="AZ85" s="804"/>
      <c r="BA85" s="804"/>
      <c r="BB85" s="804" t="str">
        <f t="shared" si="9"/>
        <v/>
      </c>
      <c r="BC85" s="804"/>
      <c r="BD85" s="805"/>
    </row>
    <row r="86" spans="1:105" ht="20.25" customHeight="1">
      <c r="A86" s="800"/>
      <c r="B86" s="825"/>
      <c r="C86" s="825"/>
      <c r="D86" s="825"/>
      <c r="E86" s="825"/>
      <c r="F86" s="825"/>
      <c r="G86" s="825"/>
      <c r="H86" s="797" t="str">
        <f>IF(E86="","",IF($Y$71="","",E86/$Y$71*1000))</f>
        <v/>
      </c>
      <c r="I86" s="797"/>
      <c r="J86" s="798"/>
      <c r="O86" s="787"/>
      <c r="P86" s="803" t="s">
        <v>261</v>
      </c>
      <c r="Q86" s="803"/>
      <c r="R86" s="804" t="str">
        <f>IF(G70=0,"",G70)</f>
        <v/>
      </c>
      <c r="S86" s="804"/>
      <c r="T86" s="703"/>
      <c r="U86" s="774"/>
      <c r="V86" s="703"/>
      <c r="W86" s="774"/>
      <c r="X86" s="703"/>
      <c r="Y86" s="774"/>
      <c r="Z86" s="703"/>
      <c r="AA86" s="774"/>
      <c r="AB86" s="703"/>
      <c r="AC86" s="704"/>
      <c r="AD86" s="774"/>
      <c r="AE86" s="804" t="str">
        <f t="shared" si="10"/>
        <v/>
      </c>
      <c r="AF86" s="804"/>
      <c r="AG86" s="804"/>
      <c r="AH86" s="813" t="str">
        <f t="shared" si="6"/>
        <v/>
      </c>
      <c r="AI86" s="814"/>
      <c r="AJ86" s="815"/>
      <c r="AK86" s="479"/>
      <c r="AL86" s="479"/>
      <c r="AM86" s="703"/>
      <c r="AN86" s="704"/>
      <c r="AO86" s="774"/>
      <c r="AP86" s="804" t="str">
        <f t="shared" si="11"/>
        <v/>
      </c>
      <c r="AQ86" s="804"/>
      <c r="AR86" s="804"/>
      <c r="AS86" s="804" t="str">
        <f t="shared" si="7"/>
        <v/>
      </c>
      <c r="AT86" s="804"/>
      <c r="AU86" s="804"/>
      <c r="AV86" s="703"/>
      <c r="AW86" s="704"/>
      <c r="AX86" s="774"/>
      <c r="AY86" s="804" t="str">
        <f t="shared" si="8"/>
        <v/>
      </c>
      <c r="AZ86" s="804"/>
      <c r="BA86" s="804"/>
      <c r="BB86" s="804" t="str">
        <f t="shared" si="9"/>
        <v/>
      </c>
      <c r="BC86" s="804"/>
      <c r="BD86" s="805"/>
      <c r="CV86" s="2"/>
      <c r="CW86" s="2"/>
      <c r="CX86" s="2"/>
      <c r="CY86" s="2"/>
      <c r="CZ86" s="2"/>
      <c r="DA86" s="2"/>
    </row>
    <row r="87" spans="1:105" ht="20.25" customHeight="1">
      <c r="A87" s="800"/>
      <c r="B87" s="474"/>
      <c r="C87" s="795"/>
      <c r="D87" s="796"/>
      <c r="E87" s="474"/>
      <c r="F87" s="795"/>
      <c r="G87" s="796"/>
      <c r="H87" s="797" t="str">
        <f t="shared" ref="H87:H88" si="12">IF(E87="","",IF($Y$71="","",E87/$Y$71*1000))</f>
        <v/>
      </c>
      <c r="I87" s="797"/>
      <c r="J87" s="798"/>
      <c r="O87" s="787"/>
      <c r="P87" s="803" t="s">
        <v>262</v>
      </c>
      <c r="Q87" s="803"/>
      <c r="R87" s="804" t="str">
        <f>IF(J70=0,"",J70)</f>
        <v/>
      </c>
      <c r="S87" s="804"/>
      <c r="T87" s="703"/>
      <c r="U87" s="774"/>
      <c r="V87" s="703"/>
      <c r="W87" s="774"/>
      <c r="X87" s="703"/>
      <c r="Y87" s="774"/>
      <c r="Z87" s="703"/>
      <c r="AA87" s="774"/>
      <c r="AB87" s="703"/>
      <c r="AC87" s="704"/>
      <c r="AD87" s="774"/>
      <c r="AE87" s="804" t="str">
        <f t="shared" si="10"/>
        <v/>
      </c>
      <c r="AF87" s="804"/>
      <c r="AG87" s="804"/>
      <c r="AH87" s="813" t="str">
        <f t="shared" si="6"/>
        <v/>
      </c>
      <c r="AI87" s="814"/>
      <c r="AJ87" s="815"/>
      <c r="AK87" s="479"/>
      <c r="AL87" s="479"/>
      <c r="AM87" s="703"/>
      <c r="AN87" s="704"/>
      <c r="AO87" s="774"/>
      <c r="AP87" s="804" t="str">
        <f t="shared" si="11"/>
        <v/>
      </c>
      <c r="AQ87" s="804"/>
      <c r="AR87" s="804"/>
      <c r="AS87" s="804" t="str">
        <f t="shared" si="7"/>
        <v/>
      </c>
      <c r="AT87" s="804"/>
      <c r="AU87" s="804"/>
      <c r="AV87" s="703"/>
      <c r="AW87" s="704"/>
      <c r="AX87" s="774"/>
      <c r="AY87" s="804" t="str">
        <f t="shared" si="8"/>
        <v/>
      </c>
      <c r="AZ87" s="804"/>
      <c r="BA87" s="804"/>
      <c r="BB87" s="804" t="str">
        <f t="shared" si="9"/>
        <v/>
      </c>
      <c r="BC87" s="804"/>
      <c r="BD87" s="805"/>
      <c r="CV87" s="2"/>
      <c r="CW87" s="2"/>
    </row>
    <row r="88" spans="1:105" ht="20.25" customHeight="1" thickBot="1">
      <c r="A88" s="801"/>
      <c r="B88" s="830"/>
      <c r="C88" s="831"/>
      <c r="D88" s="832"/>
      <c r="E88" s="830"/>
      <c r="F88" s="831"/>
      <c r="G88" s="832"/>
      <c r="H88" s="833" t="str">
        <f t="shared" si="12"/>
        <v/>
      </c>
      <c r="I88" s="833"/>
      <c r="J88" s="834"/>
      <c r="O88" s="788"/>
      <c r="P88" s="829" t="s">
        <v>263</v>
      </c>
      <c r="Q88" s="829"/>
      <c r="R88" s="826" t="str">
        <f>IF(M70=0,"",M70)</f>
        <v/>
      </c>
      <c r="S88" s="826"/>
      <c r="T88" s="790"/>
      <c r="U88" s="790"/>
      <c r="V88" s="791"/>
      <c r="W88" s="793"/>
      <c r="X88" s="790"/>
      <c r="Y88" s="790"/>
      <c r="Z88" s="790"/>
      <c r="AA88" s="790"/>
      <c r="AB88" s="791"/>
      <c r="AC88" s="792"/>
      <c r="AD88" s="793"/>
      <c r="AE88" s="826" t="str">
        <f t="shared" si="10"/>
        <v/>
      </c>
      <c r="AF88" s="826"/>
      <c r="AG88" s="826"/>
      <c r="AH88" s="767" t="str">
        <f t="shared" si="6"/>
        <v/>
      </c>
      <c r="AI88" s="768"/>
      <c r="AJ88" s="828"/>
      <c r="AK88" s="791"/>
      <c r="AL88" s="793"/>
      <c r="AM88" s="791"/>
      <c r="AN88" s="792"/>
      <c r="AO88" s="793"/>
      <c r="AP88" s="826" t="str">
        <f t="shared" si="11"/>
        <v/>
      </c>
      <c r="AQ88" s="826"/>
      <c r="AR88" s="826"/>
      <c r="AS88" s="826" t="str">
        <f t="shared" si="7"/>
        <v/>
      </c>
      <c r="AT88" s="826"/>
      <c r="AU88" s="826"/>
      <c r="AV88" s="791"/>
      <c r="AW88" s="792"/>
      <c r="AX88" s="793"/>
      <c r="AY88" s="826" t="str">
        <f t="shared" si="8"/>
        <v/>
      </c>
      <c r="AZ88" s="826"/>
      <c r="BA88" s="826"/>
      <c r="BB88" s="826" t="str">
        <f t="shared" si="9"/>
        <v/>
      </c>
      <c r="BC88" s="826"/>
      <c r="BD88" s="827"/>
      <c r="CV88" s="2"/>
      <c r="CW88" s="2"/>
      <c r="CX88" s="2"/>
      <c r="CY88" s="2"/>
      <c r="CZ88" s="2"/>
      <c r="DA88" s="2"/>
    </row>
    <row r="89" spans="1:105" ht="20.25" customHeight="1" thickBot="1">
      <c r="O89" s="62"/>
      <c r="BD89" s="49"/>
      <c r="BE89" s="49"/>
      <c r="CV89" s="2"/>
      <c r="CW89" s="2"/>
      <c r="CX89" s="2"/>
      <c r="CY89" s="2"/>
      <c r="CZ89" s="2"/>
      <c r="DA89" s="2"/>
    </row>
    <row r="90" spans="1:105" ht="20.25" customHeight="1">
      <c r="A90" s="841" t="s">
        <v>366</v>
      </c>
      <c r="B90" s="548" t="s">
        <v>376</v>
      </c>
      <c r="C90" s="549"/>
      <c r="D90" s="534"/>
      <c r="E90" s="534"/>
      <c r="F90" s="535"/>
      <c r="G90" s="420" t="s">
        <v>377</v>
      </c>
      <c r="H90" s="536"/>
      <c r="I90" s="534"/>
      <c r="J90" s="535"/>
      <c r="K90" s="533" t="s">
        <v>378</v>
      </c>
      <c r="L90" s="493"/>
      <c r="M90" s="494"/>
      <c r="N90" s="537"/>
      <c r="O90" s="538"/>
      <c r="P90" s="538"/>
      <c r="Q90" s="538"/>
      <c r="R90" s="539"/>
      <c r="S90"/>
      <c r="T90"/>
      <c r="U90" s="926" t="s">
        <v>392</v>
      </c>
      <c r="V90" s="518" t="s">
        <v>84</v>
      </c>
      <c r="W90" s="519"/>
      <c r="X90" s="519"/>
      <c r="Y90" s="519"/>
      <c r="Z90" s="520"/>
      <c r="AA90" s="520"/>
      <c r="AB90" s="507"/>
      <c r="AC90" s="508"/>
      <c r="AD90" s="508"/>
      <c r="AE90" s="509"/>
      <c r="AF90" s="507"/>
      <c r="AG90" s="508"/>
      <c r="AH90" s="508"/>
      <c r="AI90" s="509"/>
      <c r="AJ90" s="507"/>
      <c r="AK90" s="508"/>
      <c r="AL90" s="508"/>
      <c r="AM90" s="509"/>
      <c r="AN90" s="507"/>
      <c r="AO90" s="508"/>
      <c r="AP90" s="508"/>
      <c r="AQ90" s="509"/>
      <c r="AR90" s="507"/>
      <c r="AS90" s="508"/>
      <c r="AT90" s="508"/>
      <c r="AU90" s="509"/>
      <c r="AV90" s="507"/>
      <c r="AW90" s="508"/>
      <c r="AX90" s="508"/>
      <c r="AY90" s="509"/>
      <c r="AZ90" s="492" t="s">
        <v>396</v>
      </c>
      <c r="BA90" s="493"/>
      <c r="BB90" s="493"/>
      <c r="BC90" s="494"/>
      <c r="BF90" s="2"/>
      <c r="BG90" s="967"/>
      <c r="BH90" s="968"/>
      <c r="BI90" s="968"/>
      <c r="BJ90" s="968"/>
    </row>
    <row r="91" spans="1:105" ht="20.25" customHeight="1">
      <c r="A91" s="842"/>
      <c r="B91" s="552" t="s">
        <v>374</v>
      </c>
      <c r="C91" s="551"/>
      <c r="D91" s="486"/>
      <c r="E91" s="475"/>
      <c r="F91" s="545" t="s">
        <v>389</v>
      </c>
      <c r="G91" s="546"/>
      <c r="H91" s="546"/>
      <c r="I91" s="545" t="s">
        <v>381</v>
      </c>
      <c r="J91" s="546"/>
      <c r="K91" s="546"/>
      <c r="L91" s="524" t="s">
        <v>379</v>
      </c>
      <c r="M91" s="550"/>
      <c r="N91" s="550"/>
      <c r="O91" s="526"/>
      <c r="P91" s="530"/>
      <c r="Q91" s="531"/>
      <c r="R91" s="532"/>
      <c r="S91"/>
      <c r="T91"/>
      <c r="U91" s="927"/>
      <c r="V91" s="514" t="s">
        <v>240</v>
      </c>
      <c r="W91" s="521"/>
      <c r="X91" s="521"/>
      <c r="Y91" s="521"/>
      <c r="Z91" s="486"/>
      <c r="AA91" s="486"/>
      <c r="AB91" s="474"/>
      <c r="AC91" s="486"/>
      <c r="AD91" s="486"/>
      <c r="AE91" s="475"/>
      <c r="AF91" s="474"/>
      <c r="AG91" s="486"/>
      <c r="AH91" s="486"/>
      <c r="AI91" s="475"/>
      <c r="AJ91" s="474"/>
      <c r="AK91" s="486"/>
      <c r="AL91" s="486"/>
      <c r="AM91" s="475"/>
      <c r="AN91" s="474"/>
      <c r="AO91" s="486"/>
      <c r="AP91" s="486"/>
      <c r="AQ91" s="475"/>
      <c r="AR91" s="474"/>
      <c r="AS91" s="486"/>
      <c r="AT91" s="486"/>
      <c r="AU91" s="475"/>
      <c r="AV91" s="474"/>
      <c r="AW91" s="486"/>
      <c r="AX91" s="486"/>
      <c r="AY91" s="475"/>
      <c r="AZ91" s="495">
        <f>SUM(AB91:AY91)</f>
        <v>0</v>
      </c>
      <c r="BA91" s="496"/>
      <c r="BB91" s="496"/>
      <c r="BC91" s="497"/>
      <c r="BF91" s="2"/>
      <c r="BG91" s="2"/>
      <c r="BH91" s="2"/>
    </row>
    <row r="92" spans="1:105" ht="20.25" customHeight="1">
      <c r="A92" s="842"/>
      <c r="B92" s="553"/>
      <c r="C92" s="524" t="s">
        <v>367</v>
      </c>
      <c r="D92" s="486"/>
      <c r="E92" s="475"/>
      <c r="F92" s="544"/>
      <c r="G92" s="544"/>
      <c r="H92" s="544"/>
      <c r="I92" s="544"/>
      <c r="J92" s="544"/>
      <c r="K92" s="544"/>
      <c r="L92" s="522" t="s">
        <v>380</v>
      </c>
      <c r="M92" s="550"/>
      <c r="N92" s="550"/>
      <c r="O92" s="526"/>
      <c r="P92" s="530"/>
      <c r="Q92" s="531"/>
      <c r="R92" s="532"/>
      <c r="S92"/>
      <c r="T92"/>
      <c r="U92" s="927"/>
      <c r="V92" s="514" t="s">
        <v>252</v>
      </c>
      <c r="W92" s="521"/>
      <c r="X92" s="521"/>
      <c r="Y92" s="521"/>
      <c r="Z92" s="486"/>
      <c r="AA92" s="486"/>
      <c r="AB92" s="474"/>
      <c r="AC92" s="486"/>
      <c r="AD92" s="486"/>
      <c r="AE92" s="475"/>
      <c r="AF92" s="474"/>
      <c r="AG92" s="486"/>
      <c r="AH92" s="486"/>
      <c r="AI92" s="475"/>
      <c r="AJ92" s="474"/>
      <c r="AK92" s="486"/>
      <c r="AL92" s="486"/>
      <c r="AM92" s="475"/>
      <c r="AN92" s="474"/>
      <c r="AO92" s="486"/>
      <c r="AP92" s="486"/>
      <c r="AQ92" s="475"/>
      <c r="AR92" s="474"/>
      <c r="AS92" s="486"/>
      <c r="AT92" s="486"/>
      <c r="AU92" s="475"/>
      <c r="AV92" s="474"/>
      <c r="AW92" s="486"/>
      <c r="AX92" s="486"/>
      <c r="AY92" s="475"/>
      <c r="AZ92" s="487"/>
      <c r="BA92" s="498"/>
      <c r="BB92" s="498"/>
      <c r="BC92" s="488"/>
      <c r="BF92" s="2"/>
      <c r="BG92" s="2"/>
      <c r="BH92" s="2"/>
    </row>
    <row r="93" spans="1:105" ht="20.25" customHeight="1">
      <c r="A93" s="842"/>
      <c r="B93" s="553"/>
      <c r="C93" s="524" t="s">
        <v>368</v>
      </c>
      <c r="D93" s="486"/>
      <c r="E93" s="475"/>
      <c r="F93" s="544"/>
      <c r="G93" s="544"/>
      <c r="H93" s="544"/>
      <c r="I93" s="544"/>
      <c r="J93" s="544"/>
      <c r="K93" s="544"/>
      <c r="L93" s="522" t="s">
        <v>381</v>
      </c>
      <c r="M93" s="550"/>
      <c r="N93" s="550"/>
      <c r="O93" s="526"/>
      <c r="P93" s="530"/>
      <c r="Q93" s="531"/>
      <c r="R93" s="532"/>
      <c r="S93"/>
      <c r="T93"/>
      <c r="U93" s="927"/>
      <c r="V93" s="514" t="s">
        <v>241</v>
      </c>
      <c r="W93" s="521"/>
      <c r="X93" s="521"/>
      <c r="Y93" s="521"/>
      <c r="Z93" s="486"/>
      <c r="AA93" s="486"/>
      <c r="AB93" s="485">
        <f>ROUND(AB91*AB92/100,1)</f>
        <v>0</v>
      </c>
      <c r="AC93" s="486"/>
      <c r="AD93" s="486"/>
      <c r="AE93" s="475"/>
      <c r="AF93" s="485">
        <f t="shared" ref="AF93" si="13">ROUND(AF91*AF92/100,1)</f>
        <v>0</v>
      </c>
      <c r="AG93" s="486"/>
      <c r="AH93" s="486"/>
      <c r="AI93" s="475"/>
      <c r="AJ93" s="485">
        <f t="shared" ref="AJ93" si="14">ROUND(AJ91*AJ92/100,1)</f>
        <v>0</v>
      </c>
      <c r="AK93" s="486"/>
      <c r="AL93" s="486"/>
      <c r="AM93" s="475"/>
      <c r="AN93" s="485">
        <f t="shared" ref="AN93" si="15">ROUND(AN91*AN92/100,1)</f>
        <v>0</v>
      </c>
      <c r="AO93" s="486"/>
      <c r="AP93" s="486"/>
      <c r="AQ93" s="475"/>
      <c r="AR93" s="485">
        <f t="shared" ref="AR93" si="16">ROUND(AR91*AR92/100,1)</f>
        <v>0</v>
      </c>
      <c r="AS93" s="486"/>
      <c r="AT93" s="486"/>
      <c r="AU93" s="475"/>
      <c r="AV93" s="485">
        <f t="shared" ref="AV93" si="17">ROUND(AV91*AV92/100,1)</f>
        <v>0</v>
      </c>
      <c r="AW93" s="486"/>
      <c r="AX93" s="486"/>
      <c r="AY93" s="475"/>
      <c r="AZ93" s="485">
        <f>SUM(AB93:AY93)</f>
        <v>0</v>
      </c>
      <c r="BA93" s="490"/>
      <c r="BB93" s="490"/>
      <c r="BC93" s="491"/>
      <c r="BD93"/>
      <c r="BE93"/>
    </row>
    <row r="94" spans="1:105" ht="20.25" customHeight="1">
      <c r="A94" s="842"/>
      <c r="B94" s="553"/>
      <c r="C94" s="524" t="s">
        <v>369</v>
      </c>
      <c r="D94" s="486"/>
      <c r="E94" s="475"/>
      <c r="F94" s="544"/>
      <c r="G94" s="544"/>
      <c r="H94" s="544"/>
      <c r="I94" s="544"/>
      <c r="J94" s="544"/>
      <c r="K94" s="544"/>
      <c r="L94" s="524" t="s">
        <v>382</v>
      </c>
      <c r="M94" s="525"/>
      <c r="N94" s="525"/>
      <c r="O94" s="526"/>
      <c r="P94" s="530"/>
      <c r="Q94" s="531"/>
      <c r="R94" s="532"/>
      <c r="S94"/>
      <c r="T94"/>
      <c r="U94" s="927"/>
      <c r="V94" s="514" t="s">
        <v>242</v>
      </c>
      <c r="W94" s="521"/>
      <c r="X94" s="521"/>
      <c r="Y94" s="521"/>
      <c r="Z94" s="486"/>
      <c r="AA94" s="486"/>
      <c r="AB94" s="485" t="str">
        <f>IF(AB93=0,"",ROUND(AB93/0.95*0.8157,1))</f>
        <v/>
      </c>
      <c r="AC94" s="486"/>
      <c r="AD94" s="486"/>
      <c r="AE94" s="475"/>
      <c r="AF94" s="485" t="str">
        <f t="shared" ref="AF94" si="18">IF(AF93=0,"",ROUND(AF93/0.95*0.8157,1))</f>
        <v/>
      </c>
      <c r="AG94" s="486"/>
      <c r="AH94" s="486"/>
      <c r="AI94" s="475"/>
      <c r="AJ94" s="485" t="str">
        <f t="shared" ref="AJ94" si="19">IF(AJ93=0,"",ROUND(AJ93/0.95*0.8157,1))</f>
        <v/>
      </c>
      <c r="AK94" s="486"/>
      <c r="AL94" s="486"/>
      <c r="AM94" s="475"/>
      <c r="AN94" s="485" t="str">
        <f t="shared" ref="AN94" si="20">IF(AN93=0,"",ROUND(AN93/0.95*0.8157,1))</f>
        <v/>
      </c>
      <c r="AO94" s="486"/>
      <c r="AP94" s="486"/>
      <c r="AQ94" s="475"/>
      <c r="AR94" s="485" t="str">
        <f t="shared" ref="AR94" si="21">IF(AR93=0,"",ROUND(AR93/0.95*0.8157,1))</f>
        <v/>
      </c>
      <c r="AS94" s="486"/>
      <c r="AT94" s="486"/>
      <c r="AU94" s="475"/>
      <c r="AV94" s="485" t="str">
        <f t="shared" ref="AV94" si="22">IF(AV93=0,"",ROUND(AV93/0.95*0.8157,1))</f>
        <v/>
      </c>
      <c r="AW94" s="486"/>
      <c r="AX94" s="486"/>
      <c r="AY94" s="475"/>
      <c r="AZ94" s="485" t="str">
        <f>IF(SUM(AB94:AY94)=0,"",SUM(AB94:AY94))</f>
        <v/>
      </c>
      <c r="BA94" s="490"/>
      <c r="BB94" s="490"/>
      <c r="BC94" s="491"/>
      <c r="BD94"/>
      <c r="BE94"/>
    </row>
    <row r="95" spans="1:105" ht="19.350000000000001" customHeight="1">
      <c r="A95" s="842"/>
      <c r="B95" s="553"/>
      <c r="C95" s="524" t="s">
        <v>370</v>
      </c>
      <c r="D95" s="486"/>
      <c r="E95" s="475"/>
      <c r="F95" s="544"/>
      <c r="G95" s="544"/>
      <c r="H95" s="544"/>
      <c r="I95" s="544"/>
      <c r="J95" s="544"/>
      <c r="K95" s="544"/>
      <c r="L95" s="524" t="s">
        <v>383</v>
      </c>
      <c r="M95" s="525"/>
      <c r="N95" s="525"/>
      <c r="O95" s="526"/>
      <c r="P95" s="530"/>
      <c r="Q95" s="531"/>
      <c r="R95" s="532"/>
      <c r="S95"/>
      <c r="T95"/>
      <c r="U95" s="927"/>
      <c r="V95" s="522" t="s">
        <v>393</v>
      </c>
      <c r="W95" s="498"/>
      <c r="X95" s="498"/>
      <c r="Y95" s="498"/>
      <c r="Z95" s="490"/>
      <c r="AA95" s="490"/>
      <c r="AB95" s="510" t="str">
        <f>IF($Y$68="","",ROUND(AB93*1000/$Y$68,1))</f>
        <v/>
      </c>
      <c r="AC95" s="511"/>
      <c r="AD95" s="511"/>
      <c r="AE95" s="512"/>
      <c r="AF95" s="510" t="str">
        <f t="shared" ref="AF95" si="23">IF($Y$68="","",ROUND(AF93*1000/$Y$68,1))</f>
        <v/>
      </c>
      <c r="AG95" s="511"/>
      <c r="AH95" s="511"/>
      <c r="AI95" s="512"/>
      <c r="AJ95" s="510" t="str">
        <f t="shared" ref="AJ95" si="24">IF($Y$68="","",ROUND(AJ93*1000/$Y$68,1))</f>
        <v/>
      </c>
      <c r="AK95" s="511"/>
      <c r="AL95" s="511"/>
      <c r="AM95" s="512"/>
      <c r="AN95" s="510" t="str">
        <f t="shared" ref="AN95" si="25">IF($Y$68="","",ROUND(AN93*1000/$Y$68,1))</f>
        <v/>
      </c>
      <c r="AO95" s="511"/>
      <c r="AP95" s="511"/>
      <c r="AQ95" s="512"/>
      <c r="AR95" s="510" t="str">
        <f t="shared" ref="AR95" si="26">IF($Y$68="","",ROUND(AR93*1000/$Y$68,1))</f>
        <v/>
      </c>
      <c r="AS95" s="511"/>
      <c r="AT95" s="511"/>
      <c r="AU95" s="512"/>
      <c r="AV95" s="510" t="str">
        <f t="shared" ref="AV95" si="27">IF($Y$68="","",ROUND(AV93*1000/$Y$68,1))</f>
        <v/>
      </c>
      <c r="AW95" s="511"/>
      <c r="AX95" s="511"/>
      <c r="AY95" s="512"/>
      <c r="AZ95" s="499" t="str">
        <f>IF(AB95="","",SUM(AB95:AY95))</f>
        <v/>
      </c>
      <c r="BA95" s="500"/>
      <c r="BB95" s="500"/>
      <c r="BC95" s="501"/>
      <c r="BD95"/>
      <c r="BE95"/>
    </row>
    <row r="96" spans="1:105" ht="20.25" customHeight="1">
      <c r="A96" s="842"/>
      <c r="B96" s="553"/>
      <c r="C96" s="524" t="s">
        <v>371</v>
      </c>
      <c r="D96" s="486"/>
      <c r="E96" s="475"/>
      <c r="F96" s="544"/>
      <c r="G96" s="544"/>
      <c r="H96" s="544"/>
      <c r="I96" s="544"/>
      <c r="J96" s="544"/>
      <c r="K96" s="544"/>
      <c r="L96" s="524" t="s">
        <v>384</v>
      </c>
      <c r="M96" s="525"/>
      <c r="N96" s="525"/>
      <c r="O96" s="526"/>
      <c r="P96" s="530"/>
      <c r="Q96" s="531"/>
      <c r="R96" s="532"/>
      <c r="S96"/>
      <c r="T96"/>
      <c r="U96" s="927"/>
      <c r="V96" s="513" t="s">
        <v>83</v>
      </c>
      <c r="W96" s="523"/>
      <c r="X96" s="523"/>
      <c r="Y96" s="523"/>
      <c r="Z96" s="486"/>
      <c r="AA96" s="486"/>
      <c r="AB96" s="474"/>
      <c r="AC96" s="486"/>
      <c r="AD96" s="486"/>
      <c r="AE96" s="421" t="s">
        <v>46</v>
      </c>
      <c r="AF96" s="474"/>
      <c r="AG96" s="486"/>
      <c r="AH96" s="486"/>
      <c r="AI96" s="421" t="s">
        <v>46</v>
      </c>
      <c r="AJ96" s="474"/>
      <c r="AK96" s="486"/>
      <c r="AL96" s="486"/>
      <c r="AM96" s="421" t="s">
        <v>46</v>
      </c>
      <c r="AN96" s="474"/>
      <c r="AO96" s="486"/>
      <c r="AP96" s="486"/>
      <c r="AQ96" s="421" t="s">
        <v>46</v>
      </c>
      <c r="AR96" s="474"/>
      <c r="AS96" s="486"/>
      <c r="AT96" s="486"/>
      <c r="AU96" s="421" t="s">
        <v>46</v>
      </c>
      <c r="AV96" s="474"/>
      <c r="AW96" s="486"/>
      <c r="AX96" s="486"/>
      <c r="AY96" s="421" t="s">
        <v>46</v>
      </c>
      <c r="AZ96" s="487"/>
      <c r="BA96" s="498"/>
      <c r="BB96" s="498"/>
      <c r="BC96" s="422" t="s">
        <v>46</v>
      </c>
      <c r="BD96"/>
      <c r="BE96"/>
    </row>
    <row r="97" spans="1:105" ht="20.25" customHeight="1">
      <c r="A97" s="842"/>
      <c r="B97" s="553"/>
      <c r="C97" s="524" t="s">
        <v>372</v>
      </c>
      <c r="D97" s="486"/>
      <c r="E97" s="475"/>
      <c r="F97" s="544"/>
      <c r="G97" s="544"/>
      <c r="H97" s="544"/>
      <c r="I97" s="544"/>
      <c r="J97" s="544"/>
      <c r="K97" s="544"/>
      <c r="L97" s="524" t="s">
        <v>385</v>
      </c>
      <c r="M97" s="525"/>
      <c r="N97" s="525"/>
      <c r="O97" s="526"/>
      <c r="P97" s="530"/>
      <c r="Q97" s="531"/>
      <c r="R97" s="532"/>
      <c r="S97"/>
      <c r="T97"/>
      <c r="U97" s="927"/>
      <c r="V97" s="513" t="s">
        <v>85</v>
      </c>
      <c r="W97" s="486"/>
      <c r="X97" s="486"/>
      <c r="Y97" s="486"/>
      <c r="Z97" s="486"/>
      <c r="AA97" s="486"/>
      <c r="AB97" s="502" t="s">
        <v>87</v>
      </c>
      <c r="AC97" s="475"/>
      <c r="AD97" s="502" t="s">
        <v>88</v>
      </c>
      <c r="AE97" s="475"/>
      <c r="AF97" s="502" t="s">
        <v>87</v>
      </c>
      <c r="AG97" s="475"/>
      <c r="AH97" s="502" t="s">
        <v>88</v>
      </c>
      <c r="AI97" s="475"/>
      <c r="AJ97" s="502" t="s">
        <v>87</v>
      </c>
      <c r="AK97" s="475"/>
      <c r="AL97" s="502" t="s">
        <v>88</v>
      </c>
      <c r="AM97" s="475"/>
      <c r="AN97" s="502" t="s">
        <v>87</v>
      </c>
      <c r="AO97" s="475"/>
      <c r="AP97" s="502" t="s">
        <v>88</v>
      </c>
      <c r="AQ97" s="475"/>
      <c r="AR97" s="502" t="s">
        <v>87</v>
      </c>
      <c r="AS97" s="475"/>
      <c r="AT97" s="502" t="s">
        <v>88</v>
      </c>
      <c r="AU97" s="475"/>
      <c r="AV97" s="502" t="s">
        <v>87</v>
      </c>
      <c r="AW97" s="475"/>
      <c r="AX97" s="502" t="s">
        <v>88</v>
      </c>
      <c r="AY97" s="475"/>
      <c r="AZ97" s="502" t="s">
        <v>87</v>
      </c>
      <c r="BA97" s="503"/>
      <c r="BB97" s="502" t="s">
        <v>88</v>
      </c>
      <c r="BC97" s="491"/>
      <c r="BD97"/>
      <c r="BE97"/>
    </row>
    <row r="98" spans="1:105" ht="20.25" customHeight="1">
      <c r="A98" s="842"/>
      <c r="B98" s="553"/>
      <c r="C98" s="555"/>
      <c r="D98" s="556"/>
      <c r="E98" s="557"/>
      <c r="F98" s="544"/>
      <c r="G98" s="544"/>
      <c r="H98" s="544"/>
      <c r="I98" s="544"/>
      <c r="J98" s="544"/>
      <c r="K98" s="544"/>
      <c r="L98" s="524" t="s">
        <v>386</v>
      </c>
      <c r="M98" s="525"/>
      <c r="N98" s="525"/>
      <c r="O98" s="526"/>
      <c r="P98" s="540"/>
      <c r="Q98" s="531"/>
      <c r="R98" s="532"/>
      <c r="S98"/>
      <c r="T98"/>
      <c r="U98" s="927"/>
      <c r="V98" s="513" t="s">
        <v>86</v>
      </c>
      <c r="W98" s="486"/>
      <c r="X98" s="486"/>
      <c r="Y98" s="486"/>
      <c r="Z98" s="486"/>
      <c r="AA98" s="486"/>
      <c r="AB98" s="474"/>
      <c r="AC98" s="475"/>
      <c r="AD98" s="474"/>
      <c r="AE98" s="475"/>
      <c r="AF98" s="474"/>
      <c r="AG98" s="475"/>
      <c r="AH98" s="474"/>
      <c r="AI98" s="475"/>
      <c r="AJ98" s="474"/>
      <c r="AK98" s="475"/>
      <c r="AL98" s="474"/>
      <c r="AM98" s="475"/>
      <c r="AN98" s="474"/>
      <c r="AO98" s="475"/>
      <c r="AP98" s="474"/>
      <c r="AQ98" s="475"/>
      <c r="AR98" s="474"/>
      <c r="AS98" s="475"/>
      <c r="AT98" s="474"/>
      <c r="AU98" s="475"/>
      <c r="AV98" s="474"/>
      <c r="AW98" s="475"/>
      <c r="AX98" s="474"/>
      <c r="AY98" s="475"/>
      <c r="AZ98" s="487"/>
      <c r="BA98" s="489"/>
      <c r="BB98" s="487"/>
      <c r="BC98" s="488"/>
      <c r="BD98"/>
      <c r="BE98"/>
    </row>
    <row r="99" spans="1:105" ht="20.25" customHeight="1">
      <c r="A99" s="842"/>
      <c r="B99" s="553"/>
      <c r="C99" s="555"/>
      <c r="D99" s="556"/>
      <c r="E99" s="557"/>
      <c r="F99" s="544"/>
      <c r="G99" s="544"/>
      <c r="H99" s="544"/>
      <c r="I99" s="544"/>
      <c r="J99" s="544"/>
      <c r="K99" s="544"/>
      <c r="L99" s="524" t="s">
        <v>387</v>
      </c>
      <c r="M99" s="525"/>
      <c r="N99" s="525"/>
      <c r="O99" s="526"/>
      <c r="P99" s="530"/>
      <c r="Q99" s="531"/>
      <c r="R99" s="532"/>
      <c r="S99"/>
      <c r="T99"/>
      <c r="U99" s="927"/>
      <c r="V99" s="513" t="s">
        <v>99</v>
      </c>
      <c r="W99" s="486"/>
      <c r="X99" s="486"/>
      <c r="Y99" s="486"/>
      <c r="Z99" s="486"/>
      <c r="AA99" s="486"/>
      <c r="AB99" s="474"/>
      <c r="AC99" s="475"/>
      <c r="AD99" s="474"/>
      <c r="AE99" s="475"/>
      <c r="AF99" s="474"/>
      <c r="AG99" s="475"/>
      <c r="AH99" s="474"/>
      <c r="AI99" s="475"/>
      <c r="AJ99" s="474"/>
      <c r="AK99" s="475"/>
      <c r="AL99" s="474"/>
      <c r="AM99" s="475"/>
      <c r="AN99" s="474"/>
      <c r="AO99" s="475"/>
      <c r="AP99" s="474"/>
      <c r="AQ99" s="475"/>
      <c r="AR99" s="474"/>
      <c r="AS99" s="475"/>
      <c r="AT99" s="474"/>
      <c r="AU99" s="475"/>
      <c r="AV99" s="474"/>
      <c r="AW99" s="475"/>
      <c r="AX99" s="474"/>
      <c r="AY99" s="475"/>
      <c r="AZ99" s="487"/>
      <c r="BA99" s="489"/>
      <c r="BB99" s="487"/>
      <c r="BC99" s="488"/>
      <c r="BD99"/>
      <c r="BE99"/>
    </row>
    <row r="100" spans="1:105" ht="20.25" customHeight="1">
      <c r="A100" s="842"/>
      <c r="B100" s="553"/>
      <c r="C100" s="555"/>
      <c r="D100" s="556"/>
      <c r="E100" s="557"/>
      <c r="F100" s="544"/>
      <c r="G100" s="544"/>
      <c r="H100" s="544"/>
      <c r="I100" s="544"/>
      <c r="J100" s="544"/>
      <c r="K100" s="544"/>
      <c r="L100" s="524" t="s">
        <v>390</v>
      </c>
      <c r="M100" s="525"/>
      <c r="N100" s="525"/>
      <c r="O100" s="526"/>
      <c r="P100" s="530"/>
      <c r="Q100" s="531"/>
      <c r="R100" s="532"/>
      <c r="S100"/>
      <c r="T100"/>
      <c r="U100" s="927"/>
      <c r="V100" s="513" t="s">
        <v>28</v>
      </c>
      <c r="W100" s="486"/>
      <c r="X100" s="486"/>
      <c r="Y100" s="486"/>
      <c r="Z100" s="486"/>
      <c r="AA100" s="486"/>
      <c r="AB100" s="474"/>
      <c r="AC100" s="475"/>
      <c r="AD100" s="474"/>
      <c r="AE100" s="475"/>
      <c r="AF100" s="474"/>
      <c r="AG100" s="475"/>
      <c r="AH100" s="474"/>
      <c r="AI100" s="475"/>
      <c r="AJ100" s="474"/>
      <c r="AK100" s="475"/>
      <c r="AL100" s="474"/>
      <c r="AM100" s="475"/>
      <c r="AN100" s="474"/>
      <c r="AO100" s="475"/>
      <c r="AP100" s="474"/>
      <c r="AQ100" s="475"/>
      <c r="AR100" s="474"/>
      <c r="AS100" s="475"/>
      <c r="AT100" s="474"/>
      <c r="AU100" s="475"/>
      <c r="AV100" s="474"/>
      <c r="AW100" s="475"/>
      <c r="AX100" s="474"/>
      <c r="AY100" s="475"/>
      <c r="AZ100" s="487"/>
      <c r="BA100" s="489"/>
      <c r="BB100" s="487"/>
      <c r="BC100" s="488"/>
      <c r="BD100"/>
      <c r="BE100"/>
    </row>
    <row r="101" spans="1:105" ht="20.25" customHeight="1">
      <c r="A101" s="842"/>
      <c r="B101" s="553"/>
      <c r="C101" s="555"/>
      <c r="D101" s="556"/>
      <c r="E101" s="557"/>
      <c r="F101" s="544"/>
      <c r="G101" s="544"/>
      <c r="H101" s="544"/>
      <c r="I101" s="544"/>
      <c r="J101" s="544"/>
      <c r="K101" s="544"/>
      <c r="L101" s="524" t="s">
        <v>388</v>
      </c>
      <c r="M101" s="525"/>
      <c r="N101" s="525"/>
      <c r="O101" s="526"/>
      <c r="P101" s="530"/>
      <c r="Q101" s="531"/>
      <c r="R101" s="532"/>
      <c r="S101"/>
      <c r="T101"/>
      <c r="U101" s="927"/>
      <c r="V101" s="513" t="s">
        <v>2</v>
      </c>
      <c r="W101" s="486"/>
      <c r="X101" s="486"/>
      <c r="Y101" s="486"/>
      <c r="Z101" s="486"/>
      <c r="AA101" s="486"/>
      <c r="AB101" s="474"/>
      <c r="AC101" s="475"/>
      <c r="AD101" s="474"/>
      <c r="AE101" s="475"/>
      <c r="AF101" s="474"/>
      <c r="AG101" s="475"/>
      <c r="AH101" s="474"/>
      <c r="AI101" s="475"/>
      <c r="AJ101" s="474"/>
      <c r="AK101" s="475"/>
      <c r="AL101" s="474"/>
      <c r="AM101" s="475"/>
      <c r="AN101" s="474"/>
      <c r="AO101" s="475"/>
      <c r="AP101" s="474"/>
      <c r="AQ101" s="475"/>
      <c r="AR101" s="474"/>
      <c r="AS101" s="475"/>
      <c r="AT101" s="474"/>
      <c r="AU101" s="475"/>
      <c r="AV101" s="474"/>
      <c r="AW101" s="475"/>
      <c r="AX101" s="474"/>
      <c r="AY101" s="475"/>
      <c r="AZ101" s="487"/>
      <c r="BA101" s="489"/>
      <c r="BB101" s="487"/>
      <c r="BC101" s="488"/>
      <c r="BD101"/>
      <c r="BE101"/>
    </row>
    <row r="102" spans="1:105" ht="19.350000000000001" customHeight="1">
      <c r="A102" s="842"/>
      <c r="B102" s="553"/>
      <c r="C102" s="555"/>
      <c r="D102" s="556"/>
      <c r="E102" s="557"/>
      <c r="F102" s="544"/>
      <c r="G102" s="544"/>
      <c r="H102" s="544"/>
      <c r="I102" s="544"/>
      <c r="J102" s="544"/>
      <c r="K102" s="544"/>
      <c r="L102" s="524" t="s">
        <v>391</v>
      </c>
      <c r="M102" s="525"/>
      <c r="N102" s="525"/>
      <c r="O102" s="526"/>
      <c r="P102" s="530"/>
      <c r="Q102" s="531"/>
      <c r="R102" s="532"/>
      <c r="S102"/>
      <c r="T102"/>
      <c r="U102" s="927"/>
      <c r="V102" s="513" t="s">
        <v>163</v>
      </c>
      <c r="W102" s="486"/>
      <c r="X102" s="486"/>
      <c r="Y102" s="486"/>
      <c r="Z102" s="486"/>
      <c r="AA102" s="486"/>
      <c r="AB102" s="474"/>
      <c r="AC102" s="475"/>
      <c r="AD102" s="474"/>
      <c r="AE102" s="475"/>
      <c r="AF102" s="474"/>
      <c r="AG102" s="475"/>
      <c r="AH102" s="474"/>
      <c r="AI102" s="475"/>
      <c r="AJ102" s="474"/>
      <c r="AK102" s="475"/>
      <c r="AL102" s="474"/>
      <c r="AM102" s="475"/>
      <c r="AN102" s="474"/>
      <c r="AO102" s="475"/>
      <c r="AP102" s="474"/>
      <c r="AQ102" s="475"/>
      <c r="AR102" s="474"/>
      <c r="AS102" s="475"/>
      <c r="AT102" s="474"/>
      <c r="AU102" s="475"/>
      <c r="AV102" s="474"/>
      <c r="AW102" s="475"/>
      <c r="AX102" s="474"/>
      <c r="AY102" s="475"/>
      <c r="AZ102" s="487"/>
      <c r="BA102" s="489"/>
      <c r="BB102" s="487"/>
      <c r="BC102" s="488"/>
      <c r="BD102"/>
      <c r="BE102"/>
    </row>
    <row r="103" spans="1:105" ht="19.350000000000001" customHeight="1">
      <c r="A103" s="842"/>
      <c r="B103" s="553"/>
      <c r="C103" s="555"/>
      <c r="D103" s="556"/>
      <c r="E103" s="557"/>
      <c r="F103" s="544"/>
      <c r="G103" s="544"/>
      <c r="H103" s="544"/>
      <c r="I103" s="544"/>
      <c r="J103" s="544"/>
      <c r="K103" s="544"/>
      <c r="L103" s="524" t="s">
        <v>386</v>
      </c>
      <c r="M103" s="525"/>
      <c r="N103" s="525"/>
      <c r="O103" s="526"/>
      <c r="P103" s="540"/>
      <c r="Q103" s="531"/>
      <c r="R103" s="532"/>
      <c r="S103"/>
      <c r="T103"/>
      <c r="U103" s="927"/>
      <c r="V103" s="514" t="s">
        <v>243</v>
      </c>
      <c r="W103" s="515"/>
      <c r="X103" s="515"/>
      <c r="Y103" s="515"/>
      <c r="Z103" s="486"/>
      <c r="AA103" s="486"/>
      <c r="AB103" s="485" t="str">
        <f>IF(AB102=0,"",IF(AD102=0,"",AD102-AB102))</f>
        <v/>
      </c>
      <c r="AC103" s="486"/>
      <c r="AD103" s="486"/>
      <c r="AE103" s="475"/>
      <c r="AF103" s="485" t="str">
        <f>IF(AF102=0,"",IF(AH102=0,"",AH102-AF102))</f>
        <v/>
      </c>
      <c r="AG103" s="486"/>
      <c r="AH103" s="486"/>
      <c r="AI103" s="475"/>
      <c r="AJ103" s="485" t="str">
        <f>IF(AJ102=0,"",IF(AL102=0,"",AL102-AJ102))</f>
        <v/>
      </c>
      <c r="AK103" s="486"/>
      <c r="AL103" s="486"/>
      <c r="AM103" s="475"/>
      <c r="AN103" s="485" t="str">
        <f>IF(AN102=0,"",IF(AP102=0,"",AP102-AN102))</f>
        <v/>
      </c>
      <c r="AO103" s="486"/>
      <c r="AP103" s="486"/>
      <c r="AQ103" s="475"/>
      <c r="AR103" s="485" t="str">
        <f>IF(AR102=0,"",IF(AT102=0,"",AT102-AR102))</f>
        <v/>
      </c>
      <c r="AS103" s="486"/>
      <c r="AT103" s="486"/>
      <c r="AU103" s="475"/>
      <c r="AV103" s="485" t="str">
        <f>IF(AV102=0,"",IF(AX102=0,"",AX102-AV102))</f>
        <v/>
      </c>
      <c r="AW103" s="486"/>
      <c r="AX103" s="486"/>
      <c r="AY103" s="475"/>
      <c r="AZ103" s="485" t="str">
        <f>IF(AB103="","",SUM(AB103:AY103))</f>
        <v/>
      </c>
      <c r="BA103" s="490"/>
      <c r="BB103" s="490"/>
      <c r="BC103" s="491"/>
      <c r="BD103"/>
      <c r="BE103"/>
    </row>
    <row r="104" spans="1:105" ht="19.350000000000001" customHeight="1" thickBot="1">
      <c r="A104" s="842"/>
      <c r="B104" s="554"/>
      <c r="C104" s="524" t="s">
        <v>373</v>
      </c>
      <c r="D104" s="486"/>
      <c r="E104" s="475"/>
      <c r="F104" s="524"/>
      <c r="G104" s="486"/>
      <c r="H104" s="475"/>
      <c r="I104" s="544"/>
      <c r="J104" s="544"/>
      <c r="K104" s="544"/>
      <c r="L104" s="524" t="s">
        <v>387</v>
      </c>
      <c r="M104" s="525"/>
      <c r="N104" s="525"/>
      <c r="O104" s="526"/>
      <c r="P104" s="530"/>
      <c r="Q104" s="531"/>
      <c r="R104" s="532"/>
      <c r="S104"/>
      <c r="T104"/>
      <c r="U104" s="928"/>
      <c r="V104" s="516" t="s">
        <v>244</v>
      </c>
      <c r="W104" s="517"/>
      <c r="X104" s="517"/>
      <c r="Y104" s="517"/>
      <c r="Z104" s="483"/>
      <c r="AA104" s="483"/>
      <c r="AB104" s="482" t="str">
        <f>IF(AB102=0,"",IF(AD102=0,"",ROUND(AB103/AD102*100,1)))</f>
        <v/>
      </c>
      <c r="AC104" s="483"/>
      <c r="AD104" s="483"/>
      <c r="AE104" s="484"/>
      <c r="AF104" s="482" t="str">
        <f>IF(AF102=0,"",IF(AH102=0,"",ROUND(AF103/AH102*100,1)))</f>
        <v/>
      </c>
      <c r="AG104" s="483"/>
      <c r="AH104" s="483"/>
      <c r="AI104" s="484"/>
      <c r="AJ104" s="482" t="str">
        <f>IF(AJ102=0,"",IF(AL102=0,"",ROUND(AJ103/AL102*100,1)))</f>
        <v/>
      </c>
      <c r="AK104" s="483"/>
      <c r="AL104" s="483"/>
      <c r="AM104" s="484"/>
      <c r="AN104" s="482" t="str">
        <f>IF(AN102=0,"",IF(AP102=0,"",ROUND(AN103/AP102*100,1)))</f>
        <v/>
      </c>
      <c r="AO104" s="483"/>
      <c r="AP104" s="483"/>
      <c r="AQ104" s="484"/>
      <c r="AR104" s="482" t="str">
        <f>IF(AR102=0,"",IF(AT102=0,"",ROUND(AR103/AT102*100,1)))</f>
        <v/>
      </c>
      <c r="AS104" s="483"/>
      <c r="AT104" s="483"/>
      <c r="AU104" s="484"/>
      <c r="AV104" s="482" t="str">
        <f>IF(AV102=0,"",IF(AX102=0,"",ROUND(AV103/AX102*100,1)))</f>
        <v/>
      </c>
      <c r="AW104" s="483"/>
      <c r="AX104" s="483"/>
      <c r="AY104" s="484"/>
      <c r="AZ104" s="504"/>
      <c r="BA104" s="505"/>
      <c r="BB104" s="505"/>
      <c r="BC104" s="506"/>
      <c r="BD104"/>
      <c r="BE104"/>
    </row>
    <row r="105" spans="1:105" ht="19.350000000000001" customHeight="1" thickBot="1">
      <c r="A105" s="843"/>
      <c r="B105" s="866" t="s">
        <v>375</v>
      </c>
      <c r="C105" s="505"/>
      <c r="D105" s="505"/>
      <c r="E105" s="484"/>
      <c r="F105" s="547" t="str">
        <f>IF(SUM(F92:H103)=0,"",SUM(F92:H103))</f>
        <v/>
      </c>
      <c r="G105" s="547"/>
      <c r="H105" s="547"/>
      <c r="I105" s="547" t="str">
        <f>IF(SUM(I92:K104)=0,"",SUM(I92:K103))</f>
        <v/>
      </c>
      <c r="J105" s="547"/>
      <c r="K105" s="547"/>
      <c r="L105" s="527" t="s">
        <v>390</v>
      </c>
      <c r="M105" s="528"/>
      <c r="N105" s="528"/>
      <c r="O105" s="529"/>
      <c r="P105" s="541"/>
      <c r="Q105" s="542"/>
      <c r="R105" s="543"/>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row>
    <row r="106" spans="1:105" ht="19.350000000000001" customHeight="1">
      <c r="A106" s="443"/>
      <c r="B106" s="444"/>
      <c r="C106" s="444"/>
      <c r="D106" s="444"/>
      <c r="E106" s="183"/>
      <c r="F106" s="432"/>
      <c r="G106" s="432"/>
      <c r="H106" s="432"/>
      <c r="I106" s="432"/>
      <c r="J106" s="432"/>
      <c r="K106" s="432"/>
      <c r="L106" s="432"/>
      <c r="M106" s="432"/>
      <c r="N106" s="432"/>
      <c r="O106" s="432"/>
      <c r="P106" s="432"/>
      <c r="Q106" s="432"/>
      <c r="R106" s="432"/>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row>
    <row r="107" spans="1:105" ht="20.25" customHeight="1" thickBot="1">
      <c r="A107" s="59"/>
      <c r="B107" s="49"/>
      <c r="C107" s="49"/>
      <c r="J107" s="433" t="s">
        <v>410</v>
      </c>
      <c r="Z107" s="433" t="s">
        <v>410</v>
      </c>
      <c r="AP107" s="50"/>
      <c r="AQ107" s="50"/>
      <c r="AR107" s="50"/>
      <c r="AS107" s="50"/>
      <c r="AT107" s="50"/>
      <c r="AU107" s="50"/>
      <c r="AV107" s="50"/>
      <c r="AW107" s="50"/>
      <c r="AX107" s="50"/>
      <c r="AY107" s="50"/>
      <c r="AZ107" s="50"/>
      <c r="BA107" s="50"/>
      <c r="BB107" s="50"/>
    </row>
    <row r="108" spans="1:105" ht="20.25" customHeight="1">
      <c r="E108" s="914" t="s">
        <v>98</v>
      </c>
      <c r="F108" s="853" t="s">
        <v>107</v>
      </c>
      <c r="G108" s="854"/>
      <c r="H108" s="854"/>
      <c r="I108" s="476"/>
      <c r="J108" s="477"/>
      <c r="K108" s="477"/>
      <c r="L108" s="476"/>
      <c r="M108" s="477"/>
      <c r="N108" s="477"/>
      <c r="O108" s="476"/>
      <c r="P108" s="477"/>
      <c r="Q108" s="480"/>
      <c r="S108" s="419"/>
      <c r="T108" s="419"/>
      <c r="U108" s="855" t="s">
        <v>105</v>
      </c>
      <c r="V108" s="854" t="s">
        <v>106</v>
      </c>
      <c r="W108" s="854"/>
      <c r="X108" s="854"/>
      <c r="Y108" s="858"/>
      <c r="Z108" s="859"/>
      <c r="AA108" s="859"/>
      <c r="AB108" s="860"/>
      <c r="AC108" s="861"/>
      <c r="AD108" s="861"/>
      <c r="AE108" s="862"/>
      <c r="AF108" s="671"/>
      <c r="AG108" s="671"/>
      <c r="AH108" s="854" t="s">
        <v>115</v>
      </c>
      <c r="AI108" s="854"/>
      <c r="AJ108" s="863"/>
      <c r="AK108" s="419"/>
      <c r="AL108" s="419"/>
      <c r="AM108" s="914" t="s">
        <v>111</v>
      </c>
      <c r="AN108" s="663" t="s">
        <v>108</v>
      </c>
      <c r="AO108" s="663"/>
      <c r="AP108" s="663"/>
      <c r="AQ108" s="663"/>
      <c r="AR108" s="859"/>
      <c r="AS108" s="859"/>
      <c r="AT108" s="969"/>
      <c r="AU108" s="419"/>
      <c r="AV108" s="419"/>
      <c r="AW108" s="419"/>
      <c r="AX108"/>
      <c r="AY108"/>
      <c r="AZ108" s="419"/>
      <c r="BA108" s="419"/>
      <c r="BB108" s="419"/>
      <c r="BC108" s="419"/>
      <c r="BD108" s="419"/>
      <c r="BE108" s="419"/>
      <c r="CV108" s="419"/>
      <c r="CW108" s="419"/>
      <c r="CX108" s="419"/>
      <c r="CY108" s="419"/>
      <c r="CZ108" s="419"/>
      <c r="DA108" s="419"/>
    </row>
    <row r="109" spans="1:105" ht="20.25" customHeight="1">
      <c r="E109" s="915"/>
      <c r="F109" s="711" t="s">
        <v>83</v>
      </c>
      <c r="G109" s="778"/>
      <c r="H109" s="778"/>
      <c r="I109" s="478"/>
      <c r="J109" s="478"/>
      <c r="K109" s="423" t="s">
        <v>46</v>
      </c>
      <c r="L109" s="478"/>
      <c r="M109" s="478"/>
      <c r="N109" s="423" t="s">
        <v>46</v>
      </c>
      <c r="O109" s="478"/>
      <c r="P109" s="478"/>
      <c r="Q109" s="424" t="s">
        <v>46</v>
      </c>
      <c r="S109" s="419"/>
      <c r="T109" s="419"/>
      <c r="U109" s="856"/>
      <c r="V109" s="778" t="s">
        <v>83</v>
      </c>
      <c r="W109" s="778"/>
      <c r="X109" s="778"/>
      <c r="Y109" s="923"/>
      <c r="Z109" s="924"/>
      <c r="AA109" s="209" t="s">
        <v>46</v>
      </c>
      <c r="AB109" s="925"/>
      <c r="AC109" s="924"/>
      <c r="AD109" s="208" t="s">
        <v>46</v>
      </c>
      <c r="AE109" s="923"/>
      <c r="AF109" s="924"/>
      <c r="AG109" s="209" t="s">
        <v>46</v>
      </c>
      <c r="AH109" s="864"/>
      <c r="AI109" s="864"/>
      <c r="AJ109" s="865"/>
      <c r="AK109" s="419"/>
      <c r="AL109" s="419"/>
      <c r="AM109" s="915"/>
      <c r="AN109" s="570" t="s">
        <v>109</v>
      </c>
      <c r="AO109" s="570"/>
      <c r="AP109" s="570"/>
      <c r="AQ109" s="570"/>
      <c r="AR109" s="911"/>
      <c r="AS109" s="911"/>
      <c r="AT109" s="912"/>
      <c r="AU109" s="419"/>
      <c r="AV109" s="419"/>
      <c r="AW109" s="419"/>
      <c r="AX109"/>
      <c r="AY109"/>
      <c r="AZ109" s="419"/>
      <c r="BA109" s="419"/>
      <c r="BB109" s="419"/>
      <c r="BC109" s="419"/>
      <c r="BD109" s="419"/>
      <c r="BE109" s="419"/>
      <c r="CV109" s="419"/>
      <c r="CW109" s="419"/>
      <c r="CX109" s="419"/>
      <c r="CY109" s="419"/>
      <c r="CZ109" s="419"/>
      <c r="DA109" s="419"/>
    </row>
    <row r="110" spans="1:105" ht="20.25" customHeight="1">
      <c r="E110" s="915"/>
      <c r="F110" s="711" t="s">
        <v>86</v>
      </c>
      <c r="G110" s="778"/>
      <c r="H110" s="778"/>
      <c r="I110" s="479"/>
      <c r="J110" s="479"/>
      <c r="K110" s="479"/>
      <c r="L110" s="479"/>
      <c r="M110" s="479"/>
      <c r="N110" s="479"/>
      <c r="O110" s="479"/>
      <c r="P110" s="479"/>
      <c r="Q110" s="481"/>
      <c r="S110" s="419"/>
      <c r="T110" s="419"/>
      <c r="U110" s="856"/>
      <c r="V110" s="778" t="s">
        <v>86</v>
      </c>
      <c r="W110" s="778"/>
      <c r="X110" s="778"/>
      <c r="Y110" s="825"/>
      <c r="Z110" s="825"/>
      <c r="AA110" s="825"/>
      <c r="AB110" s="825"/>
      <c r="AC110" s="825"/>
      <c r="AD110" s="825"/>
      <c r="AE110" s="479"/>
      <c r="AF110" s="479"/>
      <c r="AG110" s="479"/>
      <c r="AH110" s="864"/>
      <c r="AI110" s="864"/>
      <c r="AJ110" s="865"/>
      <c r="AK110" s="419"/>
      <c r="AL110" s="419"/>
      <c r="AM110" s="915"/>
      <c r="AN110" s="570" t="s">
        <v>173</v>
      </c>
      <c r="AO110" s="570"/>
      <c r="AP110" s="570"/>
      <c r="AQ110" s="570"/>
      <c r="AR110" s="917" t="str">
        <f>IF(AR108="","",AR108-AR109)</f>
        <v/>
      </c>
      <c r="AS110" s="917"/>
      <c r="AT110" s="918"/>
      <c r="AU110" s="419"/>
      <c r="AV110" s="419"/>
      <c r="AW110" s="419"/>
      <c r="AX110"/>
      <c r="AY110"/>
      <c r="AZ110" s="419"/>
      <c r="BA110" s="419"/>
      <c r="BB110" s="419"/>
      <c r="BC110" s="419"/>
      <c r="BD110" s="419"/>
      <c r="BE110" s="419"/>
      <c r="CV110" s="419"/>
      <c r="CW110" s="419"/>
      <c r="CX110" s="419"/>
      <c r="CY110" s="419"/>
      <c r="CZ110" s="419"/>
      <c r="DA110" s="419"/>
    </row>
    <row r="111" spans="1:105" ht="20.25" customHeight="1">
      <c r="E111" s="915"/>
      <c r="F111" s="711" t="s">
        <v>99</v>
      </c>
      <c r="G111" s="778"/>
      <c r="H111" s="778"/>
      <c r="I111" s="479"/>
      <c r="J111" s="479"/>
      <c r="K111" s="479"/>
      <c r="L111" s="479"/>
      <c r="M111" s="479"/>
      <c r="N111" s="479"/>
      <c r="O111" s="479"/>
      <c r="P111" s="479"/>
      <c r="Q111" s="481"/>
      <c r="S111" s="419"/>
      <c r="T111" s="419"/>
      <c r="U111" s="856"/>
      <c r="V111" s="778" t="s">
        <v>99</v>
      </c>
      <c r="W111" s="778"/>
      <c r="X111" s="778"/>
      <c r="Y111" s="825"/>
      <c r="Z111" s="825"/>
      <c r="AA111" s="825"/>
      <c r="AB111" s="825"/>
      <c r="AC111" s="825"/>
      <c r="AD111" s="825"/>
      <c r="AE111" s="479"/>
      <c r="AF111" s="479"/>
      <c r="AG111" s="479"/>
      <c r="AH111" s="864"/>
      <c r="AI111" s="864"/>
      <c r="AJ111" s="865"/>
      <c r="AK111" s="419"/>
      <c r="AL111" s="419"/>
      <c r="AM111" s="915"/>
      <c r="AN111" s="570" t="s">
        <v>110</v>
      </c>
      <c r="AO111" s="570"/>
      <c r="AP111" s="570"/>
      <c r="AQ111" s="570"/>
      <c r="AR111" s="911"/>
      <c r="AS111" s="911"/>
      <c r="AT111" s="912"/>
      <c r="AU111" s="419"/>
      <c r="AV111" s="419"/>
      <c r="AW111" s="419"/>
      <c r="AX111"/>
      <c r="AY111"/>
      <c r="AZ111"/>
      <c r="BA111" s="419"/>
      <c r="BB111" s="419"/>
      <c r="BC111" s="419"/>
      <c r="BD111" s="419"/>
      <c r="BE111" s="419"/>
    </row>
    <row r="112" spans="1:105" ht="20.25" customHeight="1" thickBot="1">
      <c r="E112" s="915"/>
      <c r="F112" s="711" t="s">
        <v>163</v>
      </c>
      <c r="G112" s="778"/>
      <c r="H112" s="778"/>
      <c r="I112" s="479"/>
      <c r="J112" s="479"/>
      <c r="K112" s="479"/>
      <c r="L112" s="479"/>
      <c r="M112" s="479"/>
      <c r="N112" s="479"/>
      <c r="O112" s="479"/>
      <c r="P112" s="479"/>
      <c r="Q112" s="481"/>
      <c r="S112" s="419"/>
      <c r="T112" s="419"/>
      <c r="U112" s="856"/>
      <c r="V112" s="778" t="s">
        <v>163</v>
      </c>
      <c r="W112" s="778"/>
      <c r="X112" s="778"/>
      <c r="Y112" s="825"/>
      <c r="Z112" s="825"/>
      <c r="AA112" s="825"/>
      <c r="AB112" s="825"/>
      <c r="AC112" s="825"/>
      <c r="AD112" s="825"/>
      <c r="AE112" s="479"/>
      <c r="AF112" s="479"/>
      <c r="AG112" s="479"/>
      <c r="AH112" s="804" t="str">
        <f>IF(SUM(Y112:AG112)=0,"",SUM(Y112:AG112))</f>
        <v/>
      </c>
      <c r="AI112" s="804"/>
      <c r="AJ112" s="805"/>
      <c r="AK112" s="419"/>
      <c r="AL112" s="419"/>
      <c r="AM112" s="916"/>
      <c r="AN112" s="654" t="s">
        <v>172</v>
      </c>
      <c r="AO112" s="654"/>
      <c r="AP112" s="654"/>
      <c r="AQ112" s="654"/>
      <c r="AR112" s="632" t="str">
        <f>IF(AR110="","",IF(AR111="",ROUND(AR110/1.1,1),ROUND(AR110/AR111,1)))</f>
        <v/>
      </c>
      <c r="AS112" s="632"/>
      <c r="AT112" s="913"/>
      <c r="AU112" s="419"/>
      <c r="AV112" s="419"/>
      <c r="AW112" s="419"/>
      <c r="AX112"/>
      <c r="AY112"/>
      <c r="AZ112"/>
      <c r="BA112" s="419"/>
      <c r="BB112" s="419"/>
      <c r="BC112" s="419"/>
      <c r="BD112" s="419"/>
      <c r="BE112" s="419"/>
    </row>
    <row r="113" spans="1:58" ht="19.350000000000001" customHeight="1" thickBot="1">
      <c r="E113" s="915"/>
      <c r="F113" s="711" t="s">
        <v>100</v>
      </c>
      <c r="G113" s="778"/>
      <c r="H113" s="778"/>
      <c r="I113" s="479"/>
      <c r="J113" s="479"/>
      <c r="K113" s="479"/>
      <c r="L113" s="479"/>
      <c r="M113" s="479"/>
      <c r="N113" s="479"/>
      <c r="O113" s="479"/>
      <c r="P113" s="479"/>
      <c r="Q113" s="481"/>
      <c r="S113" s="419"/>
      <c r="T113" s="419"/>
      <c r="U113" s="856"/>
      <c r="V113" s="778" t="s">
        <v>100</v>
      </c>
      <c r="W113" s="778"/>
      <c r="X113" s="778"/>
      <c r="Y113" s="825"/>
      <c r="Z113" s="825"/>
      <c r="AA113" s="825"/>
      <c r="AB113" s="825"/>
      <c r="AC113" s="825"/>
      <c r="AD113" s="825"/>
      <c r="AE113" s="479"/>
      <c r="AF113" s="479"/>
      <c r="AG113" s="479"/>
      <c r="AH113" s="778"/>
      <c r="AI113" s="778"/>
      <c r="AJ113" s="919"/>
      <c r="AK113" s="419"/>
      <c r="AL113" s="419"/>
      <c r="AM113" s="419"/>
      <c r="AN113"/>
      <c r="AO113"/>
      <c r="AP113" s="63"/>
      <c r="AQ113" s="419"/>
      <c r="AR113" s="419"/>
      <c r="AS113" s="419"/>
      <c r="AT113" s="419"/>
      <c r="AU113"/>
      <c r="AV113"/>
      <c r="AW113"/>
      <c r="AX113"/>
      <c r="AY113"/>
      <c r="AZ113"/>
      <c r="BA113" s="419"/>
      <c r="BB113" s="419"/>
      <c r="BC113" s="419"/>
      <c r="BD113" s="419"/>
      <c r="BE113" s="419"/>
    </row>
    <row r="114" spans="1:58" ht="20.25" customHeight="1">
      <c r="E114" s="915"/>
      <c r="F114" s="711" t="s">
        <v>2</v>
      </c>
      <c r="G114" s="778"/>
      <c r="H114" s="778"/>
      <c r="I114" s="479"/>
      <c r="J114" s="479"/>
      <c r="K114" s="479"/>
      <c r="L114" s="479"/>
      <c r="M114" s="479"/>
      <c r="N114" s="479"/>
      <c r="O114" s="479"/>
      <c r="P114" s="479"/>
      <c r="Q114" s="481"/>
      <c r="S114" s="419"/>
      <c r="T114" s="419"/>
      <c r="U114" s="856"/>
      <c r="V114" s="778" t="s">
        <v>2</v>
      </c>
      <c r="W114" s="778"/>
      <c r="X114" s="778"/>
      <c r="Y114" s="825"/>
      <c r="Z114" s="825"/>
      <c r="AA114" s="825"/>
      <c r="AB114" s="825"/>
      <c r="AC114" s="825"/>
      <c r="AD114" s="825"/>
      <c r="AE114" s="479"/>
      <c r="AF114" s="479"/>
      <c r="AG114" s="479"/>
      <c r="AH114" s="778"/>
      <c r="AI114" s="778"/>
      <c r="AJ114" s="919"/>
      <c r="AK114" s="419"/>
      <c r="AL114" s="419"/>
      <c r="AM114" s="943" t="s">
        <v>114</v>
      </c>
      <c r="AN114" s="518" t="s">
        <v>113</v>
      </c>
      <c r="AO114" s="519"/>
      <c r="AP114" s="519"/>
      <c r="AQ114" s="549"/>
      <c r="AR114" s="954" t="str">
        <f>IF(N30="","",IF(SUM(D71:O71)=0,"",IF(SUM(D68:O68)=0,"",ROUND((N30-SUM(D71:O71))/SUM(D68:O68),3))))</f>
        <v/>
      </c>
      <c r="AS114" s="549"/>
      <c r="AT114" s="518" t="s">
        <v>117</v>
      </c>
      <c r="AU114" s="519"/>
      <c r="AV114" s="519"/>
      <c r="AW114" s="520"/>
      <c r="AX114" s="549"/>
      <c r="AY114" s="954" t="str">
        <f>IF(AR110="","",IF(Y68="","",ROUND(AR110/Y68,3)))</f>
        <v/>
      </c>
      <c r="AZ114" s="955"/>
      <c r="BA114" s="419"/>
      <c r="BB114" s="419"/>
      <c r="BC114" s="419"/>
      <c r="BD114" s="419"/>
      <c r="BE114" s="419"/>
    </row>
    <row r="115" spans="1:58" ht="19.350000000000001" customHeight="1">
      <c r="E115" s="915"/>
      <c r="F115" s="920" t="s">
        <v>275</v>
      </c>
      <c r="G115" s="907"/>
      <c r="H115" s="907"/>
      <c r="I115" s="921" t="str">
        <f>IF(I112="","",IF(I113="","",ROUND(I112*I113/100,1)))</f>
        <v/>
      </c>
      <c r="J115" s="921"/>
      <c r="K115" s="921"/>
      <c r="L115" s="921" t="str">
        <f>IF(L112="","",IF(L113="","",ROUND(L112*L113/100,1)))</f>
        <v/>
      </c>
      <c r="M115" s="921"/>
      <c r="N115" s="921"/>
      <c r="O115" s="921" t="str">
        <f>IF(O112="","",IF(O113="","",ROUND(O112*O113/100,1)))</f>
        <v/>
      </c>
      <c r="P115" s="921"/>
      <c r="Q115" s="933"/>
      <c r="S115" s="419"/>
      <c r="T115" s="419"/>
      <c r="U115" s="856"/>
      <c r="V115" s="922" t="s">
        <v>275</v>
      </c>
      <c r="W115" s="907"/>
      <c r="X115" s="907"/>
      <c r="Y115" s="804" t="str">
        <f>IF(Y112="","",IF(Y113="","",ROUND(Y112*Y113/100,1)))</f>
        <v/>
      </c>
      <c r="Z115" s="804"/>
      <c r="AA115" s="804"/>
      <c r="AB115" s="804" t="str">
        <f>IF(AB112="","",IF(AB113="","",ROUND(AB112*AB113/100,1)))</f>
        <v/>
      </c>
      <c r="AC115" s="804"/>
      <c r="AD115" s="804"/>
      <c r="AE115" s="804" t="str">
        <f>IF(AE112="","",IF(AE113="","",ROUND(AE112*AE113/100,1)))</f>
        <v/>
      </c>
      <c r="AF115" s="804"/>
      <c r="AG115" s="804"/>
      <c r="AH115" s="804" t="str">
        <f>IF(SUM(Y115:AG115)=0,"",SUM(Y115:AG115))</f>
        <v/>
      </c>
      <c r="AI115" s="804"/>
      <c r="AJ115" s="805"/>
      <c r="AK115" s="419"/>
      <c r="AL115" s="419"/>
      <c r="AM115" s="944"/>
      <c r="AN115" s="513" t="s">
        <v>118</v>
      </c>
      <c r="AO115" s="523"/>
      <c r="AP115" s="523"/>
      <c r="AQ115" s="475"/>
      <c r="AR115" s="948" t="str">
        <f>IF(SUM(I112:Q112)=0,"",IF(Y68="","",ROUND(SUM(I112:Q112)/Y68,4)))</f>
        <v/>
      </c>
      <c r="AS115" s="475"/>
      <c r="AT115" s="513" t="s">
        <v>124</v>
      </c>
      <c r="AU115" s="523"/>
      <c r="AV115" s="523"/>
      <c r="AW115" s="486"/>
      <c r="AX115" s="475"/>
      <c r="AY115" s="948" t="str">
        <f>IF(SUM(I112:Q112)=0,"",IF(Y68="","",IF(Y71="","",IF(SUM(L112:Q112)+SUM(S33:BE33)=0,ROUND((I112-Y71-AZ91)/Y68,3),"手入力してください"))))</f>
        <v/>
      </c>
      <c r="AZ115" s="956"/>
      <c r="BA115" s="419"/>
      <c r="BB115" s="419"/>
      <c r="BC115" s="419"/>
      <c r="BD115" s="419"/>
      <c r="BE115" s="419"/>
    </row>
    <row r="116" spans="1:58" ht="19.350000000000001" customHeight="1">
      <c r="E116" s="915"/>
      <c r="F116" s="711" t="s">
        <v>0</v>
      </c>
      <c r="G116" s="778"/>
      <c r="H116" s="778"/>
      <c r="I116" s="479"/>
      <c r="J116" s="479"/>
      <c r="K116" s="479"/>
      <c r="L116" s="479"/>
      <c r="M116" s="479"/>
      <c r="N116" s="479"/>
      <c r="O116" s="479"/>
      <c r="P116" s="479"/>
      <c r="Q116" s="481"/>
      <c r="S116" s="419"/>
      <c r="T116" s="419"/>
      <c r="U116" s="856"/>
      <c r="V116" s="938" t="s">
        <v>174</v>
      </c>
      <c r="W116" s="939"/>
      <c r="X116" s="939"/>
      <c r="Y116" s="797" t="str">
        <f>IF(D205="","",ROUNDDOWN(D205+Y113*1.5848,1))</f>
        <v/>
      </c>
      <c r="Z116" s="797"/>
      <c r="AA116" s="797"/>
      <c r="AB116" s="797" t="str">
        <f>IF(G205="","",ROUNDDOWN(G205+AB113*1.5848,1))</f>
        <v/>
      </c>
      <c r="AC116" s="797"/>
      <c r="AD116" s="797"/>
      <c r="AE116" s="797" t="str">
        <f>IF(J205="","",ROUNDDOWN(J205+AE113*1.5848,1))</f>
        <v/>
      </c>
      <c r="AF116" s="797"/>
      <c r="AG116" s="797"/>
      <c r="AH116" s="778"/>
      <c r="AI116" s="778"/>
      <c r="AJ116" s="919"/>
      <c r="AK116" s="419"/>
      <c r="AL116" s="419"/>
      <c r="AM116" s="944"/>
      <c r="AN116" s="513" t="s">
        <v>119</v>
      </c>
      <c r="AO116" s="523"/>
      <c r="AP116" s="523"/>
      <c r="AQ116" s="475"/>
      <c r="AR116" s="948" t="str">
        <f>IF(AH112="","",IF(SUM(I112:Q112)=0,"",ROUND(AH112/SUM(I112:Q112),3)))</f>
        <v/>
      </c>
      <c r="AS116" s="475"/>
      <c r="AT116" s="514" t="s">
        <v>123</v>
      </c>
      <c r="AU116" s="521"/>
      <c r="AV116" s="521"/>
      <c r="AW116" s="486"/>
      <c r="AX116" s="475"/>
      <c r="AY116" s="948" t="str">
        <f>IF(AH115="","",IF(SUM(I115:Q115)=0,"",ROUND(AH115/SUM(I115:Q115),3)))</f>
        <v/>
      </c>
      <c r="AZ116" s="956"/>
      <c r="BA116" s="419"/>
      <c r="BB116" s="419"/>
      <c r="BC116" s="419"/>
      <c r="BD116" s="419"/>
      <c r="BE116" s="419"/>
    </row>
    <row r="117" spans="1:58" ht="19.350000000000001" customHeight="1" thickBot="1">
      <c r="E117" s="915"/>
      <c r="F117" s="936" t="s">
        <v>162</v>
      </c>
      <c r="G117" s="586"/>
      <c r="H117" s="586"/>
      <c r="I117" s="932" t="str">
        <f>IF(I113="","",IF(I114="","",ROUNDDOWN(D199,1)))</f>
        <v/>
      </c>
      <c r="J117" s="932"/>
      <c r="K117" s="932"/>
      <c r="L117" s="932" t="str">
        <f>IF(L113="","",IF(L114="","",ROUNDDOWN(G199,1)))</f>
        <v/>
      </c>
      <c r="M117" s="932"/>
      <c r="N117" s="932"/>
      <c r="O117" s="932" t="str">
        <f>IF(O113="","",IF(O114="","",ROUNDDOWN(J199,1)))</f>
        <v/>
      </c>
      <c r="P117" s="932"/>
      <c r="Q117" s="934"/>
      <c r="S117" s="419"/>
      <c r="T117" s="419"/>
      <c r="U117" s="857"/>
      <c r="V117" s="789" t="s">
        <v>0</v>
      </c>
      <c r="W117" s="789"/>
      <c r="X117" s="789"/>
      <c r="Y117" s="790"/>
      <c r="Z117" s="790"/>
      <c r="AA117" s="790"/>
      <c r="AB117" s="790"/>
      <c r="AC117" s="790"/>
      <c r="AD117" s="790"/>
      <c r="AE117" s="790"/>
      <c r="AF117" s="790"/>
      <c r="AG117" s="790"/>
      <c r="AH117" s="789"/>
      <c r="AI117" s="789"/>
      <c r="AJ117" s="937"/>
      <c r="AK117" s="419"/>
      <c r="AL117" s="419"/>
      <c r="AM117" s="944"/>
      <c r="AN117" s="513" t="s">
        <v>120</v>
      </c>
      <c r="AO117" s="523"/>
      <c r="AP117" s="523"/>
      <c r="AQ117" s="475"/>
      <c r="AR117" s="948" t="str">
        <f>IF(AH112="","",IF(Y68="","",ROUND(AH112/Y68,3)))</f>
        <v/>
      </c>
      <c r="AS117" s="475"/>
      <c r="AT117" s="513" t="s">
        <v>122</v>
      </c>
      <c r="AU117" s="523"/>
      <c r="AV117" s="523"/>
      <c r="AW117" s="486"/>
      <c r="AX117" s="475"/>
      <c r="AY117" s="948" t="str">
        <f>IF(Y68="","",IF(AH112="","",IF(SUM(L112:Q112)+SUM(S33:BE33)=0,ROUND((AH112-Y71-AZ91)/Y68,3),"手入力してください")))</f>
        <v/>
      </c>
      <c r="AZ117" s="956"/>
      <c r="BA117" s="419"/>
      <c r="BB117" s="419"/>
      <c r="BC117" s="419"/>
      <c r="BD117" s="419"/>
      <c r="BE117" s="419"/>
      <c r="BF117" s="419"/>
    </row>
    <row r="118" spans="1:58" ht="19.350000000000001" customHeight="1">
      <c r="E118" s="915"/>
      <c r="F118" s="929" t="s">
        <v>258</v>
      </c>
      <c r="G118" s="930"/>
      <c r="H118" s="930"/>
      <c r="I118" s="931" t="str">
        <f>IF(I113="","",IF(I114="","",D200))</f>
        <v/>
      </c>
      <c r="J118" s="931"/>
      <c r="K118" s="931"/>
      <c r="L118" s="931" t="str">
        <f>IF(L113="","",IF(L114="","",G200))</f>
        <v/>
      </c>
      <c r="M118" s="931"/>
      <c r="N118" s="931"/>
      <c r="O118" s="931" t="str">
        <f>IF(O113="","",IF(O114="","",J200))</f>
        <v/>
      </c>
      <c r="P118" s="931"/>
      <c r="Q118" s="935"/>
      <c r="S118" s="419"/>
      <c r="T118" s="419"/>
      <c r="U118" s="419"/>
      <c r="V118" s="49"/>
      <c r="W118" s="49"/>
      <c r="X118" s="49"/>
      <c r="Y118" s="49"/>
      <c r="Z118" s="49"/>
      <c r="AA118" s="49"/>
      <c r="AB118" s="419"/>
      <c r="AC118" s="419"/>
      <c r="AD118" s="419"/>
      <c r="AE118" s="419"/>
      <c r="AF118" s="419"/>
      <c r="AG118" s="419"/>
      <c r="AH118" s="419"/>
      <c r="AI118" s="419"/>
      <c r="AJ118" s="419"/>
      <c r="AK118" s="419"/>
      <c r="AL118" s="419"/>
      <c r="AM118" s="944"/>
      <c r="AN118" s="514" t="s">
        <v>127</v>
      </c>
      <c r="AO118" s="521"/>
      <c r="AP118" s="521"/>
      <c r="AQ118" s="475"/>
      <c r="AR118" s="948" t="str">
        <f>IF(Y68="","",IF(Y71="","",Y71/Y68))</f>
        <v/>
      </c>
      <c r="AS118" s="475"/>
      <c r="AT118" s="513" t="s">
        <v>121</v>
      </c>
      <c r="AU118" s="523"/>
      <c r="AV118" s="523"/>
      <c r="AW118" s="486"/>
      <c r="AX118" s="475"/>
      <c r="AY118" s="948" t="str">
        <f>IF(Y68="","",IF(Y71="","",IF(SUM(L112:Q112)+SUM(S33:BE33)=0,ROUND((Y71+AZ91)/Y68,3),"手入力してください")))</f>
        <v/>
      </c>
      <c r="AZ118" s="956"/>
      <c r="BA118" s="419"/>
      <c r="BB118" s="419"/>
      <c r="BC118" s="419"/>
      <c r="BD118" s="419"/>
      <c r="BE118" s="419"/>
    </row>
    <row r="119" spans="1:58" ht="19.350000000000001" customHeight="1" thickBot="1">
      <c r="C119" s="436"/>
      <c r="E119" s="962"/>
      <c r="F119" s="963" t="s">
        <v>404</v>
      </c>
      <c r="G119" s="963"/>
      <c r="H119" s="963"/>
      <c r="I119" s="964" t="str">
        <f>IF(SUM(L112:Q112)+SUM(S33:BE33)=0,Y68,"手入力してください")</f>
        <v/>
      </c>
      <c r="J119" s="964"/>
      <c r="K119" s="964"/>
      <c r="L119" s="965"/>
      <c r="M119" s="965"/>
      <c r="N119" s="965"/>
      <c r="O119" s="965"/>
      <c r="P119" s="965"/>
      <c r="Q119" s="966"/>
      <c r="R119" s="433" t="s">
        <v>411</v>
      </c>
      <c r="S119" s="419"/>
      <c r="T119" s="419"/>
      <c r="U119" s="419"/>
      <c r="V119" s="419"/>
      <c r="W119" s="419"/>
      <c r="X119" s="419"/>
      <c r="Y119" s="419"/>
      <c r="Z119" s="419"/>
      <c r="AA119" s="419"/>
      <c r="AB119" s="419"/>
      <c r="AC119" s="419"/>
      <c r="AD119" s="419"/>
      <c r="AE119" s="419"/>
      <c r="AF119" s="419"/>
      <c r="AG119" s="419"/>
      <c r="AH119" s="419"/>
      <c r="AI119" s="419"/>
      <c r="AJ119" s="419"/>
      <c r="AK119" s="419"/>
      <c r="AL119" s="419"/>
      <c r="AM119" s="945"/>
      <c r="AN119" s="940" t="s">
        <v>394</v>
      </c>
      <c r="AO119" s="941"/>
      <c r="AP119" s="941"/>
      <c r="AQ119" s="942"/>
      <c r="AR119" s="949" t="str">
        <f>IF(ISERROR((SUM(I112:Q112)-AH112-AR112)/SUM(I112:Q112)*1000),"",(SUM(I112:Q112)-AH112-AR112)/SUM(I112:Q112)*1000)</f>
        <v/>
      </c>
      <c r="AS119" s="950"/>
      <c r="AT119" s="951" t="s">
        <v>395</v>
      </c>
      <c r="AU119" s="952"/>
      <c r="AV119" s="952"/>
      <c r="AW119" s="952"/>
      <c r="AX119" s="953"/>
      <c r="AY119" s="949" t="str">
        <f>IF(AH115="","",IF(Y68="","",IF(SUM(L112:Q112)+SUM(S33:BE33)=0,(AH115-AZ93)/Y68*1000,"手入力してください")))</f>
        <v/>
      </c>
      <c r="AZ119" s="957"/>
      <c r="BA119" s="419"/>
      <c r="BB119" s="419"/>
      <c r="BC119" s="419"/>
      <c r="BD119" s="419"/>
      <c r="BE119" s="419"/>
    </row>
    <row r="120" spans="1:58" ht="19.350000000000001" customHeight="1" thickBot="1">
      <c r="B120" s="430"/>
      <c r="C120" s="430"/>
      <c r="D120" s="430"/>
      <c r="E120" s="430"/>
      <c r="F120" s="430"/>
      <c r="G120" s="430"/>
      <c r="H120" s="430"/>
      <c r="I120" s="430"/>
      <c r="J120" s="430"/>
      <c r="K120" s="430"/>
      <c r="L120" s="430"/>
      <c r="M120" s="430"/>
      <c r="N120" s="430"/>
      <c r="O120" s="430"/>
      <c r="P120" s="430"/>
      <c r="Q120" s="430"/>
      <c r="R120" s="63"/>
      <c r="S120" s="430"/>
      <c r="T120" s="430"/>
      <c r="U120" s="430"/>
      <c r="V120" s="430"/>
      <c r="W120" s="430"/>
      <c r="X120" s="430"/>
      <c r="Y120" s="430"/>
      <c r="Z120" s="430"/>
      <c r="AA120" s="430"/>
      <c r="AB120" s="430"/>
      <c r="AC120" s="430"/>
      <c r="AD120" s="430"/>
      <c r="AE120" s="430"/>
      <c r="AF120" s="430"/>
      <c r="AG120" s="430"/>
      <c r="AH120" s="430"/>
      <c r="AI120" s="430"/>
      <c r="AJ120" s="430"/>
      <c r="AK120" s="430"/>
      <c r="AL120" s="430"/>
      <c r="AM120" s="946"/>
      <c r="AN120" s="947" t="s">
        <v>409</v>
      </c>
      <c r="AO120" s="505"/>
      <c r="AP120" s="505"/>
      <c r="AQ120" s="505"/>
      <c r="AR120" s="958" t="str">
        <f>IF(ISERROR((Y112*Y116)/(81*180/162*Y68+1.5848*AZ93)),"",IF(SUM(L112:Q112)+SUM(AB112:AG112)=0,(Y112*Y116)/(81*180/162*Y68+1.5848*AZ93),"手入力してください"))</f>
        <v/>
      </c>
      <c r="AS120" s="959"/>
      <c r="AT120" s="527" t="s">
        <v>408</v>
      </c>
      <c r="AU120" s="505"/>
      <c r="AV120" s="505"/>
      <c r="AW120" s="505"/>
      <c r="AX120" s="505"/>
      <c r="AY120" s="960" t="str">
        <f>IF(AR120="手入力してください","手入力してください",IF(ISERROR(AR120*(AE68*D68+AE69*Y70+AE70*Y69)/(Y68*100)),"",AR120*(AE68*D68+AE69*Y70+AE70*Y69)/(Y68*100)))</f>
        <v/>
      </c>
      <c r="AZ120" s="961"/>
      <c r="BA120" s="430"/>
      <c r="BB120" s="430"/>
      <c r="BC120" s="430"/>
      <c r="BD120" s="430"/>
      <c r="BE120" s="430"/>
    </row>
    <row r="121" spans="1:58" ht="19.350000000000001" customHeight="1">
      <c r="E121" s="456" t="s">
        <v>397</v>
      </c>
      <c r="F121" s="457"/>
      <c r="G121" s="457"/>
      <c r="H121" s="460" t="s">
        <v>398</v>
      </c>
      <c r="I121" s="425" t="s">
        <v>400</v>
      </c>
      <c r="J121" s="426"/>
      <c r="K121" s="426" t="s">
        <v>399</v>
      </c>
      <c r="L121" s="462" t="s">
        <v>402</v>
      </c>
      <c r="M121" s="463"/>
      <c r="N121" s="468" t="str">
        <f>IF(L112="","",I112+L112+O112)</f>
        <v/>
      </c>
      <c r="O121" s="468"/>
      <c r="P121" s="468"/>
      <c r="Q121" s="462" t="s">
        <v>403</v>
      </c>
      <c r="R121" s="466"/>
      <c r="S121" s="463"/>
      <c r="T121" s="470" t="str">
        <f>IF(L115="","",(I112*I113+L112*L113+O112*O113)/100)</f>
        <v/>
      </c>
      <c r="U121" s="470"/>
      <c r="V121" s="471"/>
      <c r="W121" s="419"/>
      <c r="X121" s="973"/>
      <c r="Y121" s="974"/>
      <c r="Z121" s="975"/>
      <c r="AA121" s="981" t="s">
        <v>416</v>
      </c>
      <c r="AB121" s="981"/>
      <c r="AC121" s="981" t="s">
        <v>417</v>
      </c>
      <c r="AD121" s="981"/>
      <c r="AE121" s="981" t="s">
        <v>418</v>
      </c>
      <c r="AF121" s="981"/>
      <c r="AG121" s="981" t="s">
        <v>419</v>
      </c>
      <c r="AH121" s="981"/>
      <c r="AI121" s="970" t="s">
        <v>414</v>
      </c>
      <c r="AJ121" s="971"/>
      <c r="AK121" s="419"/>
      <c r="AL121" s="419"/>
      <c r="AM121" s="419"/>
      <c r="AN121" s="435" t="s">
        <v>415</v>
      </c>
      <c r="AO121" s="440"/>
      <c r="AP121" s="440"/>
      <c r="AQ121" s="440"/>
      <c r="AR121" s="440"/>
      <c r="AS121" s="440"/>
      <c r="AT121" s="440"/>
      <c r="AU121" s="440"/>
      <c r="AV121" s="440"/>
      <c r="AW121" s="440"/>
      <c r="AX121" s="440"/>
      <c r="AY121" s="440"/>
      <c r="AZ121" s="440"/>
      <c r="BA121" s="440"/>
      <c r="BB121" s="440"/>
      <c r="BC121" s="440"/>
      <c r="BD121" s="440"/>
      <c r="BE121" s="440"/>
    </row>
    <row r="122" spans="1:58" ht="19.350000000000001" customHeight="1" thickBot="1">
      <c r="E122" s="458"/>
      <c r="F122" s="459"/>
      <c r="G122" s="459"/>
      <c r="H122" s="461"/>
      <c r="I122" s="427" t="s">
        <v>401</v>
      </c>
      <c r="J122" s="428"/>
      <c r="K122" s="429" t="s">
        <v>399</v>
      </c>
      <c r="L122" s="464"/>
      <c r="M122" s="465"/>
      <c r="N122" s="469"/>
      <c r="O122" s="469"/>
      <c r="P122" s="469"/>
      <c r="Q122" s="464"/>
      <c r="R122" s="467"/>
      <c r="S122" s="465"/>
      <c r="T122" s="472"/>
      <c r="U122" s="472"/>
      <c r="V122" s="473"/>
      <c r="W122" s="419"/>
      <c r="X122" s="976" t="s">
        <v>412</v>
      </c>
      <c r="Y122" s="977"/>
      <c r="Z122" s="978"/>
      <c r="AA122" s="972" t="str">
        <f>IF(AR120="","",IF(AR120="手入力してください","",IF(AR120&gt;0.845,"かなり高い",IF(AR120&gt;0.808,"高い",IF(AR120&gt;0.756,"標準的",IF(AR120&gt;0.722,"低い","かなり低い"))))))</f>
        <v/>
      </c>
      <c r="AB122" s="972"/>
      <c r="AC122" s="972" t="str">
        <f>IF(AR120="","",IF(AR120="手入力してください","",IF(AR120&gt;0.872,"かなり高い",IF(AR120&gt;0.838,"高い",IF(AR120&gt;0.79,"標準的",IF(AR120&gt;0.744,"低い","かなり低い"))))))</f>
        <v/>
      </c>
      <c r="AD122" s="972"/>
      <c r="AE122" s="972" t="str">
        <f>IF(AR120="","",IF(AR120="手入力してください","",IF(AR120&gt;0.868,"かなり高い",IF(AR120&gt;0.844,"高い",IF(AR120&gt;0.798,"標準的",IF(AR120&gt;0.755,"低い","かなり低い"))))))</f>
        <v/>
      </c>
      <c r="AF122" s="972"/>
      <c r="AG122" s="972" t="str">
        <f>IF(AR120="","",IF(AR120="手入力してください","",IF(AR120&gt;0.883,"かなり高い",IF(AR120&gt;0.856,"高い",IF(AR120&gt;0.83,"標準的",IF(AR120&gt;0.802,"低い","かなり低い"))))))</f>
        <v/>
      </c>
      <c r="AH122" s="972"/>
      <c r="AI122" s="972" t="str">
        <f>IF(AR120="","",IF(AR120="手入力してください","",IF(AR120&gt;0.923,"高い",IF(AR120&gt;0.876,"標準的",IF(AR120&gt;0.843,"低い","かなり低い")))))</f>
        <v/>
      </c>
      <c r="AJ122" s="972"/>
      <c r="AK122" s="419"/>
      <c r="AL122" s="419"/>
      <c r="AM122" s="419"/>
      <c r="AN122" s="433" t="s">
        <v>441</v>
      </c>
      <c r="AO122" s="440"/>
      <c r="AP122" s="50"/>
      <c r="AQ122"/>
      <c r="AR122"/>
      <c r="AS122"/>
      <c r="AT122"/>
      <c r="AU122"/>
      <c r="AV122"/>
      <c r="AW122"/>
      <c r="AX122"/>
      <c r="AY122"/>
      <c r="AZ122"/>
      <c r="BA122"/>
      <c r="BB122"/>
      <c r="BC122" s="440"/>
      <c r="BD122" s="440"/>
      <c r="BE122" s="440"/>
    </row>
    <row r="123" spans="1:58" ht="20.25" customHeight="1" thickBot="1">
      <c r="A123" s="59"/>
      <c r="B123" s="49"/>
      <c r="C123" s="49"/>
      <c r="D123" s="419"/>
      <c r="E123" s="419"/>
      <c r="F123" s="419"/>
      <c r="G123" s="419"/>
      <c r="H123" s="419"/>
      <c r="I123" s="419"/>
      <c r="J123" s="419"/>
      <c r="K123" s="419"/>
      <c r="L123" s="419"/>
      <c r="M123" s="419"/>
      <c r="N123" s="419"/>
      <c r="O123" s="419"/>
      <c r="P123" s="419"/>
      <c r="Q123" s="419"/>
      <c r="R123" s="419"/>
      <c r="S123" s="419"/>
      <c r="T123" s="419"/>
      <c r="U123" s="419"/>
      <c r="V123" s="419"/>
      <c r="W123" s="419"/>
      <c r="X123" s="979" t="s">
        <v>413</v>
      </c>
      <c r="Y123" s="980"/>
      <c r="Z123" s="980"/>
      <c r="AA123" s="964" t="str">
        <f>IF(AY120="","",IF(AY120="手入力してください","",IF(AY120&gt;0.467,"かなり高い",IF(AY120&gt;0.429,"高い",IF(AY120&gt;0.377,"標準的",IF(AY120&gt;0.323,"低い","かなり低い"))))))</f>
        <v/>
      </c>
      <c r="AB123" s="964"/>
      <c r="AC123" s="964" t="str">
        <f>IF(AY120="","",IF(AY120="手入力してください","",IF(AY120&gt;0.462,"かなり高い",IF(AY120&gt;0.441,"高い",IF(AY120&gt;0.392,"標準的",IF(AY120&gt;0.337,"低い","かなり低い"))))))</f>
        <v/>
      </c>
      <c r="AD123" s="964"/>
      <c r="AE123" s="964" t="str">
        <f>IF(AY120="","",IF(AY120="手入力してください","",IF(AY120&gt;0.616,"かなり高い",IF(AY120&gt;0.589,"高い",IF(AY120&gt;0.499,"標準的",IF(AY120&gt;0.456,"低い","かなり低い"))))))</f>
        <v/>
      </c>
      <c r="AF123" s="964"/>
      <c r="AG123" s="964" t="str">
        <f>IF(AY120="","",IF(AY120="手入力してください","",IF(AY120&gt;0.612,"かなり高い",IF(AY120&gt;0.589,"高い",IF(AY120&gt;0.528,"標準的",IF(AY120&gt;0.485,"低い","かなり低い"))))))</f>
        <v/>
      </c>
      <c r="AH123" s="964"/>
      <c r="AI123" s="964" t="str">
        <f>IF(AY120="","",IF(AY120="手入力してください","",IF(AY120&gt;0.823,"かなり高い",IF(AY120&gt;0.706,"高い",IF(AY120&gt;0.633,"標準的",IF(AY120&gt;0.564,"低い","かなり低い"))))))</f>
        <v/>
      </c>
      <c r="AJ123" s="964"/>
      <c r="AK123" s="419"/>
      <c r="AL123" s="419"/>
      <c r="AM123" s="419"/>
      <c r="AN123" s="434" t="s">
        <v>442</v>
      </c>
      <c r="AO123" s="440"/>
      <c r="AP123" s="50"/>
      <c r="AQ123" s="50"/>
      <c r="AR123" s="50"/>
      <c r="AS123" s="50"/>
      <c r="AT123" s="50"/>
      <c r="AU123" s="50"/>
      <c r="AV123" s="50"/>
      <c r="AW123" s="50"/>
      <c r="AX123" s="50"/>
      <c r="AY123" s="50"/>
      <c r="AZ123" s="50"/>
      <c r="BA123" s="50"/>
      <c r="BB123" s="50"/>
      <c r="BC123" s="440"/>
      <c r="BD123" s="440"/>
      <c r="BE123" s="440"/>
    </row>
    <row r="124" spans="1:58" ht="18.600000000000001" customHeight="1">
      <c r="A124" s="59"/>
      <c r="B124" s="49"/>
      <c r="C124" s="49"/>
      <c r="I124" s="441"/>
      <c r="J124" s="441"/>
      <c r="K124" s="441"/>
      <c r="L124" s="441"/>
      <c r="M124" s="441"/>
      <c r="N124" s="441"/>
      <c r="O124" s="441"/>
      <c r="P124" s="441"/>
      <c r="Q124" s="441"/>
      <c r="R124" s="441"/>
      <c r="S124" s="441"/>
      <c r="T124" s="441"/>
      <c r="U124" s="441"/>
      <c r="V124" s="441"/>
      <c r="W124" s="441"/>
      <c r="X124" s="441"/>
      <c r="Y124" s="441"/>
      <c r="Z124" s="441"/>
      <c r="AA124" s="441"/>
      <c r="AB124" s="441"/>
      <c r="AC124" s="441"/>
      <c r="AD124" s="441"/>
      <c r="AE124" s="441"/>
      <c r="AF124" s="441"/>
      <c r="AG124" s="441"/>
      <c r="AH124" s="442" t="s">
        <v>420</v>
      </c>
      <c r="AI124" s="2" t="s">
        <v>415</v>
      </c>
      <c r="AN124" s="433" t="s">
        <v>443</v>
      </c>
      <c r="AO124" s="440"/>
      <c r="AP124" s="440"/>
      <c r="AQ124" s="440"/>
      <c r="AR124" s="440"/>
      <c r="AS124" s="440"/>
      <c r="AT124" s="440"/>
      <c r="AU124" s="440"/>
      <c r="AV124" s="440"/>
      <c r="AW124" s="440"/>
      <c r="AX124" s="440"/>
      <c r="AY124" s="440"/>
      <c r="AZ124" s="440"/>
      <c r="BA124" s="440"/>
      <c r="BB124" s="440"/>
      <c r="BC124" s="440"/>
      <c r="BD124" s="440"/>
      <c r="BE124" s="440"/>
    </row>
    <row r="125" spans="1:58" ht="18.600000000000001" customHeight="1">
      <c r="A125" s="59"/>
      <c r="B125" s="49"/>
      <c r="C125" s="49"/>
      <c r="D125" s="437"/>
      <c r="E125" s="437"/>
      <c r="F125" s="437"/>
      <c r="G125" s="437"/>
      <c r="H125" s="437"/>
      <c r="I125" s="441"/>
      <c r="J125" s="441"/>
      <c r="K125" s="441"/>
      <c r="L125" s="441"/>
      <c r="M125" s="441"/>
      <c r="N125" s="441"/>
      <c r="O125" s="441"/>
      <c r="P125" s="441"/>
      <c r="Q125" s="441"/>
      <c r="R125" s="441"/>
      <c r="S125" s="441"/>
      <c r="T125" s="441"/>
      <c r="U125" s="441"/>
      <c r="V125" s="441"/>
      <c r="W125" s="441"/>
      <c r="X125" s="441"/>
      <c r="Y125" s="441"/>
      <c r="Z125" s="441"/>
      <c r="AA125" s="441"/>
      <c r="AB125" s="441"/>
      <c r="AC125" s="441"/>
      <c r="AD125" s="441"/>
      <c r="AE125" s="441"/>
      <c r="AF125" s="441"/>
      <c r="AG125" s="441"/>
      <c r="AH125" s="442" t="s">
        <v>421</v>
      </c>
      <c r="AI125" s="437"/>
      <c r="AJ125" s="437"/>
      <c r="AK125" s="437"/>
      <c r="AL125" s="437"/>
      <c r="AM125" s="437"/>
      <c r="AN125" s="437"/>
      <c r="AO125" s="437"/>
      <c r="AP125" s="437"/>
      <c r="AQ125" s="437"/>
      <c r="AR125" s="437"/>
      <c r="AS125" s="437"/>
      <c r="AT125" s="437"/>
      <c r="AU125" s="437"/>
      <c r="AV125" s="437"/>
      <c r="AW125" s="437"/>
      <c r="AX125" s="437"/>
      <c r="AY125" s="437"/>
      <c r="AZ125" s="437"/>
      <c r="BA125" s="437"/>
      <c r="BB125" s="437"/>
      <c r="BC125" s="437"/>
      <c r="BD125" s="437"/>
      <c r="BE125" s="437"/>
    </row>
    <row r="126" spans="1:58" ht="19.5" hidden="1" customHeight="1">
      <c r="A126" t="s">
        <v>210</v>
      </c>
    </row>
    <row r="127" spans="1:58" s="4" customFormat="1" ht="18" hidden="1" customHeight="1">
      <c r="A127" s="570" t="s">
        <v>161</v>
      </c>
      <c r="B127" s="570"/>
      <c r="C127" s="570"/>
      <c r="D127" s="131"/>
      <c r="E127" s="131"/>
      <c r="F127" s="131"/>
      <c r="G127" s="131"/>
      <c r="H127" s="131"/>
      <c r="I127" s="131"/>
      <c r="J127" s="131"/>
      <c r="K127" s="131"/>
      <c r="L127" s="131"/>
      <c r="M127" s="131"/>
      <c r="N127" s="131"/>
      <c r="O127" s="131"/>
      <c r="P127" s="131"/>
      <c r="Q127" s="131"/>
      <c r="R127" s="131"/>
      <c r="S127" s="262" t="e">
        <f t="shared" ref="S127:BE127" si="28">IF(S160="",NA(),S160*S3)</f>
        <v>#N/A</v>
      </c>
      <c r="T127" s="75" t="e">
        <f t="shared" si="28"/>
        <v>#N/A</v>
      </c>
      <c r="U127" s="75" t="e">
        <f t="shared" si="28"/>
        <v>#N/A</v>
      </c>
      <c r="V127" s="75" t="e">
        <f t="shared" si="28"/>
        <v>#N/A</v>
      </c>
      <c r="W127" s="75" t="e">
        <f t="shared" si="28"/>
        <v>#N/A</v>
      </c>
      <c r="X127" s="75" t="e">
        <f t="shared" si="28"/>
        <v>#N/A</v>
      </c>
      <c r="Y127" s="75" t="e">
        <f t="shared" si="28"/>
        <v>#N/A</v>
      </c>
      <c r="Z127" s="75" t="e">
        <f t="shared" si="28"/>
        <v>#N/A</v>
      </c>
      <c r="AA127" s="75" t="e">
        <f t="shared" si="28"/>
        <v>#N/A</v>
      </c>
      <c r="AB127" s="75" t="e">
        <f t="shared" si="28"/>
        <v>#N/A</v>
      </c>
      <c r="AC127" s="75" t="e">
        <f t="shared" si="28"/>
        <v>#N/A</v>
      </c>
      <c r="AD127" s="75" t="e">
        <f t="shared" si="28"/>
        <v>#N/A</v>
      </c>
      <c r="AE127" s="75" t="e">
        <f t="shared" si="28"/>
        <v>#N/A</v>
      </c>
      <c r="AF127" s="75" t="e">
        <f t="shared" si="28"/>
        <v>#N/A</v>
      </c>
      <c r="AG127" s="75" t="e">
        <f t="shared" si="28"/>
        <v>#N/A</v>
      </c>
      <c r="AH127" s="75" t="e">
        <f t="shared" si="28"/>
        <v>#N/A</v>
      </c>
      <c r="AI127" s="75" t="e">
        <f t="shared" si="28"/>
        <v>#N/A</v>
      </c>
      <c r="AJ127" s="75" t="e">
        <f t="shared" si="28"/>
        <v>#N/A</v>
      </c>
      <c r="AK127" s="75" t="e">
        <f t="shared" si="28"/>
        <v>#N/A</v>
      </c>
      <c r="AL127" s="75" t="e">
        <f t="shared" si="28"/>
        <v>#N/A</v>
      </c>
      <c r="AM127" s="75" t="e">
        <f t="shared" si="28"/>
        <v>#N/A</v>
      </c>
      <c r="AN127" s="75" t="e">
        <f t="shared" si="28"/>
        <v>#N/A</v>
      </c>
      <c r="AO127" s="75" t="e">
        <f t="shared" si="28"/>
        <v>#N/A</v>
      </c>
      <c r="AP127" s="75" t="e">
        <f t="shared" si="28"/>
        <v>#N/A</v>
      </c>
      <c r="AQ127" s="75" t="e">
        <f t="shared" si="28"/>
        <v>#N/A</v>
      </c>
      <c r="AR127" s="75" t="e">
        <f t="shared" si="28"/>
        <v>#N/A</v>
      </c>
      <c r="AS127" s="75" t="e">
        <f t="shared" si="28"/>
        <v>#N/A</v>
      </c>
      <c r="AT127" s="75" t="e">
        <f t="shared" si="28"/>
        <v>#N/A</v>
      </c>
      <c r="AU127" s="75" t="e">
        <f t="shared" si="28"/>
        <v>#N/A</v>
      </c>
      <c r="AV127" s="75" t="e">
        <f t="shared" si="28"/>
        <v>#N/A</v>
      </c>
      <c r="AW127" s="75" t="e">
        <f t="shared" si="28"/>
        <v>#N/A</v>
      </c>
      <c r="AX127" s="75" t="e">
        <f t="shared" si="28"/>
        <v>#N/A</v>
      </c>
      <c r="AY127" s="75" t="e">
        <f t="shared" si="28"/>
        <v>#N/A</v>
      </c>
      <c r="AZ127" s="75" t="e">
        <f t="shared" si="28"/>
        <v>#N/A</v>
      </c>
      <c r="BA127" s="75" t="e">
        <f t="shared" si="28"/>
        <v>#N/A</v>
      </c>
      <c r="BB127" s="75" t="e">
        <f t="shared" si="28"/>
        <v>#N/A</v>
      </c>
      <c r="BC127" s="75" t="e">
        <f t="shared" si="28"/>
        <v>#N/A</v>
      </c>
      <c r="BD127" s="75" t="e">
        <f t="shared" si="28"/>
        <v>#N/A</v>
      </c>
      <c r="BE127" s="75" t="e">
        <f t="shared" si="28"/>
        <v>#N/A</v>
      </c>
    </row>
    <row r="128" spans="1:58" s="4" customFormat="1" ht="18" hidden="1" customHeight="1">
      <c r="A128" s="570" t="s">
        <v>3</v>
      </c>
      <c r="B128" s="570"/>
      <c r="C128" s="570"/>
      <c r="D128" s="131"/>
      <c r="E128" s="131"/>
      <c r="F128" s="131"/>
      <c r="G128" s="131"/>
      <c r="H128" s="131"/>
      <c r="I128" s="131"/>
      <c r="J128" s="131"/>
      <c r="K128" s="131"/>
      <c r="L128" s="131"/>
      <c r="M128" s="131"/>
      <c r="N128" s="131"/>
      <c r="O128" s="131"/>
      <c r="P128" s="131"/>
      <c r="Q128" s="131"/>
      <c r="R128" s="131"/>
      <c r="S128" s="262" t="e">
        <f t="shared" ref="S128:BE128" si="29">IFERROR(ROUNDDOWN((S175-S176)*260+0.21,1),NA())</f>
        <v>#N/A</v>
      </c>
      <c r="T128" s="75" t="e">
        <f t="shared" si="29"/>
        <v>#N/A</v>
      </c>
      <c r="U128" s="75" t="e">
        <f t="shared" si="29"/>
        <v>#N/A</v>
      </c>
      <c r="V128" s="75" t="e">
        <f t="shared" si="29"/>
        <v>#N/A</v>
      </c>
      <c r="W128" s="75" t="e">
        <f t="shared" si="29"/>
        <v>#N/A</v>
      </c>
      <c r="X128" s="75" t="e">
        <f t="shared" si="29"/>
        <v>#N/A</v>
      </c>
      <c r="Y128" s="75" t="e">
        <f t="shared" si="29"/>
        <v>#N/A</v>
      </c>
      <c r="Z128" s="75" t="e">
        <f t="shared" si="29"/>
        <v>#N/A</v>
      </c>
      <c r="AA128" s="75" t="e">
        <f t="shared" si="29"/>
        <v>#N/A</v>
      </c>
      <c r="AB128" s="75" t="e">
        <f t="shared" si="29"/>
        <v>#N/A</v>
      </c>
      <c r="AC128" s="75" t="e">
        <f t="shared" si="29"/>
        <v>#N/A</v>
      </c>
      <c r="AD128" s="75" t="e">
        <f t="shared" si="29"/>
        <v>#N/A</v>
      </c>
      <c r="AE128" s="75" t="e">
        <f t="shared" si="29"/>
        <v>#N/A</v>
      </c>
      <c r="AF128" s="75" t="e">
        <f t="shared" si="29"/>
        <v>#N/A</v>
      </c>
      <c r="AG128" s="75" t="e">
        <f t="shared" si="29"/>
        <v>#N/A</v>
      </c>
      <c r="AH128" s="75" t="e">
        <f t="shared" si="29"/>
        <v>#N/A</v>
      </c>
      <c r="AI128" s="75" t="e">
        <f t="shared" si="29"/>
        <v>#N/A</v>
      </c>
      <c r="AJ128" s="75" t="e">
        <f t="shared" si="29"/>
        <v>#N/A</v>
      </c>
      <c r="AK128" s="75" t="e">
        <f t="shared" si="29"/>
        <v>#N/A</v>
      </c>
      <c r="AL128" s="75" t="e">
        <f t="shared" si="29"/>
        <v>#N/A</v>
      </c>
      <c r="AM128" s="75" t="e">
        <f t="shared" si="29"/>
        <v>#N/A</v>
      </c>
      <c r="AN128" s="75" t="e">
        <f t="shared" si="29"/>
        <v>#N/A</v>
      </c>
      <c r="AO128" s="75" t="e">
        <f t="shared" si="29"/>
        <v>#N/A</v>
      </c>
      <c r="AP128" s="75" t="e">
        <f t="shared" si="29"/>
        <v>#N/A</v>
      </c>
      <c r="AQ128" s="75" t="e">
        <f t="shared" si="29"/>
        <v>#N/A</v>
      </c>
      <c r="AR128" s="75" t="e">
        <f t="shared" si="29"/>
        <v>#N/A</v>
      </c>
      <c r="AS128" s="75" t="e">
        <f t="shared" si="29"/>
        <v>#N/A</v>
      </c>
      <c r="AT128" s="75" t="e">
        <f t="shared" si="29"/>
        <v>#N/A</v>
      </c>
      <c r="AU128" s="75" t="e">
        <f t="shared" si="29"/>
        <v>#N/A</v>
      </c>
      <c r="AV128" s="75" t="e">
        <f t="shared" si="29"/>
        <v>#N/A</v>
      </c>
      <c r="AW128" s="75" t="e">
        <f t="shared" si="29"/>
        <v>#N/A</v>
      </c>
      <c r="AX128" s="75" t="e">
        <f t="shared" si="29"/>
        <v>#N/A</v>
      </c>
      <c r="AY128" s="75" t="e">
        <f t="shared" si="29"/>
        <v>#N/A</v>
      </c>
      <c r="AZ128" s="75" t="e">
        <f t="shared" si="29"/>
        <v>#N/A</v>
      </c>
      <c r="BA128" s="75" t="e">
        <f t="shared" si="29"/>
        <v>#N/A</v>
      </c>
      <c r="BB128" s="75" t="e">
        <f t="shared" si="29"/>
        <v>#N/A</v>
      </c>
      <c r="BC128" s="75" t="e">
        <f t="shared" si="29"/>
        <v>#N/A</v>
      </c>
      <c r="BD128" s="75" t="e">
        <f t="shared" si="29"/>
        <v>#N/A</v>
      </c>
      <c r="BE128" s="75" t="e">
        <f t="shared" si="29"/>
        <v>#N/A</v>
      </c>
    </row>
    <row r="129" spans="1:57" ht="18" hidden="1" customHeight="1">
      <c r="A129" s="570" t="s">
        <v>201</v>
      </c>
      <c r="B129" s="570"/>
      <c r="C129" s="570"/>
      <c r="D129" s="131"/>
      <c r="E129" s="131"/>
      <c r="F129" s="131"/>
      <c r="G129" s="131"/>
      <c r="H129" s="131"/>
      <c r="I129" s="131"/>
      <c r="J129" s="131"/>
      <c r="K129" s="131"/>
      <c r="L129" s="131"/>
      <c r="M129" s="131"/>
      <c r="N129" s="131"/>
      <c r="O129" s="131"/>
      <c r="P129" s="131"/>
      <c r="Q129" s="131"/>
      <c r="R129" s="131"/>
      <c r="S129" s="263" t="e">
        <f t="shared" ref="S129:BE129" si="30">IF(S128="",NA(),IF(S17="",NA(),S128-S17))</f>
        <v>#N/A</v>
      </c>
      <c r="T129" s="127" t="e">
        <f t="shared" si="30"/>
        <v>#N/A</v>
      </c>
      <c r="U129" s="127" t="e">
        <f t="shared" si="30"/>
        <v>#N/A</v>
      </c>
      <c r="V129" s="127" t="e">
        <f t="shared" si="30"/>
        <v>#N/A</v>
      </c>
      <c r="W129" s="127" t="e">
        <f t="shared" si="30"/>
        <v>#N/A</v>
      </c>
      <c r="X129" s="127" t="e">
        <f t="shared" si="30"/>
        <v>#N/A</v>
      </c>
      <c r="Y129" s="127" t="e">
        <f t="shared" si="30"/>
        <v>#N/A</v>
      </c>
      <c r="Z129" s="127" t="e">
        <f t="shared" si="30"/>
        <v>#N/A</v>
      </c>
      <c r="AA129" s="127" t="e">
        <f t="shared" si="30"/>
        <v>#N/A</v>
      </c>
      <c r="AB129" s="127" t="e">
        <f t="shared" si="30"/>
        <v>#N/A</v>
      </c>
      <c r="AC129" s="127" t="e">
        <f t="shared" si="30"/>
        <v>#N/A</v>
      </c>
      <c r="AD129" s="127" t="e">
        <f t="shared" si="30"/>
        <v>#N/A</v>
      </c>
      <c r="AE129" s="127" t="e">
        <f t="shared" si="30"/>
        <v>#N/A</v>
      </c>
      <c r="AF129" s="127" t="e">
        <f t="shared" si="30"/>
        <v>#N/A</v>
      </c>
      <c r="AG129" s="127" t="e">
        <f t="shared" si="30"/>
        <v>#N/A</v>
      </c>
      <c r="AH129" s="127" t="e">
        <f t="shared" si="30"/>
        <v>#N/A</v>
      </c>
      <c r="AI129" s="127" t="e">
        <f t="shared" si="30"/>
        <v>#N/A</v>
      </c>
      <c r="AJ129" s="127" t="e">
        <f t="shared" si="30"/>
        <v>#N/A</v>
      </c>
      <c r="AK129" s="127" t="e">
        <f t="shared" si="30"/>
        <v>#N/A</v>
      </c>
      <c r="AL129" s="127" t="e">
        <f t="shared" si="30"/>
        <v>#N/A</v>
      </c>
      <c r="AM129" s="127" t="e">
        <f t="shared" si="30"/>
        <v>#N/A</v>
      </c>
      <c r="AN129" s="127" t="e">
        <f t="shared" si="30"/>
        <v>#N/A</v>
      </c>
      <c r="AO129" s="127" t="e">
        <f t="shared" si="30"/>
        <v>#N/A</v>
      </c>
      <c r="AP129" s="127" t="e">
        <f t="shared" si="30"/>
        <v>#N/A</v>
      </c>
      <c r="AQ129" s="127" t="e">
        <f t="shared" si="30"/>
        <v>#N/A</v>
      </c>
      <c r="AR129" s="127" t="e">
        <f t="shared" si="30"/>
        <v>#N/A</v>
      </c>
      <c r="AS129" s="127" t="e">
        <f t="shared" si="30"/>
        <v>#N/A</v>
      </c>
      <c r="AT129" s="127" t="e">
        <f t="shared" si="30"/>
        <v>#N/A</v>
      </c>
      <c r="AU129" s="127" t="e">
        <f t="shared" si="30"/>
        <v>#N/A</v>
      </c>
      <c r="AV129" s="127" t="e">
        <f t="shared" si="30"/>
        <v>#N/A</v>
      </c>
      <c r="AW129" s="127" t="e">
        <f t="shared" si="30"/>
        <v>#N/A</v>
      </c>
      <c r="AX129" s="127" t="e">
        <f t="shared" si="30"/>
        <v>#N/A</v>
      </c>
      <c r="AY129" s="127" t="e">
        <f t="shared" si="30"/>
        <v>#N/A</v>
      </c>
      <c r="AZ129" s="127" t="e">
        <f t="shared" si="30"/>
        <v>#N/A</v>
      </c>
      <c r="BA129" s="127" t="e">
        <f t="shared" si="30"/>
        <v>#N/A</v>
      </c>
      <c r="BB129" s="127" t="e">
        <f t="shared" si="30"/>
        <v>#N/A</v>
      </c>
      <c r="BC129" s="127" t="e">
        <f t="shared" si="30"/>
        <v>#N/A</v>
      </c>
      <c r="BD129" s="127" t="e">
        <f t="shared" si="30"/>
        <v>#N/A</v>
      </c>
      <c r="BE129" s="127" t="e">
        <f t="shared" si="30"/>
        <v>#N/A</v>
      </c>
    </row>
    <row r="130" spans="1:57" s="4" customFormat="1" ht="18" hidden="1" customHeight="1">
      <c r="A130" s="570" t="s">
        <v>162</v>
      </c>
      <c r="B130" s="570"/>
      <c r="C130" s="570"/>
      <c r="D130" s="238"/>
      <c r="E130" s="238"/>
      <c r="F130" s="238"/>
      <c r="G130" s="238"/>
      <c r="H130" s="238"/>
      <c r="I130" s="238"/>
      <c r="J130" s="238"/>
      <c r="K130" s="238"/>
      <c r="L130" s="238"/>
      <c r="M130" s="238"/>
      <c r="N130" s="238"/>
      <c r="O130" s="238"/>
      <c r="P130" s="238"/>
      <c r="Q130" s="238"/>
      <c r="R130" s="238"/>
      <c r="S130" s="263" t="e">
        <f t="shared" ref="S130:BE130" si="31">IF(S128="",NA(),ROUNDDOWN(S128+S14*1.5848,1))</f>
        <v>#N/A</v>
      </c>
      <c r="T130" s="126" t="e">
        <f t="shared" si="31"/>
        <v>#N/A</v>
      </c>
      <c r="U130" s="126" t="e">
        <f t="shared" si="31"/>
        <v>#N/A</v>
      </c>
      <c r="V130" s="126" t="e">
        <f t="shared" si="31"/>
        <v>#N/A</v>
      </c>
      <c r="W130" s="126" t="e">
        <f t="shared" si="31"/>
        <v>#N/A</v>
      </c>
      <c r="X130" s="126" t="e">
        <f t="shared" si="31"/>
        <v>#N/A</v>
      </c>
      <c r="Y130" s="126" t="e">
        <f t="shared" si="31"/>
        <v>#N/A</v>
      </c>
      <c r="Z130" s="126" t="e">
        <f t="shared" si="31"/>
        <v>#N/A</v>
      </c>
      <c r="AA130" s="126" t="e">
        <f t="shared" si="31"/>
        <v>#N/A</v>
      </c>
      <c r="AB130" s="126" t="e">
        <f t="shared" si="31"/>
        <v>#N/A</v>
      </c>
      <c r="AC130" s="126" t="e">
        <f t="shared" si="31"/>
        <v>#N/A</v>
      </c>
      <c r="AD130" s="126" t="e">
        <f t="shared" si="31"/>
        <v>#N/A</v>
      </c>
      <c r="AE130" s="126" t="e">
        <f t="shared" si="31"/>
        <v>#N/A</v>
      </c>
      <c r="AF130" s="126" t="e">
        <f t="shared" si="31"/>
        <v>#N/A</v>
      </c>
      <c r="AG130" s="126" t="e">
        <f t="shared" si="31"/>
        <v>#N/A</v>
      </c>
      <c r="AH130" s="126" t="e">
        <f t="shared" si="31"/>
        <v>#N/A</v>
      </c>
      <c r="AI130" s="126" t="e">
        <f t="shared" si="31"/>
        <v>#N/A</v>
      </c>
      <c r="AJ130" s="126" t="e">
        <f t="shared" si="31"/>
        <v>#N/A</v>
      </c>
      <c r="AK130" s="126" t="e">
        <f t="shared" si="31"/>
        <v>#N/A</v>
      </c>
      <c r="AL130" s="126" t="e">
        <f t="shared" si="31"/>
        <v>#N/A</v>
      </c>
      <c r="AM130" s="126" t="e">
        <f t="shared" si="31"/>
        <v>#N/A</v>
      </c>
      <c r="AN130" s="126" t="e">
        <f t="shared" si="31"/>
        <v>#N/A</v>
      </c>
      <c r="AO130" s="126" t="e">
        <f t="shared" si="31"/>
        <v>#N/A</v>
      </c>
      <c r="AP130" s="126" t="e">
        <f t="shared" si="31"/>
        <v>#N/A</v>
      </c>
      <c r="AQ130" s="126" t="e">
        <f t="shared" si="31"/>
        <v>#N/A</v>
      </c>
      <c r="AR130" s="126" t="e">
        <f t="shared" si="31"/>
        <v>#N/A</v>
      </c>
      <c r="AS130" s="126" t="e">
        <f t="shared" si="31"/>
        <v>#N/A</v>
      </c>
      <c r="AT130" s="126" t="e">
        <f t="shared" si="31"/>
        <v>#N/A</v>
      </c>
      <c r="AU130" s="126" t="e">
        <f t="shared" si="31"/>
        <v>#N/A</v>
      </c>
      <c r="AV130" s="126" t="e">
        <f t="shared" si="31"/>
        <v>#N/A</v>
      </c>
      <c r="AW130" s="126" t="e">
        <f t="shared" si="31"/>
        <v>#N/A</v>
      </c>
      <c r="AX130" s="126" t="e">
        <f t="shared" si="31"/>
        <v>#N/A</v>
      </c>
      <c r="AY130" s="126" t="e">
        <f t="shared" si="31"/>
        <v>#N/A</v>
      </c>
      <c r="AZ130" s="126" t="e">
        <f t="shared" si="31"/>
        <v>#N/A</v>
      </c>
      <c r="BA130" s="126" t="e">
        <f t="shared" si="31"/>
        <v>#N/A</v>
      </c>
      <c r="BB130" s="126" t="e">
        <f t="shared" si="31"/>
        <v>#N/A</v>
      </c>
      <c r="BC130" s="126" t="e">
        <f t="shared" si="31"/>
        <v>#N/A</v>
      </c>
      <c r="BD130" s="126" t="e">
        <f t="shared" si="31"/>
        <v>#N/A</v>
      </c>
      <c r="BE130" s="126" t="e">
        <f t="shared" si="31"/>
        <v>#N/A</v>
      </c>
    </row>
    <row r="131" spans="1:57" s="4" customFormat="1" ht="18" hidden="1" customHeight="1">
      <c r="A131" s="53"/>
      <c r="B131" s="53"/>
      <c r="C131" s="53"/>
      <c r="D131" s="153"/>
      <c r="E131" s="53"/>
      <c r="F131" s="53"/>
      <c r="G131" s="154"/>
      <c r="H131" s="155"/>
      <c r="I131" s="153"/>
      <c r="J131" s="53"/>
      <c r="K131" s="53"/>
      <c r="L131" s="53"/>
      <c r="M131" s="53"/>
      <c r="N131" s="53"/>
      <c r="O131" s="53"/>
      <c r="P131" s="53"/>
      <c r="Q131" s="53"/>
      <c r="R131" s="53"/>
      <c r="S131" s="151"/>
      <c r="T131" s="151"/>
      <c r="U131" s="151"/>
      <c r="V131" s="151"/>
      <c r="W131" s="151"/>
      <c r="X131" s="151"/>
      <c r="Y131" s="151"/>
      <c r="Z131" s="151"/>
      <c r="AA131" s="151"/>
      <c r="AB131" s="151"/>
      <c r="AC131" s="151"/>
      <c r="AD131" s="151"/>
      <c r="AE131" s="151"/>
      <c r="AF131" s="151"/>
      <c r="AG131" s="151"/>
      <c r="AH131" s="151"/>
      <c r="AI131" s="151"/>
      <c r="AJ131" s="151"/>
      <c r="AK131" s="151"/>
      <c r="AL131" s="151"/>
      <c r="AM131" s="151"/>
      <c r="AN131" s="151"/>
      <c r="AO131" s="151"/>
      <c r="AP131" s="151"/>
      <c r="AQ131" s="151"/>
      <c r="AR131" s="151"/>
      <c r="AS131" s="151"/>
      <c r="AT131" s="151"/>
      <c r="AU131" s="151"/>
      <c r="AV131" s="151"/>
      <c r="AW131" s="151"/>
      <c r="AX131" s="151"/>
      <c r="AY131" s="151"/>
      <c r="AZ131" s="151"/>
      <c r="BA131" s="151"/>
      <c r="BB131" s="151"/>
      <c r="BC131" s="151"/>
      <c r="BD131" s="151"/>
      <c r="BE131" s="151"/>
    </row>
    <row r="132" spans="1:57" ht="18" hidden="1" customHeight="1">
      <c r="A132" s="251"/>
      <c r="B132" s="251" t="s">
        <v>175</v>
      </c>
      <c r="C132" s="251" t="s">
        <v>176</v>
      </c>
      <c r="D132" s="264" t="s">
        <v>177</v>
      </c>
      <c r="E132" s="251" t="s">
        <v>178</v>
      </c>
      <c r="F132" s="251" t="s">
        <v>179</v>
      </c>
      <c r="G132" s="251" t="s">
        <v>180</v>
      </c>
      <c r="H132" s="251" t="s">
        <v>181</v>
      </c>
      <c r="I132" s="251" t="s">
        <v>182</v>
      </c>
      <c r="J132" s="251" t="s">
        <v>183</v>
      </c>
      <c r="K132" s="251" t="s">
        <v>184</v>
      </c>
      <c r="L132"/>
      <c r="M132"/>
      <c r="N132"/>
      <c r="O132"/>
      <c r="P132"/>
      <c r="Q132"/>
      <c r="R132"/>
      <c r="S132"/>
      <c r="T132"/>
      <c r="U132"/>
      <c r="V132"/>
      <c r="W132"/>
      <c r="X132"/>
      <c r="Y132"/>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row>
    <row r="133" spans="1:57" ht="18" hidden="1" customHeight="1">
      <c r="A133" s="128" t="s">
        <v>185</v>
      </c>
      <c r="B133" s="128" t="str">
        <f t="array" aca="1" ref="B133" ca="1">IFERROR(OFFSET(INDEX(7:7,SMALL(IF(7:7&lt;&gt;"",COLUMN(7:7)),COLUMN())),-4,0),"")</f>
        <v/>
      </c>
      <c r="C133" s="128" t="str">
        <f t="array" aca="1" ref="C133" ca="1">IFERROR(OFFSET(INDEX(7:7,SMALL(IF(7:7&lt;&gt;"",COLUMN(7:7)),COLUMN())),-4,0),"")</f>
        <v/>
      </c>
      <c r="D133" s="128" t="str">
        <f t="array" aca="1" ref="D133" ca="1">IFERROR(OFFSET(INDEX(7:7,SMALL(IF(7:7&lt;&gt;"",COLUMN(7:7)),COLUMN())),-4,0),"")</f>
        <v/>
      </c>
      <c r="E133" s="128" t="str">
        <f t="array" aca="1" ref="E133" ca="1">IFERROR(OFFSET(INDEX(7:7,SMALL(IF(7:7&lt;&gt;"",COLUMN(7:7)),COLUMN())),-4,0),"")</f>
        <v/>
      </c>
      <c r="F133" s="128" t="str">
        <f t="array" aca="1" ref="F133" ca="1">IFERROR(OFFSET(INDEX(7:7,SMALL(IF(7:7&lt;&gt;"",COLUMN(7:7)),COLUMN())),-4,0),"")</f>
        <v/>
      </c>
      <c r="G133" s="128" t="str">
        <f t="array" aca="1" ref="G133" ca="1">IFERROR(OFFSET(INDEX(7:7,SMALL(IF(7:7&lt;&gt;"",COLUMN(7:7)),COLUMN())),-4,0),"")</f>
        <v/>
      </c>
      <c r="H133" s="128" t="str">
        <f t="array" aca="1" ref="H133" ca="1">IFERROR(OFFSET(INDEX(7:7,SMALL(IF(7:7&lt;&gt;"",COLUMN(7:7)),COLUMN())),-4,0),"")</f>
        <v/>
      </c>
      <c r="I133" s="128" t="str">
        <f t="array" aca="1" ref="I133" ca="1">IFERROR(OFFSET(INDEX(7:7,SMALL(IF(7:7&lt;&gt;"",COLUMN(7:7)),COLUMN())),-4,0),"")</f>
        <v/>
      </c>
      <c r="J133" s="128" t="str">
        <f t="array" aca="1" ref="J133" ca="1">IFERROR(OFFSET(INDEX(7:7,SMALL(IF(7:7&lt;&gt;"",COLUMN(7:7)),COLUMN())),-4,0),"")</f>
        <v/>
      </c>
      <c r="K133" s="128" t="str">
        <f t="array" aca="1" ref="K133" ca="1">IFERROR(OFFSET(INDEX(7:7,SMALL(IF(7:7&lt;&gt;"",COLUMN(7:7)),COLUMN())),-4,0),"")</f>
        <v/>
      </c>
      <c r="L133" s="51"/>
      <c r="M133" s="51"/>
      <c r="N133" s="51"/>
      <c r="O133" s="51"/>
      <c r="P133" s="51"/>
      <c r="Q133" s="51"/>
      <c r="R133" s="51"/>
      <c r="S133" s="51"/>
      <c r="T133" s="51"/>
      <c r="U133" s="51"/>
      <c r="V133" s="51"/>
      <c r="W133" s="51"/>
      <c r="X133" s="51"/>
      <c r="Y133" s="51"/>
    </row>
    <row r="134" spans="1:57" ht="18" hidden="1" customHeight="1">
      <c r="A134" s="128" t="str">
        <f t="array" ref="A134">IFERROR(INDEX(7:7,SMALL(IF(7:7&lt;&gt;"",COLUMN(7:7)),COLUMN())),"")</f>
        <v>追水量（L)</v>
      </c>
      <c r="B134" s="128" t="str">
        <f t="array" ref="B134">IFERROR(INDEX(7:7,SMALL(IF(7:7&lt;&gt;"",COLUMN(7:7)),COLUMN())),"")</f>
        <v/>
      </c>
      <c r="C134" s="128" t="str">
        <f t="array" ref="C134">IFERROR(INDEX(7:7,SMALL(IF(7:7&lt;&gt;"",COLUMN(7:7)),COLUMN())),"")</f>
        <v/>
      </c>
      <c r="D134" s="128" t="str">
        <f t="array" ref="D134">IFERROR(INDEX(7:7,SMALL(IF(7:7&lt;&gt;"",COLUMN(7:7)),COLUMN())),"")</f>
        <v/>
      </c>
      <c r="E134" s="128" t="str">
        <f t="array" ref="E134">IFERROR(INDEX(7:7,SMALL(IF(7:7&lt;&gt;"",COLUMN(7:7)),COLUMN())),"")</f>
        <v/>
      </c>
      <c r="F134" s="128" t="str">
        <f t="array" ref="F134">IFERROR(INDEX(7:7,SMALL(IF(7:7&lt;&gt;"",COLUMN(7:7)),COLUMN())),"")</f>
        <v/>
      </c>
      <c r="G134" s="128" t="str">
        <f t="array" ref="G134">IFERROR(INDEX(7:7,SMALL(IF(7:7&lt;&gt;"",COLUMN(7:7)),COLUMN())),"")</f>
        <v/>
      </c>
      <c r="H134" s="128" t="str">
        <f t="array" ref="H134">IFERROR(INDEX(7:7,SMALL(IF(7:7&lt;&gt;"",COLUMN(7:7)),COLUMN())),"")</f>
        <v/>
      </c>
      <c r="I134" s="128" t="str">
        <f t="array" ref="I134">IFERROR(INDEX(7:7,SMALL(IF(7:7&lt;&gt;"",COLUMN(7:7)),COLUMN())),"")</f>
        <v/>
      </c>
      <c r="J134" s="128" t="str">
        <f t="array" ref="J134">IFERROR(INDEX(7:7,SMALL(IF(7:7&lt;&gt;"",COLUMN(7:7)),COLUMN())),"")</f>
        <v/>
      </c>
      <c r="K134" s="128" t="str">
        <f t="array" ref="K134">IFERROR(INDEX(7:7,SMALL(IF(7:7&lt;&gt;"",COLUMN(7:7)),COLUMN())),"")</f>
        <v/>
      </c>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row>
    <row r="135" spans="1:57" ht="18" hidden="1" customHeight="1">
      <c r="A135" s="835" t="s">
        <v>186</v>
      </c>
      <c r="B135" s="835"/>
      <c r="C135" s="835"/>
      <c r="D135" s="258" t="s">
        <v>187</v>
      </c>
      <c r="E135" s="259" t="s">
        <v>188</v>
      </c>
      <c r="F135" s="259" t="s">
        <v>189</v>
      </c>
      <c r="G135" s="259" t="s">
        <v>190</v>
      </c>
      <c r="H135" s="259" t="s">
        <v>191</v>
      </c>
      <c r="I135" s="259" t="s">
        <v>192</v>
      </c>
      <c r="J135" s="259" t="s">
        <v>193</v>
      </c>
      <c r="K135" s="259" t="s">
        <v>194</v>
      </c>
      <c r="L135" s="260" t="s">
        <v>195</v>
      </c>
      <c r="M135" s="260" t="s">
        <v>196</v>
      </c>
      <c r="N135" s="260" t="s">
        <v>197</v>
      </c>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row>
    <row r="136" spans="1:57" ht="18" hidden="1" customHeight="1">
      <c r="A136" s="836"/>
      <c r="B136" s="836"/>
      <c r="C136" s="836"/>
      <c r="D136" s="196" t="e">
        <f>SUM(D71:O71)/SUM(D68:O68)*100</f>
        <v>#DIV/0!</v>
      </c>
      <c r="E136" s="196" t="e">
        <f>(SUM(D71:O71)+SUM(B134:B134))/SUM(D68:O68)*100</f>
        <v>#DIV/0!</v>
      </c>
      <c r="F136" s="196" t="e">
        <f>(SUM(D71:O71)+SUM(B134:C134))/SUM(D68:O68)*100</f>
        <v>#DIV/0!</v>
      </c>
      <c r="G136" s="196" t="e">
        <f>(SUM(D71:O71)+SUM(B134:D134))/SUM(D68:O68)*100</f>
        <v>#DIV/0!</v>
      </c>
      <c r="H136" s="196" t="e">
        <f>(SUM(D71:O71)+SUM(B134:E134))/SUM(D68:O68)*100</f>
        <v>#DIV/0!</v>
      </c>
      <c r="I136" s="261" t="e">
        <f>(SUM(D71:O71)+SUM(B134:F134))/SUM(D68:O68)*100</f>
        <v>#DIV/0!</v>
      </c>
      <c r="J136" s="196" t="e">
        <f>(SUM(D71:O71)+SUM(B134:G134))/SUM(D68:O68)*100</f>
        <v>#DIV/0!</v>
      </c>
      <c r="K136" s="196" t="e">
        <f>(SUM(D71:O71)+SUM(B134:H134))/SUM(D68:O68)*100</f>
        <v>#DIV/0!</v>
      </c>
      <c r="L136" s="196" t="e">
        <f>(SUM(D71:O71)+SUM(B134:I134))/SUM(D68:O68)*100</f>
        <v>#DIV/0!</v>
      </c>
      <c r="M136" s="196" t="e">
        <f>(SUM(D71:O71)+SUM(B134:J134))/SUM(D68:O68)*100</f>
        <v>#DIV/0!</v>
      </c>
      <c r="N136" s="196" t="e">
        <f>(SUM(D71:O71)+SUM(B134:K134))/SUM(D68:O68)*100</f>
        <v>#DIV/0!</v>
      </c>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c r="BC136" s="51"/>
      <c r="BD136" s="51"/>
      <c r="BE136" s="51"/>
    </row>
    <row r="137" spans="1:57" ht="18" hidden="1" customHeight="1">
      <c r="A137" s="837" t="s">
        <v>198</v>
      </c>
      <c r="B137" s="486"/>
      <c r="C137" s="486"/>
      <c r="D137" s="129"/>
      <c r="E137" s="129"/>
      <c r="F137" s="129"/>
      <c r="G137" s="129"/>
      <c r="H137" s="129"/>
      <c r="I137" s="129"/>
      <c r="J137" s="129"/>
      <c r="K137" s="129"/>
      <c r="L137" s="129"/>
      <c r="M137" s="129"/>
      <c r="N137" s="129"/>
      <c r="O137" s="129"/>
      <c r="P137" s="129"/>
      <c r="Q137" s="129"/>
      <c r="R137" s="129"/>
      <c r="S137" s="148" t="e">
        <f t="shared" ref="S137:BE137" si="32">IF(S14="",NA(),IF(S3&lt;=$B$133,S14*$D$136/100,IF(S3&lt;=$C$133,S14*$E$136/100,IF(S3&lt;=$D$133,S14*$F$136/100,IF(S3&lt;=$E$133,S14*$G$136/100,IF(S3&lt;=$F$133,S14*$H$136/100,IF(S3&lt;=$G$133,S14*$I$136/100,IF(S3&lt;=$H$133,S14*$J$136/100,IF(S3&lt;=$I$133,S14*$K$136/100,IF(S3&lt;=$J$133,S14*$L$136/100,IF(S3&lt;=$K$133,S14*$M$136/100,S14*$N$136/100)))))))))))</f>
        <v>#N/A</v>
      </c>
      <c r="T137" s="255" t="e">
        <f t="shared" si="32"/>
        <v>#N/A</v>
      </c>
      <c r="U137" s="148" t="e">
        <f t="shared" si="32"/>
        <v>#N/A</v>
      </c>
      <c r="V137" s="148" t="e">
        <f t="shared" si="32"/>
        <v>#N/A</v>
      </c>
      <c r="W137" s="148" t="e">
        <f t="shared" si="32"/>
        <v>#N/A</v>
      </c>
      <c r="X137" s="148" t="e">
        <f t="shared" si="32"/>
        <v>#N/A</v>
      </c>
      <c r="Y137" s="148" t="e">
        <f t="shared" si="32"/>
        <v>#N/A</v>
      </c>
      <c r="Z137" s="148" t="e">
        <f t="shared" si="32"/>
        <v>#N/A</v>
      </c>
      <c r="AA137" s="148" t="e">
        <f t="shared" si="32"/>
        <v>#N/A</v>
      </c>
      <c r="AB137" s="148" t="e">
        <f t="shared" si="32"/>
        <v>#N/A</v>
      </c>
      <c r="AC137" s="148" t="e">
        <f t="shared" si="32"/>
        <v>#N/A</v>
      </c>
      <c r="AD137" s="148" t="e">
        <f t="shared" si="32"/>
        <v>#N/A</v>
      </c>
      <c r="AE137" s="148" t="e">
        <f t="shared" si="32"/>
        <v>#N/A</v>
      </c>
      <c r="AF137" s="148" t="e">
        <f t="shared" si="32"/>
        <v>#N/A</v>
      </c>
      <c r="AG137" s="148" t="e">
        <f t="shared" si="32"/>
        <v>#N/A</v>
      </c>
      <c r="AH137" s="148" t="e">
        <f t="shared" si="32"/>
        <v>#N/A</v>
      </c>
      <c r="AI137" s="148" t="e">
        <f t="shared" si="32"/>
        <v>#N/A</v>
      </c>
      <c r="AJ137" s="148" t="e">
        <f t="shared" si="32"/>
        <v>#N/A</v>
      </c>
      <c r="AK137" s="148" t="e">
        <f t="shared" si="32"/>
        <v>#N/A</v>
      </c>
      <c r="AL137" s="148" t="e">
        <f t="shared" si="32"/>
        <v>#N/A</v>
      </c>
      <c r="AM137" s="148" t="e">
        <f t="shared" si="32"/>
        <v>#N/A</v>
      </c>
      <c r="AN137" s="148" t="e">
        <f t="shared" si="32"/>
        <v>#N/A</v>
      </c>
      <c r="AO137" s="148" t="e">
        <f t="shared" si="32"/>
        <v>#N/A</v>
      </c>
      <c r="AP137" s="148" t="e">
        <f t="shared" si="32"/>
        <v>#N/A</v>
      </c>
      <c r="AQ137" s="148" t="e">
        <f t="shared" si="32"/>
        <v>#N/A</v>
      </c>
      <c r="AR137" s="148" t="e">
        <f t="shared" si="32"/>
        <v>#N/A</v>
      </c>
      <c r="AS137" s="148" t="e">
        <f t="shared" si="32"/>
        <v>#N/A</v>
      </c>
      <c r="AT137" s="148" t="e">
        <f t="shared" si="32"/>
        <v>#N/A</v>
      </c>
      <c r="AU137" s="148" t="e">
        <f t="shared" si="32"/>
        <v>#N/A</v>
      </c>
      <c r="AV137" s="148" t="e">
        <f t="shared" si="32"/>
        <v>#N/A</v>
      </c>
      <c r="AW137" s="148" t="e">
        <f t="shared" si="32"/>
        <v>#N/A</v>
      </c>
      <c r="AX137" s="148" t="e">
        <f t="shared" si="32"/>
        <v>#N/A</v>
      </c>
      <c r="AY137" s="148" t="e">
        <f t="shared" si="32"/>
        <v>#N/A</v>
      </c>
      <c r="AZ137" s="148" t="e">
        <f t="shared" si="32"/>
        <v>#N/A</v>
      </c>
      <c r="BA137" s="148" t="e">
        <f t="shared" si="32"/>
        <v>#N/A</v>
      </c>
      <c r="BB137" s="148" t="e">
        <f t="shared" si="32"/>
        <v>#N/A</v>
      </c>
      <c r="BC137" s="148" t="e">
        <f t="shared" si="32"/>
        <v>#N/A</v>
      </c>
      <c r="BD137" s="148" t="e">
        <f t="shared" si="32"/>
        <v>#N/A</v>
      </c>
      <c r="BE137" s="148" t="e">
        <f t="shared" si="32"/>
        <v>#N/A</v>
      </c>
    </row>
    <row r="138" spans="1:57" ht="18" hidden="1" customHeight="1">
      <c r="A138" s="837" t="s">
        <v>199</v>
      </c>
      <c r="B138" s="486"/>
      <c r="C138" s="486"/>
      <c r="D138" s="129"/>
      <c r="E138" s="129"/>
      <c r="F138" s="129"/>
      <c r="G138" s="129"/>
      <c r="H138" s="129"/>
      <c r="I138" s="129"/>
      <c r="J138" s="129"/>
      <c r="K138" s="129"/>
      <c r="L138" s="129"/>
      <c r="M138" s="129"/>
      <c r="N138" s="129"/>
      <c r="O138" s="129"/>
      <c r="P138" s="129"/>
      <c r="Q138" s="129"/>
      <c r="R138" s="129"/>
      <c r="S138" s="148" t="e">
        <f t="shared" ref="S138:BE138" si="33">IF(S128="",NA(),IF(S3&lt;=$B$133,S128*$D$136/100,IF(S3&lt;=$C$133,S128*$E$136/100,IF(S3&lt;=$D$133,S128*$F$136/100,IF(S3&lt;=$E$133,S128*$G$136/100,IF(S3&lt;=$F$133,S128*$H$136/100,IF(S3&lt;=$G$133,S128*$I$136/100,IF(S3&lt;=$H$133,S128*$J$136/100,IF(S3&lt;=$I$133,S128*$K$136/100,IF(S3&lt;=$J$133,S128*$L$136/100,IF(S3&lt;=$K$133,S128*$M$136/100,S128*$N$136/100)))))))))))</f>
        <v>#N/A</v>
      </c>
      <c r="T138" s="255" t="e">
        <f t="shared" si="33"/>
        <v>#N/A</v>
      </c>
      <c r="U138" s="148" t="e">
        <f t="shared" si="33"/>
        <v>#N/A</v>
      </c>
      <c r="V138" s="148" t="e">
        <f t="shared" si="33"/>
        <v>#N/A</v>
      </c>
      <c r="W138" s="148" t="e">
        <f t="shared" si="33"/>
        <v>#N/A</v>
      </c>
      <c r="X138" s="148" t="e">
        <f t="shared" si="33"/>
        <v>#N/A</v>
      </c>
      <c r="Y138" s="148" t="e">
        <f t="shared" si="33"/>
        <v>#N/A</v>
      </c>
      <c r="Z138" s="148" t="e">
        <f t="shared" si="33"/>
        <v>#N/A</v>
      </c>
      <c r="AA138" s="148" t="e">
        <f t="shared" si="33"/>
        <v>#N/A</v>
      </c>
      <c r="AB138" s="148" t="e">
        <f t="shared" si="33"/>
        <v>#N/A</v>
      </c>
      <c r="AC138" s="148" t="e">
        <f t="shared" si="33"/>
        <v>#N/A</v>
      </c>
      <c r="AD138" s="148" t="e">
        <f t="shared" si="33"/>
        <v>#N/A</v>
      </c>
      <c r="AE138" s="148" t="e">
        <f t="shared" si="33"/>
        <v>#N/A</v>
      </c>
      <c r="AF138" s="148" t="e">
        <f t="shared" si="33"/>
        <v>#N/A</v>
      </c>
      <c r="AG138" s="148" t="e">
        <f t="shared" si="33"/>
        <v>#N/A</v>
      </c>
      <c r="AH138" s="148" t="e">
        <f t="shared" si="33"/>
        <v>#N/A</v>
      </c>
      <c r="AI138" s="148" t="e">
        <f t="shared" si="33"/>
        <v>#N/A</v>
      </c>
      <c r="AJ138" s="148" t="e">
        <f t="shared" si="33"/>
        <v>#N/A</v>
      </c>
      <c r="AK138" s="148" t="e">
        <f t="shared" si="33"/>
        <v>#N/A</v>
      </c>
      <c r="AL138" s="148" t="e">
        <f t="shared" si="33"/>
        <v>#N/A</v>
      </c>
      <c r="AM138" s="148" t="e">
        <f t="shared" si="33"/>
        <v>#N/A</v>
      </c>
      <c r="AN138" s="148" t="e">
        <f t="shared" si="33"/>
        <v>#N/A</v>
      </c>
      <c r="AO138" s="148" t="e">
        <f t="shared" si="33"/>
        <v>#N/A</v>
      </c>
      <c r="AP138" s="148" t="e">
        <f t="shared" si="33"/>
        <v>#N/A</v>
      </c>
      <c r="AQ138" s="148" t="e">
        <f t="shared" si="33"/>
        <v>#N/A</v>
      </c>
      <c r="AR138" s="148" t="e">
        <f t="shared" si="33"/>
        <v>#N/A</v>
      </c>
      <c r="AS138" s="148" t="e">
        <f t="shared" si="33"/>
        <v>#N/A</v>
      </c>
      <c r="AT138" s="148" t="e">
        <f t="shared" si="33"/>
        <v>#N/A</v>
      </c>
      <c r="AU138" s="148" t="e">
        <f t="shared" si="33"/>
        <v>#N/A</v>
      </c>
      <c r="AV138" s="148" t="e">
        <f t="shared" si="33"/>
        <v>#N/A</v>
      </c>
      <c r="AW138" s="148" t="e">
        <f t="shared" si="33"/>
        <v>#N/A</v>
      </c>
      <c r="AX138" s="148" t="e">
        <f t="shared" si="33"/>
        <v>#N/A</v>
      </c>
      <c r="AY138" s="148" t="e">
        <f t="shared" si="33"/>
        <v>#N/A</v>
      </c>
      <c r="AZ138" s="148" t="e">
        <f t="shared" si="33"/>
        <v>#N/A</v>
      </c>
      <c r="BA138" s="148" t="e">
        <f t="shared" si="33"/>
        <v>#N/A</v>
      </c>
      <c r="BB138" s="148" t="e">
        <f t="shared" si="33"/>
        <v>#N/A</v>
      </c>
      <c r="BC138" s="148" t="e">
        <f t="shared" si="33"/>
        <v>#N/A</v>
      </c>
      <c r="BD138" s="148" t="e">
        <f t="shared" si="33"/>
        <v>#N/A</v>
      </c>
      <c r="BE138" s="148" t="e">
        <f t="shared" si="33"/>
        <v>#N/A</v>
      </c>
    </row>
    <row r="139" spans="1:57" ht="18" hidden="1" customHeight="1">
      <c r="A139" s="837" t="s">
        <v>200</v>
      </c>
      <c r="B139" s="486"/>
      <c r="C139" s="486"/>
      <c r="D139" s="129"/>
      <c r="E139" s="129"/>
      <c r="F139" s="129"/>
      <c r="G139" s="129"/>
      <c r="H139" s="129"/>
      <c r="I139" s="129"/>
      <c r="J139" s="129"/>
      <c r="K139" s="129"/>
      <c r="L139" s="129"/>
      <c r="M139" s="129"/>
      <c r="N139" s="129"/>
      <c r="O139" s="129"/>
      <c r="P139" s="129"/>
      <c r="Q139" s="129"/>
      <c r="R139" s="129"/>
      <c r="S139" s="148" t="e">
        <f t="shared" ref="S139:BE139" si="34">IF(S17="",NA(),IF(S3&lt;=$B$133,S17*$D$136/100,IF(S3&lt;=$C$133,S17*$E$136/100,IF(S3&lt;=$D$133,S17*$F$136/100,IF(S3&lt;=$E$133,S17*$G$136/100,IF(S3&lt;=$F$133,S17*$H$136/100,IF(S3&lt;=$G$133,S17*$I$136/100,IF(S3&lt;=$H$133,S17*$J$136/100,IF(S3&lt;=$I$133,S17*$K$136/100,IF(S3&lt;=$J$133,S17*$L$136/100,IF(S3&lt;=$K$133,S17*$M$136/100,S17*$N$136/100)))))))))))</f>
        <v>#N/A</v>
      </c>
      <c r="T139" s="255" t="e">
        <f t="shared" si="34"/>
        <v>#N/A</v>
      </c>
      <c r="U139" s="148" t="e">
        <f t="shared" si="34"/>
        <v>#N/A</v>
      </c>
      <c r="V139" s="148" t="e">
        <f t="shared" si="34"/>
        <v>#N/A</v>
      </c>
      <c r="W139" s="148" t="e">
        <f t="shared" si="34"/>
        <v>#N/A</v>
      </c>
      <c r="X139" s="148" t="e">
        <f t="shared" si="34"/>
        <v>#N/A</v>
      </c>
      <c r="Y139" s="148" t="e">
        <f t="shared" si="34"/>
        <v>#N/A</v>
      </c>
      <c r="Z139" s="148" t="e">
        <f t="shared" si="34"/>
        <v>#N/A</v>
      </c>
      <c r="AA139" s="148" t="e">
        <f t="shared" si="34"/>
        <v>#N/A</v>
      </c>
      <c r="AB139" s="148" t="e">
        <f t="shared" si="34"/>
        <v>#N/A</v>
      </c>
      <c r="AC139" s="148" t="e">
        <f t="shared" si="34"/>
        <v>#N/A</v>
      </c>
      <c r="AD139" s="148" t="e">
        <f t="shared" si="34"/>
        <v>#N/A</v>
      </c>
      <c r="AE139" s="148" t="e">
        <f t="shared" si="34"/>
        <v>#N/A</v>
      </c>
      <c r="AF139" s="148" t="e">
        <f t="shared" si="34"/>
        <v>#N/A</v>
      </c>
      <c r="AG139" s="148" t="e">
        <f t="shared" si="34"/>
        <v>#N/A</v>
      </c>
      <c r="AH139" s="148" t="e">
        <f t="shared" si="34"/>
        <v>#N/A</v>
      </c>
      <c r="AI139" s="148" t="e">
        <f t="shared" si="34"/>
        <v>#N/A</v>
      </c>
      <c r="AJ139" s="148" t="e">
        <f t="shared" si="34"/>
        <v>#N/A</v>
      </c>
      <c r="AK139" s="148" t="e">
        <f t="shared" si="34"/>
        <v>#N/A</v>
      </c>
      <c r="AL139" s="148" t="e">
        <f t="shared" si="34"/>
        <v>#N/A</v>
      </c>
      <c r="AM139" s="148" t="e">
        <f t="shared" si="34"/>
        <v>#N/A</v>
      </c>
      <c r="AN139" s="148" t="e">
        <f t="shared" si="34"/>
        <v>#N/A</v>
      </c>
      <c r="AO139" s="148" t="e">
        <f t="shared" si="34"/>
        <v>#N/A</v>
      </c>
      <c r="AP139" s="148" t="e">
        <f t="shared" si="34"/>
        <v>#N/A</v>
      </c>
      <c r="AQ139" s="148" t="e">
        <f t="shared" si="34"/>
        <v>#N/A</v>
      </c>
      <c r="AR139" s="148" t="e">
        <f t="shared" si="34"/>
        <v>#N/A</v>
      </c>
      <c r="AS139" s="148" t="e">
        <f t="shared" si="34"/>
        <v>#N/A</v>
      </c>
      <c r="AT139" s="148" t="e">
        <f t="shared" si="34"/>
        <v>#N/A</v>
      </c>
      <c r="AU139" s="148" t="e">
        <f t="shared" si="34"/>
        <v>#N/A</v>
      </c>
      <c r="AV139" s="148" t="e">
        <f t="shared" si="34"/>
        <v>#N/A</v>
      </c>
      <c r="AW139" s="148" t="e">
        <f t="shared" si="34"/>
        <v>#N/A</v>
      </c>
      <c r="AX139" s="148" t="e">
        <f t="shared" si="34"/>
        <v>#N/A</v>
      </c>
      <c r="AY139" s="148" t="e">
        <f t="shared" si="34"/>
        <v>#N/A</v>
      </c>
      <c r="AZ139" s="148" t="e">
        <f t="shared" si="34"/>
        <v>#N/A</v>
      </c>
      <c r="BA139" s="148" t="e">
        <f t="shared" si="34"/>
        <v>#N/A</v>
      </c>
      <c r="BB139" s="148" t="e">
        <f t="shared" si="34"/>
        <v>#N/A</v>
      </c>
      <c r="BC139" s="148" t="e">
        <f t="shared" si="34"/>
        <v>#N/A</v>
      </c>
      <c r="BD139" s="148" t="e">
        <f t="shared" si="34"/>
        <v>#N/A</v>
      </c>
      <c r="BE139" s="148" t="e">
        <f t="shared" si="34"/>
        <v>#N/A</v>
      </c>
    </row>
    <row r="140" spans="1:57" ht="18" hidden="1" customHeight="1">
      <c r="A140" s="806" t="s">
        <v>202</v>
      </c>
      <c r="B140" s="570" t="s">
        <v>203</v>
      </c>
      <c r="C140" s="514"/>
      <c r="D140" s="238"/>
      <c r="E140" s="238"/>
      <c r="F140" s="238"/>
      <c r="G140" s="238"/>
      <c r="H140" s="238"/>
      <c r="I140" s="238"/>
      <c r="J140" s="238"/>
      <c r="K140" s="238"/>
      <c r="L140" s="238"/>
      <c r="M140" s="238"/>
      <c r="N140" s="238"/>
      <c r="O140" s="238"/>
      <c r="P140" s="238"/>
      <c r="Q140" s="238"/>
      <c r="R140" s="238"/>
      <c r="S140" s="136" t="e">
        <f ca="1">IF(S137="",NA(),IF(OFFSET(S137,0,$I$25*(-1))="",NA(),(S137-OFFSET(S137,0,$I$25*(-1)))*1.5848))</f>
        <v>#N/A</v>
      </c>
      <c r="T140" s="256" t="e">
        <f t="shared" ref="T140:BE140" ca="1" si="35">IF(T137="",NA(),IF(OFFSET(T137,0,$I$25*(-1))="",NA(),(T137-OFFSET(T137,0,$I$25*(-1)))*1.5848))</f>
        <v>#N/A</v>
      </c>
      <c r="U140" s="136" t="e">
        <f t="shared" ca="1" si="35"/>
        <v>#N/A</v>
      </c>
      <c r="V140" s="136" t="e">
        <f t="shared" ca="1" si="35"/>
        <v>#N/A</v>
      </c>
      <c r="W140" s="136" t="e">
        <f ca="1">IF(W137="",NA(),IF(OFFSET(W137,0,$I$25*(-1))="",NA(),(W137-OFFSET(W137,0,$I$25*(-1)))*1.5848))</f>
        <v>#N/A</v>
      </c>
      <c r="X140" s="136" t="e">
        <f t="shared" ca="1" si="35"/>
        <v>#N/A</v>
      </c>
      <c r="Y140" s="136" t="e">
        <f t="shared" ca="1" si="35"/>
        <v>#N/A</v>
      </c>
      <c r="Z140" s="136" t="e">
        <f ca="1">IF(Z137="",NA(),IF(OFFSET(Z137,0,$I$25*(-1))="",NA(),(Z137-OFFSET(Z137,0,$I$25*(-1)))*1.5848))</f>
        <v>#N/A</v>
      </c>
      <c r="AA140" s="136" t="e">
        <f ca="1">IF(AA137="",NA(),IF(OFFSET(AA137,0,$I$25*(-1))="",NA(),(AA137-OFFSET(AA137,0,$I$25*(-1)))*1.5848))</f>
        <v>#N/A</v>
      </c>
      <c r="AB140" s="136" t="e">
        <f t="shared" ca="1" si="35"/>
        <v>#N/A</v>
      </c>
      <c r="AC140" s="136" t="e">
        <f t="shared" ca="1" si="35"/>
        <v>#N/A</v>
      </c>
      <c r="AD140" s="136" t="e">
        <f t="shared" ca="1" si="35"/>
        <v>#N/A</v>
      </c>
      <c r="AE140" s="136" t="e">
        <f t="shared" ca="1" si="35"/>
        <v>#N/A</v>
      </c>
      <c r="AF140" s="136" t="e">
        <f t="shared" ca="1" si="35"/>
        <v>#N/A</v>
      </c>
      <c r="AG140" s="136" t="e">
        <f t="shared" ca="1" si="35"/>
        <v>#N/A</v>
      </c>
      <c r="AH140" s="136" t="e">
        <f t="shared" ca="1" si="35"/>
        <v>#N/A</v>
      </c>
      <c r="AI140" s="136" t="e">
        <f t="shared" ca="1" si="35"/>
        <v>#N/A</v>
      </c>
      <c r="AJ140" s="136" t="e">
        <f t="shared" ca="1" si="35"/>
        <v>#N/A</v>
      </c>
      <c r="AK140" s="136" t="e">
        <f t="shared" ca="1" si="35"/>
        <v>#N/A</v>
      </c>
      <c r="AL140" s="136" t="e">
        <f t="shared" ca="1" si="35"/>
        <v>#N/A</v>
      </c>
      <c r="AM140" s="136" t="e">
        <f t="shared" ca="1" si="35"/>
        <v>#N/A</v>
      </c>
      <c r="AN140" s="136" t="e">
        <f t="shared" ca="1" si="35"/>
        <v>#N/A</v>
      </c>
      <c r="AO140" s="136" t="e">
        <f t="shared" ca="1" si="35"/>
        <v>#N/A</v>
      </c>
      <c r="AP140" s="136" t="e">
        <f t="shared" ca="1" si="35"/>
        <v>#N/A</v>
      </c>
      <c r="AQ140" s="136" t="e">
        <f t="shared" ca="1" si="35"/>
        <v>#N/A</v>
      </c>
      <c r="AR140" s="136" t="e">
        <f t="shared" ca="1" si="35"/>
        <v>#N/A</v>
      </c>
      <c r="AS140" s="136" t="e">
        <f t="shared" ca="1" si="35"/>
        <v>#N/A</v>
      </c>
      <c r="AT140" s="136" t="e">
        <f t="shared" ca="1" si="35"/>
        <v>#N/A</v>
      </c>
      <c r="AU140" s="136" t="e">
        <f t="shared" ca="1" si="35"/>
        <v>#N/A</v>
      </c>
      <c r="AV140" s="136" t="e">
        <f t="shared" ca="1" si="35"/>
        <v>#N/A</v>
      </c>
      <c r="AW140" s="136" t="e">
        <f t="shared" ca="1" si="35"/>
        <v>#N/A</v>
      </c>
      <c r="AX140" s="136" t="e">
        <f t="shared" ca="1" si="35"/>
        <v>#N/A</v>
      </c>
      <c r="AY140" s="136" t="e">
        <f t="shared" ca="1" si="35"/>
        <v>#N/A</v>
      </c>
      <c r="AZ140" s="136" t="e">
        <f t="shared" ca="1" si="35"/>
        <v>#N/A</v>
      </c>
      <c r="BA140" s="136" t="e">
        <f t="shared" ca="1" si="35"/>
        <v>#N/A</v>
      </c>
      <c r="BB140" s="136" t="e">
        <f t="shared" ca="1" si="35"/>
        <v>#N/A</v>
      </c>
      <c r="BC140" s="136" t="e">
        <f t="shared" ca="1" si="35"/>
        <v>#N/A</v>
      </c>
      <c r="BD140" s="136" t="e">
        <f t="shared" ca="1" si="35"/>
        <v>#N/A</v>
      </c>
      <c r="BE140" s="136" t="e">
        <f t="shared" ca="1" si="35"/>
        <v>#N/A</v>
      </c>
    </row>
    <row r="141" spans="1:57" ht="18" hidden="1" customHeight="1">
      <c r="A141" s="806"/>
      <c r="B141" s="570" t="s">
        <v>204</v>
      </c>
      <c r="C141" s="514"/>
      <c r="D141" s="238"/>
      <c r="E141" s="238"/>
      <c r="F141" s="238"/>
      <c r="G141" s="238"/>
      <c r="H141" s="238"/>
      <c r="I141" s="238"/>
      <c r="J141" s="238"/>
      <c r="K141" s="238"/>
      <c r="L141" s="238"/>
      <c r="M141" s="238"/>
      <c r="N141" s="238"/>
      <c r="O141" s="238"/>
      <c r="P141" s="238"/>
      <c r="Q141" s="238"/>
      <c r="R141" s="238"/>
      <c r="S141" s="136" t="e">
        <f t="shared" ref="S141:BE141" ca="1" si="36">IF(S138="",NA(),IF(OFFSET(S138,0,$I$25*(-1))="",NA(),S138-OFFSET(S138,0,$I$25*(-1))+S140))</f>
        <v>#N/A</v>
      </c>
      <c r="T141" s="256" t="e">
        <f t="shared" ca="1" si="36"/>
        <v>#N/A</v>
      </c>
      <c r="U141" s="136" t="e">
        <f t="shared" ca="1" si="36"/>
        <v>#N/A</v>
      </c>
      <c r="V141" s="136" t="e">
        <f t="shared" ca="1" si="36"/>
        <v>#N/A</v>
      </c>
      <c r="W141" s="136" t="e">
        <f ca="1">IF(W138="",NA(),IF(OFFSET(W138,0,$I$25*(-1))="",NA(),W138-OFFSET(W138,0,$I$25*(-1))+W140))</f>
        <v>#N/A</v>
      </c>
      <c r="X141" s="136" t="e">
        <f t="shared" ca="1" si="36"/>
        <v>#N/A</v>
      </c>
      <c r="Y141" s="136" t="e">
        <f t="shared" ca="1" si="36"/>
        <v>#N/A</v>
      </c>
      <c r="Z141" s="136" t="e">
        <f ca="1">IF(Z138="",NA(),IF(OFFSET(Z138,0,$I$25*(-1))="",NA(),Z138-OFFSET(Z138,0,$I$25*(-1))+Z140))</f>
        <v>#N/A</v>
      </c>
      <c r="AA141" s="136" t="e">
        <f t="shared" ca="1" si="36"/>
        <v>#N/A</v>
      </c>
      <c r="AB141" s="136" t="e">
        <f t="shared" ca="1" si="36"/>
        <v>#N/A</v>
      </c>
      <c r="AC141" s="136" t="e">
        <f t="shared" ca="1" si="36"/>
        <v>#N/A</v>
      </c>
      <c r="AD141" s="136" t="e">
        <f t="shared" ca="1" si="36"/>
        <v>#N/A</v>
      </c>
      <c r="AE141" s="136" t="e">
        <f t="shared" ca="1" si="36"/>
        <v>#N/A</v>
      </c>
      <c r="AF141" s="136" t="e">
        <f t="shared" ca="1" si="36"/>
        <v>#N/A</v>
      </c>
      <c r="AG141" s="136" t="e">
        <f t="shared" ca="1" si="36"/>
        <v>#N/A</v>
      </c>
      <c r="AH141" s="136" t="e">
        <f t="shared" ca="1" si="36"/>
        <v>#N/A</v>
      </c>
      <c r="AI141" s="136" t="e">
        <f t="shared" ca="1" si="36"/>
        <v>#N/A</v>
      </c>
      <c r="AJ141" s="136" t="e">
        <f t="shared" ca="1" si="36"/>
        <v>#N/A</v>
      </c>
      <c r="AK141" s="136" t="e">
        <f t="shared" ca="1" si="36"/>
        <v>#N/A</v>
      </c>
      <c r="AL141" s="136" t="e">
        <f t="shared" ca="1" si="36"/>
        <v>#N/A</v>
      </c>
      <c r="AM141" s="136" t="e">
        <f t="shared" ca="1" si="36"/>
        <v>#N/A</v>
      </c>
      <c r="AN141" s="136" t="e">
        <f t="shared" ca="1" si="36"/>
        <v>#N/A</v>
      </c>
      <c r="AO141" s="136" t="e">
        <f t="shared" ca="1" si="36"/>
        <v>#N/A</v>
      </c>
      <c r="AP141" s="136" t="e">
        <f t="shared" ca="1" si="36"/>
        <v>#N/A</v>
      </c>
      <c r="AQ141" s="136" t="e">
        <f t="shared" ca="1" si="36"/>
        <v>#N/A</v>
      </c>
      <c r="AR141" s="136" t="e">
        <f t="shared" ca="1" si="36"/>
        <v>#N/A</v>
      </c>
      <c r="AS141" s="136" t="e">
        <f t="shared" ca="1" si="36"/>
        <v>#N/A</v>
      </c>
      <c r="AT141" s="136" t="e">
        <f t="shared" ca="1" si="36"/>
        <v>#N/A</v>
      </c>
      <c r="AU141" s="136" t="e">
        <f t="shared" ca="1" si="36"/>
        <v>#N/A</v>
      </c>
      <c r="AV141" s="136" t="e">
        <f t="shared" ca="1" si="36"/>
        <v>#N/A</v>
      </c>
      <c r="AW141" s="136" t="e">
        <f t="shared" ca="1" si="36"/>
        <v>#N/A</v>
      </c>
      <c r="AX141" s="136" t="e">
        <f t="shared" ca="1" si="36"/>
        <v>#N/A</v>
      </c>
      <c r="AY141" s="136" t="e">
        <f t="shared" ca="1" si="36"/>
        <v>#N/A</v>
      </c>
      <c r="AZ141" s="136" t="e">
        <f t="shared" ca="1" si="36"/>
        <v>#N/A</v>
      </c>
      <c r="BA141" s="136" t="e">
        <f t="shared" ca="1" si="36"/>
        <v>#N/A</v>
      </c>
      <c r="BB141" s="136" t="e">
        <f t="shared" ca="1" si="36"/>
        <v>#N/A</v>
      </c>
      <c r="BC141" s="136" t="e">
        <f t="shared" ca="1" si="36"/>
        <v>#N/A</v>
      </c>
      <c r="BD141" s="136" t="e">
        <f t="shared" ca="1" si="36"/>
        <v>#N/A</v>
      </c>
      <c r="BE141" s="136" t="e">
        <f t="shared" ca="1" si="36"/>
        <v>#N/A</v>
      </c>
    </row>
    <row r="142" spans="1:57" ht="18" hidden="1" customHeight="1">
      <c r="A142" s="806"/>
      <c r="B142" s="570" t="s">
        <v>205</v>
      </c>
      <c r="C142" s="514"/>
      <c r="D142" s="238"/>
      <c r="E142" s="238"/>
      <c r="F142" s="238"/>
      <c r="G142" s="238"/>
      <c r="H142" s="238"/>
      <c r="I142" s="238"/>
      <c r="J142" s="238"/>
      <c r="K142" s="238"/>
      <c r="L142" s="238"/>
      <c r="M142" s="238"/>
      <c r="N142" s="238"/>
      <c r="O142" s="238"/>
      <c r="P142" s="238"/>
      <c r="Q142" s="238"/>
      <c r="R142" s="238"/>
      <c r="S142" s="136" t="e">
        <f t="shared" ref="S142:BE142" ca="1" si="37">IF(S140="",NA(),IF(S139="",NA(),IF(OFFSET(S139,0,$I$25*(-1))="",NA(),S139-OFFSET(S139,0,$I$25*(-1))+S140)))</f>
        <v>#N/A</v>
      </c>
      <c r="T142" s="256" t="e">
        <f t="shared" ca="1" si="37"/>
        <v>#N/A</v>
      </c>
      <c r="U142" s="136" t="e">
        <f t="shared" ca="1" si="37"/>
        <v>#N/A</v>
      </c>
      <c r="V142" s="136" t="e">
        <f t="shared" ca="1" si="37"/>
        <v>#N/A</v>
      </c>
      <c r="W142" s="136" t="e">
        <f ca="1">IF(W140="",NA(),IF(W139="",NA(),IF(OFFSET(W139,0,$I$25*(-1))="",NA(),W139-OFFSET(W139,0,$I$25*(-1))+W140)))</f>
        <v>#N/A</v>
      </c>
      <c r="X142" s="136" t="e">
        <f t="shared" ca="1" si="37"/>
        <v>#N/A</v>
      </c>
      <c r="Y142" s="136" t="e">
        <f t="shared" ca="1" si="37"/>
        <v>#N/A</v>
      </c>
      <c r="Z142" s="136" t="e">
        <f t="shared" ca="1" si="37"/>
        <v>#N/A</v>
      </c>
      <c r="AA142" s="136" t="e">
        <f ca="1">IF(AA140="",NA(),IF(AA139="",NA(),IF(OFFSET(AA139,0,$I$25*(-1))="",NA(),AA139-OFFSET(AA139,0,$I$25*(-1))+AA140)))</f>
        <v>#N/A</v>
      </c>
      <c r="AB142" s="136" t="e">
        <f t="shared" ca="1" si="37"/>
        <v>#N/A</v>
      </c>
      <c r="AC142" s="136" t="e">
        <f t="shared" ca="1" si="37"/>
        <v>#N/A</v>
      </c>
      <c r="AD142" s="136" t="e">
        <f t="shared" ca="1" si="37"/>
        <v>#N/A</v>
      </c>
      <c r="AE142" s="136" t="e">
        <f t="shared" ca="1" si="37"/>
        <v>#N/A</v>
      </c>
      <c r="AF142" s="136" t="e">
        <f t="shared" ca="1" si="37"/>
        <v>#N/A</v>
      </c>
      <c r="AG142" s="136" t="e">
        <f t="shared" ca="1" si="37"/>
        <v>#N/A</v>
      </c>
      <c r="AH142" s="136" t="e">
        <f t="shared" ca="1" si="37"/>
        <v>#N/A</v>
      </c>
      <c r="AI142" s="136" t="e">
        <f t="shared" ca="1" si="37"/>
        <v>#N/A</v>
      </c>
      <c r="AJ142" s="136" t="e">
        <f t="shared" ca="1" si="37"/>
        <v>#N/A</v>
      </c>
      <c r="AK142" s="136" t="e">
        <f t="shared" ca="1" si="37"/>
        <v>#N/A</v>
      </c>
      <c r="AL142" s="136" t="e">
        <f t="shared" ca="1" si="37"/>
        <v>#N/A</v>
      </c>
      <c r="AM142" s="136" t="e">
        <f t="shared" ca="1" si="37"/>
        <v>#N/A</v>
      </c>
      <c r="AN142" s="136" t="e">
        <f t="shared" ca="1" si="37"/>
        <v>#N/A</v>
      </c>
      <c r="AO142" s="136" t="e">
        <f t="shared" ca="1" si="37"/>
        <v>#N/A</v>
      </c>
      <c r="AP142" s="136" t="e">
        <f t="shared" ca="1" si="37"/>
        <v>#N/A</v>
      </c>
      <c r="AQ142" s="136" t="e">
        <f t="shared" ca="1" si="37"/>
        <v>#N/A</v>
      </c>
      <c r="AR142" s="136" t="e">
        <f t="shared" ca="1" si="37"/>
        <v>#N/A</v>
      </c>
      <c r="AS142" s="136" t="e">
        <f t="shared" ca="1" si="37"/>
        <v>#N/A</v>
      </c>
      <c r="AT142" s="136" t="e">
        <f t="shared" ca="1" si="37"/>
        <v>#N/A</v>
      </c>
      <c r="AU142" s="136" t="e">
        <f t="shared" ca="1" si="37"/>
        <v>#N/A</v>
      </c>
      <c r="AV142" s="136" t="e">
        <f t="shared" ca="1" si="37"/>
        <v>#N/A</v>
      </c>
      <c r="AW142" s="136" t="e">
        <f t="shared" ca="1" si="37"/>
        <v>#N/A</v>
      </c>
      <c r="AX142" s="136" t="e">
        <f t="shared" ca="1" si="37"/>
        <v>#N/A</v>
      </c>
      <c r="AY142" s="136" t="e">
        <f t="shared" ca="1" si="37"/>
        <v>#N/A</v>
      </c>
      <c r="AZ142" s="136" t="e">
        <f t="shared" ca="1" si="37"/>
        <v>#N/A</v>
      </c>
      <c r="BA142" s="136" t="e">
        <f t="shared" ca="1" si="37"/>
        <v>#N/A</v>
      </c>
      <c r="BB142" s="136" t="e">
        <f t="shared" ca="1" si="37"/>
        <v>#N/A</v>
      </c>
      <c r="BC142" s="136" t="e">
        <f t="shared" ca="1" si="37"/>
        <v>#N/A</v>
      </c>
      <c r="BD142" s="136" t="e">
        <f t="shared" ca="1" si="37"/>
        <v>#N/A</v>
      </c>
      <c r="BE142" s="136" t="e">
        <f t="shared" ca="1" si="37"/>
        <v>#N/A</v>
      </c>
    </row>
    <row r="143" spans="1:57" ht="18" hidden="1" customHeight="1">
      <c r="A143" s="806"/>
      <c r="B143" s="780" t="s">
        <v>162</v>
      </c>
      <c r="C143" s="867"/>
      <c r="D143" s="238"/>
      <c r="E143" s="238"/>
      <c r="F143" s="238"/>
      <c r="G143" s="238"/>
      <c r="H143" s="238"/>
      <c r="I143" s="238"/>
      <c r="J143" s="238"/>
      <c r="K143" s="238"/>
      <c r="L143" s="238"/>
      <c r="M143" s="238"/>
      <c r="N143" s="238"/>
      <c r="O143" s="238"/>
      <c r="P143" s="238"/>
      <c r="Q143" s="238"/>
      <c r="R143" s="242"/>
      <c r="S143" s="136" t="e">
        <f t="shared" ref="S143:BE143" si="38">IF(S130="",NA(),IF(S3&lt;=$B$133,S130*$D$136/100,IF(S3&lt;=$C$133,S130*$E$136/100,IF(S3&lt;=$D$133,S130*$F$136/100,IF(S3&lt;=$E$133,S130*$G$136/100,IF(S3&lt;=$F$133,S130*$H$136/100,IF(S3&lt;=$G$133,S130*$I$136/100,IF(S3&lt;=$H$133,S130*$J$136/100,IF(S3&lt;=$I$133,S130*$K$136/100,IF(S3&lt;=$J$133,S130*$L$136/100,IF(S3&lt;=$K$133,S130*$M$136/100,S130*$N$136/100)))))))))))</f>
        <v>#N/A</v>
      </c>
      <c r="T143" s="265" t="e">
        <f t="shared" si="38"/>
        <v>#N/A</v>
      </c>
      <c r="U143" s="136" t="e">
        <f t="shared" si="38"/>
        <v>#N/A</v>
      </c>
      <c r="V143" s="136" t="e">
        <f t="shared" si="38"/>
        <v>#N/A</v>
      </c>
      <c r="W143" s="136" t="e">
        <f t="shared" si="38"/>
        <v>#N/A</v>
      </c>
      <c r="X143" s="136" t="e">
        <f t="shared" si="38"/>
        <v>#N/A</v>
      </c>
      <c r="Y143" s="136" t="e">
        <f t="shared" si="38"/>
        <v>#N/A</v>
      </c>
      <c r="Z143" s="136" t="e">
        <f t="shared" si="38"/>
        <v>#N/A</v>
      </c>
      <c r="AA143" s="136" t="e">
        <f t="shared" si="38"/>
        <v>#N/A</v>
      </c>
      <c r="AB143" s="136" t="e">
        <f t="shared" si="38"/>
        <v>#N/A</v>
      </c>
      <c r="AC143" s="136" t="e">
        <f t="shared" si="38"/>
        <v>#N/A</v>
      </c>
      <c r="AD143" s="136" t="e">
        <f t="shared" si="38"/>
        <v>#N/A</v>
      </c>
      <c r="AE143" s="136" t="e">
        <f t="shared" si="38"/>
        <v>#N/A</v>
      </c>
      <c r="AF143" s="136" t="e">
        <f t="shared" si="38"/>
        <v>#N/A</v>
      </c>
      <c r="AG143" s="136" t="e">
        <f t="shared" si="38"/>
        <v>#N/A</v>
      </c>
      <c r="AH143" s="136" t="e">
        <f t="shared" si="38"/>
        <v>#N/A</v>
      </c>
      <c r="AI143" s="136" t="e">
        <f t="shared" si="38"/>
        <v>#N/A</v>
      </c>
      <c r="AJ143" s="136" t="e">
        <f t="shared" si="38"/>
        <v>#N/A</v>
      </c>
      <c r="AK143" s="136" t="e">
        <f t="shared" si="38"/>
        <v>#N/A</v>
      </c>
      <c r="AL143" s="136" t="e">
        <f t="shared" si="38"/>
        <v>#N/A</v>
      </c>
      <c r="AM143" s="136" t="e">
        <f t="shared" si="38"/>
        <v>#N/A</v>
      </c>
      <c r="AN143" s="136" t="e">
        <f t="shared" si="38"/>
        <v>#N/A</v>
      </c>
      <c r="AO143" s="136" t="e">
        <f t="shared" si="38"/>
        <v>#N/A</v>
      </c>
      <c r="AP143" s="136" t="e">
        <f t="shared" si="38"/>
        <v>#N/A</v>
      </c>
      <c r="AQ143" s="136" t="e">
        <f t="shared" si="38"/>
        <v>#N/A</v>
      </c>
      <c r="AR143" s="136" t="e">
        <f t="shared" si="38"/>
        <v>#N/A</v>
      </c>
      <c r="AS143" s="136" t="e">
        <f t="shared" si="38"/>
        <v>#N/A</v>
      </c>
      <c r="AT143" s="136" t="e">
        <f t="shared" si="38"/>
        <v>#N/A</v>
      </c>
      <c r="AU143" s="136" t="e">
        <f t="shared" si="38"/>
        <v>#N/A</v>
      </c>
      <c r="AV143" s="136" t="e">
        <f t="shared" si="38"/>
        <v>#N/A</v>
      </c>
      <c r="AW143" s="136" t="e">
        <f t="shared" si="38"/>
        <v>#N/A</v>
      </c>
      <c r="AX143" s="136" t="e">
        <f t="shared" si="38"/>
        <v>#N/A</v>
      </c>
      <c r="AY143" s="136" t="e">
        <f t="shared" si="38"/>
        <v>#N/A</v>
      </c>
      <c r="AZ143" s="136" t="e">
        <f t="shared" si="38"/>
        <v>#N/A</v>
      </c>
      <c r="BA143" s="136" t="e">
        <f t="shared" si="38"/>
        <v>#N/A</v>
      </c>
      <c r="BB143" s="257" t="e">
        <f t="shared" si="38"/>
        <v>#N/A</v>
      </c>
      <c r="BC143" s="137" t="e">
        <f t="shared" si="38"/>
        <v>#N/A</v>
      </c>
      <c r="BD143" s="137" t="e">
        <f t="shared" si="38"/>
        <v>#N/A</v>
      </c>
      <c r="BE143" s="137" t="e">
        <f t="shared" si="38"/>
        <v>#N/A</v>
      </c>
    </row>
    <row r="144" spans="1:57" ht="18" hidden="1" customHeight="1">
      <c r="A144" s="806" t="s">
        <v>211</v>
      </c>
      <c r="B144" s="570" t="s">
        <v>203</v>
      </c>
      <c r="C144" s="570"/>
      <c r="D144" s="238"/>
      <c r="E144" s="238"/>
      <c r="F144" s="238"/>
      <c r="G144" s="238"/>
      <c r="H144" s="238"/>
      <c r="I144" s="238"/>
      <c r="J144" s="238"/>
      <c r="K144" s="238"/>
      <c r="L144" s="238"/>
      <c r="M144" s="238"/>
      <c r="N144" s="238"/>
      <c r="O144" s="238"/>
      <c r="P144" s="238"/>
      <c r="Q144" s="238"/>
      <c r="R144" s="242"/>
      <c r="S144" s="136" t="e">
        <f t="shared" ref="S144:BE144" ca="1" si="39">IF(S14="",NA(),IF(OFFSET(S14,0,$I$25*(-1))="",NA(),(S14-OFFSET(S14,0,$I$25*(-1)))*1.5848))</f>
        <v>#N/A</v>
      </c>
      <c r="T144" s="136" t="e">
        <f t="shared" ca="1" si="39"/>
        <v>#N/A</v>
      </c>
      <c r="U144" s="136" t="e">
        <f t="shared" ca="1" si="39"/>
        <v>#N/A</v>
      </c>
      <c r="V144" s="136" t="e">
        <f t="shared" ca="1" si="39"/>
        <v>#N/A</v>
      </c>
      <c r="W144" s="136" t="e">
        <f t="shared" ca="1" si="39"/>
        <v>#N/A</v>
      </c>
      <c r="X144" s="136" t="e">
        <f t="shared" ca="1" si="39"/>
        <v>#N/A</v>
      </c>
      <c r="Y144" s="136" t="e">
        <f t="shared" ca="1" si="39"/>
        <v>#N/A</v>
      </c>
      <c r="Z144" s="136" t="e">
        <f t="shared" ca="1" si="39"/>
        <v>#N/A</v>
      </c>
      <c r="AA144" s="136" t="e">
        <f t="shared" ca="1" si="39"/>
        <v>#N/A</v>
      </c>
      <c r="AB144" s="136" t="e">
        <f t="shared" ca="1" si="39"/>
        <v>#N/A</v>
      </c>
      <c r="AC144" s="136" t="e">
        <f t="shared" ca="1" si="39"/>
        <v>#N/A</v>
      </c>
      <c r="AD144" s="136" t="e">
        <f t="shared" ca="1" si="39"/>
        <v>#N/A</v>
      </c>
      <c r="AE144" s="136" t="e">
        <f t="shared" ca="1" si="39"/>
        <v>#N/A</v>
      </c>
      <c r="AF144" s="136" t="e">
        <f t="shared" ca="1" si="39"/>
        <v>#N/A</v>
      </c>
      <c r="AG144" s="136" t="e">
        <f t="shared" ca="1" si="39"/>
        <v>#N/A</v>
      </c>
      <c r="AH144" s="136" t="e">
        <f t="shared" ca="1" si="39"/>
        <v>#N/A</v>
      </c>
      <c r="AI144" s="136" t="e">
        <f t="shared" ca="1" si="39"/>
        <v>#N/A</v>
      </c>
      <c r="AJ144" s="136" t="e">
        <f t="shared" ca="1" si="39"/>
        <v>#N/A</v>
      </c>
      <c r="AK144" s="136" t="e">
        <f t="shared" ca="1" si="39"/>
        <v>#N/A</v>
      </c>
      <c r="AL144" s="136" t="e">
        <f t="shared" ca="1" si="39"/>
        <v>#N/A</v>
      </c>
      <c r="AM144" s="136" t="e">
        <f t="shared" ca="1" si="39"/>
        <v>#N/A</v>
      </c>
      <c r="AN144" s="136" t="e">
        <f t="shared" ca="1" si="39"/>
        <v>#N/A</v>
      </c>
      <c r="AO144" s="136" t="e">
        <f t="shared" ca="1" si="39"/>
        <v>#N/A</v>
      </c>
      <c r="AP144" s="136" t="e">
        <f t="shared" ca="1" si="39"/>
        <v>#N/A</v>
      </c>
      <c r="AQ144" s="136" t="e">
        <f t="shared" ca="1" si="39"/>
        <v>#N/A</v>
      </c>
      <c r="AR144" s="136" t="e">
        <f t="shared" ca="1" si="39"/>
        <v>#N/A</v>
      </c>
      <c r="AS144" s="136" t="e">
        <f t="shared" ca="1" si="39"/>
        <v>#N/A</v>
      </c>
      <c r="AT144" s="136" t="e">
        <f t="shared" ca="1" si="39"/>
        <v>#N/A</v>
      </c>
      <c r="AU144" s="136" t="e">
        <f t="shared" ca="1" si="39"/>
        <v>#N/A</v>
      </c>
      <c r="AV144" s="136" t="e">
        <f t="shared" ca="1" si="39"/>
        <v>#N/A</v>
      </c>
      <c r="AW144" s="136" t="e">
        <f t="shared" ca="1" si="39"/>
        <v>#N/A</v>
      </c>
      <c r="AX144" s="136" t="e">
        <f t="shared" ca="1" si="39"/>
        <v>#N/A</v>
      </c>
      <c r="AY144" s="136" t="e">
        <f t="shared" ca="1" si="39"/>
        <v>#N/A</v>
      </c>
      <c r="AZ144" s="136" t="e">
        <f t="shared" ca="1" si="39"/>
        <v>#N/A</v>
      </c>
      <c r="BA144" s="136" t="e">
        <f t="shared" ca="1" si="39"/>
        <v>#N/A</v>
      </c>
      <c r="BB144" s="136" t="e">
        <f t="shared" ca="1" si="39"/>
        <v>#N/A</v>
      </c>
      <c r="BC144" s="136" t="e">
        <f t="shared" ca="1" si="39"/>
        <v>#N/A</v>
      </c>
      <c r="BD144" s="136" t="e">
        <f t="shared" ca="1" si="39"/>
        <v>#N/A</v>
      </c>
      <c r="BE144" s="136" t="e">
        <f t="shared" ca="1" si="39"/>
        <v>#N/A</v>
      </c>
    </row>
    <row r="145" spans="1:57" ht="18" hidden="1" customHeight="1">
      <c r="A145" s="806"/>
      <c r="B145" s="570" t="s">
        <v>204</v>
      </c>
      <c r="C145" s="570"/>
      <c r="D145" s="238"/>
      <c r="E145" s="238"/>
      <c r="F145" s="238"/>
      <c r="G145" s="238"/>
      <c r="H145" s="238"/>
      <c r="I145" s="238"/>
      <c r="J145" s="238"/>
      <c r="K145" s="238"/>
      <c r="L145" s="238"/>
      <c r="M145" s="238"/>
      <c r="N145" s="238"/>
      <c r="O145" s="238"/>
      <c r="P145" s="238"/>
      <c r="Q145" s="238"/>
      <c r="R145" s="242"/>
      <c r="S145" s="136" t="e">
        <f t="shared" ref="S145:BE145" ca="1" si="40">IF(S128="",NA(),IF(OFFSET(S128,0,$I$25*(-1))="",NA(),S128-OFFSET(S128,0,$I$25*(-1))+S144))</f>
        <v>#N/A</v>
      </c>
      <c r="T145" s="136" t="e">
        <f t="shared" ca="1" si="40"/>
        <v>#N/A</v>
      </c>
      <c r="U145" s="136" t="e">
        <f ca="1">IF(U128="",NA(),IF(OFFSET(U128,0,$I$25*(-1))="",NA(),U128-OFFSET(U128,0,$I$25*(-1))+U144))</f>
        <v>#N/A</v>
      </c>
      <c r="V145" s="136" t="e">
        <f t="shared" ca="1" si="40"/>
        <v>#N/A</v>
      </c>
      <c r="W145" s="136" t="e">
        <f ca="1">IF(W128="",NA(),IF(OFFSET(W128,0,$I$25*(-1))="",NA(),W128-OFFSET(W128,0,$I$25*(-1))+W144))</f>
        <v>#N/A</v>
      </c>
      <c r="X145" s="136" t="e">
        <f t="shared" ca="1" si="40"/>
        <v>#N/A</v>
      </c>
      <c r="Y145" s="136" t="e">
        <f t="shared" ca="1" si="40"/>
        <v>#N/A</v>
      </c>
      <c r="Z145" s="136" t="e">
        <f t="shared" ca="1" si="40"/>
        <v>#N/A</v>
      </c>
      <c r="AA145" s="136" t="e">
        <f ca="1">IF(AA128="",NA(),IF(OFFSET(AA128,0,$I$25*(-1))="",NA(),AA128-OFFSET(AA128,0,$I$25*(-1))+AA144))</f>
        <v>#N/A</v>
      </c>
      <c r="AB145" s="136" t="e">
        <f t="shared" ca="1" si="40"/>
        <v>#N/A</v>
      </c>
      <c r="AC145" s="136" t="e">
        <f t="shared" ca="1" si="40"/>
        <v>#N/A</v>
      </c>
      <c r="AD145" s="136" t="e">
        <f t="shared" ca="1" si="40"/>
        <v>#N/A</v>
      </c>
      <c r="AE145" s="136" t="e">
        <f t="shared" ca="1" si="40"/>
        <v>#N/A</v>
      </c>
      <c r="AF145" s="136" t="e">
        <f t="shared" ca="1" si="40"/>
        <v>#N/A</v>
      </c>
      <c r="AG145" s="136" t="e">
        <f t="shared" ca="1" si="40"/>
        <v>#N/A</v>
      </c>
      <c r="AH145" s="136" t="e">
        <f t="shared" ca="1" si="40"/>
        <v>#N/A</v>
      </c>
      <c r="AI145" s="136" t="e">
        <f t="shared" ca="1" si="40"/>
        <v>#N/A</v>
      </c>
      <c r="AJ145" s="136" t="e">
        <f t="shared" ca="1" si="40"/>
        <v>#N/A</v>
      </c>
      <c r="AK145" s="136" t="e">
        <f t="shared" ca="1" si="40"/>
        <v>#N/A</v>
      </c>
      <c r="AL145" s="136" t="e">
        <f t="shared" ca="1" si="40"/>
        <v>#N/A</v>
      </c>
      <c r="AM145" s="136" t="e">
        <f t="shared" ca="1" si="40"/>
        <v>#N/A</v>
      </c>
      <c r="AN145" s="136" t="e">
        <f t="shared" ca="1" si="40"/>
        <v>#N/A</v>
      </c>
      <c r="AO145" s="136" t="e">
        <f t="shared" ca="1" si="40"/>
        <v>#N/A</v>
      </c>
      <c r="AP145" s="136" t="e">
        <f t="shared" ca="1" si="40"/>
        <v>#N/A</v>
      </c>
      <c r="AQ145" s="136" t="e">
        <f t="shared" ca="1" si="40"/>
        <v>#N/A</v>
      </c>
      <c r="AR145" s="136" t="e">
        <f t="shared" ca="1" si="40"/>
        <v>#N/A</v>
      </c>
      <c r="AS145" s="136" t="e">
        <f t="shared" ca="1" si="40"/>
        <v>#N/A</v>
      </c>
      <c r="AT145" s="136" t="e">
        <f t="shared" ca="1" si="40"/>
        <v>#N/A</v>
      </c>
      <c r="AU145" s="136" t="e">
        <f t="shared" ca="1" si="40"/>
        <v>#N/A</v>
      </c>
      <c r="AV145" s="136" t="e">
        <f t="shared" ca="1" si="40"/>
        <v>#N/A</v>
      </c>
      <c r="AW145" s="136" t="e">
        <f t="shared" ca="1" si="40"/>
        <v>#N/A</v>
      </c>
      <c r="AX145" s="136" t="e">
        <f t="shared" ca="1" si="40"/>
        <v>#N/A</v>
      </c>
      <c r="AY145" s="136" t="e">
        <f t="shared" ca="1" si="40"/>
        <v>#N/A</v>
      </c>
      <c r="AZ145" s="136" t="e">
        <f t="shared" ca="1" si="40"/>
        <v>#N/A</v>
      </c>
      <c r="BA145" s="136" t="e">
        <f t="shared" ca="1" si="40"/>
        <v>#N/A</v>
      </c>
      <c r="BB145" s="136" t="e">
        <f t="shared" ca="1" si="40"/>
        <v>#N/A</v>
      </c>
      <c r="BC145" s="136" t="e">
        <f t="shared" ca="1" si="40"/>
        <v>#N/A</v>
      </c>
      <c r="BD145" s="136" t="e">
        <f t="shared" ca="1" si="40"/>
        <v>#N/A</v>
      </c>
      <c r="BE145" s="136" t="e">
        <f t="shared" ca="1" si="40"/>
        <v>#N/A</v>
      </c>
    </row>
    <row r="146" spans="1:57" ht="18" hidden="1" customHeight="1">
      <c r="A146" s="806"/>
      <c r="B146" s="570" t="s">
        <v>205</v>
      </c>
      <c r="C146" s="570"/>
      <c r="D146" s="238"/>
      <c r="E146" s="238"/>
      <c r="F146" s="238"/>
      <c r="G146" s="238"/>
      <c r="H146" s="238"/>
      <c r="I146" s="238"/>
      <c r="J146" s="238"/>
      <c r="K146" s="238"/>
      <c r="L146" s="238"/>
      <c r="M146" s="238"/>
      <c r="N146" s="238"/>
      <c r="O146" s="238"/>
      <c r="P146" s="238"/>
      <c r="Q146" s="238"/>
      <c r="R146" s="242"/>
      <c r="S146" s="136" t="e">
        <f t="shared" ref="S146:BE146" ca="1" si="41">IF(S144="",NA(),IF(S17="",NA(),IF(OFFSET(S17,0,$I$25*(-1))="",NA(),S17-OFFSET(S17,0,$I$25*(-1))+S144)))</f>
        <v>#N/A</v>
      </c>
      <c r="T146" s="136" t="e">
        <f t="shared" ca="1" si="41"/>
        <v>#N/A</v>
      </c>
      <c r="U146" s="136" t="e">
        <f t="shared" ca="1" si="41"/>
        <v>#N/A</v>
      </c>
      <c r="V146" s="136" t="e">
        <f t="shared" ca="1" si="41"/>
        <v>#N/A</v>
      </c>
      <c r="W146" s="136" t="e">
        <f t="shared" ca="1" si="41"/>
        <v>#N/A</v>
      </c>
      <c r="X146" s="136" t="e">
        <f t="shared" ca="1" si="41"/>
        <v>#N/A</v>
      </c>
      <c r="Y146" s="136" t="e">
        <f t="shared" ca="1" si="41"/>
        <v>#N/A</v>
      </c>
      <c r="Z146" s="136" t="e">
        <f t="shared" ca="1" si="41"/>
        <v>#N/A</v>
      </c>
      <c r="AA146" s="136" t="e">
        <f t="shared" ca="1" si="41"/>
        <v>#N/A</v>
      </c>
      <c r="AB146" s="136" t="e">
        <f t="shared" ca="1" si="41"/>
        <v>#N/A</v>
      </c>
      <c r="AC146" s="136" t="e">
        <f t="shared" ca="1" si="41"/>
        <v>#N/A</v>
      </c>
      <c r="AD146" s="136" t="e">
        <f t="shared" ca="1" si="41"/>
        <v>#N/A</v>
      </c>
      <c r="AE146" s="136" t="e">
        <f t="shared" ca="1" si="41"/>
        <v>#N/A</v>
      </c>
      <c r="AF146" s="136" t="e">
        <f t="shared" ca="1" si="41"/>
        <v>#N/A</v>
      </c>
      <c r="AG146" s="136" t="e">
        <f t="shared" ca="1" si="41"/>
        <v>#N/A</v>
      </c>
      <c r="AH146" s="136" t="e">
        <f t="shared" ca="1" si="41"/>
        <v>#N/A</v>
      </c>
      <c r="AI146" s="136" t="e">
        <f t="shared" ca="1" si="41"/>
        <v>#N/A</v>
      </c>
      <c r="AJ146" s="136" t="e">
        <f t="shared" ca="1" si="41"/>
        <v>#N/A</v>
      </c>
      <c r="AK146" s="136" t="e">
        <f t="shared" ca="1" si="41"/>
        <v>#N/A</v>
      </c>
      <c r="AL146" s="136" t="e">
        <f t="shared" ca="1" si="41"/>
        <v>#N/A</v>
      </c>
      <c r="AM146" s="136" t="e">
        <f t="shared" ca="1" si="41"/>
        <v>#N/A</v>
      </c>
      <c r="AN146" s="136" t="e">
        <f t="shared" ca="1" si="41"/>
        <v>#N/A</v>
      </c>
      <c r="AO146" s="136" t="e">
        <f t="shared" ca="1" si="41"/>
        <v>#N/A</v>
      </c>
      <c r="AP146" s="136" t="e">
        <f t="shared" ca="1" si="41"/>
        <v>#N/A</v>
      </c>
      <c r="AQ146" s="136" t="e">
        <f t="shared" ca="1" si="41"/>
        <v>#N/A</v>
      </c>
      <c r="AR146" s="136" t="e">
        <f t="shared" ca="1" si="41"/>
        <v>#N/A</v>
      </c>
      <c r="AS146" s="136" t="e">
        <f t="shared" ca="1" si="41"/>
        <v>#N/A</v>
      </c>
      <c r="AT146" s="136" t="e">
        <f t="shared" ca="1" si="41"/>
        <v>#N/A</v>
      </c>
      <c r="AU146" s="136" t="e">
        <f t="shared" ca="1" si="41"/>
        <v>#N/A</v>
      </c>
      <c r="AV146" s="136" t="e">
        <f t="shared" ca="1" si="41"/>
        <v>#N/A</v>
      </c>
      <c r="AW146" s="136" t="e">
        <f t="shared" ca="1" si="41"/>
        <v>#N/A</v>
      </c>
      <c r="AX146" s="136" t="e">
        <f t="shared" ca="1" si="41"/>
        <v>#N/A</v>
      </c>
      <c r="AY146" s="136" t="e">
        <f t="shared" ca="1" si="41"/>
        <v>#N/A</v>
      </c>
      <c r="AZ146" s="136" t="e">
        <f t="shared" ca="1" si="41"/>
        <v>#N/A</v>
      </c>
      <c r="BA146" s="136" t="e">
        <f t="shared" ca="1" si="41"/>
        <v>#N/A</v>
      </c>
      <c r="BB146" s="136" t="e">
        <f t="shared" ca="1" si="41"/>
        <v>#N/A</v>
      </c>
      <c r="BC146" s="136" t="e">
        <f t="shared" ca="1" si="41"/>
        <v>#N/A</v>
      </c>
      <c r="BD146" s="136" t="e">
        <f t="shared" ca="1" si="41"/>
        <v>#N/A</v>
      </c>
      <c r="BE146" s="136" t="e">
        <f t="shared" ca="1" si="41"/>
        <v>#N/A</v>
      </c>
    </row>
    <row r="147" spans="1:57" ht="18" hidden="1" customHeight="1">
      <c r="A147" s="156"/>
      <c r="B147" s="119"/>
      <c r="C147" s="119"/>
      <c r="D147" s="119"/>
      <c r="E147" s="119"/>
      <c r="F147" s="119"/>
      <c r="G147" s="119"/>
      <c r="H147" s="119"/>
      <c r="I147" s="119"/>
      <c r="J147" s="119"/>
      <c r="K147" s="119"/>
      <c r="L147" s="119"/>
      <c r="M147" s="119"/>
      <c r="N147" s="119"/>
      <c r="O147" s="119"/>
      <c r="P147" s="119"/>
      <c r="Q147" s="119"/>
      <c r="R147" s="6"/>
      <c r="S147" s="152"/>
      <c r="T147" s="152"/>
      <c r="U147" s="152"/>
      <c r="V147" s="152"/>
      <c r="W147" s="152"/>
      <c r="X147" s="152"/>
      <c r="Y147" s="152"/>
      <c r="Z147" s="152"/>
      <c r="AA147" s="152"/>
      <c r="AB147" s="152"/>
      <c r="AC147" s="152"/>
      <c r="AD147" s="152"/>
      <c r="AE147" s="152"/>
      <c r="AF147" s="152"/>
      <c r="AG147" s="152"/>
      <c r="AH147" s="152"/>
      <c r="AI147" s="152"/>
      <c r="AJ147" s="152"/>
      <c r="AK147" s="152"/>
      <c r="AL147" s="152"/>
      <c r="AM147" s="152"/>
      <c r="AN147" s="152"/>
      <c r="AO147" s="152"/>
      <c r="AP147" s="152"/>
      <c r="AQ147" s="152"/>
      <c r="AR147" s="152"/>
      <c r="AS147" s="152"/>
      <c r="AT147" s="152"/>
      <c r="AU147" s="152"/>
      <c r="AV147" s="152"/>
      <c r="AW147" s="152"/>
      <c r="AX147" s="152"/>
      <c r="AY147" s="152"/>
      <c r="AZ147" s="152"/>
      <c r="BA147" s="152"/>
      <c r="BB147" s="152"/>
      <c r="BC147" s="152"/>
      <c r="BD147" s="152"/>
      <c r="BE147" s="152"/>
    </row>
    <row r="148" spans="1:57" ht="18" hidden="1" customHeight="1">
      <c r="A148" s="157" t="s">
        <v>219</v>
      </c>
      <c r="B148" s="119"/>
      <c r="C148" s="119"/>
      <c r="D148" s="119"/>
      <c r="E148" s="119"/>
      <c r="F148" s="119"/>
      <c r="G148" s="119"/>
      <c r="H148" s="119"/>
      <c r="I148" s="119"/>
      <c r="J148" s="119" t="s">
        <v>222</v>
      </c>
      <c r="K148" s="119"/>
      <c r="L148" s="119"/>
      <c r="M148" s="119"/>
      <c r="N148" s="119"/>
      <c r="O148" s="119"/>
      <c r="P148" s="119"/>
      <c r="Q148" s="119"/>
      <c r="R148" s="6"/>
      <c r="S148" s="152"/>
      <c r="T148" s="152"/>
      <c r="U148" s="152"/>
      <c r="V148" s="152"/>
      <c r="W148" s="152"/>
      <c r="X148" s="152"/>
      <c r="Y148" s="152"/>
      <c r="Z148" s="152"/>
      <c r="AA148" s="152"/>
      <c r="AB148" s="152"/>
      <c r="AC148" s="152"/>
      <c r="AD148" s="152"/>
      <c r="AE148" s="152"/>
      <c r="AF148" s="152"/>
      <c r="AG148" s="152"/>
      <c r="AH148" s="152"/>
      <c r="AI148" s="152"/>
      <c r="AJ148" s="152"/>
      <c r="AK148" s="152"/>
      <c r="AL148" s="152"/>
      <c r="AM148" s="152"/>
      <c r="AN148" s="152"/>
      <c r="AO148" s="152"/>
      <c r="AP148" s="152"/>
      <c r="AQ148" s="152"/>
      <c r="AR148" s="152"/>
      <c r="AS148" s="152"/>
      <c r="AT148" s="152"/>
      <c r="AU148" s="152"/>
      <c r="AV148" s="152"/>
      <c r="AW148" s="152"/>
      <c r="AX148" s="152"/>
      <c r="AY148" s="152"/>
      <c r="AZ148" s="152"/>
      <c r="BA148" s="152"/>
      <c r="BB148" s="152"/>
      <c r="BC148" s="152"/>
      <c r="BD148" s="152"/>
      <c r="BE148" s="152"/>
    </row>
    <row r="149" spans="1:57" ht="18" hidden="1" customHeight="1">
      <c r="A149" s="157"/>
      <c r="B149" s="157" t="s">
        <v>220</v>
      </c>
      <c r="C149" s="119"/>
      <c r="D149" s="119"/>
      <c r="E149" s="119"/>
      <c r="F149" s="119"/>
      <c r="G149" s="119"/>
      <c r="H149" s="158">
        <f t="array" ref="H149">MIN(IF(ISNUMBER(S13:BE13),S13:BE13))</f>
        <v>0</v>
      </c>
      <c r="I149" s="119"/>
      <c r="J149" s="119"/>
      <c r="K149" s="119"/>
      <c r="L149" s="119"/>
      <c r="M149" s="119"/>
      <c r="N149" s="119"/>
      <c r="O149" s="119"/>
      <c r="P149" s="119"/>
      <c r="Q149" s="119"/>
      <c r="R149" s="6"/>
      <c r="S149" s="152"/>
      <c r="T149" s="152"/>
      <c r="U149" s="152"/>
      <c r="V149" s="152"/>
      <c r="W149" s="152"/>
      <c r="X149" s="152"/>
      <c r="Y149" s="152"/>
      <c r="Z149" s="152"/>
      <c r="AA149" s="152"/>
      <c r="AB149" s="152"/>
      <c r="AC149" s="152"/>
      <c r="AD149" s="152"/>
      <c r="AE149" s="152"/>
      <c r="AF149" s="152"/>
      <c r="AG149" s="152"/>
      <c r="AH149" s="152"/>
      <c r="AI149" s="152"/>
      <c r="AJ149" s="152"/>
      <c r="AK149" s="152"/>
      <c r="AL149" s="152"/>
      <c r="AM149" s="152"/>
      <c r="AN149" s="152"/>
      <c r="AO149" s="152"/>
      <c r="AP149" s="152"/>
      <c r="AQ149" s="152"/>
      <c r="AR149" s="152"/>
      <c r="AS149" s="152"/>
      <c r="AT149" s="152"/>
      <c r="AU149" s="152"/>
      <c r="AV149" s="152"/>
      <c r="AW149" s="152"/>
      <c r="AX149" s="152"/>
      <c r="AY149" s="152"/>
      <c r="AZ149" s="152"/>
      <c r="BA149" s="152"/>
      <c r="BB149" s="152"/>
      <c r="BC149" s="152"/>
      <c r="BD149" s="152"/>
      <c r="BE149" s="152"/>
    </row>
    <row r="150" spans="1:57" ht="19.350000000000001" hidden="1" customHeight="1">
      <c r="B150" s="159" t="s">
        <v>221</v>
      </c>
      <c r="H150" s="160" t="e">
        <f t="array" ref="H150">INDEX(S13:BE14,2,MATCH(MIN(IF(ISNUMBER(S13:BE13),S13:BE13)),S13:BE13,0))</f>
        <v>#N/A</v>
      </c>
    </row>
    <row r="151" spans="1:57" ht="19.350000000000001" hidden="1" customHeight="1">
      <c r="B151" s="159"/>
      <c r="H151" s="160"/>
    </row>
    <row r="152" spans="1:57" ht="19.350000000000001" hidden="1" customHeight="1">
      <c r="A152" t="s">
        <v>227</v>
      </c>
      <c r="B152" s="159"/>
      <c r="H152" s="160"/>
    </row>
    <row r="153" spans="1:57" ht="19.350000000000001" hidden="1" customHeight="1">
      <c r="A153" s="616" t="s">
        <v>223</v>
      </c>
      <c r="B153" s="616"/>
      <c r="C153" s="616"/>
      <c r="D153" s="616"/>
      <c r="E153" s="616"/>
      <c r="F153" s="874">
        <f t="array" ref="F153">MAX(IF(ISNUMBER(S12:BE12),S12:BE12))</f>
        <v>0</v>
      </c>
      <c r="G153" s="874"/>
      <c r="H153" s="874"/>
      <c r="I153" s="874"/>
      <c r="J153" s="874"/>
    </row>
    <row r="154" spans="1:57" ht="19.350000000000001" hidden="1" customHeight="1">
      <c r="A154" s="616" t="s">
        <v>208</v>
      </c>
      <c r="B154" s="616"/>
      <c r="C154" s="616"/>
      <c r="D154" s="616"/>
      <c r="E154" s="616"/>
      <c r="F154" s="163" t="e">
        <f t="array" ref="F154">INDEX(S3:BE12,1,MATCH(MAX(IF(ISNUMBER(S12:BE12),S12:BE12)),S12:BE12,0))</f>
        <v>#N/A</v>
      </c>
      <c r="G154" s="164"/>
      <c r="H154" s="164"/>
      <c r="I154" s="164"/>
      <c r="J154" s="165"/>
    </row>
    <row r="155" spans="1:57" ht="19.350000000000001" hidden="1" customHeight="1">
      <c r="B155" s="159"/>
      <c r="H155" s="160"/>
    </row>
    <row r="156" spans="1:57" ht="19.350000000000001" hidden="1" customHeight="1">
      <c r="A156" s="616" t="s">
        <v>226</v>
      </c>
      <c r="B156" s="616"/>
      <c r="C156" s="616"/>
      <c r="D156" s="616"/>
      <c r="E156" s="616"/>
      <c r="F156" s="874">
        <f t="array" ref="F156">MAX(IF(ISNUMBER(S127:BE127),S127:BE127))</f>
        <v>0</v>
      </c>
      <c r="G156" s="874"/>
      <c r="H156" s="874"/>
      <c r="I156" s="874"/>
      <c r="J156" s="874"/>
    </row>
    <row r="157" spans="1:57" ht="19.350000000000001" hidden="1" customHeight="1">
      <c r="A157" s="616" t="s">
        <v>167</v>
      </c>
      <c r="B157" s="616"/>
      <c r="C157" s="616"/>
      <c r="D157" s="616"/>
      <c r="E157" s="616"/>
      <c r="F157" s="163" t="e">
        <f t="array" ref="F157">INDEX(S3:BE127,1,MATCH(MAX(IF(ISNUMBER(S127:BE127),S127:BE127)),S127:BE127,0))</f>
        <v>#N/A</v>
      </c>
      <c r="G157" s="163"/>
      <c r="H157" s="163"/>
      <c r="I157" s="163"/>
      <c r="J157" s="163"/>
    </row>
    <row r="158" spans="1:57" ht="19.350000000000001" hidden="1" customHeight="1">
      <c r="A158" s="161"/>
      <c r="B158" s="161"/>
      <c r="C158" s="161"/>
      <c r="D158" s="161"/>
      <c r="E158" s="161"/>
      <c r="F158" s="162"/>
      <c r="G158" s="162"/>
      <c r="H158" s="162"/>
      <c r="I158" s="162"/>
      <c r="J158" s="162"/>
    </row>
    <row r="159" spans="1:57" ht="19.5" hidden="1" customHeight="1">
      <c r="A159" t="s">
        <v>134</v>
      </c>
    </row>
    <row r="160" spans="1:57" s="57" customFormat="1" ht="18" hidden="1" customHeight="1">
      <c r="A160" s="868" t="s">
        <v>129</v>
      </c>
      <c r="B160" s="868"/>
      <c r="C160" s="869"/>
      <c r="D160" s="66" t="e">
        <f t="shared" ref="D160:AI160" si="42">IF(D12="",IF(D13="",NA(),D13/-10),D12)</f>
        <v>#N/A</v>
      </c>
      <c r="E160" s="66" t="e">
        <f t="shared" si="42"/>
        <v>#N/A</v>
      </c>
      <c r="F160" s="87" t="e">
        <f t="shared" si="42"/>
        <v>#N/A</v>
      </c>
      <c r="G160" s="87" t="e">
        <f t="shared" si="42"/>
        <v>#N/A</v>
      </c>
      <c r="H160" s="87" t="e">
        <f t="shared" si="42"/>
        <v>#N/A</v>
      </c>
      <c r="I160" s="87" t="e">
        <f t="shared" si="42"/>
        <v>#N/A</v>
      </c>
      <c r="J160" s="87" t="e">
        <f t="shared" si="42"/>
        <v>#N/A</v>
      </c>
      <c r="K160" s="87" t="e">
        <f t="shared" si="42"/>
        <v>#N/A</v>
      </c>
      <c r="L160" s="87" t="e">
        <f t="shared" si="42"/>
        <v>#N/A</v>
      </c>
      <c r="M160" s="87" t="e">
        <f t="shared" si="42"/>
        <v>#N/A</v>
      </c>
      <c r="N160" s="87" t="e">
        <f t="shared" si="42"/>
        <v>#N/A</v>
      </c>
      <c r="O160" s="87" t="e">
        <f t="shared" si="42"/>
        <v>#N/A</v>
      </c>
      <c r="P160" s="87" t="e">
        <f t="shared" si="42"/>
        <v>#N/A</v>
      </c>
      <c r="Q160" s="87" t="e">
        <f t="shared" si="42"/>
        <v>#N/A</v>
      </c>
      <c r="R160" s="66" t="e">
        <f t="shared" si="42"/>
        <v>#N/A</v>
      </c>
      <c r="S160" s="66" t="e">
        <f t="shared" si="42"/>
        <v>#N/A</v>
      </c>
      <c r="T160" s="252" t="e">
        <f t="shared" si="42"/>
        <v>#N/A</v>
      </c>
      <c r="U160" s="252" t="e">
        <f t="shared" si="42"/>
        <v>#N/A</v>
      </c>
      <c r="V160" s="252" t="e">
        <f t="shared" si="42"/>
        <v>#N/A</v>
      </c>
      <c r="W160" s="252" t="e">
        <f t="shared" si="42"/>
        <v>#N/A</v>
      </c>
      <c r="X160" s="252" t="e">
        <f t="shared" si="42"/>
        <v>#N/A</v>
      </c>
      <c r="Y160" s="252" t="e">
        <f t="shared" si="42"/>
        <v>#N/A</v>
      </c>
      <c r="Z160" s="252" t="e">
        <f t="shared" si="42"/>
        <v>#N/A</v>
      </c>
      <c r="AA160" s="252" t="e">
        <f t="shared" si="42"/>
        <v>#N/A</v>
      </c>
      <c r="AB160" s="252" t="e">
        <f t="shared" si="42"/>
        <v>#N/A</v>
      </c>
      <c r="AC160" s="252" t="e">
        <f t="shared" si="42"/>
        <v>#N/A</v>
      </c>
      <c r="AD160" s="252" t="e">
        <f t="shared" si="42"/>
        <v>#N/A</v>
      </c>
      <c r="AE160" s="252" t="e">
        <f t="shared" si="42"/>
        <v>#N/A</v>
      </c>
      <c r="AF160" s="252" t="e">
        <f t="shared" si="42"/>
        <v>#N/A</v>
      </c>
      <c r="AG160" s="252" t="e">
        <f t="shared" si="42"/>
        <v>#N/A</v>
      </c>
      <c r="AH160" s="252" t="e">
        <f t="shared" si="42"/>
        <v>#N/A</v>
      </c>
      <c r="AI160" s="252" t="e">
        <f t="shared" si="42"/>
        <v>#N/A</v>
      </c>
      <c r="AJ160" s="252" t="e">
        <f t="shared" ref="AJ160:BE160" si="43">IF(AJ12="",IF(AJ13="",NA(),AJ13/-10),AJ12)</f>
        <v>#N/A</v>
      </c>
      <c r="AK160" s="252" t="e">
        <f t="shared" si="43"/>
        <v>#N/A</v>
      </c>
      <c r="AL160" s="252" t="e">
        <f t="shared" si="43"/>
        <v>#N/A</v>
      </c>
      <c r="AM160" s="252" t="e">
        <f t="shared" si="43"/>
        <v>#N/A</v>
      </c>
      <c r="AN160" s="252" t="e">
        <f t="shared" si="43"/>
        <v>#N/A</v>
      </c>
      <c r="AO160" s="252" t="e">
        <f t="shared" si="43"/>
        <v>#N/A</v>
      </c>
      <c r="AP160" s="252" t="e">
        <f t="shared" si="43"/>
        <v>#N/A</v>
      </c>
      <c r="AQ160" s="252" t="e">
        <f t="shared" si="43"/>
        <v>#N/A</v>
      </c>
      <c r="AR160" s="252" t="e">
        <f t="shared" si="43"/>
        <v>#N/A</v>
      </c>
      <c r="AS160" s="252" t="e">
        <f t="shared" si="43"/>
        <v>#N/A</v>
      </c>
      <c r="AT160" s="252" t="e">
        <f t="shared" si="43"/>
        <v>#N/A</v>
      </c>
      <c r="AU160" s="252" t="e">
        <f t="shared" si="43"/>
        <v>#N/A</v>
      </c>
      <c r="AV160" s="252" t="e">
        <f t="shared" si="43"/>
        <v>#N/A</v>
      </c>
      <c r="AW160" s="252" t="e">
        <f t="shared" si="43"/>
        <v>#N/A</v>
      </c>
      <c r="AX160" s="252" t="e">
        <f t="shared" si="43"/>
        <v>#N/A</v>
      </c>
      <c r="AY160" s="252" t="e">
        <f t="shared" si="43"/>
        <v>#N/A</v>
      </c>
      <c r="AZ160" s="252" t="e">
        <f t="shared" si="43"/>
        <v>#N/A</v>
      </c>
      <c r="BA160" s="252" t="e">
        <f t="shared" si="43"/>
        <v>#N/A</v>
      </c>
      <c r="BB160" s="252" t="e">
        <f t="shared" si="43"/>
        <v>#N/A</v>
      </c>
      <c r="BC160" s="252" t="e">
        <f t="shared" si="43"/>
        <v>#N/A</v>
      </c>
      <c r="BD160" s="252" t="e">
        <f t="shared" si="43"/>
        <v>#N/A</v>
      </c>
      <c r="BE160" s="252" t="e">
        <f t="shared" si="43"/>
        <v>#N/A</v>
      </c>
    </row>
    <row r="161" spans="1:58" s="3" customFormat="1" ht="40.35" hidden="1" customHeight="1">
      <c r="A161" s="870" t="s">
        <v>130</v>
      </c>
      <c r="B161" s="871"/>
      <c r="C161" s="239" t="s">
        <v>5</v>
      </c>
      <c r="D161" s="67"/>
      <c r="E161" s="44"/>
      <c r="F161" s="88"/>
      <c r="G161" s="89"/>
      <c r="H161" s="90"/>
      <c r="I161" s="91"/>
      <c r="J161" s="88"/>
      <c r="K161" s="88"/>
      <c r="L161" s="88"/>
      <c r="M161" s="89"/>
      <c r="N161" s="91"/>
      <c r="O161" s="88"/>
      <c r="P161" s="88"/>
      <c r="Q161" s="88"/>
      <c r="R161" s="68"/>
      <c r="S161" s="67">
        <f t="shared" ref="S161:BE161" si="44">$E$214/(-10)</f>
        <v>0.57999999999999996</v>
      </c>
      <c r="T161" s="67">
        <f t="shared" si="44"/>
        <v>0.57999999999999996</v>
      </c>
      <c r="U161" s="67">
        <f t="shared" si="44"/>
        <v>0.57999999999999996</v>
      </c>
      <c r="V161" s="67">
        <f t="shared" si="44"/>
        <v>0.57999999999999996</v>
      </c>
      <c r="W161" s="67">
        <f t="shared" si="44"/>
        <v>0.57999999999999996</v>
      </c>
      <c r="X161" s="67">
        <f t="shared" si="44"/>
        <v>0.57999999999999996</v>
      </c>
      <c r="Y161" s="67">
        <f t="shared" si="44"/>
        <v>0.57999999999999996</v>
      </c>
      <c r="Z161" s="67">
        <f t="shared" si="44"/>
        <v>0.57999999999999996</v>
      </c>
      <c r="AA161" s="67">
        <f t="shared" si="44"/>
        <v>0.57999999999999996</v>
      </c>
      <c r="AB161" s="67">
        <f t="shared" si="44"/>
        <v>0.57999999999999996</v>
      </c>
      <c r="AC161" s="67">
        <f t="shared" si="44"/>
        <v>0.57999999999999996</v>
      </c>
      <c r="AD161" s="67">
        <f t="shared" si="44"/>
        <v>0.57999999999999996</v>
      </c>
      <c r="AE161" s="67">
        <f t="shared" si="44"/>
        <v>0.57999999999999996</v>
      </c>
      <c r="AF161" s="67">
        <f t="shared" si="44"/>
        <v>0.57999999999999996</v>
      </c>
      <c r="AG161" s="67">
        <f t="shared" si="44"/>
        <v>0.57999999999999996</v>
      </c>
      <c r="AH161" s="67">
        <f t="shared" si="44"/>
        <v>0.57999999999999996</v>
      </c>
      <c r="AI161" s="67">
        <f t="shared" si="44"/>
        <v>0.57999999999999996</v>
      </c>
      <c r="AJ161" s="67">
        <f t="shared" si="44"/>
        <v>0.57999999999999996</v>
      </c>
      <c r="AK161" s="67">
        <f t="shared" si="44"/>
        <v>0.57999999999999996</v>
      </c>
      <c r="AL161" s="67">
        <f t="shared" si="44"/>
        <v>0.57999999999999996</v>
      </c>
      <c r="AM161" s="67">
        <f t="shared" si="44"/>
        <v>0.57999999999999996</v>
      </c>
      <c r="AN161" s="67">
        <f t="shared" si="44"/>
        <v>0.57999999999999996</v>
      </c>
      <c r="AO161" s="67">
        <f t="shared" si="44"/>
        <v>0.57999999999999996</v>
      </c>
      <c r="AP161" s="67">
        <f t="shared" si="44"/>
        <v>0.57999999999999996</v>
      </c>
      <c r="AQ161" s="67">
        <f t="shared" si="44"/>
        <v>0.57999999999999996</v>
      </c>
      <c r="AR161" s="67">
        <f t="shared" si="44"/>
        <v>0.57999999999999996</v>
      </c>
      <c r="AS161" s="67">
        <f t="shared" si="44"/>
        <v>0.57999999999999996</v>
      </c>
      <c r="AT161" s="67">
        <f t="shared" si="44"/>
        <v>0.57999999999999996</v>
      </c>
      <c r="AU161" s="67">
        <f t="shared" si="44"/>
        <v>0.57999999999999996</v>
      </c>
      <c r="AV161" s="67">
        <f t="shared" si="44"/>
        <v>0.57999999999999996</v>
      </c>
      <c r="AW161" s="67">
        <f t="shared" si="44"/>
        <v>0.57999999999999996</v>
      </c>
      <c r="AX161" s="67">
        <f t="shared" si="44"/>
        <v>0.57999999999999996</v>
      </c>
      <c r="AY161" s="67">
        <f t="shared" si="44"/>
        <v>0.57999999999999996</v>
      </c>
      <c r="AZ161" s="67">
        <f t="shared" si="44"/>
        <v>0.57999999999999996</v>
      </c>
      <c r="BA161" s="67">
        <f t="shared" si="44"/>
        <v>0.57999999999999996</v>
      </c>
      <c r="BB161" s="67">
        <f t="shared" si="44"/>
        <v>0.57999999999999996</v>
      </c>
      <c r="BC161" s="67">
        <f t="shared" si="44"/>
        <v>0.57999999999999996</v>
      </c>
      <c r="BD161" s="67">
        <f t="shared" si="44"/>
        <v>0.57999999999999996</v>
      </c>
      <c r="BE161" s="67">
        <f t="shared" si="44"/>
        <v>0.57999999999999996</v>
      </c>
    </row>
    <row r="162" spans="1:58" s="3" customFormat="1" ht="18" hidden="1" customHeight="1">
      <c r="A162" s="514" t="s">
        <v>9</v>
      </c>
      <c r="B162" s="723"/>
      <c r="C162" s="239" t="s">
        <v>137</v>
      </c>
      <c r="D162" s="67"/>
      <c r="E162" s="44"/>
      <c r="F162" s="88"/>
      <c r="G162" s="89"/>
      <c r="H162" s="90"/>
      <c r="I162" s="91"/>
      <c r="J162" s="88"/>
      <c r="K162" s="88"/>
      <c r="L162" s="88"/>
      <c r="M162" s="89"/>
      <c r="N162" s="91"/>
      <c r="O162" s="88"/>
      <c r="P162" s="88"/>
      <c r="Q162" s="88"/>
      <c r="R162" s="68"/>
      <c r="S162" s="67">
        <f>E231</f>
        <v>7.6</v>
      </c>
      <c r="T162" s="44">
        <f>E234</f>
        <v>6.2</v>
      </c>
      <c r="U162" s="44">
        <f>E237</f>
        <v>3.8</v>
      </c>
      <c r="V162" s="44">
        <f>E240</f>
        <v>2.2999999999999998</v>
      </c>
      <c r="W162" s="44">
        <f>E243</f>
        <v>0.83</v>
      </c>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c r="BE162" s="68"/>
    </row>
    <row r="163" spans="1:58" s="3" customFormat="1" ht="18" hidden="1" customHeight="1">
      <c r="A163" s="514" t="s">
        <v>12</v>
      </c>
      <c r="B163" s="723"/>
      <c r="C163" s="239" t="s">
        <v>138</v>
      </c>
      <c r="D163" s="67"/>
      <c r="E163" s="44"/>
      <c r="F163" s="88"/>
      <c r="G163" s="89"/>
      <c r="H163" s="90"/>
      <c r="I163" s="91"/>
      <c r="J163" s="88"/>
      <c r="K163" s="88"/>
      <c r="L163" s="88"/>
      <c r="M163" s="89"/>
      <c r="N163" s="91"/>
      <c r="O163" s="88"/>
      <c r="P163" s="88"/>
      <c r="Q163" s="88"/>
      <c r="R163" s="68"/>
      <c r="S163" s="67">
        <f>E246</f>
        <v>5.4</v>
      </c>
      <c r="T163" s="44">
        <f>E249</f>
        <v>5.2</v>
      </c>
      <c r="U163" s="44">
        <f>E252</f>
        <v>3.4</v>
      </c>
      <c r="V163" s="44">
        <f>E255</f>
        <v>0.97</v>
      </c>
      <c r="W163" s="44">
        <f>E258</f>
        <v>0.1</v>
      </c>
      <c r="X163" s="44"/>
      <c r="Y163" s="44"/>
      <c r="Z163" s="44"/>
      <c r="AA163" s="44"/>
      <c r="AB163" s="44"/>
      <c r="AC163" s="44"/>
      <c r="AD163" s="44"/>
      <c r="AE163" s="44"/>
      <c r="AF163" s="44"/>
      <c r="AG163" s="44"/>
      <c r="AH163" s="44"/>
      <c r="AI163" s="44"/>
      <c r="AJ163" s="44"/>
      <c r="AK163" s="44"/>
      <c r="AL163" s="44"/>
      <c r="AM163" s="44"/>
      <c r="AN163" s="44"/>
      <c r="AO163" s="44"/>
      <c r="AP163" s="44"/>
      <c r="AQ163" s="44"/>
      <c r="AR163" s="44"/>
      <c r="AS163" s="44"/>
      <c r="AT163" s="44"/>
      <c r="AU163" s="44"/>
      <c r="AV163" s="44"/>
      <c r="AW163" s="44"/>
      <c r="AX163" s="44"/>
      <c r="AY163" s="44"/>
      <c r="AZ163" s="44"/>
      <c r="BA163" s="44"/>
      <c r="BB163" s="44"/>
      <c r="BC163" s="44"/>
      <c r="BD163" s="44"/>
      <c r="BE163" s="68"/>
    </row>
    <row r="164" spans="1:58" s="3" customFormat="1" ht="46.35" hidden="1" customHeight="1">
      <c r="A164" s="870" t="s">
        <v>131</v>
      </c>
      <c r="B164" s="871"/>
      <c r="C164" s="239" t="s">
        <v>5</v>
      </c>
      <c r="D164" s="67"/>
      <c r="E164" s="44"/>
      <c r="F164" s="88"/>
      <c r="G164" s="89"/>
      <c r="H164" s="90"/>
      <c r="I164" s="91"/>
      <c r="J164" s="88"/>
      <c r="K164" s="88"/>
      <c r="L164" s="88"/>
      <c r="M164" s="89"/>
      <c r="N164" s="91"/>
      <c r="O164" s="88"/>
      <c r="P164" s="88"/>
      <c r="Q164" s="88"/>
      <c r="R164" s="68"/>
      <c r="S164" s="67">
        <f>E211</f>
        <v>7.1</v>
      </c>
      <c r="T164" s="44"/>
      <c r="U164" s="44"/>
      <c r="V164" s="44"/>
      <c r="W164" s="44"/>
      <c r="X164" s="44"/>
      <c r="Y164" s="44"/>
      <c r="Z164" s="44"/>
      <c r="AA164" s="44"/>
      <c r="AB164" s="44"/>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44"/>
      <c r="BA164" s="44"/>
      <c r="BB164" s="44"/>
      <c r="BC164" s="44"/>
      <c r="BD164" s="44"/>
      <c r="BE164" s="68"/>
    </row>
    <row r="165" spans="1:58" ht="19.5" hidden="1" customHeight="1"/>
    <row r="166" spans="1:58" s="58" customFormat="1" ht="18" hidden="1" customHeight="1">
      <c r="A166" s="872" t="s">
        <v>44</v>
      </c>
      <c r="B166" s="872"/>
      <c r="C166" s="873"/>
      <c r="D166" s="69"/>
      <c r="E166" s="253"/>
      <c r="F166" s="253"/>
      <c r="G166" s="70"/>
      <c r="H166" s="78"/>
      <c r="I166" s="69"/>
      <c r="J166" s="253"/>
      <c r="K166" s="253"/>
      <c r="L166" s="253"/>
      <c r="M166" s="70"/>
      <c r="N166" s="69"/>
      <c r="O166" s="253"/>
      <c r="P166" s="253"/>
      <c r="Q166" s="253"/>
      <c r="R166" s="70"/>
      <c r="S166" s="76" t="e">
        <f t="shared" ref="S166:BE166" si="45">IF(S160="",NA(),S160*(-10))</f>
        <v>#N/A</v>
      </c>
      <c r="T166" s="47" t="e">
        <f t="shared" si="45"/>
        <v>#N/A</v>
      </c>
      <c r="U166" s="47" t="e">
        <f t="shared" si="45"/>
        <v>#N/A</v>
      </c>
      <c r="V166" s="47" t="e">
        <f t="shared" si="45"/>
        <v>#N/A</v>
      </c>
      <c r="W166" s="47" t="e">
        <f t="shared" si="45"/>
        <v>#N/A</v>
      </c>
      <c r="X166" s="47" t="e">
        <f t="shared" si="45"/>
        <v>#N/A</v>
      </c>
      <c r="Y166" s="47" t="e">
        <f t="shared" si="45"/>
        <v>#N/A</v>
      </c>
      <c r="Z166" s="47" t="e">
        <f t="shared" si="45"/>
        <v>#N/A</v>
      </c>
      <c r="AA166" s="47" t="e">
        <f t="shared" si="45"/>
        <v>#N/A</v>
      </c>
      <c r="AB166" s="47" t="e">
        <f t="shared" si="45"/>
        <v>#N/A</v>
      </c>
      <c r="AC166" s="47" t="e">
        <f t="shared" si="45"/>
        <v>#N/A</v>
      </c>
      <c r="AD166" s="47" t="e">
        <f t="shared" si="45"/>
        <v>#N/A</v>
      </c>
      <c r="AE166" s="47" t="e">
        <f t="shared" si="45"/>
        <v>#N/A</v>
      </c>
      <c r="AF166" s="47" t="e">
        <f t="shared" si="45"/>
        <v>#N/A</v>
      </c>
      <c r="AG166" s="47" t="e">
        <f t="shared" si="45"/>
        <v>#N/A</v>
      </c>
      <c r="AH166" s="47" t="e">
        <f t="shared" si="45"/>
        <v>#N/A</v>
      </c>
      <c r="AI166" s="47" t="e">
        <f t="shared" si="45"/>
        <v>#N/A</v>
      </c>
      <c r="AJ166" s="47" t="e">
        <f t="shared" si="45"/>
        <v>#N/A</v>
      </c>
      <c r="AK166" s="47" t="e">
        <f t="shared" si="45"/>
        <v>#N/A</v>
      </c>
      <c r="AL166" s="47" t="e">
        <f t="shared" si="45"/>
        <v>#N/A</v>
      </c>
      <c r="AM166" s="47" t="e">
        <f t="shared" si="45"/>
        <v>#N/A</v>
      </c>
      <c r="AN166" s="47" t="e">
        <f t="shared" si="45"/>
        <v>#N/A</v>
      </c>
      <c r="AO166" s="47" t="e">
        <f t="shared" si="45"/>
        <v>#N/A</v>
      </c>
      <c r="AP166" s="47" t="e">
        <f t="shared" si="45"/>
        <v>#N/A</v>
      </c>
      <c r="AQ166" s="47" t="e">
        <f t="shared" si="45"/>
        <v>#N/A</v>
      </c>
      <c r="AR166" s="47" t="e">
        <f t="shared" si="45"/>
        <v>#N/A</v>
      </c>
      <c r="AS166" s="47" t="e">
        <f t="shared" si="45"/>
        <v>#N/A</v>
      </c>
      <c r="AT166" s="47" t="e">
        <f t="shared" si="45"/>
        <v>#N/A</v>
      </c>
      <c r="AU166" s="47" t="e">
        <f t="shared" si="45"/>
        <v>#N/A</v>
      </c>
      <c r="AV166" s="47" t="e">
        <f t="shared" si="45"/>
        <v>#N/A</v>
      </c>
      <c r="AW166" s="47" t="e">
        <f t="shared" si="45"/>
        <v>#N/A</v>
      </c>
      <c r="AX166" s="47" t="e">
        <f t="shared" si="45"/>
        <v>#N/A</v>
      </c>
      <c r="AY166" s="47" t="e">
        <f t="shared" si="45"/>
        <v>#N/A</v>
      </c>
      <c r="AZ166" s="47" t="e">
        <f t="shared" si="45"/>
        <v>#N/A</v>
      </c>
      <c r="BA166" s="47" t="e">
        <f t="shared" si="45"/>
        <v>#N/A</v>
      </c>
      <c r="BB166" s="47" t="e">
        <f t="shared" si="45"/>
        <v>#N/A</v>
      </c>
      <c r="BC166" s="47" t="e">
        <f t="shared" si="45"/>
        <v>#N/A</v>
      </c>
      <c r="BD166" s="47" t="e">
        <f t="shared" si="45"/>
        <v>#N/A</v>
      </c>
      <c r="BE166" s="77" t="e">
        <f t="shared" si="45"/>
        <v>#N/A</v>
      </c>
    </row>
    <row r="167" spans="1:58" s="5" customFormat="1" ht="40.35" hidden="1" customHeight="1">
      <c r="A167" s="870" t="s">
        <v>132</v>
      </c>
      <c r="B167" s="871"/>
      <c r="C167" s="239" t="s">
        <v>5</v>
      </c>
      <c r="D167" s="71"/>
      <c r="E167" s="45"/>
      <c r="F167" s="45"/>
      <c r="G167" s="72"/>
      <c r="H167" s="79"/>
      <c r="I167" s="71"/>
      <c r="J167" s="45"/>
      <c r="K167" s="45"/>
      <c r="L167" s="45"/>
      <c r="M167" s="72"/>
      <c r="N167" s="71"/>
      <c r="O167" s="45"/>
      <c r="P167" s="45"/>
      <c r="Q167" s="45"/>
      <c r="R167" s="72"/>
      <c r="S167" s="71">
        <f t="shared" ref="S167:BE167" si="46">$E$214</f>
        <v>-5.8</v>
      </c>
      <c r="T167" s="71">
        <f t="shared" si="46"/>
        <v>-5.8</v>
      </c>
      <c r="U167" s="71">
        <f t="shared" si="46"/>
        <v>-5.8</v>
      </c>
      <c r="V167" s="71">
        <f t="shared" si="46"/>
        <v>-5.8</v>
      </c>
      <c r="W167" s="71">
        <f t="shared" si="46"/>
        <v>-5.8</v>
      </c>
      <c r="X167" s="71">
        <f t="shared" si="46"/>
        <v>-5.8</v>
      </c>
      <c r="Y167" s="71">
        <f t="shared" si="46"/>
        <v>-5.8</v>
      </c>
      <c r="Z167" s="71">
        <f t="shared" si="46"/>
        <v>-5.8</v>
      </c>
      <c r="AA167" s="71">
        <f t="shared" si="46"/>
        <v>-5.8</v>
      </c>
      <c r="AB167" s="71">
        <f t="shared" si="46"/>
        <v>-5.8</v>
      </c>
      <c r="AC167" s="71">
        <f t="shared" si="46"/>
        <v>-5.8</v>
      </c>
      <c r="AD167" s="71">
        <f t="shared" si="46"/>
        <v>-5.8</v>
      </c>
      <c r="AE167" s="71">
        <f t="shared" si="46"/>
        <v>-5.8</v>
      </c>
      <c r="AF167" s="71">
        <f t="shared" si="46"/>
        <v>-5.8</v>
      </c>
      <c r="AG167" s="71">
        <f t="shared" si="46"/>
        <v>-5.8</v>
      </c>
      <c r="AH167" s="71">
        <f t="shared" si="46"/>
        <v>-5.8</v>
      </c>
      <c r="AI167" s="71">
        <f t="shared" si="46"/>
        <v>-5.8</v>
      </c>
      <c r="AJ167" s="71">
        <f t="shared" si="46"/>
        <v>-5.8</v>
      </c>
      <c r="AK167" s="71">
        <f t="shared" si="46"/>
        <v>-5.8</v>
      </c>
      <c r="AL167" s="71">
        <f t="shared" si="46"/>
        <v>-5.8</v>
      </c>
      <c r="AM167" s="71">
        <f t="shared" si="46"/>
        <v>-5.8</v>
      </c>
      <c r="AN167" s="71">
        <f t="shared" si="46"/>
        <v>-5.8</v>
      </c>
      <c r="AO167" s="71">
        <f t="shared" si="46"/>
        <v>-5.8</v>
      </c>
      <c r="AP167" s="71">
        <f t="shared" si="46"/>
        <v>-5.8</v>
      </c>
      <c r="AQ167" s="71">
        <f t="shared" si="46"/>
        <v>-5.8</v>
      </c>
      <c r="AR167" s="71">
        <f t="shared" si="46"/>
        <v>-5.8</v>
      </c>
      <c r="AS167" s="71">
        <f t="shared" si="46"/>
        <v>-5.8</v>
      </c>
      <c r="AT167" s="71">
        <f t="shared" si="46"/>
        <v>-5.8</v>
      </c>
      <c r="AU167" s="71">
        <f t="shared" si="46"/>
        <v>-5.8</v>
      </c>
      <c r="AV167" s="71">
        <f t="shared" si="46"/>
        <v>-5.8</v>
      </c>
      <c r="AW167" s="71">
        <f t="shared" si="46"/>
        <v>-5.8</v>
      </c>
      <c r="AX167" s="71">
        <f t="shared" si="46"/>
        <v>-5.8</v>
      </c>
      <c r="AY167" s="71">
        <f t="shared" si="46"/>
        <v>-5.8</v>
      </c>
      <c r="AZ167" s="71">
        <f t="shared" si="46"/>
        <v>-5.8</v>
      </c>
      <c r="BA167" s="71">
        <f t="shared" si="46"/>
        <v>-5.8</v>
      </c>
      <c r="BB167" s="71">
        <f t="shared" si="46"/>
        <v>-5.8</v>
      </c>
      <c r="BC167" s="71">
        <f t="shared" si="46"/>
        <v>-5.8</v>
      </c>
      <c r="BD167" s="71">
        <f t="shared" si="46"/>
        <v>-5.8</v>
      </c>
      <c r="BE167" s="71">
        <f t="shared" si="46"/>
        <v>-5.8</v>
      </c>
    </row>
    <row r="168" spans="1:58" ht="19.5" hidden="1" customHeight="1"/>
    <row r="169" spans="1:58" s="3" customFormat="1" ht="47.45" hidden="1" customHeight="1">
      <c r="A169" s="870" t="s">
        <v>133</v>
      </c>
      <c r="B169" s="871"/>
      <c r="C169" s="239" t="s">
        <v>5</v>
      </c>
      <c r="D169" s="73"/>
      <c r="E169" s="46"/>
      <c r="F169" s="46"/>
      <c r="G169" s="74"/>
      <c r="H169" s="80"/>
      <c r="I169" s="73"/>
      <c r="J169" s="46"/>
      <c r="K169" s="46"/>
      <c r="L169" s="46"/>
      <c r="M169" s="74"/>
      <c r="N169" s="73"/>
      <c r="O169" s="46"/>
      <c r="P169" s="46"/>
      <c r="Q169" s="46"/>
      <c r="R169" s="74"/>
      <c r="S169" s="73">
        <f t="shared" ref="S169:BE169" si="47">$E$213</f>
        <v>15.6</v>
      </c>
      <c r="T169" s="73">
        <f t="shared" si="47"/>
        <v>15.6</v>
      </c>
      <c r="U169" s="73">
        <f t="shared" si="47"/>
        <v>15.6</v>
      </c>
      <c r="V169" s="73">
        <f t="shared" si="47"/>
        <v>15.6</v>
      </c>
      <c r="W169" s="73">
        <f t="shared" si="47"/>
        <v>15.6</v>
      </c>
      <c r="X169" s="73">
        <f t="shared" si="47"/>
        <v>15.6</v>
      </c>
      <c r="Y169" s="73">
        <f t="shared" si="47"/>
        <v>15.6</v>
      </c>
      <c r="Z169" s="73">
        <f t="shared" si="47"/>
        <v>15.6</v>
      </c>
      <c r="AA169" s="73">
        <f t="shared" si="47"/>
        <v>15.6</v>
      </c>
      <c r="AB169" s="73">
        <f t="shared" si="47"/>
        <v>15.6</v>
      </c>
      <c r="AC169" s="73">
        <f t="shared" si="47"/>
        <v>15.6</v>
      </c>
      <c r="AD169" s="73">
        <f t="shared" si="47"/>
        <v>15.6</v>
      </c>
      <c r="AE169" s="73">
        <f t="shared" si="47"/>
        <v>15.6</v>
      </c>
      <c r="AF169" s="73">
        <f t="shared" si="47"/>
        <v>15.6</v>
      </c>
      <c r="AG169" s="73">
        <f t="shared" si="47"/>
        <v>15.6</v>
      </c>
      <c r="AH169" s="73">
        <f t="shared" si="47"/>
        <v>15.6</v>
      </c>
      <c r="AI169" s="73">
        <f t="shared" si="47"/>
        <v>15.6</v>
      </c>
      <c r="AJ169" s="73">
        <f t="shared" si="47"/>
        <v>15.6</v>
      </c>
      <c r="AK169" s="73">
        <f t="shared" si="47"/>
        <v>15.6</v>
      </c>
      <c r="AL169" s="73">
        <f t="shared" si="47"/>
        <v>15.6</v>
      </c>
      <c r="AM169" s="73">
        <f t="shared" si="47"/>
        <v>15.6</v>
      </c>
      <c r="AN169" s="73">
        <f t="shared" si="47"/>
        <v>15.6</v>
      </c>
      <c r="AO169" s="73">
        <f t="shared" si="47"/>
        <v>15.6</v>
      </c>
      <c r="AP169" s="73">
        <f t="shared" si="47"/>
        <v>15.6</v>
      </c>
      <c r="AQ169" s="73">
        <f t="shared" si="47"/>
        <v>15.6</v>
      </c>
      <c r="AR169" s="73">
        <f t="shared" si="47"/>
        <v>15.6</v>
      </c>
      <c r="AS169" s="73">
        <f t="shared" si="47"/>
        <v>15.6</v>
      </c>
      <c r="AT169" s="73">
        <f t="shared" si="47"/>
        <v>15.6</v>
      </c>
      <c r="AU169" s="73">
        <f t="shared" si="47"/>
        <v>15.6</v>
      </c>
      <c r="AV169" s="73">
        <f t="shared" si="47"/>
        <v>15.6</v>
      </c>
      <c r="AW169" s="73">
        <f t="shared" si="47"/>
        <v>15.6</v>
      </c>
      <c r="AX169" s="73">
        <f t="shared" si="47"/>
        <v>15.6</v>
      </c>
      <c r="AY169" s="73">
        <f t="shared" si="47"/>
        <v>15.6</v>
      </c>
      <c r="AZ169" s="73">
        <f t="shared" si="47"/>
        <v>15.6</v>
      </c>
      <c r="BA169" s="73">
        <f t="shared" si="47"/>
        <v>15.6</v>
      </c>
      <c r="BB169" s="73">
        <f t="shared" si="47"/>
        <v>15.6</v>
      </c>
      <c r="BC169" s="73">
        <f t="shared" si="47"/>
        <v>15.6</v>
      </c>
      <c r="BD169" s="73">
        <f t="shared" si="47"/>
        <v>15.6</v>
      </c>
      <c r="BE169" s="73">
        <f t="shared" si="47"/>
        <v>15.6</v>
      </c>
    </row>
    <row r="170" spans="1:58" s="3" customFormat="1" ht="18" hidden="1" customHeight="1">
      <c r="A170" s="514" t="s">
        <v>8</v>
      </c>
      <c r="B170" s="723"/>
      <c r="C170" s="239" t="s">
        <v>137</v>
      </c>
      <c r="D170" s="73"/>
      <c r="E170" s="46"/>
      <c r="F170" s="46"/>
      <c r="G170" s="74"/>
      <c r="H170" s="80"/>
      <c r="I170" s="73"/>
      <c r="J170" s="46"/>
      <c r="K170" s="46"/>
      <c r="L170" s="46"/>
      <c r="M170" s="74"/>
      <c r="N170" s="73"/>
      <c r="O170" s="46"/>
      <c r="P170" s="46"/>
      <c r="Q170" s="46"/>
      <c r="R170" s="74"/>
      <c r="S170" s="73">
        <f>E232</f>
        <v>5.3</v>
      </c>
      <c r="T170" s="46">
        <f>E235</f>
        <v>7.9</v>
      </c>
      <c r="U170" s="46">
        <f>E238</f>
        <v>11.4</v>
      </c>
      <c r="V170" s="73">
        <f>E241</f>
        <v>13.6</v>
      </c>
      <c r="W170" s="46">
        <f>E244</f>
        <v>16</v>
      </c>
      <c r="X170" s="46"/>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4"/>
      <c r="AW170" s="44"/>
      <c r="AX170" s="44"/>
      <c r="AY170" s="44"/>
      <c r="AZ170" s="44"/>
      <c r="BA170" s="44"/>
      <c r="BB170" s="44"/>
      <c r="BC170" s="44"/>
      <c r="BD170" s="44"/>
      <c r="BE170" s="68"/>
    </row>
    <row r="171" spans="1:58" s="3" customFormat="1" ht="18" hidden="1" customHeight="1">
      <c r="A171" s="514" t="s">
        <v>11</v>
      </c>
      <c r="B171" s="723"/>
      <c r="C171" s="239" t="s">
        <v>138</v>
      </c>
      <c r="D171" s="73"/>
      <c r="E171" s="46"/>
      <c r="F171" s="46"/>
      <c r="G171" s="74"/>
      <c r="H171" s="80"/>
      <c r="I171" s="73"/>
      <c r="J171" s="46"/>
      <c r="K171" s="46"/>
      <c r="L171" s="46"/>
      <c r="M171" s="74"/>
      <c r="N171" s="73"/>
      <c r="O171" s="46"/>
      <c r="P171" s="46"/>
      <c r="Q171" s="46"/>
      <c r="R171" s="74"/>
      <c r="S171" s="73">
        <f>E247</f>
        <v>3.8</v>
      </c>
      <c r="T171" s="46">
        <f>E250</f>
        <v>5.5</v>
      </c>
      <c r="U171" s="46">
        <f>E253</f>
        <v>9</v>
      </c>
      <c r="V171" s="46">
        <f>E256</f>
        <v>14.1</v>
      </c>
      <c r="W171" s="46">
        <f>E259</f>
        <v>15.8</v>
      </c>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4"/>
      <c r="AW171" s="44"/>
      <c r="AX171" s="44"/>
      <c r="AY171" s="44"/>
      <c r="AZ171" s="44"/>
      <c r="BA171" s="44"/>
      <c r="BB171" s="44"/>
      <c r="BC171" s="44"/>
      <c r="BD171" s="44"/>
      <c r="BE171" s="68"/>
    </row>
    <row r="172" spans="1:58" ht="19.5" hidden="1" customHeight="1"/>
    <row r="173" spans="1:58" ht="19.5" hidden="1" customHeight="1">
      <c r="A173" t="s">
        <v>135</v>
      </c>
    </row>
    <row r="174" spans="1:58" s="4" customFormat="1" ht="18" hidden="1" customHeight="1">
      <c r="A174" s="514" t="s">
        <v>37</v>
      </c>
      <c r="B174" s="723"/>
      <c r="C174" s="239" t="s">
        <v>5</v>
      </c>
      <c r="D174" s="76"/>
      <c r="E174" s="47"/>
      <c r="F174" s="47"/>
      <c r="G174" s="77"/>
      <c r="H174" s="81"/>
      <c r="I174" s="76"/>
      <c r="J174" s="47"/>
      <c r="K174" s="47"/>
      <c r="L174" s="47"/>
      <c r="M174" s="77"/>
      <c r="N174" s="76"/>
      <c r="O174" s="47"/>
      <c r="P174" s="47"/>
      <c r="Q174" s="47"/>
      <c r="R174" s="77"/>
      <c r="S174" s="76">
        <f t="shared" ref="S174:BE174" si="48">$E$212</f>
        <v>45.3</v>
      </c>
      <c r="T174" s="76">
        <f t="shared" si="48"/>
        <v>45.3</v>
      </c>
      <c r="U174" s="76">
        <f t="shared" si="48"/>
        <v>45.3</v>
      </c>
      <c r="V174" s="76">
        <f t="shared" si="48"/>
        <v>45.3</v>
      </c>
      <c r="W174" s="76">
        <f t="shared" si="48"/>
        <v>45.3</v>
      </c>
      <c r="X174" s="76">
        <f t="shared" si="48"/>
        <v>45.3</v>
      </c>
      <c r="Y174" s="76">
        <f t="shared" si="48"/>
        <v>45.3</v>
      </c>
      <c r="Z174" s="76">
        <f t="shared" si="48"/>
        <v>45.3</v>
      </c>
      <c r="AA174" s="76">
        <f t="shared" si="48"/>
        <v>45.3</v>
      </c>
      <c r="AB174" s="76">
        <f t="shared" si="48"/>
        <v>45.3</v>
      </c>
      <c r="AC174" s="76">
        <f t="shared" si="48"/>
        <v>45.3</v>
      </c>
      <c r="AD174" s="76">
        <f t="shared" si="48"/>
        <v>45.3</v>
      </c>
      <c r="AE174" s="76">
        <f t="shared" si="48"/>
        <v>45.3</v>
      </c>
      <c r="AF174" s="76">
        <f t="shared" si="48"/>
        <v>45.3</v>
      </c>
      <c r="AG174" s="76">
        <f t="shared" si="48"/>
        <v>45.3</v>
      </c>
      <c r="AH174" s="76">
        <f t="shared" si="48"/>
        <v>45.3</v>
      </c>
      <c r="AI174" s="76">
        <f t="shared" si="48"/>
        <v>45.3</v>
      </c>
      <c r="AJ174" s="76">
        <f t="shared" si="48"/>
        <v>45.3</v>
      </c>
      <c r="AK174" s="76">
        <f t="shared" si="48"/>
        <v>45.3</v>
      </c>
      <c r="AL174" s="76">
        <f t="shared" si="48"/>
        <v>45.3</v>
      </c>
      <c r="AM174" s="76">
        <f t="shared" si="48"/>
        <v>45.3</v>
      </c>
      <c r="AN174" s="76">
        <f t="shared" si="48"/>
        <v>45.3</v>
      </c>
      <c r="AO174" s="76">
        <f t="shared" si="48"/>
        <v>45.3</v>
      </c>
      <c r="AP174" s="76">
        <f t="shared" si="48"/>
        <v>45.3</v>
      </c>
      <c r="AQ174" s="76">
        <f t="shared" si="48"/>
        <v>45.3</v>
      </c>
      <c r="AR174" s="76">
        <f t="shared" si="48"/>
        <v>45.3</v>
      </c>
      <c r="AS174" s="76">
        <f t="shared" si="48"/>
        <v>45.3</v>
      </c>
      <c r="AT174" s="76">
        <f t="shared" si="48"/>
        <v>45.3</v>
      </c>
      <c r="AU174" s="76">
        <f t="shared" si="48"/>
        <v>45.3</v>
      </c>
      <c r="AV174" s="76">
        <f t="shared" si="48"/>
        <v>45.3</v>
      </c>
      <c r="AW174" s="76">
        <f t="shared" si="48"/>
        <v>45.3</v>
      </c>
      <c r="AX174" s="76">
        <f t="shared" si="48"/>
        <v>45.3</v>
      </c>
      <c r="AY174" s="76">
        <f t="shared" si="48"/>
        <v>45.3</v>
      </c>
      <c r="AZ174" s="76">
        <f t="shared" si="48"/>
        <v>45.3</v>
      </c>
      <c r="BA174" s="76">
        <f t="shared" si="48"/>
        <v>45.3</v>
      </c>
      <c r="BB174" s="76">
        <f t="shared" si="48"/>
        <v>45.3</v>
      </c>
      <c r="BC174" s="76">
        <f t="shared" si="48"/>
        <v>45.3</v>
      </c>
      <c r="BD174" s="76">
        <f t="shared" si="48"/>
        <v>45.3</v>
      </c>
      <c r="BE174" s="76">
        <f t="shared" si="48"/>
        <v>45.3</v>
      </c>
    </row>
    <row r="175" spans="1:58" s="4" customFormat="1" ht="18" hidden="1" customHeight="1">
      <c r="A175" s="36"/>
      <c r="B175" s="570" t="s">
        <v>35</v>
      </c>
      <c r="C175" s="514"/>
      <c r="D175" s="76"/>
      <c r="E175" s="47"/>
      <c r="F175" s="47"/>
      <c r="G175" s="77"/>
      <c r="H175" s="81"/>
      <c r="I175" s="76"/>
      <c r="J175" s="47"/>
      <c r="K175" s="47"/>
      <c r="L175" s="47"/>
      <c r="M175" s="77"/>
      <c r="N175" s="76"/>
      <c r="O175" s="47"/>
      <c r="P175" s="47"/>
      <c r="Q175" s="47"/>
      <c r="R175" s="77"/>
      <c r="S175" s="82" t="e">
        <f t="shared" ref="S175:BE175" si="49">IF(S160="",NA(),ROUND(1443/(1443+S166),4))</f>
        <v>#N/A</v>
      </c>
      <c r="T175" s="48" t="e">
        <f t="shared" si="49"/>
        <v>#N/A</v>
      </c>
      <c r="U175" s="48" t="e">
        <f t="shared" si="49"/>
        <v>#N/A</v>
      </c>
      <c r="V175" s="48" t="e">
        <f t="shared" si="49"/>
        <v>#N/A</v>
      </c>
      <c r="W175" s="48" t="e">
        <f t="shared" si="49"/>
        <v>#N/A</v>
      </c>
      <c r="X175" s="48" t="e">
        <f t="shared" si="49"/>
        <v>#N/A</v>
      </c>
      <c r="Y175" s="48" t="e">
        <f t="shared" si="49"/>
        <v>#N/A</v>
      </c>
      <c r="Z175" s="48" t="e">
        <f t="shared" si="49"/>
        <v>#N/A</v>
      </c>
      <c r="AA175" s="48" t="e">
        <f t="shared" si="49"/>
        <v>#N/A</v>
      </c>
      <c r="AB175" s="48" t="e">
        <f t="shared" si="49"/>
        <v>#N/A</v>
      </c>
      <c r="AC175" s="48" t="e">
        <f t="shared" si="49"/>
        <v>#N/A</v>
      </c>
      <c r="AD175" s="48" t="e">
        <f t="shared" si="49"/>
        <v>#N/A</v>
      </c>
      <c r="AE175" s="48" t="e">
        <f t="shared" si="49"/>
        <v>#N/A</v>
      </c>
      <c r="AF175" s="48" t="e">
        <f t="shared" si="49"/>
        <v>#N/A</v>
      </c>
      <c r="AG175" s="48" t="e">
        <f t="shared" si="49"/>
        <v>#N/A</v>
      </c>
      <c r="AH175" s="48" t="e">
        <f t="shared" si="49"/>
        <v>#N/A</v>
      </c>
      <c r="AI175" s="48" t="e">
        <f t="shared" si="49"/>
        <v>#N/A</v>
      </c>
      <c r="AJ175" s="48" t="e">
        <f t="shared" si="49"/>
        <v>#N/A</v>
      </c>
      <c r="AK175" s="48" t="e">
        <f t="shared" si="49"/>
        <v>#N/A</v>
      </c>
      <c r="AL175" s="48" t="e">
        <f t="shared" si="49"/>
        <v>#N/A</v>
      </c>
      <c r="AM175" s="48" t="e">
        <f t="shared" si="49"/>
        <v>#N/A</v>
      </c>
      <c r="AN175" s="48" t="e">
        <f t="shared" si="49"/>
        <v>#N/A</v>
      </c>
      <c r="AO175" s="48" t="e">
        <f t="shared" si="49"/>
        <v>#N/A</v>
      </c>
      <c r="AP175" s="48" t="e">
        <f t="shared" si="49"/>
        <v>#N/A</v>
      </c>
      <c r="AQ175" s="48" t="e">
        <f t="shared" si="49"/>
        <v>#N/A</v>
      </c>
      <c r="AR175" s="48" t="e">
        <f t="shared" si="49"/>
        <v>#N/A</v>
      </c>
      <c r="AS175" s="48" t="e">
        <f t="shared" si="49"/>
        <v>#N/A</v>
      </c>
      <c r="AT175" s="48" t="e">
        <f t="shared" si="49"/>
        <v>#N/A</v>
      </c>
      <c r="AU175" s="48" t="e">
        <f t="shared" si="49"/>
        <v>#N/A</v>
      </c>
      <c r="AV175" s="48" t="e">
        <f t="shared" si="49"/>
        <v>#N/A</v>
      </c>
      <c r="AW175" s="48" t="e">
        <f t="shared" si="49"/>
        <v>#N/A</v>
      </c>
      <c r="AX175" s="48" t="e">
        <f t="shared" si="49"/>
        <v>#N/A</v>
      </c>
      <c r="AY175" s="48" t="e">
        <f t="shared" si="49"/>
        <v>#N/A</v>
      </c>
      <c r="AZ175" s="48" t="e">
        <f t="shared" si="49"/>
        <v>#N/A</v>
      </c>
      <c r="BA175" s="48" t="e">
        <f t="shared" si="49"/>
        <v>#N/A</v>
      </c>
      <c r="BB175" s="48" t="e">
        <f t="shared" si="49"/>
        <v>#N/A</v>
      </c>
      <c r="BC175" s="48" t="e">
        <f t="shared" si="49"/>
        <v>#N/A</v>
      </c>
      <c r="BD175" s="48" t="e">
        <f t="shared" si="49"/>
        <v>#N/A</v>
      </c>
      <c r="BE175" s="83" t="e">
        <f t="shared" si="49"/>
        <v>#N/A</v>
      </c>
      <c r="BF175" s="4" t="s">
        <v>136</v>
      </c>
    </row>
    <row r="176" spans="1:58" s="4" customFormat="1" ht="18" hidden="1" customHeight="1">
      <c r="A176" s="36"/>
      <c r="B176" s="570" t="s">
        <v>36</v>
      </c>
      <c r="C176" s="514"/>
      <c r="D176" s="76"/>
      <c r="E176" s="47"/>
      <c r="F176" s="47"/>
      <c r="G176" s="77"/>
      <c r="H176" s="81"/>
      <c r="I176" s="76"/>
      <c r="J176" s="47"/>
      <c r="K176" s="47"/>
      <c r="L176" s="47"/>
      <c r="M176" s="77"/>
      <c r="N176" s="76"/>
      <c r="O176" s="47"/>
      <c r="P176" s="47"/>
      <c r="Q176" s="47"/>
      <c r="R176" s="77"/>
      <c r="S176" s="82" t="e">
        <f>IF(S14="",NA(),IFERROR(S14*VLOOKUP(S14,'各種計算式等（配付時非表示）'!$E$3:$H$1003,3,TRUE)+VLOOKUP(S14,'各種計算式等（配付時非表示）'!$E$3:$H$1003,4,TRUE)+0.0000000001,"-"))</f>
        <v>#N/A</v>
      </c>
      <c r="T176" s="48" t="e">
        <f>IF(T14="",NA(),IFERROR(T14*VLOOKUP(T14,'各種計算式等（配付時非表示）'!$E$3:$H$1003,3,TRUE)+VLOOKUP(T14,'各種計算式等（配付時非表示）'!$E$3:$H$1003,4,TRUE)+0.0000000001,"-"))</f>
        <v>#N/A</v>
      </c>
      <c r="U176" s="48" t="e">
        <f>IF(U14="",NA(),IFERROR(U14*VLOOKUP(U14,'各種計算式等（配付時非表示）'!$E$3:$H$1003,3,TRUE)+VLOOKUP(U14,'各種計算式等（配付時非表示）'!$E$3:$H$1003,4,TRUE)+0.0000000001,"-"))</f>
        <v>#N/A</v>
      </c>
      <c r="V176" s="48" t="e">
        <f>IF(V14="",NA(),IFERROR(V14*VLOOKUP(V14,'各種計算式等（配付時非表示）'!$E$3:$H$1003,3,TRUE)+VLOOKUP(V14,'各種計算式等（配付時非表示）'!$E$3:$H$1003,4,TRUE)+0.0000000001,"-"))</f>
        <v>#N/A</v>
      </c>
      <c r="W176" s="48" t="e">
        <f>IF(W14="",NA(),IFERROR(W14*VLOOKUP(W14,'各種計算式等（配付時非表示）'!$E$3:$H$1003,3,TRUE)+VLOOKUP(W14,'各種計算式等（配付時非表示）'!$E$3:$H$1003,4,TRUE)+0.0000000001,"-"))</f>
        <v>#N/A</v>
      </c>
      <c r="X176" s="48" t="e">
        <f>IF(X14="",NA(),IFERROR(X14*VLOOKUP(X14,'各種計算式等（配付時非表示）'!$E$3:$H$1003,3,TRUE)+VLOOKUP(X14,'各種計算式等（配付時非表示）'!$E$3:$H$1003,4,TRUE)+0.0000000001,"-"))</f>
        <v>#N/A</v>
      </c>
      <c r="Y176" s="48" t="e">
        <f>IF(Y14="",NA(),IFERROR(Y14*VLOOKUP(Y14,'各種計算式等（配付時非表示）'!$E$3:$H$1003,3,TRUE)+VLOOKUP(Y14,'各種計算式等（配付時非表示）'!$E$3:$H$1003,4,TRUE)+0.0000000001,"-"))</f>
        <v>#N/A</v>
      </c>
      <c r="Z176" s="48" t="e">
        <f>IF(Z14="",NA(),IFERROR(Z14*VLOOKUP(Z14,'各種計算式等（配付時非表示）'!$E$3:$H$1003,3,TRUE)+VLOOKUP(Z14,'各種計算式等（配付時非表示）'!$E$3:$H$1003,4,TRUE)+0.0000000001,"-"))</f>
        <v>#N/A</v>
      </c>
      <c r="AA176" s="48" t="e">
        <f>IF(AA14="",NA(),IFERROR(AA14*VLOOKUP(AA14,'各種計算式等（配付時非表示）'!$E$3:$H$1003,3,TRUE)+VLOOKUP(AA14,'各種計算式等（配付時非表示）'!$E$3:$H$1003,4,TRUE)+0.0000000001,"-"))</f>
        <v>#N/A</v>
      </c>
      <c r="AB176" s="48" t="e">
        <f>IF(AB14="",NA(),IFERROR(AB14*VLOOKUP(AB14,'各種計算式等（配付時非表示）'!$E$3:$H$1003,3,TRUE)+VLOOKUP(AB14,'各種計算式等（配付時非表示）'!$E$3:$H$1003,4,TRUE)+0.0000000001,"-"))</f>
        <v>#N/A</v>
      </c>
      <c r="AC176" s="48" t="e">
        <f>IF(AC14="",NA(),IFERROR(AC14*VLOOKUP(AC14,'各種計算式等（配付時非表示）'!$E$3:$H$1003,3,TRUE)+VLOOKUP(AC14,'各種計算式等（配付時非表示）'!$E$3:$H$1003,4,TRUE)+0.0000000001,"-"))</f>
        <v>#N/A</v>
      </c>
      <c r="AD176" s="48" t="e">
        <f>IF(AD14="",NA(),IFERROR(AD14*VLOOKUP(AD14,'各種計算式等（配付時非表示）'!$E$3:$H$1003,3,TRUE)+VLOOKUP(AD14,'各種計算式等（配付時非表示）'!$E$3:$H$1003,4,TRUE)+0.0000000001,"-"))</f>
        <v>#N/A</v>
      </c>
      <c r="AE176" s="48" t="e">
        <f>IF(AE14="",NA(),IFERROR(AE14*VLOOKUP(AE14,'各種計算式等（配付時非表示）'!$E$3:$H$1003,3,TRUE)+VLOOKUP(AE14,'各種計算式等（配付時非表示）'!$E$3:$H$1003,4,TRUE)+0.0000000001,"-"))</f>
        <v>#N/A</v>
      </c>
      <c r="AF176" s="48" t="e">
        <f>IF(AF14="",NA(),IFERROR(AF14*VLOOKUP(AF14,'各種計算式等（配付時非表示）'!$E$3:$H$1003,3,TRUE)+VLOOKUP(AF14,'各種計算式等（配付時非表示）'!$E$3:$H$1003,4,TRUE)+0.0000000001,"-"))</f>
        <v>#N/A</v>
      </c>
      <c r="AG176" s="48" t="e">
        <f>IF(AG14="",NA(),IFERROR(AG14*VLOOKUP(AG14,'各種計算式等（配付時非表示）'!$E$3:$H$1003,3,TRUE)+VLOOKUP(AG14,'各種計算式等（配付時非表示）'!$E$3:$H$1003,4,TRUE)+0.0000000001,"-"))</f>
        <v>#N/A</v>
      </c>
      <c r="AH176" s="48" t="e">
        <f>IF(AH14="",NA(),IFERROR(AH14*VLOOKUP(AH14,'各種計算式等（配付時非表示）'!$E$3:$H$1003,3,TRUE)+VLOOKUP(AH14,'各種計算式等（配付時非表示）'!$E$3:$H$1003,4,TRUE)+0.0000000001,"-"))</f>
        <v>#N/A</v>
      </c>
      <c r="AI176" s="48" t="e">
        <f>IF(AI14="",NA(),IFERROR(AI14*VLOOKUP(AI14,'各種計算式等（配付時非表示）'!$E$3:$H$1003,3,TRUE)+VLOOKUP(AI14,'各種計算式等（配付時非表示）'!$E$3:$H$1003,4,TRUE)+0.0000000001,"-"))</f>
        <v>#N/A</v>
      </c>
      <c r="AJ176" s="48" t="e">
        <f>IF(AJ14="",NA(),IFERROR(AJ14*VLOOKUP(AJ14,'各種計算式等（配付時非表示）'!$E$3:$H$1003,3,TRUE)+VLOOKUP(AJ14,'各種計算式等（配付時非表示）'!$E$3:$H$1003,4,TRUE)+0.0000000001,"-"))</f>
        <v>#N/A</v>
      </c>
      <c r="AK176" s="48" t="e">
        <f>IF(AK14="",NA(),IFERROR(AK14*VLOOKUP(AK14,'各種計算式等（配付時非表示）'!$E$3:$H$1003,3,TRUE)+VLOOKUP(AK14,'各種計算式等（配付時非表示）'!$E$3:$H$1003,4,TRUE)+0.0000000001,"-"))</f>
        <v>#N/A</v>
      </c>
      <c r="AL176" s="48" t="e">
        <f>IF(AL14="",NA(),IFERROR(AL14*VLOOKUP(AL14,'各種計算式等（配付時非表示）'!$E$3:$H$1003,3,TRUE)+VLOOKUP(AL14,'各種計算式等（配付時非表示）'!$E$3:$H$1003,4,TRUE)+0.0000000001,"-"))</f>
        <v>#N/A</v>
      </c>
      <c r="AM176" s="48" t="e">
        <f>IF(AM14="",NA(),IFERROR(AM14*VLOOKUP(AM14,'各種計算式等（配付時非表示）'!$E$3:$H$1003,3,TRUE)+VLOOKUP(AM14,'各種計算式等（配付時非表示）'!$E$3:$H$1003,4,TRUE)+0.0000000001,"-"))</f>
        <v>#N/A</v>
      </c>
      <c r="AN176" s="48" t="e">
        <f>IF(AN14="",NA(),IFERROR(AN14*VLOOKUP(AN14,'各種計算式等（配付時非表示）'!$E$3:$H$1003,3,TRUE)+VLOOKUP(AN14,'各種計算式等（配付時非表示）'!$E$3:$H$1003,4,TRUE)+0.0000000001,"-"))</f>
        <v>#N/A</v>
      </c>
      <c r="AO176" s="48" t="e">
        <f>IF(AO14="",NA(),IFERROR(AO14*VLOOKUP(AO14,'各種計算式等（配付時非表示）'!$E$3:$H$1003,3,TRUE)+VLOOKUP(AO14,'各種計算式等（配付時非表示）'!$E$3:$H$1003,4,TRUE)+0.0000000001,"-"))</f>
        <v>#N/A</v>
      </c>
      <c r="AP176" s="48" t="e">
        <f>IF(AP14="",NA(),IFERROR(AP14*VLOOKUP(AP14,'各種計算式等（配付時非表示）'!$E$3:$H$1003,3,TRUE)+VLOOKUP(AP14,'各種計算式等（配付時非表示）'!$E$3:$H$1003,4,TRUE)+0.0000000001,"-"))</f>
        <v>#N/A</v>
      </c>
      <c r="AQ176" s="48" t="e">
        <f>IF(AQ14="",NA(),IFERROR(AQ14*VLOOKUP(AQ14,'各種計算式等（配付時非表示）'!$E$3:$H$1003,3,TRUE)+VLOOKUP(AQ14,'各種計算式等（配付時非表示）'!$E$3:$H$1003,4,TRUE)+0.0000000001,"-"))</f>
        <v>#N/A</v>
      </c>
      <c r="AR176" s="48" t="e">
        <f>IF(AR14="",NA(),IFERROR(AR14*VLOOKUP(AR14,'各種計算式等（配付時非表示）'!$E$3:$H$1003,3,TRUE)+VLOOKUP(AR14,'各種計算式等（配付時非表示）'!$E$3:$H$1003,4,TRUE)+0.0000000001,"-"))</f>
        <v>#N/A</v>
      </c>
      <c r="AS176" s="48" t="e">
        <f>IF(AS14="",NA(),IFERROR(AS14*VLOOKUP(AS14,'各種計算式等（配付時非表示）'!$E$3:$H$1003,3,TRUE)+VLOOKUP(AS14,'各種計算式等（配付時非表示）'!$E$3:$H$1003,4,TRUE)+0.0000000001,"-"))</f>
        <v>#N/A</v>
      </c>
      <c r="AT176" s="48" t="e">
        <f>IF(AT14="",NA(),IFERROR(AT14*VLOOKUP(AT14,'各種計算式等（配付時非表示）'!$E$3:$H$1003,3,TRUE)+VLOOKUP(AT14,'各種計算式等（配付時非表示）'!$E$3:$H$1003,4,TRUE)+0.0000000001,"-"))</f>
        <v>#N/A</v>
      </c>
      <c r="AU176" s="48" t="e">
        <f>IF(AU14="",NA(),IFERROR(AU14*VLOOKUP(AU14,'各種計算式等（配付時非表示）'!$E$3:$H$1003,3,TRUE)+VLOOKUP(AU14,'各種計算式等（配付時非表示）'!$E$3:$H$1003,4,TRUE)+0.0000000001,"-"))</f>
        <v>#N/A</v>
      </c>
      <c r="AV176" s="48" t="e">
        <f>IF(AV14="",NA(),IFERROR(AV14*VLOOKUP(AV14,'各種計算式等（配付時非表示）'!$E$3:$H$1003,3,TRUE)+VLOOKUP(AV14,'各種計算式等（配付時非表示）'!$E$3:$H$1003,4,TRUE)+0.0000000001,"-"))</f>
        <v>#N/A</v>
      </c>
      <c r="AW176" s="48" t="e">
        <f>IF(AW14="",NA(),IFERROR(AW14*VLOOKUP(AW14,'各種計算式等（配付時非表示）'!$E$3:$H$1003,3,TRUE)+VLOOKUP(AW14,'各種計算式等（配付時非表示）'!$E$3:$H$1003,4,TRUE)+0.0000000001,"-"))</f>
        <v>#N/A</v>
      </c>
      <c r="AX176" s="48" t="e">
        <f>IF(AX14="",NA(),IFERROR(AX14*VLOOKUP(AX14,'各種計算式等（配付時非表示）'!$E$3:$H$1003,3,TRUE)+VLOOKUP(AX14,'各種計算式等（配付時非表示）'!$E$3:$H$1003,4,TRUE)+0.0000000001,"-"))</f>
        <v>#N/A</v>
      </c>
      <c r="AY176" s="48" t="e">
        <f>IF(AY14="",NA(),IFERROR(AY14*VLOOKUP(AY14,'各種計算式等（配付時非表示）'!$E$3:$H$1003,3,TRUE)+VLOOKUP(AY14,'各種計算式等（配付時非表示）'!$E$3:$H$1003,4,TRUE)+0.0000000001,"-"))</f>
        <v>#N/A</v>
      </c>
      <c r="AZ176" s="48" t="e">
        <f>IF(AZ14="",NA(),IFERROR(AZ14*VLOOKUP(AZ14,'各種計算式等（配付時非表示）'!$E$3:$H$1003,3,TRUE)+VLOOKUP(AZ14,'各種計算式等（配付時非表示）'!$E$3:$H$1003,4,TRUE)+0.0000000001,"-"))</f>
        <v>#N/A</v>
      </c>
      <c r="BA176" s="48" t="e">
        <f>IF(BA14="",NA(),IFERROR(BA14*VLOOKUP(BA14,'各種計算式等（配付時非表示）'!$E$3:$H$1003,3,TRUE)+VLOOKUP(BA14,'各種計算式等（配付時非表示）'!$E$3:$H$1003,4,TRUE)+0.0000000001,"-"))</f>
        <v>#N/A</v>
      </c>
      <c r="BB176" s="48" t="e">
        <f>IF(BB14="",NA(),IFERROR(BB14*VLOOKUP(BB14,'各種計算式等（配付時非表示）'!$E$3:$H$1003,3,TRUE)+VLOOKUP(BB14,'各種計算式等（配付時非表示）'!$E$3:$H$1003,4,TRUE)+0.0000000001,"-"))</f>
        <v>#N/A</v>
      </c>
      <c r="BC176" s="48" t="e">
        <f>IF(BC14="",NA(),IFERROR(BC14*VLOOKUP(BC14,'各種計算式等（配付時非表示）'!$E$3:$H$1003,3,TRUE)+VLOOKUP(BC14,'各種計算式等（配付時非表示）'!$E$3:$H$1003,4,TRUE)+0.0000000001,"-"))</f>
        <v>#N/A</v>
      </c>
      <c r="BD176" s="48" t="e">
        <f>IF(BD14="",NA(),IFERROR(BD14*VLOOKUP(BD14,'各種計算式等（配付時非表示）'!$E$3:$H$1003,3,TRUE)+VLOOKUP(BD14,'各種計算式等（配付時非表示）'!$E$3:$H$1003,4,TRUE)+0.0000000001,"-"))</f>
        <v>#N/A</v>
      </c>
      <c r="BE176" s="83" t="e">
        <f>IF(BE14="",NA(),IFERROR(BE14*VLOOKUP(BE14,'各種計算式等（配付時非表示）'!$E$3:$H$1003,3,TRUE)+VLOOKUP(BE14,'各種計算式等（配付時非表示）'!$E$3:$H$1003,4,TRUE)+0.0000000001,"-"))</f>
        <v>#N/A</v>
      </c>
      <c r="BF176" s="4" t="s">
        <v>136</v>
      </c>
    </row>
    <row r="177" spans="1:57" s="4" customFormat="1" ht="18" hidden="1" customHeight="1">
      <c r="A177" s="118"/>
      <c r="B177" s="119"/>
      <c r="C177" s="119"/>
      <c r="D177" s="120"/>
      <c r="E177" s="120"/>
      <c r="F177" s="120"/>
      <c r="G177" s="120"/>
      <c r="H177" s="120"/>
      <c r="I177" s="120"/>
      <c r="J177" s="120"/>
      <c r="K177" s="120"/>
      <c r="L177" s="120"/>
      <c r="M177" s="120"/>
      <c r="N177" s="120"/>
      <c r="O177" s="120"/>
      <c r="P177" s="120"/>
      <c r="Q177" s="120"/>
      <c r="R177" s="120"/>
      <c r="S177" s="121"/>
      <c r="T177" s="121"/>
      <c r="U177" s="121"/>
      <c r="V177" s="121"/>
      <c r="W177" s="121"/>
      <c r="X177" s="121"/>
      <c r="Y177" s="121"/>
      <c r="Z177" s="121"/>
      <c r="AA177" s="121"/>
      <c r="AB177" s="121"/>
      <c r="AC177" s="121"/>
      <c r="AD177" s="121"/>
      <c r="AE177" s="121"/>
      <c r="AF177" s="121"/>
      <c r="AG177" s="121"/>
      <c r="AH177" s="121"/>
      <c r="AI177" s="121"/>
      <c r="AJ177" s="121"/>
      <c r="AK177" s="121"/>
      <c r="AL177" s="121"/>
      <c r="AM177" s="121"/>
      <c r="AN177" s="121"/>
      <c r="AO177" s="121"/>
      <c r="AP177" s="121"/>
      <c r="AQ177" s="121"/>
      <c r="AR177" s="121"/>
      <c r="AS177" s="121"/>
      <c r="AT177" s="121"/>
      <c r="AU177" s="121"/>
      <c r="AV177" s="121"/>
      <c r="AW177" s="121"/>
      <c r="AX177" s="121"/>
      <c r="AY177" s="121"/>
      <c r="AZ177" s="121"/>
      <c r="BA177" s="121"/>
      <c r="BB177" s="121"/>
      <c r="BC177" s="121"/>
      <c r="BD177" s="121"/>
      <c r="BE177" s="121"/>
    </row>
    <row r="178" spans="1:57" ht="19.5" hidden="1" customHeight="1">
      <c r="A178" t="s">
        <v>270</v>
      </c>
    </row>
    <row r="179" spans="1:57" ht="19.5" hidden="1" customHeight="1"/>
    <row r="180" spans="1:57" s="1" customFormat="1" ht="20.100000000000001" hidden="1" customHeight="1">
      <c r="A180" s="117"/>
      <c r="B180" s="115" t="s">
        <v>42</v>
      </c>
      <c r="C180" s="115" t="s">
        <v>137</v>
      </c>
      <c r="D180" s="242" t="s">
        <v>269</v>
      </c>
      <c r="E180" s="242"/>
      <c r="F180" s="242"/>
      <c r="G180" s="242"/>
      <c r="H180" s="242"/>
      <c r="I180" s="242"/>
      <c r="J180" s="242"/>
      <c r="K180" s="242"/>
      <c r="L180" s="242"/>
      <c r="M180" s="242"/>
      <c r="N180" s="242"/>
      <c r="O180" s="242"/>
      <c r="P180" s="242"/>
      <c r="Q180" s="242"/>
      <c r="R180" s="242"/>
      <c r="S180" s="117" t="e">
        <f>E230</f>
        <v>#N/A</v>
      </c>
      <c r="T180" s="242" t="e">
        <f>E233</f>
        <v>#N/A</v>
      </c>
      <c r="U180" s="242" t="e">
        <f>E236</f>
        <v>#N/A</v>
      </c>
      <c r="V180" s="242" t="e">
        <f>E239</f>
        <v>#N/A</v>
      </c>
      <c r="W180" s="242" t="e">
        <f>E242</f>
        <v>#N/A</v>
      </c>
      <c r="X180" s="242"/>
      <c r="Y180" s="242"/>
      <c r="Z180" s="242"/>
      <c r="AA180" s="312" t="s">
        <v>289</v>
      </c>
      <c r="AB180" s="117" t="e">
        <f>E230</f>
        <v>#N/A</v>
      </c>
      <c r="AC180" s="311" t="e">
        <f>E233</f>
        <v>#N/A</v>
      </c>
      <c r="AD180" s="311" t="e">
        <f>E236</f>
        <v>#N/A</v>
      </c>
      <c r="AE180" s="311" t="e">
        <f>E239</f>
        <v>#N/A</v>
      </c>
      <c r="AF180" s="311" t="e">
        <f>E242</f>
        <v>#N/A</v>
      </c>
      <c r="AG180" s="242"/>
      <c r="AH180" s="242"/>
      <c r="AI180" s="242"/>
      <c r="AJ180" s="242"/>
      <c r="AK180" s="242"/>
      <c r="AL180" s="242"/>
      <c r="AM180" s="242"/>
      <c r="AN180" s="242"/>
      <c r="AO180" s="242"/>
      <c r="AP180" s="242"/>
      <c r="AQ180" s="242"/>
      <c r="AR180" s="242"/>
      <c r="AS180" s="242"/>
      <c r="AT180" s="242"/>
      <c r="AU180" s="242"/>
      <c r="AV180" s="6"/>
      <c r="AW180" s="6"/>
      <c r="AX180" s="6"/>
      <c r="AY180" s="6"/>
      <c r="AZ180" s="6"/>
      <c r="BA180" s="6"/>
      <c r="BB180" s="6"/>
      <c r="BC180" s="6"/>
      <c r="BD180" s="6"/>
    </row>
    <row r="181" spans="1:57" s="1" customFormat="1" ht="20.100000000000001" hidden="1" customHeight="1">
      <c r="A181" s="117"/>
      <c r="B181" s="115"/>
      <c r="C181" s="115"/>
      <c r="D181" s="242" t="s">
        <v>60</v>
      </c>
      <c r="E181" s="242"/>
      <c r="F181" s="242"/>
      <c r="G181" s="242"/>
      <c r="H181" s="242"/>
      <c r="I181" s="242"/>
      <c r="J181" s="242"/>
      <c r="K181" s="242"/>
      <c r="L181" s="242"/>
      <c r="M181" s="242"/>
      <c r="N181" s="242"/>
      <c r="O181" s="242"/>
      <c r="P181" s="242"/>
      <c r="Q181" s="242"/>
      <c r="R181" s="242"/>
      <c r="S181" s="215">
        <f>I232</f>
        <v>24.9</v>
      </c>
      <c r="T181" s="216">
        <f>I235</f>
        <v>27.2</v>
      </c>
      <c r="U181" s="216">
        <f>I238</f>
        <v>29.1</v>
      </c>
      <c r="V181" s="216">
        <f>I241</f>
        <v>30.4</v>
      </c>
      <c r="W181" s="216">
        <f>I244</f>
        <v>32.1</v>
      </c>
      <c r="X181" s="242"/>
      <c r="Y181" s="242"/>
      <c r="Z181" s="242"/>
      <c r="AA181" s="312"/>
      <c r="AB181" s="215" t="e">
        <f ca="1">IF(I232="",NA(),IF(AB180&lt;=$B$133,I232*$D$136/100,IF(AB180&lt;=$C$133,I232*$E$136/100,IF(AB180&lt;=$D$133,I232*$F$136/100,IF(AB180&lt;=$E$133,I232*$G$136/100,IF(AB180&lt;=$F$133,I232*$H$136/100,IF(AB180&lt;=$G$133,I232*$I$136/100,IF(AB180&lt;=$H$133,I232*$J$136/100,IF(AB180&lt;=$I$133,I232*$K$136/100,IF(AB180&lt;=$J$133,I232*$L$136/100,IF(AB180&lt;=$K$133,I232*$M$136/100,I232*$N$136/100)))))))))))</f>
        <v>#N/A</v>
      </c>
      <c r="AC181" s="215" t="e">
        <f ca="1">IF(I235="",NA(),IF(AC180&lt;=$B$133,I235*$D$136/100,IF(AC180&lt;=$C$133,I235*$E$136/100,IF(AC180&lt;=$D$133,I235*$F$136/100,IF(AC180&lt;=$E$133,I235*$G$136/100,IF(AC180&lt;=$F$133,I235*$H$136/100,IF(AC180&lt;=$G$133,I235*$I$136/100,IF(AC180&lt;=$H$133,I235*$J$136/100,IF(AC180&lt;=$I$133,I235*$K$136/100,IF(AC180&lt;=$J$133,I235*$L$136/100,IF(AC180&lt;=$K$133,I235*$M$136/100,I235*$N$136/100)))))))))))</f>
        <v>#N/A</v>
      </c>
      <c r="AD181" s="215" t="e">
        <f ca="1">IF(I238="",NA(),IF(AD180&lt;=$B$133,I238*$D$136/100,IF(AD180&lt;=$C$133,I238*$E$136/100,IF(AD180&lt;=$D$133,I238*$F$136/100,IF(AD180&lt;=$E$133,I238*$G$136/100,IF(AD180&lt;=$F$133,I238*$H$136/100,IF(AD180&lt;=$G$133,I238*$I$136/100,IF(AD180&lt;=$H$133,I238*$J$136/100,IF(AD180&lt;=$I$133,I238*$K$136/100,IF(AD180&lt;=$J$133,I238*$L$136/100,IF(AD180&lt;=$K$133,I238*$M$136/100,I238*$N$136/100)))))))))))</f>
        <v>#N/A</v>
      </c>
      <c r="AE181" s="215" t="e">
        <f ca="1">IF(I241="",NA(),IF(AE180&lt;=$B$133,I241*$D$136/100,IF(AE180&lt;=$C$133,I241*$E$136/100,IF(AE180&lt;=$D$133,I241*$F$136/100,IF(AE180&lt;=$E$133,I241*$G$136/100,IF(AE180&lt;=$F$133,I241*$H$136/100,IF(AE180&lt;=$G$133,I241*$I$136/100,IF(AE180&lt;=$H$133,I241*$J$136/100,IF(AE180&lt;=$I$133,I241*$K$136/100,IF(AE180&lt;=$J$133,I241*$L$136/100,IF(AE180&lt;=$K$133,I241*$M$136/100,I241*$N$136/100)))))))))))</f>
        <v>#N/A</v>
      </c>
      <c r="AF181" s="215" t="e">
        <f ca="1">IF(I244="",NA(),IF(AF180&lt;=$B$133,I244*$D$136/100,IF(AF180&lt;=$C$133,I244*$E$136/100,IF(AF180&lt;=$D$133,I244*$F$136/100,IF(AF180&lt;=$E$133,I244*$G$136/100,IF(AF180&lt;=$F$133,I244*$H$136/100,IF(AF180&lt;=$G$133,I244*$I$136/100,IF(AF180&lt;=$H$133,I244*$J$136/100,IF(AF180&lt;=$I$133,I244*$K$136/100,IF(AF180&lt;=$J$133,I244*$L$136/100,IF(AF180&lt;=$K$133,I244*$M$136/100,I244*$N$136/100)))))))))))</f>
        <v>#N/A</v>
      </c>
      <c r="AG181" s="242"/>
      <c r="AH181" s="242"/>
      <c r="AI181" s="242"/>
      <c r="AJ181" s="242"/>
      <c r="AK181" s="242"/>
      <c r="AL181" s="242"/>
      <c r="AM181" s="242"/>
      <c r="AN181" s="242"/>
      <c r="AO181" s="242"/>
      <c r="AP181" s="242"/>
      <c r="AQ181" s="242"/>
      <c r="AR181" s="242"/>
      <c r="AS181" s="242"/>
      <c r="AT181" s="242"/>
      <c r="AU181" s="242"/>
      <c r="AV181" s="6"/>
      <c r="AW181" s="6"/>
      <c r="AX181" s="6"/>
      <c r="AY181" s="6"/>
      <c r="AZ181" s="6"/>
      <c r="BA181" s="6"/>
      <c r="BB181" s="6"/>
      <c r="BC181" s="6"/>
      <c r="BD181" s="6"/>
    </row>
    <row r="182" spans="1:57" s="1" customFormat="1" ht="20.100000000000001" hidden="1" customHeight="1">
      <c r="A182" s="117"/>
      <c r="B182" s="115" t="s">
        <v>43</v>
      </c>
      <c r="C182" s="115" t="s">
        <v>138</v>
      </c>
      <c r="D182" s="242" t="s">
        <v>269</v>
      </c>
      <c r="E182" s="242"/>
      <c r="F182" s="242"/>
      <c r="G182" s="242"/>
      <c r="H182" s="242"/>
      <c r="I182" s="242"/>
      <c r="J182" s="242"/>
      <c r="K182" s="242"/>
      <c r="L182" s="242"/>
      <c r="M182" s="242"/>
      <c r="N182" s="242"/>
      <c r="O182" s="242"/>
      <c r="P182" s="242"/>
      <c r="Q182" s="242"/>
      <c r="R182" s="242"/>
      <c r="S182" s="117" t="e">
        <f>E245</f>
        <v>#N/A</v>
      </c>
      <c r="T182" s="242" t="e">
        <f>E248</f>
        <v>#N/A</v>
      </c>
      <c r="U182" s="242" t="e">
        <f>E251</f>
        <v>#N/A</v>
      </c>
      <c r="V182" s="242" t="e">
        <f>E254</f>
        <v>#N/A</v>
      </c>
      <c r="W182" s="242" t="e">
        <f>E257</f>
        <v>#N/A</v>
      </c>
      <c r="X182" s="242"/>
      <c r="Y182" s="242"/>
      <c r="Z182" s="242"/>
      <c r="AA182" s="312" t="s">
        <v>290</v>
      </c>
      <c r="AB182" s="117" t="e">
        <f>E245</f>
        <v>#N/A</v>
      </c>
      <c r="AC182" s="311" t="e">
        <f>E248</f>
        <v>#N/A</v>
      </c>
      <c r="AD182" s="311" t="e">
        <f>E251</f>
        <v>#N/A</v>
      </c>
      <c r="AE182" s="311" t="e">
        <f>E254</f>
        <v>#N/A</v>
      </c>
      <c r="AF182" s="311" t="e">
        <f>E257</f>
        <v>#N/A</v>
      </c>
      <c r="AG182" s="242"/>
      <c r="AH182" s="242"/>
      <c r="AI182" s="242"/>
      <c r="AJ182" s="242"/>
      <c r="AK182" s="242"/>
      <c r="AL182" s="242"/>
      <c r="AM182" s="242"/>
      <c r="AN182" s="242"/>
      <c r="AO182" s="242"/>
      <c r="AP182" s="242"/>
      <c r="AQ182" s="242"/>
      <c r="AR182" s="242"/>
      <c r="AS182" s="242"/>
      <c r="AT182" s="242"/>
      <c r="AU182" s="242"/>
      <c r="AV182" s="6"/>
      <c r="AW182" s="6"/>
      <c r="AX182" s="6"/>
      <c r="AY182" s="6"/>
      <c r="AZ182" s="6"/>
      <c r="BA182" s="6"/>
      <c r="BB182" s="6"/>
      <c r="BC182" s="6"/>
      <c r="BD182" s="6"/>
    </row>
    <row r="183" spans="1:57" s="1" customFormat="1" ht="20.100000000000001" hidden="1" customHeight="1">
      <c r="A183" s="117"/>
      <c r="B183" s="115"/>
      <c r="C183" s="115"/>
      <c r="D183" s="242" t="s">
        <v>60</v>
      </c>
      <c r="E183" s="242"/>
      <c r="F183" s="242"/>
      <c r="G183" s="242"/>
      <c r="H183" s="242"/>
      <c r="I183" s="242"/>
      <c r="J183" s="242"/>
      <c r="K183" s="242"/>
      <c r="L183" s="242"/>
      <c r="M183" s="242"/>
      <c r="N183" s="242"/>
      <c r="O183" s="242"/>
      <c r="P183" s="242"/>
      <c r="Q183" s="242"/>
      <c r="R183" s="242"/>
      <c r="S183" s="215">
        <f>I247</f>
        <v>17.7</v>
      </c>
      <c r="T183" s="216">
        <f>I250</f>
        <v>20.6</v>
      </c>
      <c r="U183" s="216">
        <f>I253</f>
        <v>23.8</v>
      </c>
      <c r="V183" s="216">
        <f>I256</f>
        <v>28.9</v>
      </c>
      <c r="W183" s="216">
        <f>I259</f>
        <v>30.5</v>
      </c>
      <c r="X183" s="242"/>
      <c r="Y183" s="242"/>
      <c r="Z183" s="242"/>
      <c r="AA183" s="117"/>
      <c r="AB183" s="215" t="e">
        <f ca="1">IF(I247="",NA(),IF(AB182&lt;=$B$133,I247*$D$136/100,IF(AB182&lt;=$C$133,I247*$E$136/100,IF(AB182&lt;=$D$133,I247*$F$136/100,IF(AB182&lt;=$E$133,I247*$G$136/100,IF(AB182&lt;=$F$133,I247*$H$136/100,IF(AB182&lt;=$G$133,I247*$I$136/100,IF(AB182&lt;=$H$133,I247*$J$136/100,IF(AB182&lt;=$I$133,I247*$K$136/100,IF(AB182&lt;=$J$133,I247*$L$136/100,IF(AB182&lt;=$K$133,I247*$M$136/100,I247*$N$136/100)))))))))))</f>
        <v>#N/A</v>
      </c>
      <c r="AC183" s="215" t="e">
        <f ca="1">IF(I250="",NA(),IF(AC182&lt;=$B$133,I250*$D$136/100,IF(AC182&lt;=$C$133,I250*$E$136/100,IF(AC182&lt;=$D$133,I250*$F$136/100,IF(AC182&lt;=$E$133,I250*$G$136/100,IF(AC182&lt;=$F$133,I250*$H$136/100,IF(AC182&lt;=$G$133,I250*$I$136/100,IF(AC182&lt;=$H$133,I250*$J$136/100,IF(AC182&lt;=$I$133,I250*$K$136/100,IF(AC182&lt;=$J$133,I250*$L$136/100,IF(AC182&lt;=$K$133,I250*$M$136/100,I250*$N$136/100)))))))))))</f>
        <v>#N/A</v>
      </c>
      <c r="AD183" s="215" t="e">
        <f ca="1">IF(I253="",NA(),IF(AD182&lt;=$B$133,I253*$D$136/100,IF(AD182&lt;=$C$133,I253*$E$136/100,IF(AD182&lt;=$D$133,I253*$F$136/100,IF(AD182&lt;=$E$133,I253*$G$136/100,IF(AD182&lt;=$F$133,I253*$H$136/100,IF(AD182&lt;=$G$133,I253*$I$136/100,IF(AD182&lt;=$H$133,I253*$J$136/100,IF(AD182&lt;=$I$133,I253*$K$136/100,IF(AD182&lt;=$J$133,I253*$L$136/100,IF(AD182&lt;=$K$133,I253*$M$136/100,I253*$N$136/100)))))))))))</f>
        <v>#N/A</v>
      </c>
      <c r="AE183" s="215" t="e">
        <f ca="1">IF(I256="",NA(),IF(AE182&lt;=$B$133,I256*$D$136/100,IF(AE182&lt;=$C$133,I256*$E$136/100,IF(AE182&lt;=$D$133,I256*$F$136/100,IF(AE182&lt;=$E$133,I256*$G$136/100,IF(AE182&lt;=$F$133,I256*$H$136/100,IF(AE182&lt;=$G$133,I256*$I$136/100,IF(AE182&lt;=$H$133,I256*$J$136/100,IF(AE182&lt;=$I$133,I256*$K$136/100,IF(AE182&lt;=$J$133,I256*$L$136/100,IF(AE182&lt;=$K$133,I256*$M$136/100,I256*$N$136/100)))))))))))</f>
        <v>#N/A</v>
      </c>
      <c r="AF183" s="215" t="e">
        <f ca="1">IF(I259="",NA(),IF(AF182&lt;=$B$133,I259*$D$136/100,IF(AF182&lt;=$C$133,I259*$E$136/100,IF(AF182&lt;=$D$133,I259*$F$136/100,IF(AF182&lt;=$E$133,I259*$G$136/100,IF(AF182&lt;=$F$133,I259*$H$136/100,IF(AF182&lt;=$G$133,I259*$I$136/100,IF(AF182&lt;=$H$133,I259*$J$136/100,IF(AF182&lt;=$I$133,I259*$K$136/100,IF(AF182&lt;=$J$133,I259*$L$136/100,IF(AF182&lt;=$K$133,I259*$M$136/100,I259*$N$136/100)))))))))))</f>
        <v>#N/A</v>
      </c>
      <c r="AG183" s="242"/>
      <c r="AH183" s="242"/>
      <c r="AI183" s="242"/>
      <c r="AJ183" s="242"/>
      <c r="AK183" s="242"/>
      <c r="AL183" s="242"/>
      <c r="AM183" s="242"/>
      <c r="AN183" s="242"/>
      <c r="AO183" s="242"/>
      <c r="AP183" s="242"/>
      <c r="AQ183" s="242"/>
      <c r="AR183" s="242"/>
      <c r="AS183" s="242"/>
      <c r="AT183" s="242"/>
      <c r="AU183" s="242"/>
      <c r="AV183" s="6"/>
      <c r="AW183" s="6"/>
      <c r="AX183" s="6"/>
      <c r="AY183" s="6"/>
      <c r="AZ183" s="6"/>
      <c r="BA183" s="6"/>
      <c r="BB183" s="6"/>
      <c r="BC183" s="6"/>
      <c r="BD183" s="6"/>
    </row>
    <row r="184" spans="1:57" s="1" customFormat="1" ht="20.100000000000001" hidden="1" customHeight="1">
      <c r="B184" s="116"/>
      <c r="C184" s="116"/>
      <c r="D184" s="6"/>
      <c r="E184" s="6"/>
      <c r="F184" s="6"/>
      <c r="G184" s="6"/>
      <c r="H184" s="6"/>
      <c r="I184" s="6"/>
      <c r="J184" s="6"/>
      <c r="K184" s="6"/>
      <c r="L184" s="6"/>
      <c r="M184" s="6"/>
      <c r="N184" s="6"/>
      <c r="O184" s="6"/>
      <c r="P184" s="6"/>
      <c r="Q184" s="6"/>
      <c r="R184" s="6"/>
      <c r="T184" s="6"/>
      <c r="U184" s="6"/>
      <c r="V184" s="6"/>
      <c r="W184" s="6"/>
      <c r="X184" s="6"/>
      <c r="Y184" s="6"/>
      <c r="Z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row>
    <row r="185" spans="1:57" s="1" customFormat="1" ht="20.100000000000001" hidden="1" customHeight="1" thickBot="1">
      <c r="A185" s="1" t="s">
        <v>141</v>
      </c>
      <c r="B185" s="116"/>
      <c r="C185" s="116"/>
      <c r="D185" s="6"/>
      <c r="E185" s="6"/>
      <c r="F185" s="6"/>
      <c r="G185" s="6"/>
      <c r="H185" s="6"/>
      <c r="I185" s="6"/>
      <c r="J185" s="6"/>
      <c r="K185" s="6"/>
      <c r="L185" s="6"/>
      <c r="M185" s="6"/>
      <c r="N185" s="6"/>
      <c r="O185" s="6"/>
      <c r="P185" s="6"/>
      <c r="Q185" s="6"/>
      <c r="R185" s="6"/>
      <c r="T185" s="6"/>
      <c r="U185" s="6"/>
      <c r="V185" s="6"/>
      <c r="W185" s="6"/>
      <c r="X185" s="6"/>
      <c r="Y185" s="6"/>
      <c r="Z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row>
    <row r="186" spans="1:57" s="1" customFormat="1" ht="20.100000000000001" hidden="1" customHeight="1" thickBot="1">
      <c r="A186" s="37" t="s">
        <v>104</v>
      </c>
      <c r="B186" s="38"/>
      <c r="C186" s="38"/>
      <c r="D186" s="38"/>
      <c r="E186" s="170" t="e">
        <f>LOOKUP(10^10,D13:BE13)</f>
        <v>#N/A</v>
      </c>
      <c r="F186" s="170"/>
      <c r="G186" s="38" t="s">
        <v>103</v>
      </c>
      <c r="H186" s="170"/>
      <c r="I186" s="170" t="e">
        <f>LOOKUP(10^10,D11:BE11)</f>
        <v>#N/A</v>
      </c>
      <c r="J186" s="6"/>
      <c r="K186" s="6"/>
      <c r="L186" s="6"/>
      <c r="M186" s="599" t="s">
        <v>4</v>
      </c>
      <c r="N186" s="600"/>
      <c r="O186" s="600"/>
      <c r="P186" s="875"/>
      <c r="Q186" s="84" t="e">
        <f>E189-E190</f>
        <v>#N/A</v>
      </c>
      <c r="R186" s="876" t="e">
        <f>IF(Q186&gt;=1.9,"甘口", IF(Q186&gt;=1.1,"やや甘口", IF(Q186&gt;=0.3,"やや辛口","辛口")))</f>
        <v>#N/A</v>
      </c>
      <c r="S186" s="877"/>
      <c r="T186" s="878" t="e">
        <f>IF(Q186-E220&gt;0.8,"目標よりも甘口",IF(Q186-E220&gt;0.4,"目標よりもやや甘口",IF(Q186-E220&lt;-0.8,"目標よりも辛口",IF(Q186-E220&lt;-0.4,"目標よりもやや辛口", "概ね目標どおり"))))</f>
        <v>#N/A</v>
      </c>
      <c r="U186" s="878"/>
      <c r="V186" s="879"/>
      <c r="W186" s="599" t="s">
        <v>148</v>
      </c>
      <c r="X186" s="600"/>
      <c r="Y186" s="600"/>
      <c r="Z186" s="875"/>
      <c r="AA186" s="84" t="e">
        <f>E188/E190</f>
        <v>#N/A</v>
      </c>
      <c r="AB186" s="876" t="e">
        <f>IF(AA186="","",IF(AA186&lt;1,"冷やに適する傾向",IF(AA186&gt;1,"燗に適する傾向","－")))</f>
        <v>#N/A</v>
      </c>
      <c r="AC186" s="877"/>
      <c r="AD186" s="878" t="e">
        <f>IF(AA186-E226&gt;0.5,"目標よりも燗に適する",IF(AA186-E226&lt;-0.5,"目標よりも冷やに適する",""))</f>
        <v>#N/A</v>
      </c>
      <c r="AE186" s="878"/>
      <c r="AF186" s="879"/>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row>
    <row r="187" spans="1:57" s="1" customFormat="1" ht="20.100000000000001" hidden="1" customHeight="1" thickBot="1">
      <c r="A187" s="37" t="s">
        <v>40</v>
      </c>
      <c r="B187" s="38"/>
      <c r="C187" s="38"/>
      <c r="D187" s="38"/>
      <c r="E187" s="170" t="e">
        <f>LOOKUP(10^10,S14:BE14)</f>
        <v>#N/A</v>
      </c>
      <c r="F187" s="170"/>
      <c r="G187" s="38" t="s">
        <v>102</v>
      </c>
      <c r="H187" s="170"/>
      <c r="I187" s="170" t="e">
        <f>LOOKUP(10^10,D29:BE29)</f>
        <v>#N/A</v>
      </c>
      <c r="J187" s="6"/>
      <c r="K187" s="6"/>
      <c r="L187" s="6"/>
      <c r="M187" s="599" t="s">
        <v>146</v>
      </c>
      <c r="N187" s="600"/>
      <c r="O187" s="600"/>
      <c r="P187" s="875"/>
      <c r="Q187" s="84" t="e">
        <f>(E190+E188+E189)*E187/10</f>
        <v>#N/A</v>
      </c>
      <c r="R187" s="876" t="e">
        <f>IF(Q187&gt;8,"濃醇", IF(Q187&gt;6.5,"やや濃醇", IF(Q187&gt;5,"やや軽快","軽快")))</f>
        <v>#N/A</v>
      </c>
      <c r="S187" s="877"/>
      <c r="T187" s="878" t="e">
        <f>IF(Q187-E222&gt;1.5,"目標よりも濃醇",IF(Q187-E222&gt;0.75,"目標よりもやや濃醇",IF(Q187-E222&lt;-1.5,"目標よりも軽快",IF(Q187-E222&lt;-0.75,"目標よりもやや軽快", "概ね目標どおり"))))</f>
        <v>#N/A</v>
      </c>
      <c r="U187" s="878"/>
      <c r="V187" s="879"/>
      <c r="W187" s="599" t="s">
        <v>149</v>
      </c>
      <c r="X187" s="600"/>
      <c r="Y187" s="600"/>
      <c r="Z187" s="875"/>
      <c r="AA187" s="84" t="e">
        <f>E189/E190</f>
        <v>#N/A</v>
      </c>
      <c r="AB187" s="876" t="e">
        <f>IF(AA187="","",IF(AA187&lt;1,"燗に適する傾向",IF(AA187&gt;1,"冷やに適する傾向","－")))</f>
        <v>#N/A</v>
      </c>
      <c r="AC187" s="877"/>
      <c r="AD187" s="878" t="e">
        <f>IF(AA187-E228&gt;0.5,"目標よりも冷やに適する",IF(AA187-E228&lt;-0.5,"目標よりも燗に適する",""))</f>
        <v>#N/A</v>
      </c>
      <c r="AE187" s="878"/>
      <c r="AF187" s="879"/>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row>
    <row r="188" spans="1:57" s="1" customFormat="1" ht="20.100000000000001" hidden="1" customHeight="1" thickBot="1">
      <c r="A188" s="37" t="s">
        <v>41</v>
      </c>
      <c r="B188" s="38"/>
      <c r="C188" s="38"/>
      <c r="D188" s="38"/>
      <c r="E188" s="170" t="e">
        <f>LOOKUP(10^10,S16:BE16)</f>
        <v>#N/A</v>
      </c>
      <c r="F188" s="170"/>
      <c r="G188" s="38" t="s">
        <v>101</v>
      </c>
      <c r="H188" s="170"/>
      <c r="I188" s="170" t="e">
        <f>LOOKUP(10^10,D30:BE30)</f>
        <v>#N/A</v>
      </c>
      <c r="J188" s="6"/>
      <c r="K188" s="6"/>
      <c r="L188" s="6"/>
      <c r="M188" s="599" t="s">
        <v>116</v>
      </c>
      <c r="N188" s="600"/>
      <c r="O188" s="600"/>
      <c r="P188" s="875"/>
      <c r="Q188" s="84" t="e">
        <f>(E188+E189-E190)/E190</f>
        <v>#N/A</v>
      </c>
      <c r="R188" s="876" t="e">
        <f>IF(Q188&gt;1.5,"やわらかい", IF(Q188&gt;1,"やややわらかい", IF(Q188&gt;0.5,"ややキレがある","キレがある")))</f>
        <v>#N/A</v>
      </c>
      <c r="S188" s="877"/>
      <c r="T188" s="878" t="e">
        <f>IF(Q188-E224&gt;0.5,"目標よりもやわらかい",IF(Q188-E224&gt;0.25,"目標よりもやややわらかい",IF(Q188-E224&lt;-0.5,"目標よりもキレがある",IF(Q188-E224&lt;-0.25,"目標よりもややキレがある", "概ね目標どおり"))))</f>
        <v>#N/A</v>
      </c>
      <c r="U188" s="878"/>
      <c r="V188" s="879"/>
      <c r="W188" s="52"/>
      <c r="X188" s="52"/>
      <c r="Y188" s="52"/>
      <c r="Z188" s="52"/>
      <c r="AA188" s="52"/>
      <c r="AB188" s="52"/>
      <c r="AC188" s="52"/>
      <c r="AD188" s="175" t="s">
        <v>254</v>
      </c>
      <c r="AE188" s="52"/>
      <c r="AF188" s="52"/>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row>
    <row r="189" spans="1:57" s="1" customFormat="1" ht="20.100000000000001" hidden="1" customHeight="1">
      <c r="A189" s="40" t="s">
        <v>38</v>
      </c>
      <c r="B189" s="40"/>
      <c r="C189" s="40"/>
      <c r="D189" s="40"/>
      <c r="E189" s="171" t="e">
        <f>INDEX(S17:BE17,MATCH(MAX(S17:BE17)+1,S17:BE17,1))</f>
        <v>#N/A</v>
      </c>
      <c r="F189" s="172"/>
      <c r="G189" s="173"/>
      <c r="H189" s="173"/>
      <c r="I189" s="173"/>
      <c r="P189" s="6"/>
      <c r="Q189" s="6"/>
      <c r="R189" s="6"/>
      <c r="T189" s="6"/>
      <c r="U189" s="6"/>
      <c r="V189" s="6"/>
      <c r="W189" s="6"/>
      <c r="X189" s="6"/>
      <c r="Y189" s="6"/>
      <c r="Z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row>
    <row r="190" spans="1:57" s="1" customFormat="1" ht="20.100000000000001" hidden="1" customHeight="1" thickBot="1">
      <c r="A190" s="37" t="s">
        <v>39</v>
      </c>
      <c r="B190" s="38"/>
      <c r="C190" s="38"/>
      <c r="D190" s="38"/>
      <c r="E190" s="174" t="e">
        <f>LOOKUP(10^10,S15:BE15)</f>
        <v>#N/A</v>
      </c>
      <c r="F190" s="170"/>
      <c r="G190" s="173"/>
      <c r="H190" s="173"/>
      <c r="I190" s="173"/>
      <c r="P190" s="6"/>
      <c r="Q190" s="6"/>
      <c r="R190" s="6"/>
      <c r="T190" s="6"/>
      <c r="U190" s="6"/>
      <c r="V190" s="6"/>
      <c r="W190" s="6"/>
      <c r="X190" s="6"/>
      <c r="Y190" s="6"/>
      <c r="Z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row>
    <row r="191" spans="1:57" s="1" customFormat="1" ht="20.100000000000001" hidden="1" customHeight="1" thickBot="1">
      <c r="A191" s="599" t="s">
        <v>60</v>
      </c>
      <c r="B191" s="600"/>
      <c r="C191" s="600"/>
      <c r="D191" s="875"/>
      <c r="E191" s="84" t="e">
        <f>LOOKUP(10^10,S130:BE130)</f>
        <v>#N/A</v>
      </c>
      <c r="F191" s="876" t="e">
        <f>IF(E191-E219&gt;2,"よく溶けている", IF(E191-E219&lt;-2,"あまり溶けていない","概ね目標通りに溶けている"))</f>
        <v>#N/A</v>
      </c>
      <c r="G191" s="880"/>
      <c r="H191" s="880"/>
      <c r="I191" s="881"/>
      <c r="P191" s="6"/>
      <c r="Q191" s="6"/>
      <c r="R191" s="6"/>
      <c r="T191" s="6"/>
      <c r="U191" s="6"/>
      <c r="V191" s="6"/>
      <c r="W191" s="6"/>
      <c r="X191" s="6"/>
      <c r="Y191" s="6"/>
      <c r="Z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row>
    <row r="192" spans="1:57" s="1" customFormat="1" ht="20.100000000000001" hidden="1" customHeight="1">
      <c r="A192" s="37" t="s">
        <v>139</v>
      </c>
      <c r="B192" s="38"/>
      <c r="C192" s="38"/>
      <c r="D192" s="38"/>
      <c r="E192" s="41"/>
      <c r="F192" s="38"/>
      <c r="G192" s="37"/>
      <c r="H192" s="38"/>
      <c r="I192" s="38"/>
      <c r="J192" s="38"/>
      <c r="K192" s="38"/>
      <c r="L192" s="38"/>
      <c r="M192" s="38"/>
      <c r="N192" s="38"/>
      <c r="O192" s="38"/>
      <c r="P192" s="6"/>
      <c r="Q192" s="6"/>
      <c r="R192" s="6"/>
      <c r="T192" s="6"/>
      <c r="U192" s="6"/>
      <c r="V192" s="6"/>
      <c r="W192" s="6"/>
      <c r="X192" s="6"/>
      <c r="Y192" s="6"/>
      <c r="Z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row>
    <row r="193" spans="1:57" s="1" customFormat="1" ht="20.25" hidden="1" customHeight="1">
      <c r="A193" s="37" t="s">
        <v>142</v>
      </c>
      <c r="C193" s="38"/>
      <c r="D193" s="38"/>
      <c r="E193" s="38"/>
      <c r="F193" s="38"/>
      <c r="G193" s="38"/>
      <c r="H193" s="38"/>
      <c r="I193" s="38"/>
      <c r="J193" s="38"/>
      <c r="K193" s="38"/>
      <c r="L193" s="38"/>
      <c r="M193" s="38"/>
      <c r="N193" s="38"/>
      <c r="O193" s="38"/>
      <c r="P193" s="38"/>
      <c r="Q193" s="38"/>
      <c r="R193" s="38"/>
      <c r="S193" s="38"/>
      <c r="T193" s="38"/>
      <c r="U193" s="38"/>
      <c r="V193" s="38"/>
      <c r="W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row>
    <row r="194" spans="1:57" s="1" customFormat="1" ht="20.25" hidden="1" customHeight="1">
      <c r="A194" s="37"/>
      <c r="C194" s="38"/>
      <c r="D194" s="38"/>
      <c r="E194" s="38"/>
      <c r="F194" s="38"/>
      <c r="G194" s="38"/>
      <c r="H194" s="38"/>
      <c r="I194" s="38"/>
      <c r="J194" s="38"/>
      <c r="K194" s="38"/>
      <c r="L194" s="38"/>
      <c r="M194" s="38"/>
      <c r="N194" s="38"/>
      <c r="O194" s="38"/>
      <c r="P194" s="38"/>
      <c r="Q194" s="38"/>
      <c r="R194" s="38"/>
      <c r="S194" s="38"/>
      <c r="T194" s="38"/>
      <c r="U194" s="38"/>
      <c r="V194" s="38"/>
      <c r="W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row>
    <row r="195" spans="1:57" s="1" customFormat="1" ht="20.25" hidden="1" customHeight="1">
      <c r="A195" s="1" t="s">
        <v>255</v>
      </c>
      <c r="B195" s="38"/>
      <c r="C195" s="38"/>
      <c r="D195" s="38"/>
      <c r="E195" s="38"/>
      <c r="F195" s="38"/>
      <c r="G195" s="37"/>
      <c r="H195" s="38"/>
      <c r="I195" s="38"/>
      <c r="J195" s="38"/>
      <c r="K195" s="41"/>
      <c r="L195" s="38"/>
      <c r="M195" s="38"/>
      <c r="N195" s="38"/>
      <c r="O195" s="38"/>
      <c r="P195" s="38"/>
      <c r="Q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row>
    <row r="196" spans="1:57" s="1" customFormat="1" ht="20.25" hidden="1" customHeight="1">
      <c r="A196" s="700" t="s">
        <v>125</v>
      </c>
      <c r="B196" s="701"/>
      <c r="C196" s="702"/>
      <c r="D196" s="882" t="e">
        <f>IF(I114="",NA(),ROUND(1443/(1443+I114),4))</f>
        <v>#N/A</v>
      </c>
      <c r="E196" s="883"/>
      <c r="F196" s="884"/>
      <c r="G196" s="882" t="e">
        <f>IF(L114="",NA(),ROUND(1443/(1443+L114),4))</f>
        <v>#N/A</v>
      </c>
      <c r="H196" s="883"/>
      <c r="I196" s="884"/>
      <c r="J196" s="882" t="e">
        <f>IF(O114="",NA(),ROUND(1443/(1443+O114),4))</f>
        <v>#N/A</v>
      </c>
      <c r="K196" s="883"/>
      <c r="L196" s="884"/>
      <c r="M196" s="38"/>
      <c r="N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row>
    <row r="197" spans="1:57" ht="20.25" hidden="1" customHeight="1">
      <c r="A197" s="700" t="s">
        <v>126</v>
      </c>
      <c r="B197" s="701"/>
      <c r="C197" s="702"/>
      <c r="D197" s="882" t="e">
        <f>IF(I113="",NA(),IFERROR(I113*VLOOKUP(I113,'各種計算式等（配付時非表示）'!$E$3:$H$1003,3,TRUE)+VLOOKUP(I113,'各種計算式等（配付時非表示）'!$E$3:$H$1003,4,TRUE)+0.0000000001,"-"))</f>
        <v>#N/A</v>
      </c>
      <c r="E197" s="883"/>
      <c r="F197" s="884"/>
      <c r="G197" s="882" t="e">
        <f>IF(L113="",NA(),IFERROR(L113*VLOOKUP(L113,'各種計算式等（配付時非表示）'!$E$3:$H$1003,3,TRUE)+VLOOKUP(L113,'各種計算式等（配付時非表示）'!$E$3:$H$1003,4,TRUE)+0.0000000001,"-"))</f>
        <v>#N/A</v>
      </c>
      <c r="H197" s="883"/>
      <c r="I197" s="884"/>
      <c r="J197" s="882" t="e">
        <f>IF(O113="",NA(),IFERROR(O113*VLOOKUP(O113,'各種計算式等（配付時非表示）'!$E$3:$H$1003,3,TRUE)+VLOOKUP(O113,'各種計算式等（配付時非表示）'!$E$3:$H$1003,4,TRUE)+0.0000000001,"-"))</f>
        <v>#N/A</v>
      </c>
      <c r="K197" s="883"/>
      <c r="L197" s="884"/>
      <c r="AH197"/>
      <c r="AI197"/>
      <c r="AJ197"/>
      <c r="AK197"/>
      <c r="AL197" s="59"/>
      <c r="AM197"/>
      <c r="AN197"/>
      <c r="AO197"/>
      <c r="AP197"/>
      <c r="AQ197"/>
      <c r="AR197"/>
      <c r="AS197"/>
      <c r="AT197"/>
      <c r="AU197"/>
      <c r="AV197"/>
      <c r="AW197"/>
      <c r="AX197"/>
      <c r="BC197"/>
      <c r="BD197"/>
      <c r="BE197"/>
    </row>
    <row r="198" spans="1:57" ht="20.25" hidden="1" customHeight="1">
      <c r="A198" s="700" t="s">
        <v>3</v>
      </c>
      <c r="B198" s="701"/>
      <c r="C198" s="702"/>
      <c r="D198" s="499" t="str">
        <f>IFERROR(ROUNDDOWN((D196-D197)*260+0.21,1),"")</f>
        <v/>
      </c>
      <c r="E198" s="500"/>
      <c r="F198" s="885"/>
      <c r="G198" s="499" t="str">
        <f t="shared" ref="G198" si="50">IFERROR(ROUNDDOWN((G196-G197)*260+0.21,1),"")</f>
        <v/>
      </c>
      <c r="H198" s="500"/>
      <c r="I198" s="885"/>
      <c r="J198" s="499" t="str">
        <f t="shared" ref="J198" si="51">IFERROR(ROUNDDOWN((J196-J197)*260+0.21,1),"")</f>
        <v/>
      </c>
      <c r="K198" s="500"/>
      <c r="L198" s="885"/>
      <c r="AH198"/>
      <c r="AI198"/>
      <c r="AJ198"/>
      <c r="AK198"/>
      <c r="AL198" s="59"/>
      <c r="AM198"/>
      <c r="AN198"/>
      <c r="AO198"/>
      <c r="AP198"/>
      <c r="AQ198"/>
      <c r="AR198"/>
      <c r="AS198"/>
      <c r="AT198"/>
      <c r="AU198"/>
      <c r="AV198"/>
      <c r="AW198"/>
      <c r="AX198"/>
      <c r="BC198"/>
      <c r="BD198"/>
      <c r="BE198"/>
    </row>
    <row r="199" spans="1:57" ht="20.25" hidden="1" customHeight="1">
      <c r="A199" s="700" t="s">
        <v>162</v>
      </c>
      <c r="B199" s="701"/>
      <c r="C199" s="702"/>
      <c r="D199" s="886" t="e">
        <f>D198+I113*1.5848</f>
        <v>#VALUE!</v>
      </c>
      <c r="E199" s="887"/>
      <c r="F199" s="888"/>
      <c r="G199" s="886" t="e">
        <f>G198+L113*1.5848</f>
        <v>#VALUE!</v>
      </c>
      <c r="H199" s="887"/>
      <c r="I199" s="888"/>
      <c r="J199" s="886" t="e">
        <f>J198+O113*1.5848</f>
        <v>#VALUE!</v>
      </c>
      <c r="K199" s="887"/>
      <c r="L199" s="888"/>
      <c r="AH199"/>
      <c r="AI199"/>
      <c r="AJ199"/>
      <c r="AK199"/>
      <c r="AL199" s="59"/>
      <c r="AM199"/>
      <c r="AN199"/>
      <c r="AO199"/>
      <c r="AP199"/>
      <c r="AQ199"/>
      <c r="AR199"/>
      <c r="AS199"/>
      <c r="AT199"/>
      <c r="AU199"/>
      <c r="AV199"/>
      <c r="AW199"/>
      <c r="AX199"/>
      <c r="BC199"/>
      <c r="BD199"/>
      <c r="BE199"/>
    </row>
    <row r="200" spans="1:57" ht="20.25" hidden="1" customHeight="1">
      <c r="A200" s="700" t="s">
        <v>256</v>
      </c>
      <c r="B200" s="701"/>
      <c r="C200" s="702"/>
      <c r="D200" s="886" t="e">
        <f>ROUNDDOWN(D199,1)*$Y73</f>
        <v>#VALUE!</v>
      </c>
      <c r="E200" s="887"/>
      <c r="F200" s="888"/>
      <c r="G200" s="886" t="e">
        <f>ROUNDDOWN(G199,1)*$Y73</f>
        <v>#VALUE!</v>
      </c>
      <c r="H200" s="887"/>
      <c r="I200" s="888"/>
      <c r="J200" s="886" t="e">
        <f>ROUNDDOWN(J199,1)*$Y73</f>
        <v>#VALUE!</v>
      </c>
      <c r="K200" s="887"/>
      <c r="L200" s="888"/>
      <c r="M200" s="63" t="s">
        <v>257</v>
      </c>
      <c r="AH200"/>
      <c r="AI200"/>
      <c r="AJ200"/>
      <c r="AK200"/>
      <c r="AL200" s="59"/>
      <c r="AM200"/>
      <c r="AN200"/>
      <c r="AO200"/>
      <c r="AP200"/>
      <c r="AQ200"/>
      <c r="AR200"/>
      <c r="AS200"/>
      <c r="AT200"/>
      <c r="AU200"/>
      <c r="AV200"/>
      <c r="AW200"/>
      <c r="AX200"/>
      <c r="BC200"/>
      <c r="BD200"/>
      <c r="BE200"/>
    </row>
    <row r="201" spans="1:57" s="1" customFormat="1" ht="20.25" hidden="1" customHeight="1">
      <c r="A201" s="43"/>
      <c r="C201" s="6"/>
      <c r="D201" s="39"/>
      <c r="E201" s="40"/>
      <c r="F201" s="40"/>
      <c r="G201" s="40"/>
      <c r="H201" s="40"/>
      <c r="I201" s="40"/>
      <c r="J201" s="40"/>
      <c r="K201" s="40"/>
      <c r="L201" s="38"/>
      <c r="M201" s="38"/>
      <c r="N201" s="38"/>
      <c r="O201" s="38"/>
      <c r="P201" s="38"/>
      <c r="Q201" s="38"/>
      <c r="AG201" s="38"/>
      <c r="AH201" s="38"/>
      <c r="AI201" s="38"/>
      <c r="AJ201" s="38"/>
      <c r="AK201" s="38"/>
      <c r="AL201" s="38"/>
      <c r="AM201" s="38"/>
      <c r="AN201" s="38"/>
      <c r="AO201" s="38"/>
      <c r="AP201" s="38"/>
      <c r="AQ201" s="38"/>
      <c r="AR201" s="38"/>
      <c r="AS201" s="38"/>
      <c r="AT201" s="38"/>
      <c r="AU201" s="38"/>
      <c r="AV201" s="38"/>
      <c r="AW201" s="38"/>
      <c r="AX201" s="38"/>
      <c r="AY201" s="38"/>
      <c r="AZ201" s="38"/>
    </row>
    <row r="202" spans="1:57" s="1" customFormat="1" ht="20.25" hidden="1" customHeight="1">
      <c r="A202" s="1" t="s">
        <v>140</v>
      </c>
      <c r="B202" s="38"/>
      <c r="C202" s="38"/>
      <c r="D202" s="38"/>
      <c r="E202" s="38"/>
      <c r="F202" s="38"/>
      <c r="G202" s="37"/>
      <c r="H202" s="38"/>
      <c r="I202" s="38"/>
      <c r="J202" s="38"/>
      <c r="K202" s="41"/>
      <c r="L202" s="38"/>
      <c r="M202" s="38"/>
      <c r="N202" s="38"/>
      <c r="O202" s="38"/>
      <c r="P202" s="38"/>
      <c r="Q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row>
    <row r="203" spans="1:57" s="1" customFormat="1" ht="20.25" hidden="1" customHeight="1">
      <c r="A203" s="700" t="s">
        <v>125</v>
      </c>
      <c r="B203" s="701"/>
      <c r="C203" s="702"/>
      <c r="D203" s="882" t="e">
        <f>IF(Y114="",NA(),ROUND(1443/(1443+Y114),4))</f>
        <v>#N/A</v>
      </c>
      <c r="E203" s="883"/>
      <c r="F203" s="884"/>
      <c r="G203" s="882" t="e">
        <f t="shared" ref="G203" si="52">IF(AB114="",NA(),ROUND(1443/(1443+AB114),4))</f>
        <v>#N/A</v>
      </c>
      <c r="H203" s="883"/>
      <c r="I203" s="884"/>
      <c r="J203" s="882" t="e">
        <f t="shared" ref="J203" si="53">IF(AE114="",NA(),ROUND(1443/(1443+AE114),4))</f>
        <v>#N/A</v>
      </c>
      <c r="K203" s="883"/>
      <c r="L203" s="884"/>
      <c r="M203" s="38"/>
      <c r="N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row>
    <row r="204" spans="1:57" ht="20.25" hidden="1" customHeight="1">
      <c r="A204" s="700" t="s">
        <v>126</v>
      </c>
      <c r="B204" s="701"/>
      <c r="C204" s="702"/>
      <c r="D204" s="882" t="e">
        <f>IF(Y113="",NA(),IFERROR(Y113*VLOOKUP(Y113,'各種計算式等（配付時非表示）'!$E$3:$H$1003,3,TRUE)+VLOOKUP(Y113,'各種計算式等（配付時非表示）'!$E$3:$H$1003,4,TRUE)+0.0000000001,"-"))</f>
        <v>#N/A</v>
      </c>
      <c r="E204" s="883"/>
      <c r="F204" s="884"/>
      <c r="G204" s="882" t="e">
        <f>IF(AB113="",NA(),IFERROR(AB113*VLOOKUP(AB113,'各種計算式等（配付時非表示）'!$E$3:$H$1003,3,TRUE)+VLOOKUP(AB113,'各種計算式等（配付時非表示）'!$E$3:$H$1003,4,TRUE)+0.0000000001,"-"))</f>
        <v>#N/A</v>
      </c>
      <c r="H204" s="883"/>
      <c r="I204" s="884"/>
      <c r="J204" s="882" t="e">
        <f>IF(AE113="",NA(),IFERROR(AE113*VLOOKUP(AE113,'各種計算式等（配付時非表示）'!$E$3:$H$1003,3,TRUE)+VLOOKUP(AE113,'各種計算式等（配付時非表示）'!$E$3:$H$1003,4,TRUE)+0.0000000001,"-"))</f>
        <v>#N/A</v>
      </c>
      <c r="K204" s="883"/>
      <c r="L204" s="884"/>
      <c r="AH204"/>
      <c r="AI204"/>
      <c r="AJ204"/>
      <c r="AK204"/>
      <c r="AL204" s="59"/>
      <c r="AM204"/>
      <c r="AN204"/>
      <c r="AO204"/>
      <c r="AP204"/>
      <c r="AQ204"/>
      <c r="AR204"/>
      <c r="AS204"/>
      <c r="AT204"/>
      <c r="AU204"/>
      <c r="AV204"/>
      <c r="AW204"/>
      <c r="AX204"/>
      <c r="BC204"/>
      <c r="BD204"/>
      <c r="BE204"/>
    </row>
    <row r="205" spans="1:57" ht="20.25" hidden="1" customHeight="1">
      <c r="A205" s="700" t="s">
        <v>3</v>
      </c>
      <c r="B205" s="701"/>
      <c r="C205" s="702"/>
      <c r="D205" s="499" t="str">
        <f>IFERROR(ROUNDDOWN((D203-D204)*260+0.21,1),"")</f>
        <v/>
      </c>
      <c r="E205" s="500"/>
      <c r="F205" s="885"/>
      <c r="G205" s="499" t="str">
        <f>IFERROR(ROUNDDOWN((G203-G204)*260+0.21,1),"")</f>
        <v/>
      </c>
      <c r="H205" s="500"/>
      <c r="I205" s="885"/>
      <c r="J205" s="499" t="str">
        <f>IFERROR(ROUNDDOWN((J203-J204)*260+0.21,1),"")</f>
        <v/>
      </c>
      <c r="K205" s="500"/>
      <c r="L205" s="885"/>
      <c r="AH205"/>
      <c r="AI205"/>
      <c r="AJ205"/>
      <c r="AK205"/>
      <c r="AL205" s="59"/>
      <c r="AM205"/>
      <c r="AN205"/>
      <c r="AO205"/>
      <c r="AP205"/>
      <c r="AQ205"/>
      <c r="AR205"/>
      <c r="AS205"/>
      <c r="AT205"/>
      <c r="AU205"/>
      <c r="AV205"/>
      <c r="AW205"/>
      <c r="AX205"/>
      <c r="BC205"/>
      <c r="BD205"/>
      <c r="BE205"/>
    </row>
    <row r="206" spans="1:57" ht="19.5" hidden="1" customHeight="1"/>
    <row r="207" spans="1:57" ht="19.5" hidden="1" customHeight="1"/>
    <row r="208" spans="1:57" ht="19.5" hidden="1" customHeight="1">
      <c r="A208" t="s">
        <v>159</v>
      </c>
    </row>
    <row r="209" spans="1:57" ht="19.5" hidden="1" customHeight="1" thickBot="1">
      <c r="A209" s="889" t="s">
        <v>144</v>
      </c>
      <c r="B209" s="890"/>
      <c r="C209" s="891"/>
      <c r="D209" s="892"/>
      <c r="E209" s="217" t="str">
        <f>INDEX(目標値!E4:N4,MATCH($L$2,目標値!$E$3:$N$3,0))</f>
        <v>吟醸１</v>
      </c>
      <c r="BD209"/>
      <c r="BE209"/>
    </row>
    <row r="210" spans="1:57" ht="19.5" hidden="1" customHeight="1" thickBot="1">
      <c r="A210" s="893" t="s">
        <v>151</v>
      </c>
      <c r="B210" s="896" t="s">
        <v>147</v>
      </c>
      <c r="C210" s="898" t="s">
        <v>145</v>
      </c>
      <c r="D210" s="899"/>
      <c r="E210" s="217">
        <f>INDEX(目標値!E5:N5,MATCH($L$2,目標値!$E$3:$N$3,0))</f>
        <v>10.9</v>
      </c>
      <c r="K210" s="159" t="e">
        <f>INDEX(#REF!,MATCH(#REF!,#REF!,0))</f>
        <v>#REF!</v>
      </c>
      <c r="BD210"/>
      <c r="BE210"/>
    </row>
    <row r="211" spans="1:57" ht="19.5" hidden="1" customHeight="1">
      <c r="A211" s="894"/>
      <c r="B211" s="897"/>
      <c r="C211" s="900" t="s">
        <v>7</v>
      </c>
      <c r="D211" s="901"/>
      <c r="E211" s="217">
        <f>INDEX(目標値!E6:N6,MATCH($L$2,目標値!$E$3:$N$3,0))</f>
        <v>7.1</v>
      </c>
      <c r="J211" s="298" t="s">
        <v>63</v>
      </c>
      <c r="K211" s="299" t="s">
        <v>49</v>
      </c>
      <c r="L211" s="299" t="s">
        <v>14</v>
      </c>
      <c r="M211" s="294" t="s">
        <v>16</v>
      </c>
      <c r="N211" s="294" t="s">
        <v>50</v>
      </c>
      <c r="O211" s="294" t="s">
        <v>51</v>
      </c>
      <c r="BD211"/>
      <c r="BE211"/>
    </row>
    <row r="212" spans="1:57" ht="19.5" hidden="1" customHeight="1">
      <c r="A212" s="894"/>
      <c r="B212" s="897"/>
      <c r="C212" s="900" t="s">
        <v>6</v>
      </c>
      <c r="D212" s="901"/>
      <c r="E212" s="217">
        <f>INDEX(目標値!E7:N7,MATCH($L$2,目標値!$E$3:$N$3,0))</f>
        <v>45.3</v>
      </c>
      <c r="J212" s="295" t="s">
        <v>166</v>
      </c>
      <c r="K212" s="297" t="e">
        <f>IF(K213+K214=0,"",K213+K214)</f>
        <v>#REF!</v>
      </c>
      <c r="L212" s="297" t="e">
        <f>IF(L213+L214=0,"",L213+L214)</f>
        <v>#REF!</v>
      </c>
      <c r="M212" s="297" t="e">
        <f>IF(M213+M214=0,"",M213+M214)</f>
        <v>#REF!</v>
      </c>
      <c r="N212" s="297" t="e">
        <f>IF(N213+N214=0,"",N213+N214)</f>
        <v>#REF!</v>
      </c>
      <c r="O212" s="297" t="e">
        <f>IF(O213+O214=0,"",O213+O214)</f>
        <v>#REF!</v>
      </c>
      <c r="BD212"/>
      <c r="BE212"/>
    </row>
    <row r="213" spans="1:57" ht="19.5" hidden="1" customHeight="1">
      <c r="A213" s="894"/>
      <c r="B213" s="897" t="s">
        <v>150</v>
      </c>
      <c r="C213" s="900" t="s">
        <v>28</v>
      </c>
      <c r="D213" s="901"/>
      <c r="E213" s="214">
        <f>INDEX(目標値!E8:N8,MATCH($L$2,目標値!$E$3:$N$3,0))</f>
        <v>15.6</v>
      </c>
      <c r="J213" s="295" t="s">
        <v>95</v>
      </c>
      <c r="K213" s="2" t="e">
        <f>INDEX(#REF!,MATCH(CONCATENATE(#REF!,"-1"),#REF!,0),1)</f>
        <v>#REF!</v>
      </c>
      <c r="L213" s="2" t="e">
        <f>INDEX(#REF!,MATCH(CONCATENATE(#REF!,"-1"),#REF!,0),2)</f>
        <v>#REF!</v>
      </c>
      <c r="M213" s="2" t="e">
        <f>INDEX(#REF!,MATCH(CONCATENATE(#REF!,"-1"),#REF!,0),3)</f>
        <v>#REF!</v>
      </c>
      <c r="N213" s="2" t="e">
        <f>INDEX(#REF!,MATCH(CONCATENATE(#REF!,"-1"),#REF!,0),4)</f>
        <v>#REF!</v>
      </c>
      <c r="O213" s="2" t="e">
        <f>INDEX(#REF!,MATCH(CONCATENATE(#REF!,"-1"),#REF!,0),5)</f>
        <v>#REF!</v>
      </c>
      <c r="BD213"/>
      <c r="BE213"/>
    </row>
    <row r="214" spans="1:57" ht="19.5" hidden="1" customHeight="1">
      <c r="A214" s="894"/>
      <c r="B214" s="907"/>
      <c r="C214" s="900" t="s">
        <v>2</v>
      </c>
      <c r="D214" s="901"/>
      <c r="E214" s="214">
        <f>INDEX(目標値!E9:N9,MATCH($L$2,目標値!$E$3:$N$3,0))</f>
        <v>-5.8</v>
      </c>
      <c r="J214" s="295" t="s">
        <v>52</v>
      </c>
      <c r="K214" s="296" t="e">
        <f>INDEX(#REF!,MATCH(CONCATENATE(#REF!,"-2"),#REF!,0),1)</f>
        <v>#REF!</v>
      </c>
      <c r="L214" s="296" t="e">
        <f>INDEX(#REF!,MATCH(CONCATENATE(#REF!,"-2"),#REF!,0),2)</f>
        <v>#REF!</v>
      </c>
      <c r="M214" s="296" t="e">
        <f>INDEX(#REF!,MATCH(CONCATENATE(#REF!,"-2"),#REF!,0),3)</f>
        <v>#REF!</v>
      </c>
      <c r="N214" s="296" t="e">
        <f>INDEX(#REF!,MATCH(CONCATENATE(#REF!,"-2"),#REF!,0),4)</f>
        <v>#REF!</v>
      </c>
      <c r="O214" s="296" t="e">
        <f>INDEX(#REF!,MATCH(CONCATENATE(#REF!,"-2"),#REF!,0),5)</f>
        <v>#REF!</v>
      </c>
      <c r="BD214"/>
      <c r="BE214"/>
    </row>
    <row r="215" spans="1:57" ht="19.5" hidden="1" customHeight="1">
      <c r="A215" s="894"/>
      <c r="B215" s="907"/>
      <c r="C215" s="900" t="s">
        <v>158</v>
      </c>
      <c r="D215" s="901"/>
      <c r="E215" s="217">
        <f>INDEX(目標値!E10:N10,MATCH($L$2,目標値!$E$3:$N$3,0))</f>
        <v>1.4</v>
      </c>
      <c r="J215" s="295" t="s">
        <v>165</v>
      </c>
      <c r="K215" s="296" t="e">
        <f>INDEX(#REF!,MATCH(CONCATENATE(#REF!,"-3"),#REF!,0),1)</f>
        <v>#REF!</v>
      </c>
      <c r="L215" s="296" t="e">
        <f>INDEX(#REF!,MATCH(CONCATENATE(#REF!,"-3"),#REF!,0),2)</f>
        <v>#REF!</v>
      </c>
      <c r="M215" s="296" t="e">
        <f>INDEX(#REF!,MATCH(CONCATENATE(#REF!,"-3"),#REF!,0),3)</f>
        <v>#REF!</v>
      </c>
      <c r="N215" s="296" t="e">
        <f>INDEX(#REF!,MATCH(CONCATENATE(#REF!,"-3"),#REF!,0),4)</f>
        <v>#REF!</v>
      </c>
      <c r="O215" s="296" t="e">
        <f>INDEX(#REF!,MATCH(CONCATENATE(#REF!,"-3"),#REF!,0),5)</f>
        <v>#REF!</v>
      </c>
      <c r="BD215"/>
      <c r="BE215"/>
    </row>
    <row r="216" spans="1:57" ht="19.5" hidden="1" customHeight="1">
      <c r="A216" s="894"/>
      <c r="B216" s="907"/>
      <c r="C216" s="900" t="s">
        <v>157</v>
      </c>
      <c r="D216" s="901"/>
      <c r="E216" s="217">
        <f>INDEX(目標値!E11:N11,MATCH($L$2,目標値!$E$3:$N$3,0))</f>
        <v>0.8</v>
      </c>
      <c r="BD216"/>
      <c r="BE216"/>
    </row>
    <row r="217" spans="1:57" ht="19.5" hidden="1" customHeight="1">
      <c r="A217" s="894"/>
      <c r="B217" s="907"/>
      <c r="C217" s="900" t="s">
        <v>156</v>
      </c>
      <c r="D217" s="901"/>
      <c r="E217" s="217">
        <f>INDEX(目標値!E12:N12,MATCH($L$2,目標値!$E$3:$N$3,0))</f>
        <v>3.1</v>
      </c>
      <c r="BD217"/>
      <c r="BE217"/>
    </row>
    <row r="218" spans="1:57" ht="19.5" hidden="1" customHeight="1">
      <c r="A218" s="894"/>
      <c r="B218" s="907"/>
      <c r="C218" s="900" t="s">
        <v>213</v>
      </c>
      <c r="D218" s="901"/>
      <c r="E218" s="217">
        <f>INDEX(目標値!E13:N13,MATCH($L$2,目標値!$E$3:$N$3,0))</f>
        <v>6.3</v>
      </c>
      <c r="BD218"/>
      <c r="BE218"/>
    </row>
    <row r="219" spans="1:57" ht="19.5" hidden="1" customHeight="1">
      <c r="A219" s="894"/>
      <c r="B219" s="907"/>
      <c r="C219" s="900" t="s">
        <v>214</v>
      </c>
      <c r="D219" s="901"/>
      <c r="E219" s="217">
        <f>INDEX(目標値!E14:N14,MATCH($L$2,目標値!$E$3:$N$3,0))</f>
        <v>31</v>
      </c>
      <c r="BD219"/>
      <c r="BE219"/>
    </row>
    <row r="220" spans="1:57" ht="19.5" hidden="1" customHeight="1">
      <c r="A220" s="894"/>
      <c r="B220" s="907"/>
      <c r="C220" s="902" t="s">
        <v>4</v>
      </c>
      <c r="D220" s="903"/>
      <c r="E220" s="217">
        <f>INDEX(目標値!E15:N15,MATCH($L$2,目標値!$E$3:$N$3,0))</f>
        <v>1.7000000000000002</v>
      </c>
      <c r="BD220"/>
      <c r="BE220"/>
    </row>
    <row r="221" spans="1:57" ht="19.5" hidden="1" customHeight="1">
      <c r="A221" s="894"/>
      <c r="B221" s="907"/>
      <c r="C221" s="904"/>
      <c r="D221" s="905"/>
      <c r="E221" s="217" t="str">
        <f>INDEX(目標値!E16:N16,MATCH($L$2,目標値!$E$3:$N$3,0))</f>
        <v>やや甘口</v>
      </c>
      <c r="BD221"/>
      <c r="BE221"/>
    </row>
    <row r="222" spans="1:57" ht="19.5" hidden="1" customHeight="1">
      <c r="A222" s="894"/>
      <c r="B222" s="907"/>
      <c r="C222" s="902" t="s">
        <v>146</v>
      </c>
      <c r="D222" s="903"/>
      <c r="E222" s="217">
        <f>INDEX(目標値!E17:N17,MATCH($L$2,目標値!$E$3:$N$3,0))</f>
        <v>8.2680000000000007</v>
      </c>
      <c r="BD222"/>
      <c r="BE222"/>
    </row>
    <row r="223" spans="1:57" ht="19.5" hidden="1" customHeight="1">
      <c r="A223" s="894"/>
      <c r="B223" s="907"/>
      <c r="C223" s="904"/>
      <c r="D223" s="905"/>
      <c r="E223" s="217" t="str">
        <f>INDEX(目標値!E18:N18,MATCH($L$2,目標値!$E$3:$N$3,0))</f>
        <v>濃醇</v>
      </c>
      <c r="BD223"/>
      <c r="BE223"/>
    </row>
    <row r="224" spans="1:57" ht="19.5" hidden="1" customHeight="1">
      <c r="A224" s="894"/>
      <c r="B224" s="907"/>
      <c r="C224" s="902" t="s">
        <v>116</v>
      </c>
      <c r="D224" s="903"/>
      <c r="E224" s="217">
        <f>INDEX(目標値!E19:N19,MATCH($L$2,目標値!$E$3:$N$3,0))</f>
        <v>1.7857142857142863</v>
      </c>
      <c r="BD224"/>
      <c r="BE224"/>
    </row>
    <row r="225" spans="1:57" ht="19.5" hidden="1" customHeight="1">
      <c r="A225" s="894"/>
      <c r="B225" s="907"/>
      <c r="C225" s="904"/>
      <c r="D225" s="905"/>
      <c r="E225" s="217" t="str">
        <f>INDEX(目標値!E20:N20,MATCH($L$2,目標値!$E$3:$N$3,0))</f>
        <v>やわらかい</v>
      </c>
      <c r="BD225"/>
      <c r="BE225"/>
    </row>
    <row r="226" spans="1:57" ht="19.5" hidden="1" customHeight="1">
      <c r="A226" s="894"/>
      <c r="B226" s="907"/>
      <c r="C226" s="902" t="s">
        <v>148</v>
      </c>
      <c r="D226" s="903"/>
      <c r="E226" s="217">
        <f>INDEX(目標値!E21:N21,MATCH($L$2,目標値!$E$3:$N$3,0))</f>
        <v>0.57142857142857151</v>
      </c>
      <c r="BD226"/>
      <c r="BE226"/>
    </row>
    <row r="227" spans="1:57" ht="19.5" hidden="1" customHeight="1">
      <c r="A227" s="894"/>
      <c r="B227" s="907"/>
      <c r="C227" s="904"/>
      <c r="D227" s="905"/>
      <c r="E227" s="217" t="str">
        <f>INDEX(目標値!E22:N22,MATCH($L$2,目標値!$E$3:$N$3,0))</f>
        <v>冷やに適する傾向</v>
      </c>
      <c r="BD227"/>
      <c r="BE227"/>
    </row>
    <row r="228" spans="1:57" ht="19.5" hidden="1" customHeight="1">
      <c r="A228" s="894"/>
      <c r="B228" s="907"/>
      <c r="C228" s="902" t="s">
        <v>149</v>
      </c>
      <c r="D228" s="903"/>
      <c r="E228" s="217">
        <f>INDEX(目標値!E23:N23,MATCH($L$2,目標値!$E$3:$N$3,0))</f>
        <v>2.2142857142857144</v>
      </c>
      <c r="BD228"/>
      <c r="BE228"/>
    </row>
    <row r="229" spans="1:57" ht="19.5" hidden="1" customHeight="1">
      <c r="A229" s="895"/>
      <c r="B229" s="908"/>
      <c r="C229" s="904"/>
      <c r="D229" s="905"/>
      <c r="E229" s="217" t="str">
        <f>INDEX(目標値!E24:N24,MATCH($L$2,目標値!$E$3:$N$3,0))</f>
        <v>冷やに適する傾向</v>
      </c>
      <c r="I229" s="2" t="s">
        <v>266</v>
      </c>
      <c r="BD229"/>
      <c r="BE229"/>
    </row>
    <row r="230" spans="1:57" ht="19.5" hidden="1" customHeight="1">
      <c r="A230" s="894" t="s">
        <v>152</v>
      </c>
      <c r="B230" s="897" t="s">
        <v>153</v>
      </c>
      <c r="C230" s="907">
        <v>1</v>
      </c>
      <c r="D230" s="212" t="s">
        <v>264</v>
      </c>
      <c r="E230" s="217" t="e">
        <f>IF(INDEX(目標値!E25:N25,MATCH($L$2,目標値!$E$3:$N$3,0))&lt;&gt;0,INDEX(目標値!E25:N25,MATCH($L$2,目標値!$E$3:$N$3,0)),NA())</f>
        <v>#N/A</v>
      </c>
      <c r="I230" s="2">
        <f>E231*(-10)</f>
        <v>-76</v>
      </c>
      <c r="J230" s="159" t="s">
        <v>267</v>
      </c>
      <c r="BD230"/>
      <c r="BE230"/>
    </row>
    <row r="231" spans="1:57" ht="19.5" hidden="1" customHeight="1">
      <c r="A231" s="894"/>
      <c r="B231" s="897"/>
      <c r="C231" s="907"/>
      <c r="D231" s="212" t="s">
        <v>1</v>
      </c>
      <c r="E231" s="217">
        <f>IF(INDEX(目標値!E26:N26,MATCH($L$2,目標値!$E$3:$N$3,0))="",NA(),INDEX(目標値!E26:N26,MATCH($L$2,目標値!$E$3:$N$3,0)))</f>
        <v>7.6</v>
      </c>
      <c r="I231" s="2">
        <f>IF(I230="","",IF(E232="","",ROUNDDOWN((ROUND(1443/(1443+I230),4)-IFERROR(E232*VLOOKUP(E232,'各種計算式等（配付時非表示）'!$E$3:$H$1003,3,TRUE)+VLOOKUP(E232,'各種計算式等（配付時非表示）'!$E$3:$H$1003,4,TRUE)+0.0000000001,"-"))*260+0.21,1)))</f>
        <v>16.600000000000001</v>
      </c>
      <c r="J231" s="159" t="s">
        <v>268</v>
      </c>
      <c r="BD231"/>
      <c r="BE231"/>
    </row>
    <row r="232" spans="1:57" ht="19.5" hidden="1" customHeight="1">
      <c r="A232" s="894"/>
      <c r="B232" s="897"/>
      <c r="C232" s="907"/>
      <c r="D232" s="212" t="s">
        <v>265</v>
      </c>
      <c r="E232" s="217">
        <f>IF(INDEX(目標値!E27:N27,MATCH($L$2,目標値!$E$3:$N$3,0))&lt;&gt;0,INDEX(目標値!E27:N27,MATCH($L$2,目標値!$E$3:$N$3,0)),NA())</f>
        <v>5.3</v>
      </c>
      <c r="I232" s="123">
        <f>IF(I231="","",ROUNDDOWN(I231+E232*1.5848,1))</f>
        <v>24.9</v>
      </c>
      <c r="J232" s="159" t="s">
        <v>60</v>
      </c>
      <c r="BD232"/>
      <c r="BE232"/>
    </row>
    <row r="233" spans="1:57" ht="19.5" hidden="1" customHeight="1">
      <c r="A233" s="894"/>
      <c r="B233" s="897"/>
      <c r="C233" s="907">
        <v>2</v>
      </c>
      <c r="D233" s="212" t="s">
        <v>264</v>
      </c>
      <c r="E233" s="217" t="e">
        <f>IF(INDEX(目標値!E28:N28,MATCH($L$2,目標値!$E$3:$N$3,0))&lt;&gt;0,INDEX(目標値!E28:N28,MATCH($L$2,目標値!$E$3:$N$3,0)),NA())</f>
        <v>#N/A</v>
      </c>
      <c r="I233" s="2">
        <f>E234*(-10)</f>
        <v>-62</v>
      </c>
      <c r="BD233"/>
      <c r="BE233"/>
    </row>
    <row r="234" spans="1:57" hidden="1">
      <c r="A234" s="894"/>
      <c r="B234" s="897"/>
      <c r="C234" s="907"/>
      <c r="D234" s="212" t="s">
        <v>1</v>
      </c>
      <c r="E234" s="217">
        <f>IF(INDEX(目標値!E29:N29,MATCH($L$2,目標値!$E$3:$N$3,0))="",NA(),INDEX(目標値!E29:N29,MATCH($L$2,目標値!$E$3:$N$3,0)))</f>
        <v>6.2</v>
      </c>
      <c r="I234" s="2">
        <f>IF(I233="","",IF(E235="","",ROUNDDOWN((ROUND(1443/(1443+I233),4)-IFERROR(E235*VLOOKUP(E235,'各種計算式等（配付時非表示）'!$E$3:$H$1003,3,TRUE)+VLOOKUP(E235,'各種計算式等（配付時非表示）'!$E$3:$H$1003,4,TRUE)+0.0000000001,"-"))*260+0.21,1)))</f>
        <v>14.7</v>
      </c>
      <c r="BD234"/>
      <c r="BE234"/>
    </row>
    <row r="235" spans="1:57" hidden="1">
      <c r="A235" s="894"/>
      <c r="B235" s="897"/>
      <c r="C235" s="907"/>
      <c r="D235" s="212" t="s">
        <v>265</v>
      </c>
      <c r="E235" s="217">
        <f>IF(INDEX(目標値!E30:N30,MATCH($L$2,目標値!$E$3:$N$3,0))&lt;&gt;0,INDEX(目標値!E30:N30,MATCH($L$2,目標値!$E$3:$N$3,0)),NA())</f>
        <v>7.9</v>
      </c>
      <c r="I235" s="123">
        <f>IF(I234="","",ROUNDDOWN(I234+E235*1.5848,1))</f>
        <v>27.2</v>
      </c>
      <c r="BD235"/>
      <c r="BE235"/>
    </row>
    <row r="236" spans="1:57" hidden="1">
      <c r="A236" s="894"/>
      <c r="B236" s="897"/>
      <c r="C236" s="907">
        <v>3</v>
      </c>
      <c r="D236" s="212" t="s">
        <v>264</v>
      </c>
      <c r="E236" s="217" t="e">
        <f>IF(INDEX(目標値!E31:N31,MATCH($L$2,目標値!$E$3:$N$3,0))&lt;&gt;0,INDEX(目標値!E31:N31,MATCH($L$2,目標値!$E$3:$N$3,0)),NA())</f>
        <v>#N/A</v>
      </c>
      <c r="I236" s="2">
        <f>E237*(-10)</f>
        <v>-38</v>
      </c>
      <c r="BD236"/>
      <c r="BE236"/>
    </row>
    <row r="237" spans="1:57" hidden="1">
      <c r="A237" s="894"/>
      <c r="B237" s="897"/>
      <c r="C237" s="907"/>
      <c r="D237" s="212" t="s">
        <v>1</v>
      </c>
      <c r="E237" s="217">
        <f>IF(INDEX(目標値!E32:N32,MATCH($L$2,目標値!$E$3:$N$3,0))="",NA(),INDEX(目標値!E32:N32,MATCH($L$2,目標値!$E$3:$N$3,0)))</f>
        <v>3.8</v>
      </c>
      <c r="I237" s="2">
        <f>IF(I236="","",IF(E238="","",ROUNDDOWN((ROUND(1443/(1443+I236),4)-IFERROR(E238*VLOOKUP(E238,'各種計算式等（配付時非表示）'!$E$3:$H$1003,3,TRUE)+VLOOKUP(E238,'各種計算式等（配付時非表示）'!$E$3:$H$1003,4,TRUE)+0.0000000001,"-"))*260+0.21,1)))</f>
        <v>11.1</v>
      </c>
      <c r="BD237"/>
      <c r="BE237"/>
    </row>
    <row r="238" spans="1:57" hidden="1">
      <c r="A238" s="894"/>
      <c r="B238" s="897"/>
      <c r="C238" s="907"/>
      <c r="D238" s="212" t="s">
        <v>265</v>
      </c>
      <c r="E238" s="217">
        <f>IF(INDEX(目標値!E33:N33,MATCH($L$2,目標値!$E$3:$N$3,0))&lt;&gt;0,INDEX(目標値!E33:N33,MATCH($L$2,目標値!$E$3:$N$3,0)),NA())</f>
        <v>11.4</v>
      </c>
      <c r="I238" s="123">
        <f>IF(I237="","",ROUNDDOWN(I237+E238*1.5848,1))</f>
        <v>29.1</v>
      </c>
      <c r="BD238"/>
      <c r="BE238"/>
    </row>
    <row r="239" spans="1:57" hidden="1">
      <c r="A239" s="894"/>
      <c r="B239" s="897"/>
      <c r="C239" s="907">
        <v>4</v>
      </c>
      <c r="D239" s="212" t="s">
        <v>264</v>
      </c>
      <c r="E239" s="217" t="e">
        <f>IF(INDEX(目標値!E34:N34,MATCH($L$2,目標値!$E$3:$N$3,0))&lt;&gt;0,INDEX(目標値!E34:N34,MATCH($L$2,目標値!$E$3:$N$3,0)),NA())</f>
        <v>#N/A</v>
      </c>
      <c r="I239" s="2">
        <f>E240*(-10)</f>
        <v>-23</v>
      </c>
      <c r="BD239"/>
      <c r="BE239"/>
    </row>
    <row r="240" spans="1:57" hidden="1">
      <c r="A240" s="894"/>
      <c r="B240" s="897"/>
      <c r="C240" s="907"/>
      <c r="D240" s="212" t="s">
        <v>1</v>
      </c>
      <c r="E240" s="217">
        <f>IF(INDEX(目標値!E35:N35,MATCH($L$2,目標値!$E$3:$N$3,0))="",NA(),INDEX(目標値!E35:N35,MATCH($L$2,目標値!$E$3:$N$3,0)))</f>
        <v>2.2999999999999998</v>
      </c>
      <c r="I240" s="2">
        <f>IF(I239="","",IF(E241="","",ROUNDDOWN((ROUND(1443/(1443+I239),4)-IFERROR(E241*VLOOKUP(E241,'各種計算式等（配付時非表示）'!$E$3:$H$1003,3,TRUE)+VLOOKUP(E241,'各種計算式等（配付時非表示）'!$E$3:$H$1003,4,TRUE)+0.0000000001,"-"))*260+0.21,1)))</f>
        <v>8.9</v>
      </c>
      <c r="BD240"/>
      <c r="BE240"/>
    </row>
    <row r="241" spans="1:57" hidden="1">
      <c r="A241" s="894"/>
      <c r="B241" s="897"/>
      <c r="C241" s="907"/>
      <c r="D241" s="212" t="s">
        <v>265</v>
      </c>
      <c r="E241" s="217">
        <f>IF(INDEX(目標値!E36:N36,MATCH($L$2,目標値!$E$3:$N$3,0))&lt;&gt;0,INDEX(目標値!E36:N36,MATCH($L$2,目標値!$E$3:$N$3,0)),NA())</f>
        <v>13.6</v>
      </c>
      <c r="I241" s="123">
        <f>IF(I240="","",ROUNDDOWN(I240+E241*1.5848,1))</f>
        <v>30.4</v>
      </c>
      <c r="BD241"/>
      <c r="BE241"/>
    </row>
    <row r="242" spans="1:57" hidden="1">
      <c r="A242" s="894"/>
      <c r="B242" s="897"/>
      <c r="C242" s="907">
        <v>5</v>
      </c>
      <c r="D242" s="212" t="s">
        <v>264</v>
      </c>
      <c r="E242" s="217" t="e">
        <f>IF(INDEX(目標値!E37:N37,MATCH($L$2,目標値!$E$3:$N$3,0))&lt;&gt;0,INDEX(目標値!E37:N37,MATCH($L$2,目標値!$E$3:$N$3,0)),NA())</f>
        <v>#N/A</v>
      </c>
      <c r="G242"/>
      <c r="I242" s="2">
        <f>E243*(-10)</f>
        <v>-8.2999999999999989</v>
      </c>
    </row>
    <row r="243" spans="1:57" hidden="1">
      <c r="A243" s="894"/>
      <c r="B243" s="897"/>
      <c r="C243" s="907"/>
      <c r="D243" s="212" t="s">
        <v>1</v>
      </c>
      <c r="E243" s="217">
        <f>IF(INDEX(目標値!E38:N38,MATCH($L$2,目標値!$E$3:$N$3,0))="",NA(),INDEX(目標値!E38:N38,MATCH($L$2,目標値!$E$3:$N$3,0)))</f>
        <v>0.83</v>
      </c>
      <c r="G243"/>
      <c r="I243" s="2">
        <f>IF(I242="","",IF(E244="","",ROUNDDOWN((ROUND(1443/(1443+I242),4)-IFERROR(E244*VLOOKUP(E244,'各種計算式等（配付時非表示）'!$E$3:$H$1003,3,TRUE)+VLOOKUP(E244,'各種計算式等（配付時非表示）'!$E$3:$H$1003,4,TRUE)+0.0000000001,"-"))*260+0.21,1)))</f>
        <v>6.8</v>
      </c>
    </row>
    <row r="244" spans="1:57" hidden="1">
      <c r="A244" s="894"/>
      <c r="B244" s="897"/>
      <c r="C244" s="907"/>
      <c r="D244" s="212" t="s">
        <v>265</v>
      </c>
      <c r="E244" s="217">
        <f>IF(INDEX(目標値!E39:N39,MATCH($L$2,目標値!$E$3:$N$3,0))&lt;&gt;0,INDEX(目標値!E39:N39,MATCH($L$2,目標値!$E$3:$N$3,0)),NA())</f>
        <v>16</v>
      </c>
      <c r="G244"/>
      <c r="I244" s="123">
        <f>IF(I243="","",ROUNDDOWN(I243+E244*1.5848,1))</f>
        <v>32.1</v>
      </c>
    </row>
    <row r="245" spans="1:57" hidden="1">
      <c r="A245" s="894"/>
      <c r="B245" s="897" t="s">
        <v>154</v>
      </c>
      <c r="C245" s="907">
        <v>1</v>
      </c>
      <c r="D245" s="212" t="s">
        <v>264</v>
      </c>
      <c r="E245" s="217" t="e">
        <f>IF(INDEX(目標値!E40:N40,MATCH($L$2,目標値!$E$3:$N$3,0))&lt;&gt;0,INDEX(目標値!E40:N40,MATCH($L$2,目標値!$E$3:$N$3,0)),NA())</f>
        <v>#N/A</v>
      </c>
      <c r="G245"/>
      <c r="I245" s="2">
        <f>E246*(-10)</f>
        <v>-54</v>
      </c>
    </row>
    <row r="246" spans="1:57" hidden="1">
      <c r="A246" s="894"/>
      <c r="B246" s="897"/>
      <c r="C246" s="907"/>
      <c r="D246" s="212" t="s">
        <v>1</v>
      </c>
      <c r="E246" s="217">
        <f>IF(INDEX(目標値!E41:N41,MATCH($L$2,目標値!$E$3:$N$3,0))="",NA(),INDEX(目標値!E41:N41,MATCH($L$2,目標値!$E$3:$N$3,0)))</f>
        <v>5.4</v>
      </c>
      <c r="G246"/>
      <c r="I246" s="2">
        <f>IF(I245="","",IF(E247="","",ROUNDDOWN((ROUND(1443/(1443+I245),4)-IFERROR(E247*VLOOKUP(E247,'各種計算式等（配付時非表示）'!$E$3:$H$1003,3,TRUE)+VLOOKUP(E247,'各種計算式等（配付時非表示）'!$E$3:$H$1003,4,TRUE)+0.0000000001,"-"))*260+0.21,1)))</f>
        <v>11.7</v>
      </c>
    </row>
    <row r="247" spans="1:57" hidden="1">
      <c r="A247" s="894"/>
      <c r="B247" s="897"/>
      <c r="C247" s="907"/>
      <c r="D247" s="212" t="s">
        <v>265</v>
      </c>
      <c r="E247" s="217">
        <f>IF(INDEX(目標値!E42:N42,MATCH($L$2,目標値!$E$3:$N$3,0))&lt;&gt;0,INDEX(目標値!E42:N42,MATCH($L$2,目標値!$E$3:$N$3,0)),NA())</f>
        <v>3.8</v>
      </c>
      <c r="I247" s="123">
        <f>IF(I246="","",ROUNDDOWN(I246+E247*1.5848,1))</f>
        <v>17.7</v>
      </c>
    </row>
    <row r="248" spans="1:57" hidden="1">
      <c r="A248" s="894"/>
      <c r="B248" s="897"/>
      <c r="C248" s="907">
        <v>2</v>
      </c>
      <c r="D248" s="212" t="s">
        <v>264</v>
      </c>
      <c r="E248" s="217" t="e">
        <f>IF(INDEX(目標値!E43:N43,MATCH($L$2,目標値!$E$3:$N$3,0))&lt;&gt;0,INDEX(目標値!E43:N43,MATCH($L$2,目標値!$E$3:$N$3,0)),NA())</f>
        <v>#N/A</v>
      </c>
      <c r="I248" s="2">
        <f>E249*(-10)</f>
        <v>-52</v>
      </c>
    </row>
    <row r="249" spans="1:57" hidden="1">
      <c r="A249" s="894"/>
      <c r="B249" s="897"/>
      <c r="C249" s="907"/>
      <c r="D249" s="212" t="s">
        <v>1</v>
      </c>
      <c r="E249" s="217">
        <f>IF(INDEX(目標値!E44:N44,MATCH($L$2,目標値!$E$3:$N$3,0))="",NA(),INDEX(目標値!E44:N44,MATCH($L$2,目標値!$E$3:$N$3,0)))</f>
        <v>5.2</v>
      </c>
      <c r="I249" s="2">
        <f>IF(I248="","",IF(E250="","",ROUNDDOWN((ROUND(1443/(1443+I248),4)-IFERROR(E250*VLOOKUP(E250,'各種計算式等（配付時非表示）'!$E$3:$H$1003,3,TRUE)+VLOOKUP(E250,'各種計算式等（配付時非表示）'!$E$3:$H$1003,4,TRUE)+0.0000000001,"-"))*260+0.21,1)))</f>
        <v>11.9</v>
      </c>
    </row>
    <row r="250" spans="1:57" hidden="1">
      <c r="A250" s="894"/>
      <c r="B250" s="897"/>
      <c r="C250" s="907"/>
      <c r="D250" s="212" t="s">
        <v>265</v>
      </c>
      <c r="E250" s="217">
        <f>IF(INDEX(目標値!E45:N45,MATCH($L$2,目標値!$E$3:$N$3,0))&lt;&gt;0,INDEX(目標値!E45:N45,MATCH($L$2,目標値!$E$3:$N$3,0)),NA())</f>
        <v>5.5</v>
      </c>
      <c r="I250" s="123">
        <f>IF(I249="","",ROUNDDOWN(I249+E250*1.5848,1))</f>
        <v>20.6</v>
      </c>
    </row>
    <row r="251" spans="1:57" hidden="1">
      <c r="A251" s="894"/>
      <c r="B251" s="897"/>
      <c r="C251" s="907">
        <v>3</v>
      </c>
      <c r="D251" s="212" t="s">
        <v>264</v>
      </c>
      <c r="E251" s="217" t="e">
        <f>IF(INDEX(目標値!E46:N46,MATCH($L$2,目標値!$E$3:$N$3,0))&lt;&gt;0,INDEX(目標値!E46:N46,MATCH($L$2,目標値!$E$3:$N$3,0)),NA())</f>
        <v>#N/A</v>
      </c>
      <c r="I251" s="2">
        <f>E252*(-10)</f>
        <v>-34</v>
      </c>
    </row>
    <row r="252" spans="1:57" hidden="1">
      <c r="A252" s="894"/>
      <c r="B252" s="897"/>
      <c r="C252" s="907"/>
      <c r="D252" s="212" t="s">
        <v>1</v>
      </c>
      <c r="E252" s="217">
        <f>IF(INDEX(目標値!E47:N47,MATCH($L$2,目標値!$E$3:$N$3,0))&lt;&gt;0,INDEX(目標値!E47:N47,MATCH($L$2,目標値!$E$3:$N$3,0)),NA())</f>
        <v>3.4</v>
      </c>
      <c r="I252" s="2">
        <f>IF(I251="","",IF(E253="","",ROUNDDOWN((ROUND(1443/(1443+I251),4)-IFERROR(E253*VLOOKUP(E253,'各種計算式等（配付時非表示）'!$E$3:$H$1003,3,TRUE)+VLOOKUP(E253,'各種計算式等（配付時非表示）'!$E$3:$H$1003,4,TRUE)+0.0000000001,"-"))*260+0.21,1)))</f>
        <v>9.6</v>
      </c>
    </row>
    <row r="253" spans="1:57" hidden="1">
      <c r="A253" s="894"/>
      <c r="B253" s="897"/>
      <c r="C253" s="907"/>
      <c r="D253" s="212" t="s">
        <v>265</v>
      </c>
      <c r="E253" s="217">
        <f>IF(INDEX(目標値!E48:N48,MATCH($L$2,目標値!$E$3:$N$3,0))="",NA(),INDEX(目標値!E48:N48,MATCH($L$2,目標値!$E$3:$N$3,0)))</f>
        <v>9</v>
      </c>
      <c r="I253" s="123">
        <f>IF(I252="","",ROUNDDOWN(I252+E253*1.5848,1))</f>
        <v>23.8</v>
      </c>
    </row>
    <row r="254" spans="1:57" hidden="1">
      <c r="A254" s="894"/>
      <c r="B254" s="897"/>
      <c r="C254" s="907">
        <v>4</v>
      </c>
      <c r="D254" s="212" t="s">
        <v>264</v>
      </c>
      <c r="E254" s="217" t="e">
        <f>IF(INDEX(目標値!E49:N49,MATCH($L$2,目標値!$E$3:$N$3,0))&lt;&gt;0,INDEX(目標値!E49:N49,MATCH($L$2,目標値!$E$3:$N$3,0)),NA())</f>
        <v>#N/A</v>
      </c>
      <c r="I254" s="2">
        <f>E255*(-10)</f>
        <v>-9.6999999999999993</v>
      </c>
    </row>
    <row r="255" spans="1:57" hidden="1">
      <c r="A255" s="894"/>
      <c r="B255" s="897"/>
      <c r="C255" s="907"/>
      <c r="D255" s="212" t="s">
        <v>1</v>
      </c>
      <c r="E255" s="217">
        <f>IF(INDEX(目標値!E50:N50,MATCH($L$2,目標値!$E$3:$N$3,0))="",NA(),INDEX(目標値!E50:N50,MATCH($L$2,目標値!$E$3:$N$3,0)))</f>
        <v>0.97</v>
      </c>
      <c r="I255" s="2">
        <f>IF(I254="","",IF(E256="","",ROUNDDOWN((ROUND(1443/(1443+I254),4)-IFERROR(E256*VLOOKUP(E256,'各種計算式等（配付時非表示）'!$E$3:$H$1003,3,TRUE)+VLOOKUP(E256,'各種計算式等（配付時非表示）'!$E$3:$H$1003,4,TRUE)+0.0000000001,"-"))*260+0.21,1)))</f>
        <v>6.6</v>
      </c>
    </row>
    <row r="256" spans="1:57" hidden="1">
      <c r="A256" s="894"/>
      <c r="B256" s="897"/>
      <c r="C256" s="907"/>
      <c r="D256" s="212" t="s">
        <v>265</v>
      </c>
      <c r="E256" s="217">
        <f>IF(INDEX(目標値!E51:N51,MATCH($L$2,目標値!$E$3:$N$3,0))&lt;&gt;0,INDEX(目標値!E51:N51,MATCH($L$2,目標値!$E$3:$N$3,0)),NA())</f>
        <v>14.1</v>
      </c>
      <c r="I256" s="123">
        <f>IF(I255="","",ROUNDDOWN(I255+E256*1.5848,1))</f>
        <v>28.9</v>
      </c>
    </row>
    <row r="257" spans="1:9" hidden="1">
      <c r="A257" s="894"/>
      <c r="B257" s="897"/>
      <c r="C257" s="907">
        <v>5</v>
      </c>
      <c r="D257" s="212" t="s">
        <v>264</v>
      </c>
      <c r="E257" s="217" t="e">
        <f>IF(INDEX(目標値!E52:N52,MATCH($L$2,目標値!$E$3:$N$3,0))&lt;&gt;0,INDEX(目標値!E52:N52,MATCH($L$2,目標値!$E$3:$N$3,0)),NA())</f>
        <v>#N/A</v>
      </c>
      <c r="I257" s="2">
        <f>E258*(-10)</f>
        <v>-1</v>
      </c>
    </row>
    <row r="258" spans="1:9" hidden="1">
      <c r="A258" s="894"/>
      <c r="B258" s="897"/>
      <c r="C258" s="907"/>
      <c r="D258" s="212" t="s">
        <v>1</v>
      </c>
      <c r="E258" s="217">
        <f>IF(INDEX(目標値!E53:N53,MATCH($L$2,目標値!$E$3:$N$3,0))="",NA(),INDEX(目標値!E53:N53,MATCH($L$2,目標値!$E$3:$N$3,0)))</f>
        <v>0.1</v>
      </c>
      <c r="I258" s="2">
        <f>IF(I257="","",IF(E259="","",ROUNDDOWN((ROUND(1443/(1443+I257),4)-IFERROR(E259*VLOOKUP(E259,'各種計算式等（配付時非表示）'!$E$3:$H$1003,3,TRUE)+VLOOKUP(E259,'各種計算式等（配付時非表示）'!$E$3:$H$1003,4,TRUE)+0.0000000001,"-"))*260+0.21,1)))</f>
        <v>5.5</v>
      </c>
    </row>
    <row r="259" spans="1:9" ht="14.25" hidden="1" thickBot="1">
      <c r="A259" s="906"/>
      <c r="B259" s="909"/>
      <c r="C259" s="910"/>
      <c r="D259" s="213" t="s">
        <v>265</v>
      </c>
      <c r="E259" s="217">
        <f>IF(INDEX(目標値!E54:N54,MATCH($L$2,目標値!$E$3:$N$3,0))&lt;&gt;0,INDEX(目標値!E54:N54,MATCH($L$2,目標値!$E$3:$N$3,0)),NA())</f>
        <v>15.8</v>
      </c>
      <c r="I259" s="123">
        <f>IF(I258="","",ROUNDDOWN(I258+E259*1.5848,1))</f>
        <v>30.5</v>
      </c>
    </row>
    <row r="260" spans="1:9" ht="20.45" hidden="1" customHeight="1"/>
  </sheetData>
  <sheetProtection algorithmName="SHA-512" hashValue="HNRikWVWZ7WgDSDsGI+eRyxT/JtzAD5krHo5dR1PA7PsMDNT//24e5cVF+NASHiyTKnaTknHhJS0HY4VfLBGUQ==" saltValue="Zsm8l41T4SLgfQk9bWbJ5w==" spinCount="100000" sheet="1" formatCells="0"/>
  <protectedRanges>
    <protectedRange sqref="A133:Y133 N132 P132 R132 T132 V132 X132 D143:H149 D132:L132 D135:N135 A134:AL134 D136:E136 I25:M26 H136" name="範囲1_21_21_22_22"/>
    <protectedRange sqref="I27:M27" name="範囲1_21_21_22_22_1"/>
    <protectedRange sqref="F136:G136" name="範囲1_21_21_22_22_1_1"/>
  </protectedRanges>
  <mergeCells count="954">
    <mergeCell ref="AI121:AJ121"/>
    <mergeCell ref="AI122:AJ122"/>
    <mergeCell ref="X121:Z121"/>
    <mergeCell ref="X122:Z122"/>
    <mergeCell ref="X123:Z123"/>
    <mergeCell ref="AA123:AB123"/>
    <mergeCell ref="AC123:AD123"/>
    <mergeCell ref="AE123:AF123"/>
    <mergeCell ref="AG123:AH123"/>
    <mergeCell ref="AI123:AJ123"/>
    <mergeCell ref="AA122:AB122"/>
    <mergeCell ref="AC122:AD122"/>
    <mergeCell ref="AE122:AF122"/>
    <mergeCell ref="AG122:AH122"/>
    <mergeCell ref="AA121:AB121"/>
    <mergeCell ref="AC121:AD121"/>
    <mergeCell ref="AE121:AF121"/>
    <mergeCell ref="AG121:AH121"/>
    <mergeCell ref="E108:E119"/>
    <mergeCell ref="F119:H119"/>
    <mergeCell ref="I119:K119"/>
    <mergeCell ref="L119:N119"/>
    <mergeCell ref="O119:Q119"/>
    <mergeCell ref="BG90:BJ90"/>
    <mergeCell ref="AZ94:BC94"/>
    <mergeCell ref="AR108:AT108"/>
    <mergeCell ref="AX100:AY100"/>
    <mergeCell ref="AV101:AW101"/>
    <mergeCell ref="AX101:AY101"/>
    <mergeCell ref="AV102:AW102"/>
    <mergeCell ref="AX102:AY102"/>
    <mergeCell ref="AV103:AY103"/>
    <mergeCell ref="AV90:AY90"/>
    <mergeCell ref="AV91:AY91"/>
    <mergeCell ref="AV92:AY92"/>
    <mergeCell ref="AV93:AY93"/>
    <mergeCell ref="AV95:AY95"/>
    <mergeCell ref="AV96:AX96"/>
    <mergeCell ref="AV97:AW97"/>
    <mergeCell ref="AX97:AY97"/>
    <mergeCell ref="AV94:AY94"/>
    <mergeCell ref="AT99:AU99"/>
    <mergeCell ref="AN118:AQ118"/>
    <mergeCell ref="AN119:AQ119"/>
    <mergeCell ref="AM114:AM120"/>
    <mergeCell ref="AN120:AQ120"/>
    <mergeCell ref="AR118:AS118"/>
    <mergeCell ref="AR119:AS119"/>
    <mergeCell ref="AT119:AX119"/>
    <mergeCell ref="AY114:AZ114"/>
    <mergeCell ref="AY115:AZ115"/>
    <mergeCell ref="AY116:AZ116"/>
    <mergeCell ref="AY117:AZ117"/>
    <mergeCell ref="AY118:AZ118"/>
    <mergeCell ref="AY119:AZ119"/>
    <mergeCell ref="AR120:AS120"/>
    <mergeCell ref="AT120:AX120"/>
    <mergeCell ref="AY120:AZ120"/>
    <mergeCell ref="AR114:AS114"/>
    <mergeCell ref="AR115:AS115"/>
    <mergeCell ref="AR116:AS116"/>
    <mergeCell ref="AR117:AS117"/>
    <mergeCell ref="AH117:AJ117"/>
    <mergeCell ref="I116:K116"/>
    <mergeCell ref="V116:X116"/>
    <mergeCell ref="Y116:AA116"/>
    <mergeCell ref="AB116:AD116"/>
    <mergeCell ref="AE116:AG116"/>
    <mergeCell ref="AH116:AJ116"/>
    <mergeCell ref="AN114:AQ114"/>
    <mergeCell ref="AN115:AQ115"/>
    <mergeCell ref="AN116:AQ116"/>
    <mergeCell ref="AN117:AQ117"/>
    <mergeCell ref="F118:H118"/>
    <mergeCell ref="I118:K118"/>
    <mergeCell ref="AT116:AX116"/>
    <mergeCell ref="AT117:AX117"/>
    <mergeCell ref="AT118:AX118"/>
    <mergeCell ref="AB114:AD114"/>
    <mergeCell ref="AE114:AG114"/>
    <mergeCell ref="AH114:AJ114"/>
    <mergeCell ref="AT114:AX114"/>
    <mergeCell ref="AT115:AX115"/>
    <mergeCell ref="L115:N115"/>
    <mergeCell ref="L116:N116"/>
    <mergeCell ref="L117:N117"/>
    <mergeCell ref="L118:N118"/>
    <mergeCell ref="O115:Q115"/>
    <mergeCell ref="O116:Q116"/>
    <mergeCell ref="O117:Q117"/>
    <mergeCell ref="O118:Q118"/>
    <mergeCell ref="F117:H117"/>
    <mergeCell ref="I117:K117"/>
    <mergeCell ref="V117:X117"/>
    <mergeCell ref="Y117:AA117"/>
    <mergeCell ref="AB117:AD117"/>
    <mergeCell ref="AE117:AG117"/>
    <mergeCell ref="AJ94:AM94"/>
    <mergeCell ref="F109:H109"/>
    <mergeCell ref="I109:J109"/>
    <mergeCell ref="V109:X109"/>
    <mergeCell ref="Y109:Z109"/>
    <mergeCell ref="AB109:AC109"/>
    <mergeCell ref="AE109:AF109"/>
    <mergeCell ref="F111:H111"/>
    <mergeCell ref="I111:K111"/>
    <mergeCell ref="AE111:AG111"/>
    <mergeCell ref="U90:U104"/>
    <mergeCell ref="F110:H110"/>
    <mergeCell ref="I110:K110"/>
    <mergeCell ref="V110:X110"/>
    <mergeCell ref="Y110:AA110"/>
    <mergeCell ref="V111:X111"/>
    <mergeCell ref="Y111:AA111"/>
    <mergeCell ref="I104:K104"/>
    <mergeCell ref="I105:K105"/>
    <mergeCell ref="F96:H96"/>
    <mergeCell ref="F97:H97"/>
    <mergeCell ref="F98:H98"/>
    <mergeCell ref="L99:O99"/>
    <mergeCell ref="L100:O100"/>
    <mergeCell ref="F115:H115"/>
    <mergeCell ref="I115:K115"/>
    <mergeCell ref="V115:X115"/>
    <mergeCell ref="Y115:AA115"/>
    <mergeCell ref="AB115:AD115"/>
    <mergeCell ref="AE115:AG115"/>
    <mergeCell ref="AH115:AJ115"/>
    <mergeCell ref="F114:H114"/>
    <mergeCell ref="I114:K114"/>
    <mergeCell ref="V114:X114"/>
    <mergeCell ref="Y114:AA114"/>
    <mergeCell ref="F113:H113"/>
    <mergeCell ref="I113:K113"/>
    <mergeCell ref="V113:X113"/>
    <mergeCell ref="Y113:AA113"/>
    <mergeCell ref="AB113:AD113"/>
    <mergeCell ref="AE113:AG113"/>
    <mergeCell ref="AH113:AJ113"/>
    <mergeCell ref="V112:X112"/>
    <mergeCell ref="Y112:AA112"/>
    <mergeCell ref="AN111:AQ111"/>
    <mergeCell ref="AR111:AT111"/>
    <mergeCell ref="AB99:AC99"/>
    <mergeCell ref="AB97:AC97"/>
    <mergeCell ref="AB112:AD112"/>
    <mergeCell ref="AE112:AG112"/>
    <mergeCell ref="AH112:AJ112"/>
    <mergeCell ref="AN112:AQ112"/>
    <mergeCell ref="AR112:AT112"/>
    <mergeCell ref="AM108:AM112"/>
    <mergeCell ref="AN108:AQ108"/>
    <mergeCell ref="AB102:AC102"/>
    <mergeCell ref="AN109:AQ109"/>
    <mergeCell ref="AR109:AT109"/>
    <mergeCell ref="AB110:AD110"/>
    <mergeCell ref="AE110:AG110"/>
    <mergeCell ref="AN110:AQ110"/>
    <mergeCell ref="AR110:AT110"/>
    <mergeCell ref="AB111:AD111"/>
    <mergeCell ref="AH100:AI100"/>
    <mergeCell ref="AF101:AG101"/>
    <mergeCell ref="AH101:AI101"/>
    <mergeCell ref="AF102:AG102"/>
    <mergeCell ref="AH102:AI102"/>
    <mergeCell ref="A230:A259"/>
    <mergeCell ref="B230:B244"/>
    <mergeCell ref="C230:C232"/>
    <mergeCell ref="C233:C235"/>
    <mergeCell ref="C236:C238"/>
    <mergeCell ref="C239:C241"/>
    <mergeCell ref="C242:C244"/>
    <mergeCell ref="B213:B229"/>
    <mergeCell ref="C213:D213"/>
    <mergeCell ref="C214:D214"/>
    <mergeCell ref="C215:D215"/>
    <mergeCell ref="C216:D216"/>
    <mergeCell ref="C217:D217"/>
    <mergeCell ref="C218:D218"/>
    <mergeCell ref="C219:D219"/>
    <mergeCell ref="C220:D221"/>
    <mergeCell ref="C222:D223"/>
    <mergeCell ref="B245:B259"/>
    <mergeCell ref="C245:C247"/>
    <mergeCell ref="C248:C250"/>
    <mergeCell ref="C251:C253"/>
    <mergeCell ref="C254:C256"/>
    <mergeCell ref="C257:C259"/>
    <mergeCell ref="C224:D225"/>
    <mergeCell ref="A205:C205"/>
    <mergeCell ref="D205:F205"/>
    <mergeCell ref="G205:I205"/>
    <mergeCell ref="J205:L205"/>
    <mergeCell ref="A209:D209"/>
    <mergeCell ref="A210:A229"/>
    <mergeCell ref="B210:B212"/>
    <mergeCell ref="C210:D210"/>
    <mergeCell ref="C211:D211"/>
    <mergeCell ref="C212:D212"/>
    <mergeCell ref="C226:D227"/>
    <mergeCell ref="C228:D229"/>
    <mergeCell ref="A203:C203"/>
    <mergeCell ref="D203:F203"/>
    <mergeCell ref="G203:I203"/>
    <mergeCell ref="J203:L203"/>
    <mergeCell ref="A204:C204"/>
    <mergeCell ref="D204:F204"/>
    <mergeCell ref="G204:I204"/>
    <mergeCell ref="J204:L204"/>
    <mergeCell ref="A199:C199"/>
    <mergeCell ref="D199:F199"/>
    <mergeCell ref="G199:I199"/>
    <mergeCell ref="J199:L199"/>
    <mergeCell ref="A200:C200"/>
    <mergeCell ref="D200:F200"/>
    <mergeCell ref="G200:I200"/>
    <mergeCell ref="J200:L200"/>
    <mergeCell ref="A197:C197"/>
    <mergeCell ref="D197:F197"/>
    <mergeCell ref="G197:I197"/>
    <mergeCell ref="J197:L197"/>
    <mergeCell ref="A198:C198"/>
    <mergeCell ref="D198:F198"/>
    <mergeCell ref="G198:I198"/>
    <mergeCell ref="J198:L198"/>
    <mergeCell ref="M188:P188"/>
    <mergeCell ref="R188:S188"/>
    <mergeCell ref="T188:V188"/>
    <mergeCell ref="A191:D191"/>
    <mergeCell ref="F191:I191"/>
    <mergeCell ref="A196:C196"/>
    <mergeCell ref="D196:F196"/>
    <mergeCell ref="G196:I196"/>
    <mergeCell ref="J196:L196"/>
    <mergeCell ref="AD186:AF186"/>
    <mergeCell ref="M187:P187"/>
    <mergeCell ref="R187:S187"/>
    <mergeCell ref="T187:V187"/>
    <mergeCell ref="W187:Z187"/>
    <mergeCell ref="AB187:AC187"/>
    <mergeCell ref="AD187:AF187"/>
    <mergeCell ref="B176:C176"/>
    <mergeCell ref="M186:P186"/>
    <mergeCell ref="R186:S186"/>
    <mergeCell ref="T186:V186"/>
    <mergeCell ref="W186:Z186"/>
    <mergeCell ref="AB186:AC186"/>
    <mergeCell ref="A167:B167"/>
    <mergeCell ref="A169:B169"/>
    <mergeCell ref="A170:B170"/>
    <mergeCell ref="A171:B171"/>
    <mergeCell ref="A174:B174"/>
    <mergeCell ref="B175:C175"/>
    <mergeCell ref="A160:C160"/>
    <mergeCell ref="A161:B161"/>
    <mergeCell ref="A162:B162"/>
    <mergeCell ref="A163:B163"/>
    <mergeCell ref="A164:B164"/>
    <mergeCell ref="A166:C166"/>
    <mergeCell ref="A153:E153"/>
    <mergeCell ref="F153:J153"/>
    <mergeCell ref="A154:E154"/>
    <mergeCell ref="A156:E156"/>
    <mergeCell ref="F156:J156"/>
    <mergeCell ref="A157:E157"/>
    <mergeCell ref="A140:A143"/>
    <mergeCell ref="B140:C140"/>
    <mergeCell ref="B141:C141"/>
    <mergeCell ref="B142:C142"/>
    <mergeCell ref="B143:C143"/>
    <mergeCell ref="A144:A146"/>
    <mergeCell ref="B144:C144"/>
    <mergeCell ref="B145:C145"/>
    <mergeCell ref="B146:C146"/>
    <mergeCell ref="A130:C130"/>
    <mergeCell ref="A135:C136"/>
    <mergeCell ref="A137:C137"/>
    <mergeCell ref="A138:C138"/>
    <mergeCell ref="A139:C139"/>
    <mergeCell ref="A41:C41"/>
    <mergeCell ref="A127:C127"/>
    <mergeCell ref="A128:C128"/>
    <mergeCell ref="A90:A105"/>
    <mergeCell ref="A42:BE61"/>
    <mergeCell ref="A129:C129"/>
    <mergeCell ref="F108:H108"/>
    <mergeCell ref="I108:K108"/>
    <mergeCell ref="U108:U117"/>
    <mergeCell ref="V108:X108"/>
    <mergeCell ref="Y108:AA108"/>
    <mergeCell ref="F112:H112"/>
    <mergeCell ref="I112:K112"/>
    <mergeCell ref="AB98:AC98"/>
    <mergeCell ref="F116:H116"/>
    <mergeCell ref="AB108:AD108"/>
    <mergeCell ref="AE108:AG108"/>
    <mergeCell ref="AH108:AJ111"/>
    <mergeCell ref="B105:E105"/>
    <mergeCell ref="AM88:AO88"/>
    <mergeCell ref="X87:Y87"/>
    <mergeCell ref="Z87:AA87"/>
    <mergeCell ref="AB87:AD87"/>
    <mergeCell ref="AE87:AG87"/>
    <mergeCell ref="AH87:AJ87"/>
    <mergeCell ref="B88:D88"/>
    <mergeCell ref="E88:G88"/>
    <mergeCell ref="H88:J88"/>
    <mergeCell ref="BB88:BD88"/>
    <mergeCell ref="AK88:AL88"/>
    <mergeCell ref="AP88:AR88"/>
    <mergeCell ref="AV88:AX88"/>
    <mergeCell ref="AY88:BA88"/>
    <mergeCell ref="P87:Q87"/>
    <mergeCell ref="R87:S87"/>
    <mergeCell ref="T87:U87"/>
    <mergeCell ref="AS88:AU88"/>
    <mergeCell ref="AB88:AD88"/>
    <mergeCell ref="AE88:AG88"/>
    <mergeCell ref="AH88:AJ88"/>
    <mergeCell ref="BB87:BD87"/>
    <mergeCell ref="P88:Q88"/>
    <mergeCell ref="R88:S88"/>
    <mergeCell ref="T88:U88"/>
    <mergeCell ref="V88:W88"/>
    <mergeCell ref="X88:Y88"/>
    <mergeCell ref="Z88:AA88"/>
    <mergeCell ref="AK87:AL87"/>
    <mergeCell ref="AM87:AO87"/>
    <mergeCell ref="AP87:AR87"/>
    <mergeCell ref="AS87:AU87"/>
    <mergeCell ref="AV87:AX87"/>
    <mergeCell ref="AY87:BA87"/>
    <mergeCell ref="V87:W87"/>
    <mergeCell ref="AB86:AD86"/>
    <mergeCell ref="AE86:AG86"/>
    <mergeCell ref="AH86:AJ86"/>
    <mergeCell ref="BB85:BD85"/>
    <mergeCell ref="B86:D86"/>
    <mergeCell ref="E86:G86"/>
    <mergeCell ref="H86:J86"/>
    <mergeCell ref="P86:Q86"/>
    <mergeCell ref="R86:S86"/>
    <mergeCell ref="T86:U86"/>
    <mergeCell ref="V86:W86"/>
    <mergeCell ref="X86:Y86"/>
    <mergeCell ref="Z86:AA86"/>
    <mergeCell ref="AK85:AL85"/>
    <mergeCell ref="AM85:AO85"/>
    <mergeCell ref="AP85:AR85"/>
    <mergeCell ref="AS85:AU85"/>
    <mergeCell ref="AV85:AX85"/>
    <mergeCell ref="AY85:BA85"/>
    <mergeCell ref="AS86:AU86"/>
    <mergeCell ref="AV86:AX86"/>
    <mergeCell ref="AY86:BA86"/>
    <mergeCell ref="BB86:BD86"/>
    <mergeCell ref="AK86:AL86"/>
    <mergeCell ref="AM86:AO86"/>
    <mergeCell ref="AP86:AR86"/>
    <mergeCell ref="B84:D85"/>
    <mergeCell ref="AK83:AL83"/>
    <mergeCell ref="AM83:AO83"/>
    <mergeCell ref="AP83:AR83"/>
    <mergeCell ref="BB84:BD84"/>
    <mergeCell ref="P85:Q85"/>
    <mergeCell ref="R85:S85"/>
    <mergeCell ref="T85:U85"/>
    <mergeCell ref="V85:W85"/>
    <mergeCell ref="X85:Y85"/>
    <mergeCell ref="Z85:AA85"/>
    <mergeCell ref="AB85:AD85"/>
    <mergeCell ref="AE85:AG85"/>
    <mergeCell ref="AH85:AJ85"/>
    <mergeCell ref="AK84:AL84"/>
    <mergeCell ref="AM84:AO84"/>
    <mergeCell ref="AP84:AR84"/>
    <mergeCell ref="AS84:AU84"/>
    <mergeCell ref="AV84:AX84"/>
    <mergeCell ref="AY84:BA84"/>
    <mergeCell ref="V84:W84"/>
    <mergeCell ref="X84:Y84"/>
    <mergeCell ref="Z84:AA84"/>
    <mergeCell ref="AB84:AD84"/>
    <mergeCell ref="AE84:AG84"/>
    <mergeCell ref="E84:G85"/>
    <mergeCell ref="H84:J85"/>
    <mergeCell ref="P84:Q84"/>
    <mergeCell ref="R84:S84"/>
    <mergeCell ref="T84:U84"/>
    <mergeCell ref="AS83:AU83"/>
    <mergeCell ref="AV83:AX83"/>
    <mergeCell ref="AY83:BA83"/>
    <mergeCell ref="BB83:BD83"/>
    <mergeCell ref="AB83:AD83"/>
    <mergeCell ref="AE83:AG83"/>
    <mergeCell ref="AH83:AJ83"/>
    <mergeCell ref="AH84:AJ84"/>
    <mergeCell ref="X81:Y81"/>
    <mergeCell ref="Z81:AA81"/>
    <mergeCell ref="AB81:AD81"/>
    <mergeCell ref="AE81:AG81"/>
    <mergeCell ref="AY82:BA82"/>
    <mergeCell ref="AY81:BA81"/>
    <mergeCell ref="BB81:BD81"/>
    <mergeCell ref="AH81:AJ81"/>
    <mergeCell ref="AK81:AL81"/>
    <mergeCell ref="AM81:AO81"/>
    <mergeCell ref="AP81:AR81"/>
    <mergeCell ref="AS81:AU81"/>
    <mergeCell ref="AV81:AX81"/>
    <mergeCell ref="P83:Q83"/>
    <mergeCell ref="R83:S83"/>
    <mergeCell ref="T83:U83"/>
    <mergeCell ref="V83:W83"/>
    <mergeCell ref="X83:Y83"/>
    <mergeCell ref="Z83:AA83"/>
    <mergeCell ref="AH82:AJ82"/>
    <mergeCell ref="AK82:AL82"/>
    <mergeCell ref="AM82:AO82"/>
    <mergeCell ref="P82:Q82"/>
    <mergeCell ref="R82:S82"/>
    <mergeCell ref="T82:U82"/>
    <mergeCell ref="V82:W82"/>
    <mergeCell ref="X82:Y82"/>
    <mergeCell ref="Z82:AA82"/>
    <mergeCell ref="AB82:AD82"/>
    <mergeCell ref="AE82:AG82"/>
    <mergeCell ref="P81:Q81"/>
    <mergeCell ref="R81:S81"/>
    <mergeCell ref="BB82:BD82"/>
    <mergeCell ref="AP82:AR82"/>
    <mergeCell ref="AS82:AU82"/>
    <mergeCell ref="AV82:AX82"/>
    <mergeCell ref="AV79:AX80"/>
    <mergeCell ref="T81:U81"/>
    <mergeCell ref="V81:W81"/>
    <mergeCell ref="AY79:BA80"/>
    <mergeCell ref="BB79:BD80"/>
    <mergeCell ref="AE79:AG80"/>
    <mergeCell ref="AH79:AJ80"/>
    <mergeCell ref="AK79:AL80"/>
    <mergeCell ref="AS79:AU80"/>
    <mergeCell ref="P78:Q80"/>
    <mergeCell ref="R78:S80"/>
    <mergeCell ref="T78:U80"/>
    <mergeCell ref="V78:Y78"/>
    <mergeCell ref="Z78:AJ78"/>
    <mergeCell ref="AM79:AO80"/>
    <mergeCell ref="AP79:AR80"/>
    <mergeCell ref="AK78:BD78"/>
    <mergeCell ref="V79:W80"/>
    <mergeCell ref="X79:Y80"/>
    <mergeCell ref="Z79:AA80"/>
    <mergeCell ref="AB79:AD80"/>
    <mergeCell ref="A78:A81"/>
    <mergeCell ref="B78:C78"/>
    <mergeCell ref="D78:F78"/>
    <mergeCell ref="G78:I78"/>
    <mergeCell ref="J78:L78"/>
    <mergeCell ref="O78:O88"/>
    <mergeCell ref="B79:C79"/>
    <mergeCell ref="D79:F79"/>
    <mergeCell ref="G79:I79"/>
    <mergeCell ref="J79:L79"/>
    <mergeCell ref="B81:C81"/>
    <mergeCell ref="D81:F81"/>
    <mergeCell ref="G81:I81"/>
    <mergeCell ref="J81:L81"/>
    <mergeCell ref="B87:D87"/>
    <mergeCell ref="E87:G87"/>
    <mergeCell ref="H87:J87"/>
    <mergeCell ref="A83:A88"/>
    <mergeCell ref="B83:J83"/>
    <mergeCell ref="B80:C80"/>
    <mergeCell ref="D80:F80"/>
    <mergeCell ref="G80:I80"/>
    <mergeCell ref="J80:L80"/>
    <mergeCell ref="A75:C75"/>
    <mergeCell ref="D75:F75"/>
    <mergeCell ref="G75:I75"/>
    <mergeCell ref="J75:L75"/>
    <mergeCell ref="M75:O75"/>
    <mergeCell ref="P75:R75"/>
    <mergeCell ref="S76:U76"/>
    <mergeCell ref="AV74:AV76"/>
    <mergeCell ref="AW74:AY74"/>
    <mergeCell ref="AZ74:BB74"/>
    <mergeCell ref="BC74:BE74"/>
    <mergeCell ref="S73:U73"/>
    <mergeCell ref="V73:X73"/>
    <mergeCell ref="Y73:AA73"/>
    <mergeCell ref="S75:U75"/>
    <mergeCell ref="V75:X75"/>
    <mergeCell ref="Y75:AA75"/>
    <mergeCell ref="AW75:AY75"/>
    <mergeCell ref="AZ75:BB75"/>
    <mergeCell ref="BC75:BE75"/>
    <mergeCell ref="AW76:AY76"/>
    <mergeCell ref="AZ76:BB76"/>
    <mergeCell ref="BC76:BE76"/>
    <mergeCell ref="S74:U74"/>
    <mergeCell ref="AQ72:AS74"/>
    <mergeCell ref="AW72:AY72"/>
    <mergeCell ref="AZ72:BB72"/>
    <mergeCell ref="V76:X76"/>
    <mergeCell ref="Y76:AA76"/>
    <mergeCell ref="V74:X74"/>
    <mergeCell ref="Y74:AA74"/>
    <mergeCell ref="A73:C73"/>
    <mergeCell ref="D73:F73"/>
    <mergeCell ref="G73:I73"/>
    <mergeCell ref="J73:L73"/>
    <mergeCell ref="M73:O73"/>
    <mergeCell ref="P73:R73"/>
    <mergeCell ref="Y72:AA72"/>
    <mergeCell ref="AC72:AG76"/>
    <mergeCell ref="AN72:AP74"/>
    <mergeCell ref="A74:C74"/>
    <mergeCell ref="D74:F74"/>
    <mergeCell ref="A76:C76"/>
    <mergeCell ref="D76:F76"/>
    <mergeCell ref="G76:I76"/>
    <mergeCell ref="J76:L76"/>
    <mergeCell ref="M76:O76"/>
    <mergeCell ref="P76:R76"/>
    <mergeCell ref="G74:I74"/>
    <mergeCell ref="J74:L74"/>
    <mergeCell ref="M74:O74"/>
    <mergeCell ref="P74:R74"/>
    <mergeCell ref="AW71:AY71"/>
    <mergeCell ref="AZ71:BB71"/>
    <mergeCell ref="A72:C72"/>
    <mergeCell ref="D72:F72"/>
    <mergeCell ref="G72:I72"/>
    <mergeCell ref="J72:L72"/>
    <mergeCell ref="M72:O72"/>
    <mergeCell ref="P72:R72"/>
    <mergeCell ref="S72:U72"/>
    <mergeCell ref="V72:X72"/>
    <mergeCell ref="S71:U71"/>
    <mergeCell ref="V71:X71"/>
    <mergeCell ref="Y71:AA71"/>
    <mergeCell ref="AC71:AG71"/>
    <mergeCell ref="AN71:AP71"/>
    <mergeCell ref="AQ71:AS71"/>
    <mergeCell ref="AN70:AP70"/>
    <mergeCell ref="AQ70:AS70"/>
    <mergeCell ref="AW70:AY70"/>
    <mergeCell ref="AZ70:BB70"/>
    <mergeCell ref="A71:C71"/>
    <mergeCell ref="D71:F71"/>
    <mergeCell ref="G71:I71"/>
    <mergeCell ref="J71:L71"/>
    <mergeCell ref="M71:O71"/>
    <mergeCell ref="P71:R71"/>
    <mergeCell ref="P70:R70"/>
    <mergeCell ref="S70:U70"/>
    <mergeCell ref="V70:X70"/>
    <mergeCell ref="Y70:AA70"/>
    <mergeCell ref="AC70:AD70"/>
    <mergeCell ref="AE70:AG70"/>
    <mergeCell ref="AH69:AK76"/>
    <mergeCell ref="AN69:AP69"/>
    <mergeCell ref="AQ69:AS69"/>
    <mergeCell ref="AW69:AY69"/>
    <mergeCell ref="AZ69:BB69"/>
    <mergeCell ref="A70:C70"/>
    <mergeCell ref="D70:F70"/>
    <mergeCell ref="G70:I70"/>
    <mergeCell ref="AZ68:BB68"/>
    <mergeCell ref="A69:C69"/>
    <mergeCell ref="D69:F69"/>
    <mergeCell ref="G69:I69"/>
    <mergeCell ref="J69:L69"/>
    <mergeCell ref="M69:O69"/>
    <mergeCell ref="P69:R69"/>
    <mergeCell ref="S69:U69"/>
    <mergeCell ref="S68:U68"/>
    <mergeCell ref="V68:X68"/>
    <mergeCell ref="Y68:AA68"/>
    <mergeCell ref="AC68:AD68"/>
    <mergeCell ref="AE68:AG68"/>
    <mergeCell ref="AN68:AP68"/>
    <mergeCell ref="AQ67:AS67"/>
    <mergeCell ref="AV67:AV72"/>
    <mergeCell ref="AW67:AY67"/>
    <mergeCell ref="AZ67:BB67"/>
    <mergeCell ref="A68:C68"/>
    <mergeCell ref="D68:F68"/>
    <mergeCell ref="G68:I68"/>
    <mergeCell ref="J68:L68"/>
    <mergeCell ref="M68:O68"/>
    <mergeCell ref="P68:R68"/>
    <mergeCell ref="V67:X67"/>
    <mergeCell ref="Y67:AA67"/>
    <mergeCell ref="AC67:AG67"/>
    <mergeCell ref="AH67:AK68"/>
    <mergeCell ref="AM67:AM74"/>
    <mergeCell ref="AN67:AP67"/>
    <mergeCell ref="V69:X69"/>
    <mergeCell ref="Y69:AA69"/>
    <mergeCell ref="AC69:AD69"/>
    <mergeCell ref="AE69:AG69"/>
    <mergeCell ref="J70:L70"/>
    <mergeCell ref="M70:O70"/>
    <mergeCell ref="AQ68:AS68"/>
    <mergeCell ref="AW68:AY68"/>
    <mergeCell ref="A64:C64"/>
    <mergeCell ref="D64:H64"/>
    <mergeCell ref="A67:C67"/>
    <mergeCell ref="D67:F67"/>
    <mergeCell ref="G67:I67"/>
    <mergeCell ref="J67:L67"/>
    <mergeCell ref="M67:O67"/>
    <mergeCell ref="P67:R67"/>
    <mergeCell ref="S67:U67"/>
    <mergeCell ref="AS38:AU38"/>
    <mergeCell ref="AV38:AY38"/>
    <mergeCell ref="S39:V39"/>
    <mergeCell ref="W39:Y39"/>
    <mergeCell ref="Z39:AC39"/>
    <mergeCell ref="AD39:AF39"/>
    <mergeCell ref="AG39:AJ39"/>
    <mergeCell ref="AK39:AN39"/>
    <mergeCell ref="AO39:AR39"/>
    <mergeCell ref="AV37:AY37"/>
    <mergeCell ref="A38:C38"/>
    <mergeCell ref="D38:G38"/>
    <mergeCell ref="I38:M38"/>
    <mergeCell ref="N38:R38"/>
    <mergeCell ref="S38:V38"/>
    <mergeCell ref="W38:Y38"/>
    <mergeCell ref="Z38:AC38"/>
    <mergeCell ref="AD38:AF38"/>
    <mergeCell ref="AG38:AJ38"/>
    <mergeCell ref="Z37:AC37"/>
    <mergeCell ref="AD37:AF37"/>
    <mergeCell ref="AG37:AJ37"/>
    <mergeCell ref="AK37:AN37"/>
    <mergeCell ref="AO37:AR37"/>
    <mergeCell ref="AS37:AU37"/>
    <mergeCell ref="A37:C37"/>
    <mergeCell ref="D37:G37"/>
    <mergeCell ref="I37:M37"/>
    <mergeCell ref="N37:R37"/>
    <mergeCell ref="S37:V37"/>
    <mergeCell ref="W37:Y37"/>
    <mergeCell ref="AK38:AN38"/>
    <mergeCell ref="AO38:AR38"/>
    <mergeCell ref="A34:B34"/>
    <mergeCell ref="A35:A36"/>
    <mergeCell ref="B35:B36"/>
    <mergeCell ref="D36:G36"/>
    <mergeCell ref="I36:M36"/>
    <mergeCell ref="N36:R36"/>
    <mergeCell ref="A31:B31"/>
    <mergeCell ref="A32:A33"/>
    <mergeCell ref="B32:B33"/>
    <mergeCell ref="D33:G33"/>
    <mergeCell ref="I33:M33"/>
    <mergeCell ref="N33:R33"/>
    <mergeCell ref="A29:B29"/>
    <mergeCell ref="D30:G30"/>
    <mergeCell ref="I30:M30"/>
    <mergeCell ref="N30:R30"/>
    <mergeCell ref="A27:H27"/>
    <mergeCell ref="I27:M27"/>
    <mergeCell ref="N27:R27"/>
    <mergeCell ref="S27:U27"/>
    <mergeCell ref="AB27:AF27"/>
    <mergeCell ref="BA25:BE27"/>
    <mergeCell ref="A26:H26"/>
    <mergeCell ref="I26:M26"/>
    <mergeCell ref="N26:R26"/>
    <mergeCell ref="S26:U26"/>
    <mergeCell ref="AB26:AF26"/>
    <mergeCell ref="AG26:AI26"/>
    <mergeCell ref="I25:L25"/>
    <mergeCell ref="N25:R25"/>
    <mergeCell ref="S25:U25"/>
    <mergeCell ref="V25:AA27"/>
    <mergeCell ref="AB25:AF25"/>
    <mergeCell ref="AG25:AI25"/>
    <mergeCell ref="AP27:AW27"/>
    <mergeCell ref="AX27:AZ27"/>
    <mergeCell ref="AG27:AI27"/>
    <mergeCell ref="AJ25:AO27"/>
    <mergeCell ref="AP25:AW25"/>
    <mergeCell ref="AX25:AZ25"/>
    <mergeCell ref="A20:C20"/>
    <mergeCell ref="A21:C21"/>
    <mergeCell ref="A22:C22"/>
    <mergeCell ref="A23:C23"/>
    <mergeCell ref="A24:C24"/>
    <mergeCell ref="A25:H25"/>
    <mergeCell ref="A14:C14"/>
    <mergeCell ref="A15:C15"/>
    <mergeCell ref="A16:C16"/>
    <mergeCell ref="A17:C17"/>
    <mergeCell ref="A18:C18"/>
    <mergeCell ref="A19:C19"/>
    <mergeCell ref="A7:C7"/>
    <mergeCell ref="A8:C8"/>
    <mergeCell ref="A9:C9"/>
    <mergeCell ref="A10:C10"/>
    <mergeCell ref="A11:C11"/>
    <mergeCell ref="A12:B12"/>
    <mergeCell ref="C12:C13"/>
    <mergeCell ref="A13:B13"/>
    <mergeCell ref="A4:C4"/>
    <mergeCell ref="S2:U2"/>
    <mergeCell ref="V2:Y2"/>
    <mergeCell ref="D4:G4"/>
    <mergeCell ref="I4:M4"/>
    <mergeCell ref="N4:R4"/>
    <mergeCell ref="A5:C5"/>
    <mergeCell ref="A6:C6"/>
    <mergeCell ref="A2:C2"/>
    <mergeCell ref="D2:H2"/>
    <mergeCell ref="I2:K2"/>
    <mergeCell ref="L2:M2"/>
    <mergeCell ref="N2:R2"/>
    <mergeCell ref="A3:C3"/>
    <mergeCell ref="D3:G3"/>
    <mergeCell ref="I3:M3"/>
    <mergeCell ref="N3:R3"/>
    <mergeCell ref="C92:E92"/>
    <mergeCell ref="C93:E93"/>
    <mergeCell ref="C94:E94"/>
    <mergeCell ref="C95:E95"/>
    <mergeCell ref="C96:E96"/>
    <mergeCell ref="C97:E97"/>
    <mergeCell ref="F92:H92"/>
    <mergeCell ref="F93:H93"/>
    <mergeCell ref="B91:B104"/>
    <mergeCell ref="C98:E98"/>
    <mergeCell ref="C99:E99"/>
    <mergeCell ref="C100:E100"/>
    <mergeCell ref="C101:E101"/>
    <mergeCell ref="C102:E102"/>
    <mergeCell ref="C103:E103"/>
    <mergeCell ref="C104:E104"/>
    <mergeCell ref="F105:H105"/>
    <mergeCell ref="F104:H104"/>
    <mergeCell ref="F103:H103"/>
    <mergeCell ref="F102:H102"/>
    <mergeCell ref="F101:H101"/>
    <mergeCell ref="F100:H100"/>
    <mergeCell ref="F99:H99"/>
    <mergeCell ref="B90:C90"/>
    <mergeCell ref="L91:O91"/>
    <mergeCell ref="L92:O92"/>
    <mergeCell ref="L93:O93"/>
    <mergeCell ref="L94:O94"/>
    <mergeCell ref="L95:O95"/>
    <mergeCell ref="L96:O96"/>
    <mergeCell ref="L97:O97"/>
    <mergeCell ref="L98:O98"/>
    <mergeCell ref="I98:K98"/>
    <mergeCell ref="F94:H94"/>
    <mergeCell ref="F95:H95"/>
    <mergeCell ref="C91:E91"/>
    <mergeCell ref="F91:H91"/>
    <mergeCell ref="L101:O101"/>
    <mergeCell ref="L102:O102"/>
    <mergeCell ref="L103:O103"/>
    <mergeCell ref="I91:K91"/>
    <mergeCell ref="I92:K92"/>
    <mergeCell ref="I93:K93"/>
    <mergeCell ref="I94:K94"/>
    <mergeCell ref="I95:K95"/>
    <mergeCell ref="I96:K96"/>
    <mergeCell ref="I97:K97"/>
    <mergeCell ref="I99:K99"/>
    <mergeCell ref="I103:K103"/>
    <mergeCell ref="L104:O104"/>
    <mergeCell ref="L105:O105"/>
    <mergeCell ref="P91:R91"/>
    <mergeCell ref="P92:R92"/>
    <mergeCell ref="K90:M90"/>
    <mergeCell ref="D90:F90"/>
    <mergeCell ref="H90:J90"/>
    <mergeCell ref="N90:R90"/>
    <mergeCell ref="P93:R93"/>
    <mergeCell ref="P94:R94"/>
    <mergeCell ref="P95:R95"/>
    <mergeCell ref="P96:R96"/>
    <mergeCell ref="P97:R97"/>
    <mergeCell ref="P98:R98"/>
    <mergeCell ref="P99:R99"/>
    <mergeCell ref="P100:R100"/>
    <mergeCell ref="P101:R101"/>
    <mergeCell ref="P102:R102"/>
    <mergeCell ref="P103:R103"/>
    <mergeCell ref="P104:R104"/>
    <mergeCell ref="P105:R105"/>
    <mergeCell ref="I100:K100"/>
    <mergeCell ref="I101:K101"/>
    <mergeCell ref="I102:K102"/>
    <mergeCell ref="V90:AA90"/>
    <mergeCell ref="V91:AA91"/>
    <mergeCell ref="V92:AA92"/>
    <mergeCell ref="V93:AA93"/>
    <mergeCell ref="V94:AA94"/>
    <mergeCell ref="V95:AA95"/>
    <mergeCell ref="V96:AA96"/>
    <mergeCell ref="V97:AA97"/>
    <mergeCell ref="V98:AA98"/>
    <mergeCell ref="V99:AA99"/>
    <mergeCell ref="V100:AA100"/>
    <mergeCell ref="V101:AA101"/>
    <mergeCell ref="V102:AA102"/>
    <mergeCell ref="V103:AA103"/>
    <mergeCell ref="V104:AA104"/>
    <mergeCell ref="AB93:AE93"/>
    <mergeCell ref="AB95:AE95"/>
    <mergeCell ref="AB96:AD96"/>
    <mergeCell ref="AB94:AE94"/>
    <mergeCell ref="AB90:AE90"/>
    <mergeCell ref="AB91:AE91"/>
    <mergeCell ref="AB92:AE92"/>
    <mergeCell ref="AD97:AE97"/>
    <mergeCell ref="AB103:AE103"/>
    <mergeCell ref="AB104:AE104"/>
    <mergeCell ref="AD98:AE98"/>
    <mergeCell ref="AB100:AC100"/>
    <mergeCell ref="AB101:AC101"/>
    <mergeCell ref="AD99:AE99"/>
    <mergeCell ref="AD100:AE100"/>
    <mergeCell ref="AD101:AE101"/>
    <mergeCell ref="AD102:AE102"/>
    <mergeCell ref="AF103:AI103"/>
    <mergeCell ref="AF90:AI90"/>
    <mergeCell ref="AF91:AI91"/>
    <mergeCell ref="AF92:AI92"/>
    <mergeCell ref="AF93:AI93"/>
    <mergeCell ref="AF95:AI95"/>
    <mergeCell ref="AF96:AH96"/>
    <mergeCell ref="AF97:AG97"/>
    <mergeCell ref="AH97:AI97"/>
    <mergeCell ref="AF98:AG98"/>
    <mergeCell ref="AH98:AI98"/>
    <mergeCell ref="AF94:AI94"/>
    <mergeCell ref="AF104:AI104"/>
    <mergeCell ref="AJ90:AM90"/>
    <mergeCell ref="AJ91:AM91"/>
    <mergeCell ref="AJ92:AM92"/>
    <mergeCell ref="AJ93:AM93"/>
    <mergeCell ref="AJ95:AM95"/>
    <mergeCell ref="AJ96:AL96"/>
    <mergeCell ref="AJ97:AK97"/>
    <mergeCell ref="AL97:AM97"/>
    <mergeCell ref="AJ98:AK98"/>
    <mergeCell ref="AL98:AM98"/>
    <mergeCell ref="AJ99:AK99"/>
    <mergeCell ref="AL99:AM99"/>
    <mergeCell ref="AJ100:AK100"/>
    <mergeCell ref="AL100:AM100"/>
    <mergeCell ref="AJ101:AK101"/>
    <mergeCell ref="AL101:AM101"/>
    <mergeCell ref="AJ102:AK102"/>
    <mergeCell ref="AL102:AM102"/>
    <mergeCell ref="AJ103:AM103"/>
    <mergeCell ref="AJ104:AM104"/>
    <mergeCell ref="AF99:AG99"/>
    <mergeCell ref="AH99:AI99"/>
    <mergeCell ref="AF100:AG100"/>
    <mergeCell ref="AN90:AQ90"/>
    <mergeCell ref="AN91:AQ91"/>
    <mergeCell ref="AN92:AQ92"/>
    <mergeCell ref="AN93:AQ93"/>
    <mergeCell ref="AN95:AQ95"/>
    <mergeCell ref="AN96:AP96"/>
    <mergeCell ref="AN97:AO97"/>
    <mergeCell ref="AP97:AQ97"/>
    <mergeCell ref="AN98:AO98"/>
    <mergeCell ref="AP98:AQ98"/>
    <mergeCell ref="AN94:AQ94"/>
    <mergeCell ref="AZ104:BC104"/>
    <mergeCell ref="AV99:AW99"/>
    <mergeCell ref="AR90:AU90"/>
    <mergeCell ref="AR91:AU91"/>
    <mergeCell ref="AR92:AU92"/>
    <mergeCell ref="AR93:AU93"/>
    <mergeCell ref="AR95:AU95"/>
    <mergeCell ref="AR96:AT96"/>
    <mergeCell ref="AR97:AS97"/>
    <mergeCell ref="AT97:AU97"/>
    <mergeCell ref="AR98:AS98"/>
    <mergeCell ref="AT98:AU98"/>
    <mergeCell ref="AR94:AU94"/>
    <mergeCell ref="AR100:AS100"/>
    <mergeCell ref="AT100:AU100"/>
    <mergeCell ref="AR101:AS101"/>
    <mergeCell ref="AT101:AU101"/>
    <mergeCell ref="AR102:AS102"/>
    <mergeCell ref="AT102:AU102"/>
    <mergeCell ref="AR103:AU103"/>
    <mergeCell ref="AR104:AU104"/>
    <mergeCell ref="AZ99:BA99"/>
    <mergeCell ref="BB99:BC99"/>
    <mergeCell ref="AZ100:BA100"/>
    <mergeCell ref="BB100:BC100"/>
    <mergeCell ref="AZ101:BA101"/>
    <mergeCell ref="BB101:BC101"/>
    <mergeCell ref="AZ102:BA102"/>
    <mergeCell ref="BB102:BC102"/>
    <mergeCell ref="AZ103:BC103"/>
    <mergeCell ref="AZ90:BC90"/>
    <mergeCell ref="AZ91:BC91"/>
    <mergeCell ref="AZ92:BC92"/>
    <mergeCell ref="AZ93:BC93"/>
    <mergeCell ref="AZ95:BC95"/>
    <mergeCell ref="AZ96:BB96"/>
    <mergeCell ref="AZ97:BA97"/>
    <mergeCell ref="BB97:BC97"/>
    <mergeCell ref="AZ98:BA98"/>
    <mergeCell ref="BB98:BC98"/>
    <mergeCell ref="AN99:AO99"/>
    <mergeCell ref="AP99:AQ99"/>
    <mergeCell ref="AN100:AO100"/>
    <mergeCell ref="AP100:AQ100"/>
    <mergeCell ref="AN101:AO101"/>
    <mergeCell ref="AP101:AQ101"/>
    <mergeCell ref="AV98:AW98"/>
    <mergeCell ref="AX98:AY98"/>
    <mergeCell ref="AV104:AY104"/>
    <mergeCell ref="AN102:AO102"/>
    <mergeCell ref="AP102:AQ102"/>
    <mergeCell ref="AN103:AQ103"/>
    <mergeCell ref="E121:G122"/>
    <mergeCell ref="H121:H122"/>
    <mergeCell ref="L121:M122"/>
    <mergeCell ref="Q121:S122"/>
    <mergeCell ref="N121:P122"/>
    <mergeCell ref="T121:V122"/>
    <mergeCell ref="AX99:AY99"/>
    <mergeCell ref="AV100:AW100"/>
    <mergeCell ref="L108:N108"/>
    <mergeCell ref="L109:M109"/>
    <mergeCell ref="L110:N110"/>
    <mergeCell ref="L111:N111"/>
    <mergeCell ref="L112:N112"/>
    <mergeCell ref="L113:N113"/>
    <mergeCell ref="L114:N114"/>
    <mergeCell ref="O108:Q108"/>
    <mergeCell ref="O109:P109"/>
    <mergeCell ref="O110:Q110"/>
    <mergeCell ref="O111:Q111"/>
    <mergeCell ref="O112:Q112"/>
    <mergeCell ref="O113:Q113"/>
    <mergeCell ref="O114:Q114"/>
    <mergeCell ref="AN104:AQ104"/>
    <mergeCell ref="AR99:AS99"/>
  </mergeCells>
  <phoneticPr fontId="1"/>
  <conditionalFormatting sqref="X135:X136">
    <cfRule type="top10" dxfId="228" priority="29" percent="1" bottom="1" rank="33"/>
    <cfRule type="top10" dxfId="227" priority="30" percent="1" rank="33"/>
  </conditionalFormatting>
  <conditionalFormatting sqref="Y135:Y136">
    <cfRule type="top10" dxfId="226" priority="31" percent="1" bottom="1" rank="33"/>
    <cfRule type="top10" dxfId="225" priority="32" percent="1" rank="33"/>
  </conditionalFormatting>
  <conditionalFormatting sqref="Z135:Z136 Z132">
    <cfRule type="top10" dxfId="224" priority="33" percent="1" bottom="1" rank="33"/>
    <cfRule type="top10" dxfId="223" priority="34" percent="1" rank="33"/>
  </conditionalFormatting>
  <conditionalFormatting sqref="AA135:AA136 AA132">
    <cfRule type="top10" dxfId="222" priority="35" percent="1" bottom="1" rank="33"/>
    <cfRule type="top10" dxfId="221" priority="36" percent="1" rank="33"/>
  </conditionalFormatting>
  <conditionalFormatting sqref="W135:W136">
    <cfRule type="top10" dxfId="220" priority="37" percent="1" bottom="1" rank="33"/>
    <cfRule type="top10" dxfId="219" priority="38" percent="1" rank="33"/>
  </conditionalFormatting>
  <conditionalFormatting sqref="V135:V136">
    <cfRule type="top10" dxfId="218" priority="39" percent="1" bottom="1" rank="33"/>
    <cfRule type="top10" dxfId="217" priority="40" percent="1" rank="33"/>
  </conditionalFormatting>
  <conditionalFormatting sqref="U135:U136">
    <cfRule type="top10" dxfId="216" priority="41" percent="1" bottom="1" rank="33"/>
    <cfRule type="top10" dxfId="215" priority="42" percent="1" rank="33"/>
  </conditionalFormatting>
  <conditionalFormatting sqref="T135:T136">
    <cfRule type="top10" dxfId="214" priority="43" percent="1" bottom="1" rank="33"/>
    <cfRule type="top10" dxfId="213" priority="44" percent="1" rank="33"/>
  </conditionalFormatting>
  <conditionalFormatting sqref="S135:S136">
    <cfRule type="top10" dxfId="212" priority="45" percent="1" bottom="1" rank="33"/>
    <cfRule type="top10" dxfId="211" priority="46" percent="1" rank="33"/>
  </conditionalFormatting>
  <conditionalFormatting sqref="AC135:AC136 AC132">
    <cfRule type="top10" dxfId="210" priority="47" percent="1" bottom="1" rank="33"/>
    <cfRule type="top10" dxfId="209" priority="48" percent="1" rank="33"/>
  </conditionalFormatting>
  <conditionalFormatting sqref="AB135:AB136 AB132">
    <cfRule type="top10" dxfId="208" priority="49" percent="1" bottom="1" rank="33"/>
    <cfRule type="top10" dxfId="207" priority="50" percent="1" rank="33"/>
  </conditionalFormatting>
  <conditionalFormatting sqref="AD135:AD136 AD132">
    <cfRule type="top10" dxfId="206" priority="51" percent="1" bottom="1" rank="33"/>
    <cfRule type="top10" dxfId="205" priority="52" percent="1" rank="33"/>
  </conditionalFormatting>
  <conditionalFormatting sqref="AE135:AE136 AE132">
    <cfRule type="top10" dxfId="204" priority="53" percent="1" bottom="1" rank="33"/>
    <cfRule type="top10" dxfId="203" priority="54" percent="1" rank="33"/>
  </conditionalFormatting>
  <conditionalFormatting sqref="AF135:AF136 AF132">
    <cfRule type="top10" dxfId="202" priority="55" percent="1" bottom="1" rank="33"/>
    <cfRule type="top10" dxfId="201" priority="56" percent="1" rank="33"/>
  </conditionalFormatting>
  <conditionalFormatting sqref="AG135:AG136 AG132">
    <cfRule type="top10" dxfId="200" priority="57" percent="1" bottom="1" rank="33"/>
    <cfRule type="top10" dxfId="199" priority="58" percent="1" rank="33"/>
  </conditionalFormatting>
  <conditionalFormatting sqref="AH135:AH136 AH132">
    <cfRule type="top10" dxfId="198" priority="59" percent="1" bottom="1" rank="33"/>
    <cfRule type="top10" dxfId="197" priority="60" percent="1" rank="33"/>
  </conditionalFormatting>
  <conditionalFormatting sqref="AI135:AI136 AI132">
    <cfRule type="top10" dxfId="196" priority="61" percent="1" bottom="1" rank="33"/>
    <cfRule type="top10" dxfId="195" priority="62" percent="1" rank="33"/>
  </conditionalFormatting>
  <conditionalFormatting sqref="AJ135:AJ136 AJ132">
    <cfRule type="top10" dxfId="194" priority="63" percent="1" bottom="1" rank="33"/>
    <cfRule type="top10" dxfId="193" priority="64" percent="1" rank="33"/>
  </conditionalFormatting>
  <conditionalFormatting sqref="AK135:AK136 AK132">
    <cfRule type="top10" dxfId="192" priority="65" percent="1" bottom="1" rank="33"/>
    <cfRule type="top10" dxfId="191" priority="66" percent="1" rank="33"/>
  </conditionalFormatting>
  <conditionalFormatting sqref="AL135:AL136 AL132">
    <cfRule type="top10" dxfId="190" priority="67" percent="1" bottom="1" rank="33"/>
    <cfRule type="top10" dxfId="189" priority="68" percent="1" rank="33"/>
  </conditionalFormatting>
  <conditionalFormatting sqref="AM135:AM136 AM132">
    <cfRule type="top10" dxfId="188" priority="69" percent="1" bottom="1" rank="33"/>
    <cfRule type="top10" dxfId="187" priority="70" percent="1" rank="33"/>
  </conditionalFormatting>
  <conditionalFormatting sqref="AN135:AN136 AN132">
    <cfRule type="top10" dxfId="186" priority="71" percent="1" bottom="1" rank="33"/>
    <cfRule type="top10" dxfId="185" priority="72" percent="1" rank="33"/>
  </conditionalFormatting>
  <conditionalFormatting sqref="AO135:AO136 AO132">
    <cfRule type="top10" dxfId="184" priority="73" percent="1" bottom="1" rank="33"/>
    <cfRule type="top10" dxfId="183" priority="74" percent="1" rank="33"/>
  </conditionalFormatting>
  <conditionalFormatting sqref="AP135:AP136 AP132">
    <cfRule type="top10" dxfId="182" priority="75" percent="1" bottom="1" rank="33"/>
    <cfRule type="top10" dxfId="181" priority="76" percent="1" rank="33"/>
  </conditionalFormatting>
  <conditionalFormatting sqref="AQ135:AQ136 AQ132">
    <cfRule type="top10" dxfId="180" priority="77" percent="1" bottom="1" rank="33"/>
    <cfRule type="top10" dxfId="179" priority="78" percent="1" rank="33"/>
  </conditionalFormatting>
  <conditionalFormatting sqref="AR135:AR136 AR132">
    <cfRule type="top10" dxfId="178" priority="79" percent="1" bottom="1" rank="33"/>
    <cfRule type="top10" dxfId="177" priority="80" percent="1" rank="33"/>
  </conditionalFormatting>
  <conditionalFormatting sqref="AS135:AS136 AS132">
    <cfRule type="top10" dxfId="176" priority="81" percent="1" bottom="1" rank="33"/>
    <cfRule type="top10" dxfId="175" priority="82" percent="1" rank="33"/>
  </conditionalFormatting>
  <conditionalFormatting sqref="AT135:AT136 AT132">
    <cfRule type="top10" dxfId="174" priority="83" percent="1" bottom="1" rank="33"/>
    <cfRule type="top10" dxfId="173" priority="84" percent="1" rank="33"/>
  </conditionalFormatting>
  <conditionalFormatting sqref="AU135:AU136 AU132">
    <cfRule type="top10" dxfId="172" priority="85" percent="1" bottom="1" rank="33"/>
    <cfRule type="top10" dxfId="171" priority="86" percent="1" rank="33"/>
  </conditionalFormatting>
  <conditionalFormatting sqref="AV135:AV136 AV132">
    <cfRule type="top10" dxfId="170" priority="87" percent="1" bottom="1" rank="33"/>
    <cfRule type="top10" dxfId="169" priority="88" percent="1" rank="33"/>
  </conditionalFormatting>
  <conditionalFormatting sqref="AW135:AW136 AW132">
    <cfRule type="top10" dxfId="168" priority="89" percent="1" bottom="1" rank="33"/>
    <cfRule type="top10" dxfId="167" priority="90" percent="1" rank="33"/>
  </conditionalFormatting>
  <conditionalFormatting sqref="AX135:AX136 AX132">
    <cfRule type="top10" dxfId="166" priority="91" percent="1" bottom="1" rank="33"/>
    <cfRule type="top10" dxfId="165" priority="92" percent="1" rank="33"/>
  </conditionalFormatting>
  <conditionalFormatting sqref="AY135:AY136 AY132">
    <cfRule type="top10" dxfId="164" priority="93" percent="1" bottom="1" rank="33"/>
    <cfRule type="top10" dxfId="163" priority="94" percent="1" rank="33"/>
  </conditionalFormatting>
  <conditionalFormatting sqref="AZ135:AZ136 AZ132">
    <cfRule type="top10" dxfId="162" priority="95" percent="1" bottom="1" rank="33"/>
    <cfRule type="top10" dxfId="161" priority="96" percent="1" rank="33"/>
  </conditionalFormatting>
  <conditionalFormatting sqref="BA135:BA136 BA132">
    <cfRule type="top10" dxfId="160" priority="97" percent="1" bottom="1" rank="33"/>
    <cfRule type="top10" dxfId="159" priority="98" percent="1" rank="33"/>
  </conditionalFormatting>
  <conditionalFormatting sqref="BB135:BB136 BB132">
    <cfRule type="top10" dxfId="158" priority="99" percent="1" bottom="1" rank="33"/>
    <cfRule type="top10" dxfId="157" priority="100" percent="1" rank="33"/>
  </conditionalFormatting>
  <conditionalFormatting sqref="BC135:BC136 BC132">
    <cfRule type="top10" dxfId="156" priority="101" percent="1" bottom="1" rank="33"/>
    <cfRule type="top10" dxfId="155" priority="102" percent="1" rank="33"/>
  </conditionalFormatting>
  <conditionalFormatting sqref="BD135:BD136 BD132">
    <cfRule type="top10" dxfId="154" priority="103" percent="1" bottom="1" rank="33"/>
    <cfRule type="top10" dxfId="153" priority="104" percent="1" rank="33"/>
  </conditionalFormatting>
  <conditionalFormatting sqref="AV11:BE11">
    <cfRule type="expression" dxfId="152" priority="106">
      <formula>AV11&gt;$E$210</formula>
    </cfRule>
  </conditionalFormatting>
  <conditionalFormatting sqref="AV14:BE14">
    <cfRule type="expression" priority="107" stopIfTrue="1">
      <formula>AV14=""</formula>
    </cfRule>
    <cfRule type="cellIs" dxfId="151" priority="108" operator="greaterThan">
      <formula>$E$213</formula>
    </cfRule>
  </conditionalFormatting>
  <conditionalFormatting sqref="S19:BE19">
    <cfRule type="cellIs" dxfId="150" priority="25" operator="lessThan">
      <formula>$E$218</formula>
    </cfRule>
  </conditionalFormatting>
  <conditionalFormatting sqref="H4:I4 N4 D2 N2 S19:BE24 S25:AA27 AG25:AO27 AX25 BA25 AX27 AD37:AN39 AS37:AY38 W37:Y39 I37:R38 D37:G38 AR114:AR118 AY114:AY118 D64 D68:R68 S71 V74:AA74 Y68:AA73 AZ72 R81:S88 D72:R73 H86:J88 AE81:AJ88 AP81:AU88 AY81:BD88 AR112 AH112 AH115 Y115:AG116 I115 AB103:AB104 AB93:AB94 AZ93:AZ94 I117:Q118 AF93:AF94 AJ93:AJ94 AN93:AN94 AR93:AR94 AV93:AV94">
    <cfRule type="expression" dxfId="149" priority="24">
      <formula>IF($V$2="カラー","TRUE","FALSE")</formula>
    </cfRule>
  </conditionalFormatting>
  <conditionalFormatting sqref="S4:BE4">
    <cfRule type="expression" dxfId="148" priority="23">
      <formula>IF($V$2="カラー","TRUE","FALSE")</formula>
    </cfRule>
  </conditionalFormatting>
  <conditionalFormatting sqref="S11:AU11">
    <cfRule type="expression" dxfId="147" priority="14">
      <formula>S11&gt;$E$210</formula>
    </cfRule>
  </conditionalFormatting>
  <conditionalFormatting sqref="S14:AU14">
    <cfRule type="expression" priority="15" stopIfTrue="1">
      <formula>S14=""</formula>
    </cfRule>
    <cfRule type="cellIs" dxfId="146" priority="16" operator="greaterThan">
      <formula>$E$213</formula>
    </cfRule>
  </conditionalFormatting>
  <conditionalFormatting sqref="D75:R75">
    <cfRule type="expression" dxfId="145" priority="13">
      <formula>IF($V$2="カラー","TRUE","FALSE")</formula>
    </cfRule>
  </conditionalFormatting>
  <conditionalFormatting sqref="G76:R76">
    <cfRule type="expression" dxfId="144" priority="12">
      <formula>IF($V$2="カラー","TRUE","FALSE")</formula>
    </cfRule>
  </conditionalFormatting>
  <conditionalFormatting sqref="S18:BE18">
    <cfRule type="cellIs" dxfId="143" priority="11" operator="lessThan">
      <formula>$E$218</formula>
    </cfRule>
  </conditionalFormatting>
  <conditionalFormatting sqref="S18:BE18">
    <cfRule type="expression" dxfId="142" priority="10">
      <formula>IF($V$2="カラー","TRUE","FALSE")</formula>
    </cfRule>
  </conditionalFormatting>
  <conditionalFormatting sqref="AR110">
    <cfRule type="expression" dxfId="141" priority="9">
      <formula>IF($V$2="カラー","TRUE","FALSE")</formula>
    </cfRule>
  </conditionalFormatting>
  <conditionalFormatting sqref="AF103:AF104">
    <cfRule type="expression" dxfId="140" priority="8">
      <formula>IF($V$2="カラー","TRUE","FALSE")</formula>
    </cfRule>
  </conditionalFormatting>
  <conditionalFormatting sqref="AJ103:AJ104">
    <cfRule type="expression" dxfId="139" priority="7">
      <formula>IF($V$2="カラー","TRUE","FALSE")</formula>
    </cfRule>
  </conditionalFormatting>
  <conditionalFormatting sqref="AN103:AN104">
    <cfRule type="expression" dxfId="138" priority="6">
      <formula>IF($V$2="カラー","TRUE","FALSE")</formula>
    </cfRule>
  </conditionalFormatting>
  <conditionalFormatting sqref="AR103:AR104">
    <cfRule type="expression" dxfId="137" priority="5">
      <formula>IF($V$2="カラー","TRUE","FALSE")</formula>
    </cfRule>
  </conditionalFormatting>
  <conditionalFormatting sqref="AV103:AV104">
    <cfRule type="expression" dxfId="136" priority="4">
      <formula>IF($V$2="カラー","TRUE","FALSE")</formula>
    </cfRule>
  </conditionalFormatting>
  <conditionalFormatting sqref="AZ103">
    <cfRule type="expression" dxfId="135" priority="3">
      <formula>IF($V$2="カラー","TRUE","FALSE")</formula>
    </cfRule>
  </conditionalFormatting>
  <conditionalFormatting sqref="L115">
    <cfRule type="expression" dxfId="134" priority="2">
      <formula>IF($V$2="カラー","TRUE","FALSE")</formula>
    </cfRule>
  </conditionalFormatting>
  <conditionalFormatting sqref="O115">
    <cfRule type="expression" dxfId="133" priority="1">
      <formula>IF($V$2="カラー","TRUE","FALSE")</formula>
    </cfRule>
  </conditionalFormatting>
  <conditionalFormatting sqref="S15:BE15">
    <cfRule type="expression" priority="728" stopIfTrue="1">
      <formula>S$15=""</formula>
    </cfRule>
    <cfRule type="cellIs" dxfId="132" priority="729" operator="greaterThan">
      <formula>$E$215</formula>
    </cfRule>
  </conditionalFormatting>
  <conditionalFormatting sqref="S12:BE12">
    <cfRule type="expression" dxfId="131" priority="730" stopIfTrue="1">
      <formula>IF(NOT(S$13=""),TRUE,FALSE)</formula>
    </cfRule>
    <cfRule type="expression" priority="731" stopIfTrue="1">
      <formula>S$12=""</formula>
    </cfRule>
    <cfRule type="cellIs" dxfId="130" priority="732" operator="greaterThan">
      <formula>$E$211</formula>
    </cfRule>
  </conditionalFormatting>
  <conditionalFormatting sqref="S13:BE13">
    <cfRule type="expression" dxfId="129" priority="733" stopIfTrue="1">
      <formula>IF(NOT(S$12=""),TRUE,FALSE)</formula>
    </cfRule>
    <cfRule type="expression" priority="734" stopIfTrue="1">
      <formula>S$13=""</formula>
    </cfRule>
    <cfRule type="cellIs" dxfId="128" priority="735" operator="greaterThan">
      <formula>$E$214</formula>
    </cfRule>
  </conditionalFormatting>
  <conditionalFormatting sqref="S16:BE16">
    <cfRule type="expression" priority="736" stopIfTrue="1">
      <formula>S$16=""</formula>
    </cfRule>
    <cfRule type="cellIs" dxfId="127" priority="737" operator="greaterThan">
      <formula>$E$216</formula>
    </cfRule>
  </conditionalFormatting>
  <dataValidations count="46">
    <dataValidation type="date" operator="greaterThanOrEqual" allowBlank="1" showInputMessage="1" showErrorMessage="1" error="2000年以降の日付を入力してください。" sqref="D4:G4" xr:uid="{00000000-0002-0000-0300-000000000000}">
      <formula1>36526</formula1>
    </dataValidation>
    <dataValidation type="time" operator="lessThanOrEqual" allowBlank="1" showInputMessage="1" showErrorMessage="1" error="時刻（10:00など）を入力してください。" sqref="D5:BE5" xr:uid="{00000000-0002-0000-0300-000001000000}">
      <formula1>0.999305555555556</formula1>
    </dataValidation>
    <dataValidation type="decimal" allowBlank="1" showInputMessage="1" showErrorMessage="1" error="入力できる数字は-20～40までです。" sqref="D10:BE10" xr:uid="{00000000-0002-0000-0300-000002000000}">
      <formula1>-20</formula1>
      <formula2>40</formula2>
    </dataValidation>
    <dataValidation type="decimal" allowBlank="1" showInputMessage="1" showErrorMessage="1" error="入力できる数字は-10～30までです。" sqref="D11:BE11" xr:uid="{00000000-0002-0000-0300-000003000000}">
      <formula1>-10</formula1>
      <formula2>30</formula2>
    </dataValidation>
    <dataValidation type="decimal" allowBlank="1" showInputMessage="1" showErrorMessage="1" error="入力できる数字は3～20までです（３以下の場合は日本酒度のほうに記入してください）。" sqref="D12:BE12" xr:uid="{00000000-0002-0000-0300-000004000000}">
      <formula1>3</formula1>
      <formula2>20</formula2>
    </dataValidation>
    <dataValidation type="decimal" allowBlank="1" showInputMessage="1" showErrorMessage="1" error="入力できる数字は0～22までです。" sqref="BB100 D14:BE14 AZ100" xr:uid="{00000000-0002-0000-0300-000005000000}">
      <formula1>0</formula1>
      <formula2>22</formula2>
    </dataValidation>
    <dataValidation type="decimal" allowBlank="1" showInputMessage="1" showErrorMessage="1" error="入力できる数値は0～10までです。" sqref="D16:BE16" xr:uid="{00000000-0002-0000-0300-000006000000}">
      <formula1>0</formula1>
      <formula2>10</formula2>
    </dataValidation>
    <dataValidation type="decimal" allowBlank="1" showInputMessage="1" showErrorMessage="1" error="入力できる数値は0～10です。" sqref="D17:BE17 Y117:AG117 D15:BE15" xr:uid="{00000000-0002-0000-0300-000007000000}">
      <formula1>0</formula1>
      <formula2>10</formula2>
    </dataValidation>
    <dataValidation type="decimal" allowBlank="1" showInputMessage="1" showErrorMessage="1" error="入力できる数字は0～10000までです。" sqref="M72:M73 P72:P73 S72:S73 K214:O215 D72:D73 AZ102 BB102 G72:G73 V74 J72:J73" xr:uid="{00000000-0002-0000-0300-000008000000}">
      <formula1>0</formula1>
      <formula2>10000</formula2>
    </dataValidation>
    <dataValidation type="decimal" allowBlank="1" showInputMessage="1" showErrorMessage="1" error="入力できる数字は0～100までです。" sqref="AZ92 AZ104 AE68:AG70" xr:uid="{00000000-0002-0000-0300-000009000000}">
      <formula1>0</formula1>
      <formula2>100</formula2>
    </dataValidation>
    <dataValidation type="decimal" allowBlank="1" showInputMessage="1" showErrorMessage="1" error="入力できる数字は-30～30までです。" sqref="AZ101 BB101" xr:uid="{00000000-0002-0000-0300-00000A000000}">
      <formula1>-30</formula1>
      <formula2>30</formula2>
    </dataValidation>
    <dataValidation type="decimal" allowBlank="1" showInputMessage="1" showErrorMessage="1" sqref="AZ91:BC91" xr:uid="{00000000-0002-0000-0300-00000B000000}">
      <formula1>0</formula1>
      <formula2>10000000000</formula2>
    </dataValidation>
    <dataValidation type="list" allowBlank="1" showInputMessage="1" showErrorMessage="1" sqref="I26:M27" xr:uid="{00000000-0002-0000-0300-00000C000000}">
      <formula1>"補正する,しない"</formula1>
    </dataValidation>
    <dataValidation type="list" allowBlank="1" showInputMessage="1" showErrorMessage="1" sqref="I25:L25" xr:uid="{00000000-0002-0000-0300-00000D000000}">
      <formula1>"1,2,3,4,5"</formula1>
    </dataValidation>
    <dataValidation type="decimal" allowBlank="1" showInputMessage="1" showErrorMessage="1" error="入力できる数字は-30～30までです（-30以下の場合は、ボーメのほうに記入してください）。" sqref="BE12 D13:BD13" xr:uid="{00000000-0002-0000-0300-00000E000000}">
      <formula1>-30</formula1>
      <formula2>30</formula2>
    </dataValidation>
    <dataValidation type="decimal" allowBlank="1" showInputMessage="1" showErrorMessage="1" error="入力できる数字は0～20000までです。" sqref="AZ68:BB72" xr:uid="{00000000-0002-0000-0300-00000F000000}">
      <formula1>0</formula1>
      <formula2>20000</formula2>
    </dataValidation>
    <dataValidation allowBlank="1" showInputMessage="1" showErrorMessage="1" error="入力できる数字は0～5までです。" sqref="I117:Q118" xr:uid="{00000000-0002-0000-0300-000010000000}"/>
    <dataValidation allowBlank="1" showInputMessage="1" showErrorMessage="1" error="入力できる数字は0～10000までです。" sqref="S71:U71" xr:uid="{00000000-0002-0000-0300-000011000000}"/>
    <dataValidation type="list" allowBlank="1" showInputMessage="1" showErrorMessage="1" sqref="V2:Y2" xr:uid="{00000000-0002-0000-0300-000012000000}">
      <formula1>"カラー,グレースケール"</formula1>
    </dataValidation>
    <dataValidation type="decimal" allowBlank="1" showInputMessage="1" showErrorMessage="1" sqref="F104:H104" xr:uid="{A23691CF-9334-43B7-A899-A6751A222A3E}">
      <formula1>0</formula1>
      <formula2>10000000</formula2>
    </dataValidation>
    <dataValidation type="decimal" allowBlank="1" showInputMessage="1" showErrorMessage="1" sqref="AB98:AY98" xr:uid="{0036983B-3B3E-443E-97D0-6A532F923FCD}">
      <formula1>-10000000</formula1>
      <formula2>10000000</formula2>
    </dataValidation>
    <dataValidation type="decimal" allowBlank="1" showInputMessage="1" showErrorMessage="1" sqref="P93:R97" xr:uid="{1E168623-624B-487E-8916-109D879B9D50}">
      <formula1>-1000</formula1>
      <formula2>1000</formula2>
    </dataValidation>
    <dataValidation type="decimal" allowBlank="1" showInputMessage="1" showErrorMessage="1" sqref="P100:R100 P102:R102 P105:R106 F106:O106" xr:uid="{0823459D-D214-4520-8CE7-48E19A7D42EF}">
      <formula1>0</formula1>
      <formula2>1000000</formula2>
    </dataValidation>
    <dataValidation type="decimal" allowBlank="1" showInputMessage="1" showErrorMessage="1" sqref="AE81:AG88" xr:uid="{BE12A15A-778C-4FEB-9229-83687932D087}">
      <formula1>0</formula1>
      <formula2>1000000000</formula2>
    </dataValidation>
    <dataValidation type="decimal" allowBlank="1" showInputMessage="1" showErrorMessage="1" sqref="AH81:AJ88 AP81:AU88 AY81:BD88" xr:uid="{2CB6C009-355E-4E58-BA26-F5A860A65696}">
      <formula1>0</formula1>
      <formula2>100</formula2>
    </dataValidation>
    <dataValidation type="decimal" allowBlank="1" showInputMessage="1" showErrorMessage="1" sqref="BC75:BE76" xr:uid="{AFD02FA0-04C8-4460-9F6F-C4CE9123BE78}">
      <formula1>0</formula1>
      <formula2>100000</formula2>
    </dataValidation>
    <dataValidation type="decimal" allowBlank="1" showInputMessage="1" showErrorMessage="1" error="入力できる数値は0~30です。" sqref="I111:Q111 V81:W88" xr:uid="{D9622DD7-01CB-48CC-B971-8BDCDBEFEC93}">
      <formula1>0</formula1>
      <formula2>30</formula2>
    </dataValidation>
    <dataValidation type="decimal" allowBlank="1" showInputMessage="1" showErrorMessage="1" error="入力できる数字は0～5までです。" sqref="I116:Q116" xr:uid="{A95192C4-17FC-434C-87E2-EE362F8AE892}">
      <formula1>0</formula1>
      <formula2>10</formula2>
    </dataValidation>
    <dataValidation type="decimal" allowBlank="1" showInputMessage="1" showErrorMessage="1" error="入力できる数値は0~20です。" sqref="T81:U88" xr:uid="{EEAEAA71-CCD8-427F-B562-6D1AF7761BD7}">
      <formula1>0</formula1>
      <formula2>20</formula2>
    </dataValidation>
    <dataValidation type="decimal" allowBlank="1" showInputMessage="1" showErrorMessage="1" error="入力できる数値は0～120です。" sqref="AK81:AL88" xr:uid="{30AAF28F-7D4B-4EC9-9A32-48156ED1DBC4}">
      <formula1>0</formula1>
      <formula2>120</formula2>
    </dataValidation>
    <dataValidation type="decimal" allowBlank="1" showInputMessage="1" showErrorMessage="1" error="入力できる数字は0~100000です。" sqref="D7:BE7" xr:uid="{36DF6D12-37B2-48C4-A204-0E53E7FAB0AB}">
      <formula1>0</formula1>
      <formula2>100000</formula2>
    </dataValidation>
    <dataValidation type="decimal" allowBlank="1" showInputMessage="1" showErrorMessage="1" error="入力できる数値は0~1000です。" sqref="X81:AA88" xr:uid="{B1F4C969-5348-4F0A-B384-80599D7139E2}">
      <formula1>0</formula1>
      <formula2>1000</formula2>
    </dataValidation>
    <dataValidation type="decimal" allowBlank="1" showInputMessage="1" showErrorMessage="1" error="入力できる数字は0～100000です。" sqref="E86:G88" xr:uid="{425C0CC6-87B1-4268-A3EF-33EC6496E74B}">
      <formula1>0</formula1>
      <formula2>100000</formula2>
    </dataValidation>
    <dataValidation type="decimal" allowBlank="1" showInputMessage="1" showErrorMessage="1" error="入力できる数値は0～100000です。" sqref="AV81:AX88 AB91:AY91 AR108:AT108 D69:R71 AM81:AO88" xr:uid="{D2F59137-F3CF-4F59-9E48-4BAD80F89FBB}">
      <formula1>0</formula1>
      <formula2>100000</formula2>
    </dataValidation>
    <dataValidation type="date" operator="greaterThan" allowBlank="1" showInputMessage="1" showErrorMessage="1" error="2024年１月１日以降の日付を入力してください。" sqref="N90:R90" xr:uid="{6E377ABF-3B52-44DE-97D1-D08ED6676C1C}">
      <formula1>45292</formula1>
    </dataValidation>
    <dataValidation type="decimal" allowBlank="1" showInputMessage="1" showErrorMessage="1" error="入力できる数値は0~100000です。" sqref="AB102:AY102 I112:Q112 F92:K103 I104:K104 AB81:AD88 Y112:AG112" xr:uid="{1FB24857-F25D-44D8-98CD-C67DEB4E6A26}">
      <formula1>0</formula1>
      <formula2>100000</formula2>
    </dataValidation>
    <dataValidation type="date" operator="greaterThanOrEqual" allowBlank="1" showInputMessage="1" showErrorMessage="1" error="2024/1/1以降の日付を入力してください。" sqref="I108:Q108 Y108:AA108 AE108:AG108 AB90:AY90" xr:uid="{0DBC59AC-AE88-4C79-AEB7-ED29B0121C49}">
      <formula1>45292</formula1>
    </dataValidation>
    <dataValidation type="decimal" allowBlank="1" showInputMessage="1" showErrorMessage="1" error="入力できる数値は0～22です。" sqref="I113:Q113 Y113:AG113" xr:uid="{B381FF3D-9ACB-4407-97CF-20D6EA340A1F}">
      <formula1>0</formula1>
      <formula2>22</formula2>
    </dataValidation>
    <dataValidation type="decimal" allowBlank="1" showInputMessage="1" showErrorMessage="1" error="入力できる数値は-100～30までです。" sqref="I114:Q114" xr:uid="{BE52044F-318E-4246-916B-DBC7B7F61CCD}">
      <formula1>-100</formula1>
      <formula2>30</formula2>
    </dataValidation>
    <dataValidation type="decimal" allowBlank="1" showInputMessage="1" showErrorMessage="1" error="入力できる数値は0～95です。" sqref="AB92:AY92" xr:uid="{6D0B4098-2207-4A43-8A3F-244AE5E24B1B}">
      <formula1>0</formula1>
      <formula2>95</formula2>
    </dataValidation>
    <dataValidation type="decimal" allowBlank="1" showInputMessage="1" showErrorMessage="1" error="入力できる数値は-10~40です。" sqref="AB99:AY99 Y111:AG111" xr:uid="{67E8D941-268E-4A10-8D6F-05EB7B7584AC}">
      <formula1>-10</formula1>
      <formula2>40</formula2>
    </dataValidation>
    <dataValidation type="decimal" allowBlank="1" showInputMessage="1" showErrorMessage="1" error="入力できる数値は0~95です。" sqref="AB100:AY100" xr:uid="{22897648-FD84-4552-9365-E32DADDFEB31}">
      <formula1>0</formula1>
      <formula2>95</formula2>
    </dataValidation>
    <dataValidation type="decimal" allowBlank="1" showInputMessage="1" showErrorMessage="1" error="入力できる数値は-100~100です。" sqref="AB101:AY101" xr:uid="{2F78CDB5-7ACD-46B9-B866-92B2E66D1A15}">
      <formula1>-100</formula1>
      <formula2>100</formula2>
    </dataValidation>
    <dataValidation type="decimal" allowBlank="1" showInputMessage="1" showErrorMessage="1" error="入力できる数値は0～10000_x000a_です。" sqref="AR109:AT109" xr:uid="{16F3B113-404A-46F2-A1BB-2E3B3C208E46}">
      <formula1>0</formula1>
      <formula2>10000</formula2>
    </dataValidation>
    <dataValidation type="decimal" allowBlank="1" showInputMessage="1" showErrorMessage="1" error="入力できる数値は0.5~1.5です。" sqref="AR111:AT111" xr:uid="{7C5DD668-C5D2-4630-ABC1-EF6191A6AD62}">
      <formula1>0.5</formula1>
      <formula2>1.5</formula2>
    </dataValidation>
    <dataValidation type="decimal" allowBlank="1" showInputMessage="1" showErrorMessage="1" error="入力できる数値は-100~30です。" sqref="Y114:AG114" xr:uid="{4F4E2BEE-AA46-4CE2-9070-59825515268D}">
      <formula1>-100</formula1>
      <formula2>30</formula2>
    </dataValidation>
  </dataValidations>
  <pageMargins left="0.7" right="0.4" top="0.56000000000000005" bottom="0.43" header="0.3" footer="0.3"/>
  <pageSetup paperSize="9" scale="42" fitToHeight="0" orientation="landscape" r:id="rId1"/>
  <rowBreaks count="1" manualBreakCount="1">
    <brk id="61" max="56"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13000000}">
          <x14:formula1>
            <xm:f>目標値!$E$3:$N$3</xm:f>
          </x14:formula1>
          <xm:sqref>L2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N54"/>
  <sheetViews>
    <sheetView zoomScale="85" zoomScaleNormal="85" workbookViewId="0">
      <pane xSplit="4" ySplit="4" topLeftCell="E5" activePane="bottomRight" state="frozen"/>
      <selection pane="topRight" activeCell="D1" sqref="D1"/>
      <selection pane="bottomLeft" activeCell="A5" sqref="A5"/>
      <selection pane="bottomRight" activeCell="G22" sqref="G22"/>
    </sheetView>
  </sheetViews>
  <sheetFormatPr defaultRowHeight="13.5"/>
  <cols>
    <col min="1" max="1" width="9.5" customWidth="1"/>
    <col min="2" max="3" width="7.625" customWidth="1"/>
    <col min="4" max="4" width="17" customWidth="1"/>
    <col min="5" max="14" width="12.125" customWidth="1"/>
  </cols>
  <sheetData>
    <row r="1" spans="1:14" ht="23.45" customHeight="1">
      <c r="A1" s="987" t="s">
        <v>10</v>
      </c>
      <c r="B1" s="988"/>
      <c r="C1" s="988"/>
      <c r="D1" s="988"/>
      <c r="E1" s="988"/>
      <c r="F1" s="988"/>
      <c r="G1" s="988"/>
      <c r="H1" s="988"/>
      <c r="I1" s="988"/>
      <c r="J1" s="988"/>
      <c r="K1" s="988"/>
      <c r="L1" s="988"/>
      <c r="M1" s="988"/>
      <c r="N1" s="989"/>
    </row>
    <row r="2" spans="1:14" ht="17.100000000000001" customHeight="1" thickBot="1">
      <c r="A2" s="990" t="s">
        <v>245</v>
      </c>
      <c r="B2" s="991"/>
      <c r="C2" s="991"/>
      <c r="D2" s="991"/>
      <c r="E2" s="991"/>
      <c r="F2" s="991"/>
      <c r="G2" s="991"/>
      <c r="H2" s="991"/>
      <c r="I2" s="991"/>
      <c r="J2" s="991"/>
      <c r="K2" s="991"/>
      <c r="L2" s="991"/>
      <c r="M2" s="991"/>
      <c r="N2" s="992"/>
    </row>
    <row r="3" spans="1:14" ht="17.100000000000001" customHeight="1">
      <c r="A3" s="998" t="s">
        <v>143</v>
      </c>
      <c r="B3" s="981"/>
      <c r="C3" s="999"/>
      <c r="D3" s="971"/>
      <c r="E3" s="122">
        <v>1</v>
      </c>
      <c r="F3" s="210">
        <v>2</v>
      </c>
      <c r="G3" s="122">
        <v>3</v>
      </c>
      <c r="H3" s="210">
        <v>4</v>
      </c>
      <c r="I3" s="122">
        <v>5</v>
      </c>
      <c r="J3" s="210">
        <v>6</v>
      </c>
      <c r="K3" s="122">
        <v>7</v>
      </c>
      <c r="L3" s="210">
        <v>8</v>
      </c>
      <c r="M3" s="122">
        <v>9</v>
      </c>
      <c r="N3" s="211">
        <v>10</v>
      </c>
    </row>
    <row r="4" spans="1:14" ht="16.5" customHeight="1" thickBot="1">
      <c r="A4" s="889" t="s">
        <v>144</v>
      </c>
      <c r="B4" s="890"/>
      <c r="C4" s="891"/>
      <c r="D4" s="892"/>
      <c r="E4" s="269" t="s">
        <v>155</v>
      </c>
      <c r="F4" s="270"/>
      <c r="G4" s="271"/>
      <c r="H4" s="270"/>
      <c r="I4" s="271"/>
      <c r="J4" s="270"/>
      <c r="K4" s="271"/>
      <c r="L4" s="270"/>
      <c r="M4" s="271"/>
      <c r="N4" s="272"/>
    </row>
    <row r="5" spans="1:14" ht="17.100000000000001" customHeight="1">
      <c r="A5" s="995" t="s">
        <v>151</v>
      </c>
      <c r="B5" s="893" t="s">
        <v>147</v>
      </c>
      <c r="C5" s="898" t="s">
        <v>145</v>
      </c>
      <c r="D5" s="899"/>
      <c r="E5" s="273">
        <v>10.9</v>
      </c>
      <c r="F5" s="274"/>
      <c r="G5" s="273"/>
      <c r="H5" s="274"/>
      <c r="I5" s="273"/>
      <c r="J5" s="274"/>
      <c r="K5" s="273"/>
      <c r="L5" s="274"/>
      <c r="M5" s="273"/>
      <c r="N5" s="275"/>
    </row>
    <row r="6" spans="1:14" ht="17.100000000000001" customHeight="1">
      <c r="A6" s="996"/>
      <c r="B6" s="894"/>
      <c r="C6" s="900" t="s">
        <v>7</v>
      </c>
      <c r="D6" s="901"/>
      <c r="E6" s="276">
        <v>7.1</v>
      </c>
      <c r="F6" s="277"/>
      <c r="G6" s="276"/>
      <c r="H6" s="277"/>
      <c r="I6" s="276"/>
      <c r="J6" s="277"/>
      <c r="K6" s="276"/>
      <c r="L6" s="277"/>
      <c r="M6" s="276"/>
      <c r="N6" s="278"/>
    </row>
    <row r="7" spans="1:14" ht="17.100000000000001" customHeight="1" thickBot="1">
      <c r="A7" s="996"/>
      <c r="B7" s="906"/>
      <c r="C7" s="984" t="s">
        <v>6</v>
      </c>
      <c r="D7" s="985"/>
      <c r="E7" s="279">
        <v>45.3</v>
      </c>
      <c r="F7" s="280"/>
      <c r="G7" s="279"/>
      <c r="H7" s="280"/>
      <c r="I7" s="279"/>
      <c r="J7" s="280"/>
      <c r="K7" s="279"/>
      <c r="L7" s="280"/>
      <c r="M7" s="279"/>
      <c r="N7" s="281"/>
    </row>
    <row r="8" spans="1:14" ht="17.100000000000001" customHeight="1">
      <c r="A8" s="996"/>
      <c r="B8" s="893" t="s">
        <v>150</v>
      </c>
      <c r="C8" s="898" t="s">
        <v>28</v>
      </c>
      <c r="D8" s="899"/>
      <c r="E8" s="273">
        <v>15.6</v>
      </c>
      <c r="F8" s="274"/>
      <c r="G8" s="273"/>
      <c r="H8" s="274"/>
      <c r="I8" s="273"/>
      <c r="J8" s="274"/>
      <c r="K8" s="273"/>
      <c r="L8" s="274"/>
      <c r="M8" s="273"/>
      <c r="N8" s="275"/>
    </row>
    <row r="9" spans="1:14" ht="17.100000000000001" customHeight="1">
      <c r="A9" s="996"/>
      <c r="B9" s="993"/>
      <c r="C9" s="900" t="s">
        <v>2</v>
      </c>
      <c r="D9" s="901"/>
      <c r="E9" s="276">
        <v>-5.8</v>
      </c>
      <c r="F9" s="277"/>
      <c r="G9" s="276"/>
      <c r="H9" s="277"/>
      <c r="I9" s="276"/>
      <c r="J9" s="277"/>
      <c r="K9" s="276"/>
      <c r="L9" s="277"/>
      <c r="M9" s="276"/>
      <c r="N9" s="278"/>
    </row>
    <row r="10" spans="1:14" ht="17.100000000000001" customHeight="1">
      <c r="A10" s="996"/>
      <c r="B10" s="993"/>
      <c r="C10" s="900" t="s">
        <v>158</v>
      </c>
      <c r="D10" s="901"/>
      <c r="E10" s="276">
        <v>1.4</v>
      </c>
      <c r="F10" s="277"/>
      <c r="G10" s="276"/>
      <c r="H10" s="277"/>
      <c r="I10" s="276"/>
      <c r="J10" s="277"/>
      <c r="K10" s="276"/>
      <c r="L10" s="277"/>
      <c r="M10" s="276"/>
      <c r="N10" s="278"/>
    </row>
    <row r="11" spans="1:14" ht="17.100000000000001" customHeight="1">
      <c r="A11" s="996"/>
      <c r="B11" s="993"/>
      <c r="C11" s="900" t="s">
        <v>157</v>
      </c>
      <c r="D11" s="901"/>
      <c r="E11" s="276">
        <v>0.8</v>
      </c>
      <c r="F11" s="277"/>
      <c r="G11" s="276"/>
      <c r="H11" s="277"/>
      <c r="I11" s="276"/>
      <c r="J11" s="277"/>
      <c r="K11" s="276"/>
      <c r="L11" s="277"/>
      <c r="M11" s="276"/>
      <c r="N11" s="278"/>
    </row>
    <row r="12" spans="1:14" ht="17.100000000000001" customHeight="1">
      <c r="A12" s="996"/>
      <c r="B12" s="993"/>
      <c r="C12" s="900" t="s">
        <v>156</v>
      </c>
      <c r="D12" s="901"/>
      <c r="E12" s="276">
        <v>3.1</v>
      </c>
      <c r="F12" s="277"/>
      <c r="G12" s="276"/>
      <c r="H12" s="277"/>
      <c r="I12" s="276"/>
      <c r="J12" s="277"/>
      <c r="K12" s="276"/>
      <c r="L12" s="277"/>
      <c r="M12" s="276"/>
      <c r="N12" s="278"/>
    </row>
    <row r="13" spans="1:14" ht="17.100000000000001" customHeight="1">
      <c r="A13" s="996"/>
      <c r="B13" s="993"/>
      <c r="C13" s="900" t="s">
        <v>213</v>
      </c>
      <c r="D13" s="901"/>
      <c r="E13" s="123">
        <f>IF(E8="","",IF(E9="","",ROUNDDOWN((ROUND(1443/(1443+E9),4)-IFERROR(E8*VLOOKUP(E8,'各種計算式等（配付時非表示）'!$E$3:$H$1003,3,TRUE)+VLOOKUP(E8,'各種計算式等（配付時非表示）'!$E$3:$H$1003,4,TRUE)+0.0000000001,"-"))*260+0.21,1)))</f>
        <v>6.3</v>
      </c>
      <c r="F13" s="124" t="str">
        <f>IF(F8="","",IF(F9="","",ROUNDDOWN((ROUND(1443/(1443+F9),4)-IFERROR(F8*VLOOKUP(F8,'各種計算式等（配付時非表示）'!$E$3:$H$1003,3,TRUE)+VLOOKUP(F8,'各種計算式等（配付時非表示）'!$E$3:$H$1003,4,TRUE)+0.0000000001,"-"))*260+0.21,1)))</f>
        <v/>
      </c>
      <c r="G13" s="123" t="str">
        <f>IF(G8="","",IF(G9="","",ROUNDDOWN((ROUND(1443/(1443+G9),4)-IFERROR(G8*VLOOKUP(G8,'各種計算式等（配付時非表示）'!$E$3:$H$1003,3,TRUE)+VLOOKUP(G8,'各種計算式等（配付時非表示）'!$E$3:$H$1003,4,TRUE)+0.0000000001,"-"))*260+0.21,1)))</f>
        <v/>
      </c>
      <c r="H13" s="124" t="str">
        <f>IF(H8="","",IF(H9="","",ROUNDDOWN((ROUND(1443/(1443+H9),4)-IFERROR(H8*VLOOKUP(H8,'各種計算式等（配付時非表示）'!$E$3:$H$1003,3,TRUE)+VLOOKUP(H8,'各種計算式等（配付時非表示）'!$E$3:$H$1003,4,TRUE)+0.0000000001,"-"))*260+0.21,1)))</f>
        <v/>
      </c>
      <c r="I13" s="123" t="str">
        <f>IF(I8="","",IF(I9="","",ROUNDDOWN((ROUND(1443/(1443+I9),4)-IFERROR(I8*VLOOKUP(I8,'各種計算式等（配付時非表示）'!$E$3:$H$1003,3,TRUE)+VLOOKUP(I8,'各種計算式等（配付時非表示）'!$E$3:$H$1003,4,TRUE)+0.0000000001,"-"))*260+0.21,1)))</f>
        <v/>
      </c>
      <c r="J13" s="124" t="str">
        <f>IF(J8="","",IF(J9="","",ROUNDDOWN((ROUND(1443/(1443+J9),4)-IFERROR(J8*VLOOKUP(J8,'各種計算式等（配付時非表示）'!$E$3:$H$1003,3,TRUE)+VLOOKUP(J8,'各種計算式等（配付時非表示）'!$E$3:$H$1003,4,TRUE)+0.0000000001,"-"))*260+0.21,1)))</f>
        <v/>
      </c>
      <c r="K13" s="123" t="str">
        <f>IF(K8="","",IF(K9="","",ROUNDDOWN((ROUND(1443/(1443+K9),4)-IFERROR(K8*VLOOKUP(K8,'各種計算式等（配付時非表示）'!$E$3:$H$1003,3,TRUE)+VLOOKUP(K8,'各種計算式等（配付時非表示）'!$E$3:$H$1003,4,TRUE)+0.0000000001,"-"))*260+0.21,1)))</f>
        <v/>
      </c>
      <c r="L13" s="124" t="str">
        <f>IF(L8="","",IF(L9="","",ROUNDDOWN((ROUND(1443/(1443+L9),4)-IFERROR(L8*VLOOKUP(L8,'各種計算式等（配付時非表示）'!$E$3:$H$1003,3,TRUE)+VLOOKUP(L8,'各種計算式等（配付時非表示）'!$E$3:$H$1003,4,TRUE)+0.0000000001,"-"))*260+0.21,1)))</f>
        <v/>
      </c>
      <c r="M13" s="123" t="str">
        <f>IF(M8="","",IF(M9="","",ROUNDDOWN((ROUND(1443/(1443+M9),4)-IFERROR(M8*VLOOKUP(M8,'各種計算式等（配付時非表示）'!$E$3:$H$1003,3,TRUE)+VLOOKUP(M8,'各種計算式等（配付時非表示）'!$E$3:$H$1003,4,TRUE)+0.0000000001,"-"))*260+0.21,1)))</f>
        <v/>
      </c>
      <c r="N13" s="125" t="str">
        <f>IF(N8="","",IF(N9="","",ROUNDDOWN((ROUND(1443/(1443+N9),4)-IFERROR(N8*VLOOKUP(N8,'各種計算式等（配付時非表示）'!$E$3:$H$1003,3,TRUE)+VLOOKUP(N8,'各種計算式等（配付時非表示）'!$E$3:$H$1003,4,TRUE)+0.0000000001,"-"))*260+0.21,1)))</f>
        <v/>
      </c>
    </row>
    <row r="14" spans="1:14" ht="17.100000000000001" customHeight="1">
      <c r="A14" s="996"/>
      <c r="B14" s="993"/>
      <c r="C14" s="900" t="s">
        <v>214</v>
      </c>
      <c r="D14" s="901"/>
      <c r="E14" s="123">
        <f>IF(E13="","",ROUNDDOWN(E13+E8*1.5848,1))</f>
        <v>31</v>
      </c>
      <c r="F14" s="124" t="str">
        <f t="shared" ref="F14:N14" si="0">IF(F13="","",ROUNDDOWN(F13+F8*1.5848,1))</f>
        <v/>
      </c>
      <c r="G14" s="123" t="str">
        <f>IF(G13="","",ROUNDDOWN(G13+G8*1.5848,1))</f>
        <v/>
      </c>
      <c r="H14" s="124" t="str">
        <f t="shared" si="0"/>
        <v/>
      </c>
      <c r="I14" s="123" t="str">
        <f t="shared" si="0"/>
        <v/>
      </c>
      <c r="J14" s="124" t="str">
        <f t="shared" si="0"/>
        <v/>
      </c>
      <c r="K14" s="123" t="str">
        <f t="shared" si="0"/>
        <v/>
      </c>
      <c r="L14" s="124" t="str">
        <f t="shared" si="0"/>
        <v/>
      </c>
      <c r="M14" s="123" t="str">
        <f t="shared" si="0"/>
        <v/>
      </c>
      <c r="N14" s="125" t="str">
        <f t="shared" si="0"/>
        <v/>
      </c>
    </row>
    <row r="15" spans="1:14" ht="17.100000000000001" customHeight="1">
      <c r="A15" s="996"/>
      <c r="B15" s="993"/>
      <c r="C15" s="902" t="s">
        <v>4</v>
      </c>
      <c r="D15" s="903"/>
      <c r="E15" s="123">
        <f>IF(E10="","",IF(E12="","",E12-E10))</f>
        <v>1.7000000000000002</v>
      </c>
      <c r="F15" s="124" t="str">
        <f t="shared" ref="F15:N15" si="1">IF(F10="","",IF(F12="","",F12-F10))</f>
        <v/>
      </c>
      <c r="G15" s="123" t="str">
        <f>IF(G10="","",IF(G12="","",G12-G10))</f>
        <v/>
      </c>
      <c r="H15" s="124" t="str">
        <f t="shared" si="1"/>
        <v/>
      </c>
      <c r="I15" s="123" t="str">
        <f t="shared" si="1"/>
        <v/>
      </c>
      <c r="J15" s="124" t="str">
        <f t="shared" si="1"/>
        <v/>
      </c>
      <c r="K15" s="123" t="str">
        <f t="shared" si="1"/>
        <v/>
      </c>
      <c r="L15" s="124" t="str">
        <f t="shared" si="1"/>
        <v/>
      </c>
      <c r="M15" s="123" t="str">
        <f t="shared" si="1"/>
        <v/>
      </c>
      <c r="N15" s="125" t="str">
        <f t="shared" si="1"/>
        <v/>
      </c>
    </row>
    <row r="16" spans="1:14" ht="17.100000000000001" customHeight="1">
      <c r="A16" s="996"/>
      <c r="B16" s="993"/>
      <c r="C16" s="904"/>
      <c r="D16" s="905"/>
      <c r="E16" s="184" t="str">
        <f>IF(E15="","",IF(E15&gt;=1.9,"甘口",IF(E15&gt;=1.1,"やや甘口",IF(E15&gt;=0.3,"やや辛口","辛口"))))</f>
        <v>やや甘口</v>
      </c>
      <c r="F16" s="185" t="str">
        <f t="shared" ref="F16:N16" si="2">IF(F15="","",IF(F15&gt;=1.9,"甘口",IF(F15&gt;=1.1,"やや甘口",IF(F15&gt;=0.3,"やや辛口","辛口"))))</f>
        <v/>
      </c>
      <c r="G16" s="184" t="str">
        <f>IF(G15="","",IF(G15&gt;=1.9,"甘口",IF(G15&gt;=1.1,"やや甘口",IF(G15&gt;=0.3,"やや辛口","辛口"))))</f>
        <v/>
      </c>
      <c r="H16" s="185" t="str">
        <f t="shared" si="2"/>
        <v/>
      </c>
      <c r="I16" s="184" t="str">
        <f t="shared" si="2"/>
        <v/>
      </c>
      <c r="J16" s="185" t="str">
        <f t="shared" si="2"/>
        <v/>
      </c>
      <c r="K16" s="184" t="str">
        <f t="shared" si="2"/>
        <v/>
      </c>
      <c r="L16" s="185" t="str">
        <f t="shared" si="2"/>
        <v/>
      </c>
      <c r="M16" s="184" t="str">
        <f t="shared" si="2"/>
        <v/>
      </c>
      <c r="N16" s="186" t="str">
        <f t="shared" si="2"/>
        <v/>
      </c>
    </row>
    <row r="17" spans="1:14" ht="17.100000000000001" customHeight="1">
      <c r="A17" s="996"/>
      <c r="B17" s="993"/>
      <c r="C17" s="902" t="s">
        <v>146</v>
      </c>
      <c r="D17" s="903"/>
      <c r="E17" s="123">
        <f>IF(COUNTA(E10:E12)&lt;&gt;3,"",IF(E8="","",(E10+E11+E12)*E8/10))</f>
        <v>8.2680000000000007</v>
      </c>
      <c r="F17" s="124" t="str">
        <f t="shared" ref="F17:N17" si="3">IF(COUNTA(F10:F12)&lt;&gt;3,"",IF(F8="","",(F10+F11+F12)*F8/10))</f>
        <v/>
      </c>
      <c r="G17" s="123" t="str">
        <f>IF(COUNTA(G10:G12)&lt;&gt;3,"",IF(G8="","",(G10+G11+G12)*G8/10))</f>
        <v/>
      </c>
      <c r="H17" s="124" t="str">
        <f t="shared" si="3"/>
        <v/>
      </c>
      <c r="I17" s="123" t="str">
        <f t="shared" si="3"/>
        <v/>
      </c>
      <c r="J17" s="124" t="str">
        <f t="shared" si="3"/>
        <v/>
      </c>
      <c r="K17" s="123" t="str">
        <f t="shared" si="3"/>
        <v/>
      </c>
      <c r="L17" s="124" t="str">
        <f t="shared" si="3"/>
        <v/>
      </c>
      <c r="M17" s="123" t="str">
        <f t="shared" si="3"/>
        <v/>
      </c>
      <c r="N17" s="125" t="str">
        <f t="shared" si="3"/>
        <v/>
      </c>
    </row>
    <row r="18" spans="1:14" ht="17.100000000000001" customHeight="1">
      <c r="A18" s="996"/>
      <c r="B18" s="993"/>
      <c r="C18" s="904"/>
      <c r="D18" s="905"/>
      <c r="E18" s="184" t="str">
        <f>IF(E17="","",IF(E17&gt;8,"濃醇", IF(E17&gt;6.5,"やや濃醇", IF(E17&gt;5,"やや軽快","軽快"))))</f>
        <v>濃醇</v>
      </c>
      <c r="F18" s="185" t="str">
        <f t="shared" ref="F18:N18" si="4">IF(F17="","",IF(F17&gt;8,"濃醇", IF(F17&gt;6.5,"やや濃醇", IF(F17&gt;5,"やや軽快","軽快"))))</f>
        <v/>
      </c>
      <c r="G18" s="184" t="str">
        <f>IF(G17="","",IF(G17&gt;8,"濃醇", IF(G17&gt;6.5,"やや濃醇", IF(G17&gt;5,"やや軽快","軽快"))))</f>
        <v/>
      </c>
      <c r="H18" s="185" t="str">
        <f t="shared" si="4"/>
        <v/>
      </c>
      <c r="I18" s="184" t="str">
        <f t="shared" si="4"/>
        <v/>
      </c>
      <c r="J18" s="185" t="str">
        <f t="shared" si="4"/>
        <v/>
      </c>
      <c r="K18" s="184" t="str">
        <f t="shared" si="4"/>
        <v/>
      </c>
      <c r="L18" s="185" t="str">
        <f t="shared" si="4"/>
        <v/>
      </c>
      <c r="M18" s="184" t="str">
        <f t="shared" si="4"/>
        <v/>
      </c>
      <c r="N18" s="186" t="str">
        <f t="shared" si="4"/>
        <v/>
      </c>
    </row>
    <row r="19" spans="1:14" ht="17.100000000000001" customHeight="1">
      <c r="A19" s="996"/>
      <c r="B19" s="993"/>
      <c r="C19" s="902" t="s">
        <v>116</v>
      </c>
      <c r="D19" s="903"/>
      <c r="E19" s="123">
        <f>IF(COUNTA(E10:E12)&lt;&gt;3,"",(E11+E12-E10)/E10)</f>
        <v>1.7857142857142863</v>
      </c>
      <c r="F19" s="124" t="str">
        <f t="shared" ref="F19:N19" si="5">IF(COUNTA(F10:F12)&lt;&gt;3,"",(F11+F12-F10)/F10)</f>
        <v/>
      </c>
      <c r="G19" s="123" t="str">
        <f>IF(COUNTA(G10:G12)&lt;&gt;3,"",(G11+G12-G10)/G10)</f>
        <v/>
      </c>
      <c r="H19" s="124" t="str">
        <f t="shared" si="5"/>
        <v/>
      </c>
      <c r="I19" s="123" t="str">
        <f t="shared" si="5"/>
        <v/>
      </c>
      <c r="J19" s="124" t="str">
        <f t="shared" si="5"/>
        <v/>
      </c>
      <c r="K19" s="123" t="str">
        <f t="shared" si="5"/>
        <v/>
      </c>
      <c r="L19" s="124" t="str">
        <f t="shared" si="5"/>
        <v/>
      </c>
      <c r="M19" s="123" t="str">
        <f t="shared" si="5"/>
        <v/>
      </c>
      <c r="N19" s="125" t="str">
        <f t="shared" si="5"/>
        <v/>
      </c>
    </row>
    <row r="20" spans="1:14" ht="17.100000000000001" customHeight="1">
      <c r="A20" s="996"/>
      <c r="B20" s="993"/>
      <c r="C20" s="904"/>
      <c r="D20" s="905"/>
      <c r="E20" s="184" t="str">
        <f>IF(E19="","",IF(E19&gt;1.5,"やわらかい", IF(E19&gt;1,"やややわらかい", IF(E19&gt;0.5,"ややキレがある","キレがある"))))</f>
        <v>やわらかい</v>
      </c>
      <c r="F20" s="185" t="str">
        <f t="shared" ref="F20:N20" si="6">IF(F19="","",IF(F19&gt;1.5,"やわらかい", IF(F19&gt;1,"やややわらかい", IF(F19&gt;0.5,"ややキレがある","キレがある"))))</f>
        <v/>
      </c>
      <c r="G20" s="184" t="str">
        <f>IF(G19="","",IF(G19&gt;1.5,"やわらかい", IF(G19&gt;1,"やややわらかい", IF(G19&gt;0.5,"ややキレがある","キレがある"))))</f>
        <v/>
      </c>
      <c r="H20" s="185" t="str">
        <f t="shared" si="6"/>
        <v/>
      </c>
      <c r="I20" s="184" t="str">
        <f t="shared" si="6"/>
        <v/>
      </c>
      <c r="J20" s="185" t="str">
        <f t="shared" si="6"/>
        <v/>
      </c>
      <c r="K20" s="184" t="str">
        <f t="shared" si="6"/>
        <v/>
      </c>
      <c r="L20" s="185" t="str">
        <f t="shared" si="6"/>
        <v/>
      </c>
      <c r="M20" s="184" t="str">
        <f t="shared" si="6"/>
        <v/>
      </c>
      <c r="N20" s="186" t="str">
        <f t="shared" si="6"/>
        <v/>
      </c>
    </row>
    <row r="21" spans="1:14" ht="17.100000000000001" customHeight="1">
      <c r="A21" s="996"/>
      <c r="B21" s="993"/>
      <c r="C21" s="902" t="s">
        <v>148</v>
      </c>
      <c r="D21" s="903"/>
      <c r="E21" s="123">
        <f>IF(COUNTA(E10:E11)&lt;&gt;2,"",E11/E10)</f>
        <v>0.57142857142857151</v>
      </c>
      <c r="F21" s="124" t="str">
        <f t="shared" ref="F21:N21" si="7">IF(COUNTA(F10:F11)&lt;&gt;2,"",F11/F10)</f>
        <v/>
      </c>
      <c r="G21" s="123" t="str">
        <f>IF(COUNTA(G10:G11)&lt;&gt;2,"",G11/G10)</f>
        <v/>
      </c>
      <c r="H21" s="124" t="str">
        <f t="shared" si="7"/>
        <v/>
      </c>
      <c r="I21" s="123" t="str">
        <f t="shared" si="7"/>
        <v/>
      </c>
      <c r="J21" s="124" t="str">
        <f t="shared" si="7"/>
        <v/>
      </c>
      <c r="K21" s="123" t="str">
        <f t="shared" si="7"/>
        <v/>
      </c>
      <c r="L21" s="124" t="str">
        <f t="shared" si="7"/>
        <v/>
      </c>
      <c r="M21" s="123" t="str">
        <f t="shared" si="7"/>
        <v/>
      </c>
      <c r="N21" s="125" t="str">
        <f t="shared" si="7"/>
        <v/>
      </c>
    </row>
    <row r="22" spans="1:14" ht="17.100000000000001" customHeight="1">
      <c r="A22" s="996"/>
      <c r="B22" s="993"/>
      <c r="C22" s="904"/>
      <c r="D22" s="905"/>
      <c r="E22" s="184" t="str">
        <f>IF(E21="","",IF(E21&lt;1,"冷やに適する傾向",IF(E21&gt;1,"燗に適する傾向","－")))</f>
        <v>冷やに適する傾向</v>
      </c>
      <c r="F22" s="185" t="str">
        <f t="shared" ref="F22:N22" si="8">IF(F21="","",IF(F21&lt;1,"冷やに適する傾向",IF(F21&gt;1,"燗に適する傾向","－")))</f>
        <v/>
      </c>
      <c r="G22" s="184" t="str">
        <f>IF(G21="","",IF(G21&lt;1,"冷やに適する傾向",IF(G21&gt;1,"燗に適する傾向","－")))</f>
        <v/>
      </c>
      <c r="H22" s="185" t="str">
        <f t="shared" si="8"/>
        <v/>
      </c>
      <c r="I22" s="184" t="str">
        <f t="shared" si="8"/>
        <v/>
      </c>
      <c r="J22" s="185" t="str">
        <f t="shared" si="8"/>
        <v/>
      </c>
      <c r="K22" s="184" t="str">
        <f t="shared" si="8"/>
        <v/>
      </c>
      <c r="L22" s="185" t="str">
        <f t="shared" si="8"/>
        <v/>
      </c>
      <c r="M22" s="184" t="str">
        <f t="shared" si="8"/>
        <v/>
      </c>
      <c r="N22" s="186" t="str">
        <f t="shared" si="8"/>
        <v/>
      </c>
    </row>
    <row r="23" spans="1:14" ht="17.100000000000001" customHeight="1">
      <c r="A23" s="996"/>
      <c r="B23" s="993"/>
      <c r="C23" s="902" t="s">
        <v>149</v>
      </c>
      <c r="D23" s="903"/>
      <c r="E23" s="123">
        <f>IF(E10="","",IF(E12="","",E12/E10))</f>
        <v>2.2142857142857144</v>
      </c>
      <c r="F23" s="124" t="str">
        <f t="shared" ref="F23:N23" si="9">IF(F10="","",IF(F12="","",F12/F10))</f>
        <v/>
      </c>
      <c r="G23" s="123" t="str">
        <f>IF(G10="","",IF(G12="","",G12/G10))</f>
        <v/>
      </c>
      <c r="H23" s="124" t="str">
        <f t="shared" si="9"/>
        <v/>
      </c>
      <c r="I23" s="123" t="str">
        <f t="shared" si="9"/>
        <v/>
      </c>
      <c r="J23" s="124" t="str">
        <f t="shared" si="9"/>
        <v/>
      </c>
      <c r="K23" s="123" t="str">
        <f t="shared" si="9"/>
        <v/>
      </c>
      <c r="L23" s="124" t="str">
        <f t="shared" si="9"/>
        <v/>
      </c>
      <c r="M23" s="123" t="str">
        <f t="shared" si="9"/>
        <v/>
      </c>
      <c r="N23" s="125" t="str">
        <f t="shared" si="9"/>
        <v/>
      </c>
    </row>
    <row r="24" spans="1:14" ht="17.100000000000001" customHeight="1" thickBot="1">
      <c r="A24" s="997"/>
      <c r="B24" s="994"/>
      <c r="C24" s="982"/>
      <c r="D24" s="983"/>
      <c r="E24" s="227" t="str">
        <f>IF(E23="","",IF(E23&lt;1,"燗に適する傾向",IF(E23&gt;1,"冷やに適する傾向","－")))</f>
        <v>冷やに適する傾向</v>
      </c>
      <c r="F24" s="228" t="str">
        <f t="shared" ref="F24:N24" si="10">IF(F23="","",IF(F23&lt;1,"燗に適する傾向",IF(F23&gt;1,"冷やに適する傾向","－")))</f>
        <v/>
      </c>
      <c r="G24" s="227" t="str">
        <f>IF(G23="","",IF(G23&lt;1,"燗に適する傾向",IF(G23&gt;1,"冷やに適する傾向","－")))</f>
        <v/>
      </c>
      <c r="H24" s="228" t="str">
        <f t="shared" si="10"/>
        <v/>
      </c>
      <c r="I24" s="227" t="str">
        <f t="shared" si="10"/>
        <v/>
      </c>
      <c r="J24" s="228" t="str">
        <f t="shared" si="10"/>
        <v/>
      </c>
      <c r="K24" s="227" t="str">
        <f t="shared" si="10"/>
        <v/>
      </c>
      <c r="L24" s="228" t="str">
        <f t="shared" si="10"/>
        <v/>
      </c>
      <c r="M24" s="227" t="str">
        <f t="shared" si="10"/>
        <v/>
      </c>
      <c r="N24" s="229" t="str">
        <f t="shared" si="10"/>
        <v/>
      </c>
    </row>
    <row r="25" spans="1:14" ht="17.100000000000001" customHeight="1">
      <c r="A25" s="996" t="s">
        <v>152</v>
      </c>
      <c r="B25" s="893" t="s">
        <v>153</v>
      </c>
      <c r="C25" s="986">
        <v>1</v>
      </c>
      <c r="D25" s="230" t="s">
        <v>264</v>
      </c>
      <c r="E25" s="282"/>
      <c r="F25" s="283"/>
      <c r="G25" s="282"/>
      <c r="H25" s="283"/>
      <c r="I25" s="282"/>
      <c r="J25" s="283"/>
      <c r="K25" s="282"/>
      <c r="L25" s="283"/>
      <c r="M25" s="282"/>
      <c r="N25" s="284"/>
    </row>
    <row r="26" spans="1:14" ht="17.100000000000001" customHeight="1">
      <c r="A26" s="996"/>
      <c r="B26" s="894"/>
      <c r="C26" s="907"/>
      <c r="D26" s="212" t="s">
        <v>1</v>
      </c>
      <c r="E26" s="285">
        <v>7.6</v>
      </c>
      <c r="F26" s="286"/>
      <c r="G26" s="285"/>
      <c r="H26" s="286"/>
      <c r="I26" s="285"/>
      <c r="J26" s="286"/>
      <c r="K26" s="285"/>
      <c r="L26" s="286"/>
      <c r="M26" s="285"/>
      <c r="N26" s="287"/>
    </row>
    <row r="27" spans="1:14" ht="17.100000000000001" customHeight="1">
      <c r="A27" s="996"/>
      <c r="B27" s="894"/>
      <c r="C27" s="907"/>
      <c r="D27" s="212" t="s">
        <v>265</v>
      </c>
      <c r="E27" s="285">
        <v>5.3</v>
      </c>
      <c r="F27" s="286"/>
      <c r="G27" s="285"/>
      <c r="H27" s="286"/>
      <c r="I27" s="285"/>
      <c r="J27" s="286"/>
      <c r="K27" s="285"/>
      <c r="L27" s="286"/>
      <c r="M27" s="285"/>
      <c r="N27" s="287"/>
    </row>
    <row r="28" spans="1:14" ht="17.100000000000001" customHeight="1">
      <c r="A28" s="996"/>
      <c r="B28" s="894"/>
      <c r="C28" s="907">
        <v>2</v>
      </c>
      <c r="D28" s="212" t="s">
        <v>264</v>
      </c>
      <c r="E28" s="288"/>
      <c r="F28" s="289"/>
      <c r="G28" s="288"/>
      <c r="H28" s="289"/>
      <c r="I28" s="288"/>
      <c r="J28" s="289"/>
      <c r="K28" s="288"/>
      <c r="L28" s="289"/>
      <c r="M28" s="288"/>
      <c r="N28" s="290"/>
    </row>
    <row r="29" spans="1:14" ht="17.100000000000001" customHeight="1">
      <c r="A29" s="996"/>
      <c r="B29" s="894"/>
      <c r="C29" s="907"/>
      <c r="D29" s="212" t="s">
        <v>1</v>
      </c>
      <c r="E29" s="285">
        <v>6.2</v>
      </c>
      <c r="F29" s="286"/>
      <c r="G29" s="285"/>
      <c r="H29" s="286"/>
      <c r="I29" s="285"/>
      <c r="J29" s="286"/>
      <c r="K29" s="285"/>
      <c r="L29" s="286"/>
      <c r="M29" s="285"/>
      <c r="N29" s="287"/>
    </row>
    <row r="30" spans="1:14" ht="17.100000000000001" customHeight="1">
      <c r="A30" s="996"/>
      <c r="B30" s="894"/>
      <c r="C30" s="907"/>
      <c r="D30" s="212" t="s">
        <v>265</v>
      </c>
      <c r="E30" s="285">
        <v>7.9</v>
      </c>
      <c r="F30" s="286"/>
      <c r="G30" s="285"/>
      <c r="H30" s="286"/>
      <c r="I30" s="285"/>
      <c r="J30" s="286"/>
      <c r="K30" s="285"/>
      <c r="L30" s="286"/>
      <c r="M30" s="285"/>
      <c r="N30" s="287"/>
    </row>
    <row r="31" spans="1:14" ht="17.100000000000001" customHeight="1">
      <c r="A31" s="996"/>
      <c r="B31" s="894"/>
      <c r="C31" s="907">
        <v>3</v>
      </c>
      <c r="D31" s="212" t="s">
        <v>264</v>
      </c>
      <c r="E31" s="288"/>
      <c r="F31" s="289"/>
      <c r="G31" s="288"/>
      <c r="H31" s="289"/>
      <c r="I31" s="288"/>
      <c r="J31" s="289"/>
      <c r="K31" s="288"/>
      <c r="L31" s="289"/>
      <c r="M31" s="288"/>
      <c r="N31" s="290"/>
    </row>
    <row r="32" spans="1:14" ht="17.100000000000001" customHeight="1">
      <c r="A32" s="996"/>
      <c r="B32" s="894"/>
      <c r="C32" s="907"/>
      <c r="D32" s="212" t="s">
        <v>1</v>
      </c>
      <c r="E32" s="285">
        <v>3.8</v>
      </c>
      <c r="F32" s="286"/>
      <c r="G32" s="285"/>
      <c r="H32" s="286"/>
      <c r="I32" s="285"/>
      <c r="J32" s="286"/>
      <c r="K32" s="285"/>
      <c r="L32" s="286"/>
      <c r="M32" s="285"/>
      <c r="N32" s="287"/>
    </row>
    <row r="33" spans="1:14" ht="17.100000000000001" customHeight="1">
      <c r="A33" s="996"/>
      <c r="B33" s="894"/>
      <c r="C33" s="907"/>
      <c r="D33" s="212" t="s">
        <v>265</v>
      </c>
      <c r="E33" s="285">
        <v>11.4</v>
      </c>
      <c r="F33" s="286"/>
      <c r="G33" s="285"/>
      <c r="H33" s="286"/>
      <c r="I33" s="285"/>
      <c r="J33" s="286"/>
      <c r="K33" s="285"/>
      <c r="L33" s="286"/>
      <c r="M33" s="285"/>
      <c r="N33" s="287"/>
    </row>
    <row r="34" spans="1:14" ht="17.100000000000001" customHeight="1">
      <c r="A34" s="996"/>
      <c r="B34" s="894"/>
      <c r="C34" s="907">
        <v>4</v>
      </c>
      <c r="D34" s="212" t="s">
        <v>264</v>
      </c>
      <c r="E34" s="288"/>
      <c r="F34" s="289"/>
      <c r="G34" s="288"/>
      <c r="H34" s="289"/>
      <c r="I34" s="288"/>
      <c r="J34" s="289"/>
      <c r="K34" s="288"/>
      <c r="L34" s="289"/>
      <c r="M34" s="288"/>
      <c r="N34" s="290"/>
    </row>
    <row r="35" spans="1:14" ht="17.100000000000001" customHeight="1">
      <c r="A35" s="996"/>
      <c r="B35" s="894"/>
      <c r="C35" s="907"/>
      <c r="D35" s="212" t="s">
        <v>1</v>
      </c>
      <c r="E35" s="285">
        <v>2.2999999999999998</v>
      </c>
      <c r="F35" s="286"/>
      <c r="G35" s="285"/>
      <c r="H35" s="286"/>
      <c r="I35" s="285"/>
      <c r="J35" s="286"/>
      <c r="K35" s="285"/>
      <c r="L35" s="286"/>
      <c r="M35" s="285"/>
      <c r="N35" s="287"/>
    </row>
    <row r="36" spans="1:14" ht="17.100000000000001" customHeight="1">
      <c r="A36" s="996"/>
      <c r="B36" s="894"/>
      <c r="C36" s="907"/>
      <c r="D36" s="212" t="s">
        <v>265</v>
      </c>
      <c r="E36" s="285">
        <v>13.6</v>
      </c>
      <c r="F36" s="286"/>
      <c r="G36" s="285"/>
      <c r="H36" s="286"/>
      <c r="I36" s="285"/>
      <c r="J36" s="286"/>
      <c r="K36" s="285"/>
      <c r="L36" s="286"/>
      <c r="M36" s="285"/>
      <c r="N36" s="287"/>
    </row>
    <row r="37" spans="1:14" ht="17.100000000000001" customHeight="1">
      <c r="A37" s="996"/>
      <c r="B37" s="894"/>
      <c r="C37" s="907">
        <v>5</v>
      </c>
      <c r="D37" s="212" t="s">
        <v>264</v>
      </c>
      <c r="E37" s="288"/>
      <c r="F37" s="289"/>
      <c r="G37" s="288"/>
      <c r="H37" s="289"/>
      <c r="I37" s="288"/>
      <c r="J37" s="289"/>
      <c r="K37" s="288"/>
      <c r="L37" s="289"/>
      <c r="M37" s="288"/>
      <c r="N37" s="290"/>
    </row>
    <row r="38" spans="1:14" ht="17.100000000000001" customHeight="1">
      <c r="A38" s="996"/>
      <c r="B38" s="894"/>
      <c r="C38" s="907"/>
      <c r="D38" s="212" t="s">
        <v>1</v>
      </c>
      <c r="E38" s="285">
        <v>0.83</v>
      </c>
      <c r="F38" s="286"/>
      <c r="G38" s="285"/>
      <c r="H38" s="286"/>
      <c r="I38" s="285"/>
      <c r="J38" s="286"/>
      <c r="K38" s="285"/>
      <c r="L38" s="286"/>
      <c r="M38" s="285"/>
      <c r="N38" s="287"/>
    </row>
    <row r="39" spans="1:14" ht="17.100000000000001" customHeight="1" thickBot="1">
      <c r="A39" s="996"/>
      <c r="B39" s="906"/>
      <c r="C39" s="910"/>
      <c r="D39" s="213" t="s">
        <v>265</v>
      </c>
      <c r="E39" s="291">
        <v>16</v>
      </c>
      <c r="F39" s="292"/>
      <c r="G39" s="291"/>
      <c r="H39" s="292"/>
      <c r="I39" s="291"/>
      <c r="J39" s="292"/>
      <c r="K39" s="291"/>
      <c r="L39" s="292"/>
      <c r="M39" s="291"/>
      <c r="N39" s="293"/>
    </row>
    <row r="40" spans="1:14" ht="17.100000000000001" customHeight="1">
      <c r="A40" s="996"/>
      <c r="B40" s="893" t="s">
        <v>154</v>
      </c>
      <c r="C40" s="986">
        <v>1</v>
      </c>
      <c r="D40" s="230" t="s">
        <v>264</v>
      </c>
      <c r="E40" s="282"/>
      <c r="F40" s="283"/>
      <c r="G40" s="282"/>
      <c r="H40" s="283"/>
      <c r="I40" s="282"/>
      <c r="J40" s="283"/>
      <c r="K40" s="282"/>
      <c r="L40" s="283"/>
      <c r="M40" s="282"/>
      <c r="N40" s="284"/>
    </row>
    <row r="41" spans="1:14" ht="17.100000000000001" customHeight="1">
      <c r="A41" s="996"/>
      <c r="B41" s="894"/>
      <c r="C41" s="907"/>
      <c r="D41" s="212" t="s">
        <v>1</v>
      </c>
      <c r="E41" s="285">
        <v>5.4</v>
      </c>
      <c r="F41" s="286"/>
      <c r="G41" s="285"/>
      <c r="H41" s="286"/>
      <c r="I41" s="285"/>
      <c r="J41" s="286"/>
      <c r="K41" s="285"/>
      <c r="L41" s="286"/>
      <c r="M41" s="285"/>
      <c r="N41" s="287"/>
    </row>
    <row r="42" spans="1:14" ht="17.100000000000001" customHeight="1">
      <c r="A42" s="996"/>
      <c r="B42" s="894"/>
      <c r="C42" s="907"/>
      <c r="D42" s="212" t="s">
        <v>265</v>
      </c>
      <c r="E42" s="285">
        <v>3.8</v>
      </c>
      <c r="F42" s="286"/>
      <c r="G42" s="285"/>
      <c r="H42" s="286"/>
      <c r="I42" s="285"/>
      <c r="J42" s="286"/>
      <c r="K42" s="285"/>
      <c r="L42" s="286"/>
      <c r="M42" s="285"/>
      <c r="N42" s="287"/>
    </row>
    <row r="43" spans="1:14" ht="17.100000000000001" customHeight="1">
      <c r="A43" s="996"/>
      <c r="B43" s="894"/>
      <c r="C43" s="907">
        <v>2</v>
      </c>
      <c r="D43" s="212" t="s">
        <v>264</v>
      </c>
      <c r="E43" s="288"/>
      <c r="F43" s="289"/>
      <c r="G43" s="288"/>
      <c r="H43" s="289"/>
      <c r="I43" s="288"/>
      <c r="J43" s="289"/>
      <c r="K43" s="288"/>
      <c r="L43" s="289"/>
      <c r="M43" s="288"/>
      <c r="N43" s="290"/>
    </row>
    <row r="44" spans="1:14" ht="17.100000000000001" customHeight="1">
      <c r="A44" s="996"/>
      <c r="B44" s="894"/>
      <c r="C44" s="907"/>
      <c r="D44" s="212" t="s">
        <v>1</v>
      </c>
      <c r="E44" s="285">
        <v>5.2</v>
      </c>
      <c r="F44" s="286"/>
      <c r="G44" s="285"/>
      <c r="H44" s="286"/>
      <c r="I44" s="285"/>
      <c r="J44" s="286"/>
      <c r="K44" s="285"/>
      <c r="L44" s="286"/>
      <c r="M44" s="285"/>
      <c r="N44" s="287"/>
    </row>
    <row r="45" spans="1:14" ht="17.100000000000001" customHeight="1">
      <c r="A45" s="996"/>
      <c r="B45" s="894"/>
      <c r="C45" s="907"/>
      <c r="D45" s="212" t="s">
        <v>265</v>
      </c>
      <c r="E45" s="285">
        <v>5.5</v>
      </c>
      <c r="F45" s="286"/>
      <c r="G45" s="285"/>
      <c r="H45" s="286"/>
      <c r="I45" s="285"/>
      <c r="J45" s="286"/>
      <c r="K45" s="285"/>
      <c r="L45" s="286"/>
      <c r="M45" s="285"/>
      <c r="N45" s="287"/>
    </row>
    <row r="46" spans="1:14" ht="17.100000000000001" customHeight="1">
      <c r="A46" s="996"/>
      <c r="B46" s="894"/>
      <c r="C46" s="907">
        <v>3</v>
      </c>
      <c r="D46" s="212" t="s">
        <v>264</v>
      </c>
      <c r="E46" s="288"/>
      <c r="F46" s="289"/>
      <c r="G46" s="288"/>
      <c r="H46" s="289"/>
      <c r="I46" s="288"/>
      <c r="J46" s="289"/>
      <c r="K46" s="288"/>
      <c r="L46" s="289"/>
      <c r="M46" s="288"/>
      <c r="N46" s="290"/>
    </row>
    <row r="47" spans="1:14" ht="17.100000000000001" customHeight="1">
      <c r="A47" s="996"/>
      <c r="B47" s="894"/>
      <c r="C47" s="907"/>
      <c r="D47" s="212" t="s">
        <v>1</v>
      </c>
      <c r="E47" s="285">
        <v>3.4</v>
      </c>
      <c r="F47" s="286"/>
      <c r="G47" s="285"/>
      <c r="H47" s="286"/>
      <c r="I47" s="285"/>
      <c r="J47" s="286"/>
      <c r="K47" s="285"/>
      <c r="L47" s="286"/>
      <c r="M47" s="285"/>
      <c r="N47" s="287"/>
    </row>
    <row r="48" spans="1:14" ht="17.100000000000001" customHeight="1">
      <c r="A48" s="996"/>
      <c r="B48" s="894"/>
      <c r="C48" s="907"/>
      <c r="D48" s="212" t="s">
        <v>265</v>
      </c>
      <c r="E48" s="285">
        <v>9</v>
      </c>
      <c r="F48" s="286"/>
      <c r="G48" s="285"/>
      <c r="H48" s="286"/>
      <c r="I48" s="285"/>
      <c r="J48" s="286"/>
      <c r="K48" s="285"/>
      <c r="L48" s="286"/>
      <c r="M48" s="285"/>
      <c r="N48" s="287"/>
    </row>
    <row r="49" spans="1:14" ht="17.100000000000001" customHeight="1">
      <c r="A49" s="996"/>
      <c r="B49" s="894"/>
      <c r="C49" s="907">
        <v>4</v>
      </c>
      <c r="D49" s="212" t="s">
        <v>264</v>
      </c>
      <c r="E49" s="288"/>
      <c r="F49" s="289"/>
      <c r="G49" s="288"/>
      <c r="H49" s="289"/>
      <c r="I49" s="288"/>
      <c r="J49" s="289"/>
      <c r="K49" s="288"/>
      <c r="L49" s="289"/>
      <c r="M49" s="288"/>
      <c r="N49" s="290"/>
    </row>
    <row r="50" spans="1:14" ht="17.100000000000001" customHeight="1">
      <c r="A50" s="996"/>
      <c r="B50" s="894"/>
      <c r="C50" s="907"/>
      <c r="D50" s="212" t="s">
        <v>1</v>
      </c>
      <c r="E50" s="285">
        <v>0.97</v>
      </c>
      <c r="F50" s="286"/>
      <c r="G50" s="285"/>
      <c r="H50" s="286"/>
      <c r="I50" s="285"/>
      <c r="J50" s="286"/>
      <c r="K50" s="285"/>
      <c r="L50" s="286"/>
      <c r="M50" s="285"/>
      <c r="N50" s="287"/>
    </row>
    <row r="51" spans="1:14" ht="17.100000000000001" customHeight="1">
      <c r="A51" s="996"/>
      <c r="B51" s="894"/>
      <c r="C51" s="907"/>
      <c r="D51" s="212" t="s">
        <v>265</v>
      </c>
      <c r="E51" s="285">
        <v>14.1</v>
      </c>
      <c r="F51" s="286"/>
      <c r="G51" s="285"/>
      <c r="H51" s="286"/>
      <c r="I51" s="285"/>
      <c r="J51" s="286"/>
      <c r="K51" s="285"/>
      <c r="L51" s="286"/>
      <c r="M51" s="285"/>
      <c r="N51" s="287"/>
    </row>
    <row r="52" spans="1:14" ht="17.100000000000001" customHeight="1">
      <c r="A52" s="996"/>
      <c r="B52" s="894"/>
      <c r="C52" s="907">
        <v>5</v>
      </c>
      <c r="D52" s="212" t="s">
        <v>264</v>
      </c>
      <c r="E52" s="288"/>
      <c r="F52" s="289"/>
      <c r="G52" s="288"/>
      <c r="H52" s="289"/>
      <c r="I52" s="288"/>
      <c r="J52" s="289"/>
      <c r="K52" s="288"/>
      <c r="L52" s="289"/>
      <c r="M52" s="288"/>
      <c r="N52" s="290"/>
    </row>
    <row r="53" spans="1:14" ht="17.100000000000001" customHeight="1">
      <c r="A53" s="996"/>
      <c r="B53" s="894"/>
      <c r="C53" s="907"/>
      <c r="D53" s="212" t="s">
        <v>1</v>
      </c>
      <c r="E53" s="310">
        <v>0.1</v>
      </c>
      <c r="F53" s="286"/>
      <c r="G53" s="310"/>
      <c r="H53" s="286"/>
      <c r="I53" s="285"/>
      <c r="J53" s="286"/>
      <c r="K53" s="285"/>
      <c r="L53" s="286"/>
      <c r="M53" s="285"/>
      <c r="N53" s="287"/>
    </row>
    <row r="54" spans="1:14" ht="17.100000000000001" customHeight="1" thickBot="1">
      <c r="A54" s="1000"/>
      <c r="B54" s="906"/>
      <c r="C54" s="910"/>
      <c r="D54" s="213" t="s">
        <v>265</v>
      </c>
      <c r="E54" s="291">
        <v>15.8</v>
      </c>
      <c r="F54" s="292"/>
      <c r="G54" s="291"/>
      <c r="H54" s="292"/>
      <c r="I54" s="291"/>
      <c r="J54" s="292"/>
      <c r="K54" s="291"/>
      <c r="L54" s="292"/>
      <c r="M54" s="291"/>
      <c r="N54" s="293"/>
    </row>
  </sheetData>
  <sheetProtection algorithmName="SHA-512" hashValue="e+MNhVOjisGVlpirwwQ3nrtET0I3YFYSyN5mUelME6fJITAQzUWrCVezI8wFXmzGeKjY3SKo3GG20rbbAJNUUw==" saltValue="WIMmvUUpQFOI86gFinjAbA==" spinCount="100000" sheet="1" formatCells="0"/>
  <mergeCells count="35">
    <mergeCell ref="B25:B39"/>
    <mergeCell ref="A1:N1"/>
    <mergeCell ref="A2:N2"/>
    <mergeCell ref="B8:B24"/>
    <mergeCell ref="A5:A24"/>
    <mergeCell ref="A4:D4"/>
    <mergeCell ref="A3:D3"/>
    <mergeCell ref="B5:B7"/>
    <mergeCell ref="C25:C27"/>
    <mergeCell ref="C28:C30"/>
    <mergeCell ref="C31:C33"/>
    <mergeCell ref="C34:C36"/>
    <mergeCell ref="C37:C39"/>
    <mergeCell ref="A25:A54"/>
    <mergeCell ref="C5:D5"/>
    <mergeCell ref="C6:D6"/>
    <mergeCell ref="B40:B54"/>
    <mergeCell ref="C40:C42"/>
    <mergeCell ref="C43:C45"/>
    <mergeCell ref="C46:C48"/>
    <mergeCell ref="C49:C51"/>
    <mergeCell ref="C52:C54"/>
    <mergeCell ref="C7:D7"/>
    <mergeCell ref="C8:D8"/>
    <mergeCell ref="C9:D9"/>
    <mergeCell ref="C10:D10"/>
    <mergeCell ref="C11:D11"/>
    <mergeCell ref="C19:D20"/>
    <mergeCell ref="C21:D22"/>
    <mergeCell ref="C23:D24"/>
    <mergeCell ref="C12:D12"/>
    <mergeCell ref="C13:D13"/>
    <mergeCell ref="C14:D14"/>
    <mergeCell ref="C15:D16"/>
    <mergeCell ref="C17:D18"/>
  </mergeCells>
  <phoneticPr fontId="1"/>
  <dataValidations count="7">
    <dataValidation type="decimal" allowBlank="1" showInputMessage="1" showErrorMessage="1" sqref="E5:N5" xr:uid="{9AFE227C-BCDA-4AAE-9C9C-6BE34ED490F4}">
      <formula1>0</formula1>
      <formula2>30</formula2>
    </dataValidation>
    <dataValidation type="decimal" allowBlank="1" showInputMessage="1" showErrorMessage="1" sqref="E11:N11 E6:N6 E10:N10 E12:N12 E26:N26 E29:N29 E32:N32 E35:N35 E38:N38 E41:N41 E44:N44 E47:N47 E50:N50 E53:N53" xr:uid="{A464BE78-4AC5-4744-B6EC-15285D6B02F2}">
      <formula1>0</formula1>
      <formula2>10</formula2>
    </dataValidation>
    <dataValidation type="decimal" allowBlank="1" showInputMessage="1" showErrorMessage="1" sqref="E7:N7" xr:uid="{F8A2F0D4-FD35-4530-B716-8178E745FEB6}">
      <formula1>0</formula1>
      <formula2>100</formula2>
    </dataValidation>
    <dataValidation type="whole" allowBlank="1" showInputMessage="1" showErrorMessage="1" sqref="F8:N8" xr:uid="{62587C3E-9C50-4313-B33D-8E47E501A553}">
      <formula1>0</formula1>
      <formula2>22</formula2>
    </dataValidation>
    <dataValidation type="decimal" allowBlank="1" showInputMessage="1" showErrorMessage="1" sqref="E9:N9" xr:uid="{D86BFDD4-FCE5-42A3-9645-20D4530674BA}">
      <formula1>-100</formula1>
      <formula2>30</formula2>
    </dataValidation>
    <dataValidation type="whole" allowBlank="1" showInputMessage="1" showErrorMessage="1" sqref="E52:N52 E40:N40 E43:N43 E46:N46 E49:N49 E25:N25 E28:N28 E31:N31 E34:N34 E37:N37" xr:uid="{B68B675A-81F0-4484-8B2F-68854682E2DE}">
      <formula1>1</formula1>
      <formula2>100</formula2>
    </dataValidation>
    <dataValidation type="decimal" allowBlank="1" showInputMessage="1" showErrorMessage="1" sqref="E27:N27 E30:N30 E33:N33 E36:N36 E39:N39 E42:N42 E45:N45 E48:N48 E51:N51 E54:N54" xr:uid="{23420BE6-C1DC-4FA9-91CE-5B5351C7665D}">
      <formula1>0</formula1>
      <formula2>22</formula2>
    </dataValidation>
  </dataValidations>
  <pageMargins left="0.7" right="0.7" top="0.75" bottom="0.75" header="0.3" footer="0.3"/>
  <pageSetup paperSize="9" scale="58" fitToWidth="0" orientation="landscape" r:id="rId1"/>
  <rowBreaks count="1" manualBreakCount="1">
    <brk id="24" max="13"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99ADF-C8AC-4E04-83FB-819E8BEE9FBA}">
  <sheetPr codeName="Sheet5">
    <pageSetUpPr fitToPage="1"/>
  </sheetPr>
  <dimension ref="R3:V38"/>
  <sheetViews>
    <sheetView topLeftCell="C5" zoomScale="85" zoomScaleNormal="85" workbookViewId="0">
      <selection activeCell="R7" sqref="R7:V7"/>
    </sheetView>
  </sheetViews>
  <sheetFormatPr defaultColWidth="9" defaultRowHeight="13.5"/>
  <cols>
    <col min="1" max="16" width="9" style="368"/>
    <col min="17" max="17" width="4" style="368" customWidth="1"/>
    <col min="18" max="18" width="8" style="368" customWidth="1"/>
    <col min="19" max="19" width="7.375" style="368" customWidth="1"/>
    <col min="20" max="20" width="5.125" style="368" customWidth="1"/>
    <col min="21" max="21" width="12.5" style="368" customWidth="1"/>
    <col min="22" max="22" width="5" style="368" customWidth="1"/>
    <col min="23" max="16384" width="9" style="368"/>
  </cols>
  <sheetData>
    <row r="3" spans="18:22">
      <c r="R3" s="1001" t="s">
        <v>360</v>
      </c>
      <c r="S3" s="1001"/>
      <c r="T3" s="1002" t="str">
        <f ca="1">〇号!D2</f>
        <v>〇号</v>
      </c>
      <c r="U3" s="1002"/>
      <c r="V3" s="1002"/>
    </row>
    <row r="7" spans="18:22">
      <c r="R7" s="1001" t="s">
        <v>345</v>
      </c>
      <c r="S7" s="1001"/>
      <c r="T7" s="1001"/>
      <c r="U7" s="1001"/>
      <c r="V7" s="1001"/>
    </row>
    <row r="8" spans="18:22">
      <c r="R8" s="1001" t="s">
        <v>353</v>
      </c>
      <c r="S8" s="1001"/>
      <c r="T8" s="369"/>
      <c r="U8" s="371" t="s">
        <v>346</v>
      </c>
      <c r="V8" s="370" t="e">
        <f>V11*T9/100/1.5848</f>
        <v>#DIV/0!</v>
      </c>
    </row>
    <row r="9" spans="18:22">
      <c r="R9" s="1001" t="s">
        <v>347</v>
      </c>
      <c r="S9" s="1001"/>
      <c r="T9" s="369"/>
      <c r="U9" s="371" t="s">
        <v>348</v>
      </c>
      <c r="V9" s="370" t="e">
        <f>1443/((V10-0.21)/260+I38)-1443</f>
        <v>#DIV/0!</v>
      </c>
    </row>
    <row r="10" spans="18:22">
      <c r="R10" s="1001" t="s">
        <v>349</v>
      </c>
      <c r="S10" s="1001"/>
      <c r="T10" s="369"/>
      <c r="U10" s="371" t="s">
        <v>350</v>
      </c>
      <c r="V10" s="370" t="e">
        <f>V11*(100-T9)/100</f>
        <v>#DIV/0!</v>
      </c>
    </row>
    <row r="11" spans="18:22">
      <c r="U11" s="371" t="s">
        <v>351</v>
      </c>
      <c r="V11" s="370" t="e">
        <f>T8/T10*100</f>
        <v>#DIV/0!</v>
      </c>
    </row>
    <row r="32" ht="6.75" customHeight="1"/>
    <row r="38" hidden="1"/>
  </sheetData>
  <sheetProtection algorithmName="SHA-512" hashValue="84h6Bnr4nCvsZ6b5jWmemyC+pFg9ejM39R4lvuIg4y7VVhuYS16xqct/U+bSpecIk3elIxjd/ZLVdfejCUnsSA==" saltValue="2zvCiPuPyq+OJJ64pv/I1g==" spinCount="100000" sheet="1" formatCells="0"/>
  <mergeCells count="6">
    <mergeCell ref="R7:V7"/>
    <mergeCell ref="R8:S8"/>
    <mergeCell ref="R9:S9"/>
    <mergeCell ref="R10:S10"/>
    <mergeCell ref="R3:S3"/>
    <mergeCell ref="T3:V3"/>
  </mergeCells>
  <phoneticPr fontId="1"/>
  <conditionalFormatting sqref="V8:V11">
    <cfRule type="containsErrors" dxfId="126" priority="1">
      <formula>ISERROR(V8)</formula>
    </cfRule>
  </conditionalFormatting>
  <pageMargins left="0.31496062992125984" right="0.31496062992125984" top="0.35433070866141736" bottom="0.35433070866141736" header="0.31496062992125984" footer="0.31496062992125984"/>
  <pageSetup paperSize="9" scale="77"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2FC44-9AA9-4D7F-84A7-61F666D82EFF}">
  <sheetPr codeName="Sheet6">
    <pageSetUpPr fitToPage="1"/>
  </sheetPr>
  <dimension ref="A1:AR466"/>
  <sheetViews>
    <sheetView topLeftCell="A13" zoomScale="70" zoomScaleNormal="70" workbookViewId="0">
      <selection activeCell="N17" sqref="N17"/>
    </sheetView>
  </sheetViews>
  <sheetFormatPr defaultColWidth="9" defaultRowHeight="13.5"/>
  <cols>
    <col min="2" max="2" width="11.5" customWidth="1"/>
    <col min="15" max="15" width="8.875" customWidth="1"/>
    <col min="22" max="22" width="9" customWidth="1"/>
  </cols>
  <sheetData>
    <row r="1" spans="1:44" ht="21" customHeight="1" thickBot="1">
      <c r="A1" s="316" t="s">
        <v>293</v>
      </c>
      <c r="B1" s="317"/>
      <c r="C1" s="317"/>
      <c r="D1" s="317"/>
      <c r="E1" s="317"/>
      <c r="F1" s="317"/>
      <c r="G1" s="317"/>
      <c r="H1" s="317"/>
      <c r="I1" s="317"/>
      <c r="J1" s="317"/>
      <c r="K1" s="317"/>
      <c r="L1" s="317"/>
      <c r="M1" s="317"/>
      <c r="N1" s="317"/>
      <c r="O1" s="317"/>
      <c r="P1" s="317"/>
      <c r="Q1" s="317"/>
      <c r="R1" s="1006" t="s">
        <v>287</v>
      </c>
      <c r="S1" s="1007"/>
      <c r="T1" s="1008"/>
      <c r="U1" s="1003" t="s">
        <v>288</v>
      </c>
      <c r="V1" s="1004"/>
      <c r="W1" s="1005"/>
      <c r="X1" s="372"/>
      <c r="Y1" s="372"/>
      <c r="Z1" s="317"/>
      <c r="AA1" s="317"/>
      <c r="AB1" s="317"/>
      <c r="AC1" s="317"/>
      <c r="AD1" s="317"/>
      <c r="AE1" s="317"/>
      <c r="AF1" s="317"/>
      <c r="AG1" s="317"/>
      <c r="AH1" s="317"/>
      <c r="AI1" s="317"/>
      <c r="AJ1" s="317"/>
      <c r="AK1" s="317"/>
      <c r="AL1" s="317"/>
      <c r="AM1" s="317"/>
      <c r="AN1" s="317"/>
      <c r="AO1" s="317"/>
      <c r="AP1" s="317"/>
      <c r="AQ1" s="317"/>
    </row>
    <row r="2" spans="1:44" ht="12.95" customHeight="1" thickBot="1">
      <c r="A2" s="1016" t="s">
        <v>286</v>
      </c>
      <c r="B2" s="1017"/>
      <c r="C2" s="1018"/>
      <c r="D2" s="1019" t="str">
        <f ca="1">〇号!D2</f>
        <v>〇号</v>
      </c>
      <c r="E2" s="1020"/>
      <c r="F2" s="1021"/>
      <c r="G2" s="317"/>
      <c r="H2" s="318" t="s">
        <v>294</v>
      </c>
      <c r="I2" s="1022"/>
      <c r="J2" s="1023"/>
      <c r="K2" s="317"/>
      <c r="L2" s="318" t="s">
        <v>295</v>
      </c>
      <c r="M2" s="1024"/>
      <c r="N2" s="1025"/>
      <c r="O2" s="319" t="s">
        <v>296</v>
      </c>
      <c r="P2" s="320"/>
      <c r="Q2" s="317"/>
      <c r="R2" s="1026" t="s">
        <v>297</v>
      </c>
      <c r="S2" s="1027"/>
      <c r="T2" s="317"/>
      <c r="U2" s="317"/>
      <c r="V2" s="317"/>
      <c r="W2" s="365"/>
      <c r="X2" s="365"/>
      <c r="Y2" s="317"/>
      <c r="Z2" s="317"/>
      <c r="AA2" s="317"/>
      <c r="AB2" s="317"/>
      <c r="AC2" s="317"/>
      <c r="AD2" s="317"/>
      <c r="AE2" s="317"/>
      <c r="AF2" s="317"/>
      <c r="AG2" s="317"/>
      <c r="AH2" s="317"/>
      <c r="AI2" s="317"/>
      <c r="AJ2" s="317"/>
      <c r="AK2" s="317"/>
      <c r="AL2" s="317"/>
      <c r="AM2" s="317"/>
      <c r="AN2" s="317"/>
      <c r="AO2" s="317"/>
      <c r="AP2" s="317"/>
      <c r="AQ2" s="317"/>
    </row>
    <row r="3" spans="1:44" ht="12.95" customHeight="1" thickBot="1">
      <c r="A3" s="317"/>
      <c r="B3" s="317"/>
      <c r="C3" s="317"/>
      <c r="D3" s="317"/>
      <c r="E3" s="317"/>
      <c r="F3" s="317"/>
      <c r="G3" s="317"/>
      <c r="H3" s="317"/>
      <c r="I3" s="317"/>
      <c r="J3" s="317"/>
      <c r="K3" s="317"/>
      <c r="L3" s="317"/>
      <c r="M3" s="317"/>
      <c r="N3" s="317"/>
      <c r="O3" s="317"/>
      <c r="P3" s="317"/>
      <c r="Q3" s="317"/>
      <c r="R3" s="1028"/>
      <c r="S3" s="1029"/>
      <c r="T3" s="1029"/>
      <c r="U3" s="1029"/>
      <c r="V3" s="1029"/>
      <c r="W3" s="1029"/>
      <c r="X3" s="1030"/>
      <c r="Y3" s="317"/>
      <c r="Z3" s="317"/>
      <c r="AA3" s="317"/>
      <c r="AB3" s="317"/>
      <c r="AC3" s="317"/>
      <c r="AD3" s="317"/>
      <c r="AE3" s="317"/>
      <c r="AF3" s="317"/>
      <c r="AG3" s="317"/>
      <c r="AH3" s="317"/>
      <c r="AI3" s="317"/>
      <c r="AJ3" s="317"/>
      <c r="AK3" s="317"/>
      <c r="AL3" s="317"/>
      <c r="AM3" s="317"/>
      <c r="AN3" s="317"/>
      <c r="AO3" s="317"/>
      <c r="AP3" s="317"/>
      <c r="AQ3" s="317"/>
    </row>
    <row r="4" spans="1:44" ht="14.25">
      <c r="A4" s="1037" t="s">
        <v>63</v>
      </c>
      <c r="B4" s="1038"/>
      <c r="C4" s="1038"/>
      <c r="D4" s="388" t="s">
        <v>49</v>
      </c>
      <c r="E4" s="388" t="s">
        <v>14</v>
      </c>
      <c r="F4" s="388" t="s">
        <v>16</v>
      </c>
      <c r="G4" s="388" t="s">
        <v>50</v>
      </c>
      <c r="H4" s="388" t="s">
        <v>51</v>
      </c>
      <c r="I4" s="322" t="s">
        <v>54</v>
      </c>
      <c r="J4" s="323" t="s">
        <v>53</v>
      </c>
      <c r="K4" s="324"/>
      <c r="L4" s="1037" t="s">
        <v>298</v>
      </c>
      <c r="M4" s="1039"/>
      <c r="N4" s="1039"/>
      <c r="O4" s="1039"/>
      <c r="P4" s="325"/>
      <c r="Q4" s="317"/>
      <c r="R4" s="1031"/>
      <c r="S4" s="1032"/>
      <c r="T4" s="1032"/>
      <c r="U4" s="1032"/>
      <c r="V4" s="1032"/>
      <c r="W4" s="1032"/>
      <c r="X4" s="1033"/>
      <c r="Y4" s="317"/>
      <c r="Z4" s="326"/>
      <c r="AA4" s="326"/>
      <c r="AB4" s="317"/>
      <c r="AC4" s="317"/>
      <c r="AD4" s="317"/>
      <c r="AE4" s="317"/>
      <c r="AF4" s="317"/>
      <c r="AG4" s="317"/>
      <c r="AH4" s="317"/>
      <c r="AI4" s="317"/>
      <c r="AJ4" s="317"/>
      <c r="AK4" s="317"/>
      <c r="AL4" s="317"/>
      <c r="AM4" s="317"/>
      <c r="AN4" s="317"/>
      <c r="AO4" s="317"/>
      <c r="AP4" s="317"/>
      <c r="AQ4" s="317"/>
    </row>
    <row r="5" spans="1:44" ht="14.25">
      <c r="A5" s="1011" t="s">
        <v>166</v>
      </c>
      <c r="B5" s="1012"/>
      <c r="C5" s="1012"/>
      <c r="D5" s="373">
        <f>IFERROR(D6+D7,"")</f>
        <v>0</v>
      </c>
      <c r="E5" s="373" t="str">
        <f>IFERROR(E6+E7,"")</f>
        <v/>
      </c>
      <c r="F5" s="373" t="str">
        <f>IFERROR(F6+F7,"")</f>
        <v/>
      </c>
      <c r="G5" s="373" t="str">
        <f>IFERROR(G6+G7,"")</f>
        <v/>
      </c>
      <c r="H5" s="373" t="str">
        <f>IFERROR(H6+H7,"")</f>
        <v/>
      </c>
      <c r="I5" s="327"/>
      <c r="J5" s="390" t="str">
        <f>IF(SUM(D5:I5)=0,"",SUM(D5:I5))</f>
        <v/>
      </c>
      <c r="K5" s="324"/>
      <c r="L5" s="1011" t="s">
        <v>299</v>
      </c>
      <c r="M5" s="1012"/>
      <c r="N5" s="1012"/>
      <c r="O5" s="1012"/>
      <c r="P5" s="328"/>
      <c r="Q5" s="317"/>
      <c r="R5" s="1031"/>
      <c r="S5" s="1032"/>
      <c r="T5" s="1032"/>
      <c r="U5" s="1032"/>
      <c r="V5" s="1032"/>
      <c r="W5" s="1032"/>
      <c r="X5" s="1033"/>
      <c r="Y5" s="317"/>
      <c r="Z5" s="326"/>
      <c r="AA5" s="326"/>
      <c r="AB5" s="317"/>
      <c r="AC5" s="317"/>
      <c r="AD5" s="317"/>
      <c r="AE5" s="317"/>
      <c r="AF5" s="317"/>
      <c r="AG5" s="317"/>
      <c r="AH5" s="317"/>
      <c r="AI5" s="317"/>
      <c r="AJ5" s="317"/>
      <c r="AK5" s="317"/>
      <c r="AL5" s="317"/>
      <c r="AM5" s="317"/>
      <c r="AN5" s="317"/>
      <c r="AO5" s="317"/>
      <c r="AP5" s="317"/>
      <c r="AQ5" s="317"/>
    </row>
    <row r="6" spans="1:44" ht="14.25">
      <c r="A6" s="1011" t="s">
        <v>95</v>
      </c>
      <c r="B6" s="1012"/>
      <c r="C6" s="1012"/>
      <c r="D6" s="373">
        <f>IF(〇号!D69="",0,〇号!D69)</f>
        <v>0</v>
      </c>
      <c r="E6" s="373" t="str">
        <f>IF(〇号!G69=0,"",〇号!G69)</f>
        <v/>
      </c>
      <c r="F6" s="373" t="str">
        <f>IF(〇号!J69=0,"",〇号!J69)</f>
        <v/>
      </c>
      <c r="G6" s="373" t="str">
        <f>IF(〇号!M69=0,"",〇号!M69)</f>
        <v/>
      </c>
      <c r="H6" s="373" t="str">
        <f>IF(〇号!P69=0,"",〇号!P69)</f>
        <v/>
      </c>
      <c r="I6" s="327"/>
      <c r="J6" s="390" t="str">
        <f>IF(SUM(D6:I6)=0,"",SUM(D6:I6))</f>
        <v/>
      </c>
      <c r="K6" s="330"/>
      <c r="L6" s="1011" t="s">
        <v>300</v>
      </c>
      <c r="M6" s="1012"/>
      <c r="N6" s="1012"/>
      <c r="O6" s="1012"/>
      <c r="P6" s="328"/>
      <c r="Q6" s="317"/>
      <c r="R6" s="1031"/>
      <c r="S6" s="1032"/>
      <c r="T6" s="1032"/>
      <c r="U6" s="1032"/>
      <c r="V6" s="1032"/>
      <c r="W6" s="1032"/>
      <c r="X6" s="1033"/>
      <c r="Y6" s="1013"/>
      <c r="Z6" s="1013"/>
      <c r="AA6" s="1013"/>
      <c r="AB6" s="317"/>
      <c r="AC6" s="317"/>
      <c r="AD6" s="317"/>
      <c r="AE6" s="317"/>
      <c r="AF6" s="317"/>
      <c r="AG6" s="317"/>
      <c r="AH6" s="317"/>
      <c r="AI6" s="317"/>
      <c r="AJ6" s="317"/>
      <c r="AK6" s="317"/>
      <c r="AL6" s="317"/>
      <c r="AM6" s="317"/>
      <c r="AN6" s="317"/>
      <c r="AO6" s="317"/>
      <c r="AP6" s="317"/>
      <c r="AQ6" s="317"/>
    </row>
    <row r="7" spans="1:44" ht="15" thickBot="1">
      <c r="A7" s="1011" t="s">
        <v>52</v>
      </c>
      <c r="B7" s="1012"/>
      <c r="C7" s="1012"/>
      <c r="D7" s="373">
        <f>IF(〇号!D70="",0,〇号!D70)</f>
        <v>0</v>
      </c>
      <c r="E7" s="373" t="str">
        <f>IF(〇号!G70=0,"",〇号!G70)</f>
        <v/>
      </c>
      <c r="F7" s="373" t="str">
        <f>IF(〇号!J70=0,"",〇号!J70)</f>
        <v/>
      </c>
      <c r="G7" s="373" t="str">
        <f>IF(〇号!M70=0,"",〇号!M70)</f>
        <v/>
      </c>
      <c r="H7" s="373" t="str">
        <f>IF(〇号!P70=0,"",〇号!P70)</f>
        <v/>
      </c>
      <c r="I7" s="327"/>
      <c r="J7" s="390" t="str">
        <f>IF(SUM(D7:I7)=0,"",SUM(D7:I7))</f>
        <v/>
      </c>
      <c r="K7" s="330"/>
      <c r="L7" s="1014" t="s">
        <v>301</v>
      </c>
      <c r="M7" s="1015"/>
      <c r="N7" s="1015"/>
      <c r="O7" s="1015"/>
      <c r="P7" s="331">
        <v>80</v>
      </c>
      <c r="Q7" s="317"/>
      <c r="R7" s="1031"/>
      <c r="S7" s="1032"/>
      <c r="T7" s="1032"/>
      <c r="U7" s="1032"/>
      <c r="V7" s="1032"/>
      <c r="W7" s="1032"/>
      <c r="X7" s="1033"/>
      <c r="Y7" s="1013"/>
      <c r="Z7" s="1013"/>
      <c r="AA7" s="1013"/>
      <c r="AB7" s="317"/>
      <c r="AC7" s="317"/>
      <c r="AD7" s="317"/>
      <c r="AE7" s="317"/>
      <c r="AF7" s="317"/>
      <c r="AG7" s="317"/>
      <c r="AH7" s="317"/>
      <c r="AI7" s="317"/>
      <c r="AJ7" s="317"/>
      <c r="AK7" s="317"/>
      <c r="AL7" s="317"/>
      <c r="AM7" s="317"/>
      <c r="AN7" s="317"/>
      <c r="AO7" s="317"/>
      <c r="AP7" s="317"/>
      <c r="AQ7" s="317"/>
    </row>
    <row r="8" spans="1:44" ht="15" thickBot="1">
      <c r="A8" s="1014" t="s">
        <v>165</v>
      </c>
      <c r="B8" s="1015"/>
      <c r="C8" s="1015"/>
      <c r="D8" s="391">
        <f>IF(〇号!D71="",0,〇号!D71)</f>
        <v>0</v>
      </c>
      <c r="E8" s="391" t="str">
        <f>IF(〇号!G71=0,"",〇号!G71)</f>
        <v/>
      </c>
      <c r="F8" s="391" t="str">
        <f>IF(〇号!J71=0,"",〇号!J71)</f>
        <v/>
      </c>
      <c r="G8" s="391" t="str">
        <f>IF(〇号!M71=0,"",〇号!M71)</f>
        <v/>
      </c>
      <c r="H8" s="391" t="str">
        <f>IF(〇号!P71=0,"",〇号!P71)</f>
        <v/>
      </c>
      <c r="I8" s="391" t="str">
        <f>IF(SUM(E11:AQ11)=0,"",SUM(E11:AQ11))</f>
        <v/>
      </c>
      <c r="J8" s="392" t="str">
        <f>IF(SUM(D8:I8)=0,"",SUM(D8:I8))</f>
        <v/>
      </c>
      <c r="K8" s="330"/>
      <c r="L8" s="330"/>
      <c r="M8" s="330"/>
      <c r="N8" s="330"/>
      <c r="O8" s="330"/>
      <c r="P8" s="330"/>
      <c r="Q8" s="330"/>
      <c r="R8" s="1034"/>
      <c r="S8" s="1035"/>
      <c r="T8" s="1035"/>
      <c r="U8" s="1035"/>
      <c r="V8" s="1035"/>
      <c r="W8" s="1035"/>
      <c r="X8" s="1036"/>
      <c r="Y8" s="1013"/>
      <c r="Z8" s="1013"/>
      <c r="AA8" s="1013"/>
      <c r="AB8" s="317"/>
      <c r="AC8" s="317"/>
      <c r="AD8" s="317"/>
      <c r="AE8" s="317"/>
      <c r="AF8" s="317"/>
      <c r="AG8" s="317"/>
      <c r="AH8" s="317"/>
      <c r="AI8" s="317"/>
      <c r="AJ8" s="317"/>
      <c r="AK8" s="317"/>
      <c r="AL8" s="317"/>
      <c r="AM8" s="317"/>
      <c r="AN8" s="317"/>
      <c r="AO8" s="317"/>
      <c r="AP8" s="317"/>
      <c r="AQ8" s="317"/>
    </row>
    <row r="9" spans="1:44" ht="10.5" customHeight="1" thickBot="1">
      <c r="A9" s="317"/>
      <c r="B9" s="317"/>
      <c r="C9" s="317"/>
      <c r="D9" s="317"/>
      <c r="E9" s="317"/>
      <c r="F9" s="317"/>
      <c r="G9" s="317"/>
      <c r="H9" s="317"/>
      <c r="I9" s="317"/>
      <c r="J9" s="317"/>
      <c r="K9" s="317"/>
      <c r="L9" s="317"/>
      <c r="M9" s="317"/>
      <c r="N9" s="317"/>
      <c r="O9" s="317"/>
      <c r="P9" s="317"/>
      <c r="Q9" s="317"/>
      <c r="R9" s="317"/>
      <c r="S9" s="317"/>
      <c r="T9" s="317"/>
      <c r="U9" s="317"/>
      <c r="V9" s="317"/>
      <c r="W9" s="317"/>
      <c r="X9" s="317"/>
      <c r="Y9" s="317"/>
      <c r="Z9" s="317"/>
      <c r="AA9" s="317"/>
      <c r="AB9" s="317"/>
      <c r="AC9" s="317"/>
      <c r="AD9" s="317"/>
      <c r="AE9" s="317"/>
      <c r="AF9" s="317"/>
      <c r="AG9" s="317"/>
      <c r="AH9" s="317"/>
      <c r="AI9" s="317"/>
      <c r="AJ9" s="317"/>
      <c r="AK9" s="317"/>
      <c r="AL9" s="317"/>
      <c r="AM9" s="317"/>
      <c r="AN9" s="317"/>
      <c r="AO9" s="317"/>
      <c r="AP9" s="317"/>
      <c r="AQ9" s="317"/>
    </row>
    <row r="10" spans="1:44" ht="14.25">
      <c r="A10" s="1040" t="s">
        <v>17</v>
      </c>
      <c r="B10" s="1041"/>
      <c r="C10" s="1041"/>
      <c r="D10" s="412">
        <v>1</v>
      </c>
      <c r="E10" s="412">
        <v>2</v>
      </c>
      <c r="F10" s="412">
        <v>3</v>
      </c>
      <c r="G10" s="412">
        <v>4</v>
      </c>
      <c r="H10" s="412">
        <v>5</v>
      </c>
      <c r="I10" s="412">
        <v>6</v>
      </c>
      <c r="J10" s="412">
        <v>7</v>
      </c>
      <c r="K10" s="412">
        <v>8</v>
      </c>
      <c r="L10" s="412">
        <v>9</v>
      </c>
      <c r="M10" s="412">
        <v>10</v>
      </c>
      <c r="N10" s="412">
        <v>11</v>
      </c>
      <c r="O10" s="412">
        <v>12</v>
      </c>
      <c r="P10" s="412">
        <v>13</v>
      </c>
      <c r="Q10" s="412">
        <v>14</v>
      </c>
      <c r="R10" s="412">
        <v>15</v>
      </c>
      <c r="S10" s="412">
        <v>16</v>
      </c>
      <c r="T10" s="412">
        <v>17</v>
      </c>
      <c r="U10" s="412">
        <v>18</v>
      </c>
      <c r="V10" s="412">
        <v>19</v>
      </c>
      <c r="W10" s="412">
        <v>20</v>
      </c>
      <c r="X10" s="412">
        <v>21</v>
      </c>
      <c r="Y10" s="412">
        <v>22</v>
      </c>
      <c r="Z10" s="412">
        <v>23</v>
      </c>
      <c r="AA10" s="412">
        <v>24</v>
      </c>
      <c r="AB10" s="412">
        <v>25</v>
      </c>
      <c r="AC10" s="412">
        <v>26</v>
      </c>
      <c r="AD10" s="412">
        <v>27</v>
      </c>
      <c r="AE10" s="412">
        <v>28</v>
      </c>
      <c r="AF10" s="412">
        <v>29</v>
      </c>
      <c r="AG10" s="412">
        <v>30</v>
      </c>
      <c r="AH10" s="412">
        <v>31</v>
      </c>
      <c r="AI10" s="412">
        <v>32</v>
      </c>
      <c r="AJ10" s="412">
        <v>33</v>
      </c>
      <c r="AK10" s="412">
        <v>34</v>
      </c>
      <c r="AL10" s="412">
        <v>35</v>
      </c>
      <c r="AM10" s="412">
        <v>36</v>
      </c>
      <c r="AN10" s="412">
        <v>37</v>
      </c>
      <c r="AO10" s="412">
        <v>38</v>
      </c>
      <c r="AP10" s="412">
        <v>39</v>
      </c>
      <c r="AQ10" s="413">
        <v>40</v>
      </c>
    </row>
    <row r="11" spans="1:44" s="317" customFormat="1" ht="14.25">
      <c r="A11" s="1009" t="s">
        <v>209</v>
      </c>
      <c r="B11" s="1010"/>
      <c r="C11" s="1010"/>
      <c r="D11" s="400"/>
      <c r="E11" s="414" t="str">
        <f>IF(〇号!S7=0,"",〇号!S7)</f>
        <v/>
      </c>
      <c r="F11" s="414" t="str">
        <f>IF(〇号!T7=0,"",〇号!T7)</f>
        <v/>
      </c>
      <c r="G11" s="414" t="str">
        <f>IF(〇号!U7=0,"",〇号!U7)</f>
        <v/>
      </c>
      <c r="H11" s="414" t="str">
        <f>IF(〇号!V7=0,"",〇号!V7)</f>
        <v/>
      </c>
      <c r="I11" s="414" t="str">
        <f>IF(〇号!W7=0,"",〇号!W7)</f>
        <v/>
      </c>
      <c r="J11" s="414" t="str">
        <f>IF(〇号!X7=0,"",〇号!X7)</f>
        <v/>
      </c>
      <c r="K11" s="414" t="str">
        <f>IF(〇号!Y7=0,"",〇号!Y7)</f>
        <v/>
      </c>
      <c r="L11" s="414" t="str">
        <f>IF(〇号!Z7=0,"",〇号!Z7)</f>
        <v/>
      </c>
      <c r="M11" s="414" t="str">
        <f>IF(〇号!AA7=0,"",〇号!AA7)</f>
        <v/>
      </c>
      <c r="N11" s="414" t="str">
        <f>IF(〇号!AB7=0,"",〇号!AB7)</f>
        <v/>
      </c>
      <c r="O11" s="414" t="str">
        <f>IF(〇号!AC7=0,"",〇号!AC7)</f>
        <v/>
      </c>
      <c r="P11" s="414" t="str">
        <f>IF(〇号!AD7=0,"",〇号!AD7)</f>
        <v/>
      </c>
      <c r="Q11" s="414" t="str">
        <f>IF(〇号!AE7=0,"",〇号!AE7)</f>
        <v/>
      </c>
      <c r="R11" s="414" t="str">
        <f>IF(〇号!AF7=0,"",〇号!AF7)</f>
        <v/>
      </c>
      <c r="S11" s="414" t="str">
        <f>IF(〇号!AG7=0,"",〇号!AG7)</f>
        <v/>
      </c>
      <c r="T11" s="414" t="str">
        <f>IF(〇号!AH7=0,"",〇号!AH7)</f>
        <v/>
      </c>
      <c r="U11" s="414" t="str">
        <f>IF(〇号!AI7=0,"",〇号!AI7)</f>
        <v/>
      </c>
      <c r="V11" s="414" t="str">
        <f>IF(〇号!AJ7=0,"",〇号!AJ7)</f>
        <v/>
      </c>
      <c r="W11" s="414" t="str">
        <f>IF(〇号!AK7=0,"",〇号!AK7)</f>
        <v/>
      </c>
      <c r="X11" s="414" t="str">
        <f>IF(〇号!AL7=0,"",〇号!AL7)</f>
        <v/>
      </c>
      <c r="Y11" s="414" t="str">
        <f>IF(〇号!AM7=0,"",〇号!AM7)</f>
        <v/>
      </c>
      <c r="Z11" s="414" t="str">
        <f>IF(〇号!AN7=0,"",〇号!AN7)</f>
        <v/>
      </c>
      <c r="AA11" s="414" t="str">
        <f>IF(〇号!AO7=0,"",〇号!AO7)</f>
        <v/>
      </c>
      <c r="AB11" s="414" t="str">
        <f>IF(〇号!AP7=0,"",〇号!AP7)</f>
        <v/>
      </c>
      <c r="AC11" s="414" t="str">
        <f>IF(〇号!AQ7=0,"",〇号!AQ7)</f>
        <v/>
      </c>
      <c r="AD11" s="414" t="str">
        <f>IF(〇号!AR7=0,"",〇号!AR7)</f>
        <v/>
      </c>
      <c r="AE11" s="414" t="str">
        <f>IF(〇号!AS7=0,"",〇号!AS7)</f>
        <v/>
      </c>
      <c r="AF11" s="414" t="str">
        <f>IF(〇号!AT7=0,"",〇号!AT7)</f>
        <v/>
      </c>
      <c r="AG11" s="414" t="str">
        <f>IF(〇号!AU7=0,"",〇号!AU7)</f>
        <v/>
      </c>
      <c r="AH11" s="414" t="str">
        <f>IF(〇号!AV7=0,"",〇号!AV7)</f>
        <v/>
      </c>
      <c r="AI11" s="414" t="str">
        <f>IF(〇号!AW7=0,"",〇号!AW7)</f>
        <v/>
      </c>
      <c r="AJ11" s="414" t="str">
        <f>IF(〇号!AX7=0,"",〇号!AX7)</f>
        <v/>
      </c>
      <c r="AK11" s="414" t="str">
        <f>IF(〇号!AY7=0,"",〇号!AY7)</f>
        <v/>
      </c>
      <c r="AL11" s="414" t="str">
        <f>IF(〇号!AZ7=0,"",〇号!AZ7)</f>
        <v/>
      </c>
      <c r="AM11" s="414" t="str">
        <f>IF(〇号!BA7=0,"",〇号!BA7)</f>
        <v/>
      </c>
      <c r="AN11" s="414" t="str">
        <f>IF(〇号!BB7=0,"",〇号!BB7)</f>
        <v/>
      </c>
      <c r="AO11" s="414" t="str">
        <f>IF(〇号!BC7=0,"",〇号!BC7)</f>
        <v/>
      </c>
      <c r="AP11" s="414" t="str">
        <f>IF(〇号!BD7=0,"",〇号!BD7)</f>
        <v/>
      </c>
      <c r="AQ11" s="415" t="str">
        <f>IF(〇号!BE7=0,"",〇号!BE7)</f>
        <v/>
      </c>
      <c r="AR11" s="86"/>
    </row>
    <row r="12" spans="1:44" s="317" customFormat="1" ht="14.25">
      <c r="A12" s="1042" t="s">
        <v>1</v>
      </c>
      <c r="B12" s="1043"/>
      <c r="C12" s="1044" t="s">
        <v>65</v>
      </c>
      <c r="D12" s="416"/>
      <c r="E12" s="396" t="str">
        <f>IF(〇号!S12="","",〇号!S12)</f>
        <v/>
      </c>
      <c r="F12" s="396" t="str">
        <f>IF(〇号!T12="","",〇号!T12)</f>
        <v/>
      </c>
      <c r="G12" s="396" t="str">
        <f>IF(〇号!U12="","",〇号!U12)</f>
        <v/>
      </c>
      <c r="H12" s="396" t="str">
        <f>IF(〇号!V12="","",〇号!V12)</f>
        <v/>
      </c>
      <c r="I12" s="396" t="str">
        <f>IF(〇号!W12="","",〇号!W12)</f>
        <v/>
      </c>
      <c r="J12" s="396" t="str">
        <f>IF(〇号!X12="","",〇号!X12)</f>
        <v/>
      </c>
      <c r="K12" s="396" t="str">
        <f>IF(〇号!Y12="","",〇号!Y12)</f>
        <v/>
      </c>
      <c r="L12" s="396" t="str">
        <f>IF(〇号!Z12="","",〇号!Z12)</f>
        <v/>
      </c>
      <c r="M12" s="396" t="str">
        <f>IF(〇号!AA12="","",〇号!AA12)</f>
        <v/>
      </c>
      <c r="N12" s="396" t="str">
        <f>IF(〇号!AB12="","",〇号!AB12)</f>
        <v/>
      </c>
      <c r="O12" s="396" t="str">
        <f>IF(〇号!AC12="","",〇号!AC12)</f>
        <v/>
      </c>
      <c r="P12" s="396" t="str">
        <f>IF(〇号!AD12="","",〇号!AD12)</f>
        <v/>
      </c>
      <c r="Q12" s="396" t="str">
        <f>IF(〇号!AE12="","",〇号!AE12)</f>
        <v/>
      </c>
      <c r="R12" s="396" t="str">
        <f>IF(〇号!AF12="","",〇号!AF12)</f>
        <v/>
      </c>
      <c r="S12" s="396" t="str">
        <f>IF(〇号!AG12="","",〇号!AG12)</f>
        <v/>
      </c>
      <c r="T12" s="396" t="str">
        <f>IF(〇号!AH12="","",〇号!AH12)</f>
        <v/>
      </c>
      <c r="U12" s="396" t="str">
        <f>IF(〇号!AI12="","",〇号!AI12)</f>
        <v/>
      </c>
      <c r="V12" s="396" t="str">
        <f>IF(〇号!AJ12="","",〇号!AJ12)</f>
        <v/>
      </c>
      <c r="W12" s="396" t="str">
        <f>IF(〇号!AK12="","",〇号!AK12)</f>
        <v/>
      </c>
      <c r="X12" s="396" t="str">
        <f>IF(〇号!AL12="","",〇号!AL12)</f>
        <v/>
      </c>
      <c r="Y12" s="396" t="str">
        <f>IF(〇号!AM12="","",〇号!AM12)</f>
        <v/>
      </c>
      <c r="Z12" s="396" t="str">
        <f>IF(〇号!AN12="","",〇号!AN12)</f>
        <v/>
      </c>
      <c r="AA12" s="396" t="str">
        <f>IF(〇号!AO12="","",〇号!AO12)</f>
        <v/>
      </c>
      <c r="AB12" s="396" t="str">
        <f>IF(〇号!AP12="","",〇号!AP12)</f>
        <v/>
      </c>
      <c r="AC12" s="396" t="str">
        <f>IF(〇号!AQ12="","",〇号!AQ12)</f>
        <v/>
      </c>
      <c r="AD12" s="396" t="str">
        <f>IF(〇号!AR12="","",〇号!AR12)</f>
        <v/>
      </c>
      <c r="AE12" s="396" t="str">
        <f>IF(〇号!AS12="","",〇号!AS12)</f>
        <v/>
      </c>
      <c r="AF12" s="396" t="str">
        <f>IF(〇号!AT12="","",〇号!AT12)</f>
        <v/>
      </c>
      <c r="AG12" s="396" t="str">
        <f>IF(〇号!AU12="","",〇号!AU12)</f>
        <v/>
      </c>
      <c r="AH12" s="396" t="str">
        <f>IF(〇号!AV12="","",〇号!AV12)</f>
        <v/>
      </c>
      <c r="AI12" s="396" t="str">
        <f>IF(〇号!AW12="","",〇号!AW12)</f>
        <v/>
      </c>
      <c r="AJ12" s="396" t="str">
        <f>IF(〇号!AX12="","",〇号!AX12)</f>
        <v/>
      </c>
      <c r="AK12" s="396" t="str">
        <f>IF(〇号!AY12="","",〇号!AY12)</f>
        <v/>
      </c>
      <c r="AL12" s="396" t="str">
        <f>IF(〇号!AZ12="","",〇号!AZ12)</f>
        <v/>
      </c>
      <c r="AM12" s="396" t="str">
        <f>IF(〇号!BA12="","",〇号!BA12)</f>
        <v/>
      </c>
      <c r="AN12" s="396" t="str">
        <f>IF(〇号!BB12="","",〇号!BB12)</f>
        <v/>
      </c>
      <c r="AO12" s="396" t="str">
        <f>IF(〇号!BC12="","",〇号!BC12)</f>
        <v/>
      </c>
      <c r="AP12" s="396" t="str">
        <f>IF(〇号!BD12="","",〇号!BD12)</f>
        <v/>
      </c>
      <c r="AQ12" s="398" t="str">
        <f>IF(〇号!BE12="","",〇号!BE12)</f>
        <v/>
      </c>
      <c r="AR12" s="86"/>
    </row>
    <row r="13" spans="1:44" s="317" customFormat="1" ht="14.25">
      <c r="A13" s="1042" t="s">
        <v>2</v>
      </c>
      <c r="B13" s="1043"/>
      <c r="C13" s="1044"/>
      <c r="D13" s="416"/>
      <c r="E13" s="396" t="str">
        <f>IF(〇号!S13="","",〇号!S13)</f>
        <v/>
      </c>
      <c r="F13" s="396" t="str">
        <f>IF(〇号!T13="","",〇号!T13)</f>
        <v/>
      </c>
      <c r="G13" s="396" t="str">
        <f>IF(〇号!U13="","",〇号!U13)</f>
        <v/>
      </c>
      <c r="H13" s="396" t="str">
        <f>IF(〇号!V13="","",〇号!V13)</f>
        <v/>
      </c>
      <c r="I13" s="396" t="str">
        <f>IF(〇号!W13="","",〇号!W13)</f>
        <v/>
      </c>
      <c r="J13" s="396" t="str">
        <f>IF(〇号!X13="","",〇号!X13)</f>
        <v/>
      </c>
      <c r="K13" s="396" t="str">
        <f>IF(〇号!Y13="","",〇号!Y13)</f>
        <v/>
      </c>
      <c r="L13" s="396" t="str">
        <f>IF(〇号!Z13="","",〇号!Z13)</f>
        <v/>
      </c>
      <c r="M13" s="396" t="str">
        <f>IF(〇号!AA13="","",〇号!AA13)</f>
        <v/>
      </c>
      <c r="N13" s="396" t="str">
        <f>IF(〇号!AB13="","",〇号!AB13)</f>
        <v/>
      </c>
      <c r="O13" s="396" t="str">
        <f>IF(〇号!AC13="","",〇号!AC13)</f>
        <v/>
      </c>
      <c r="P13" s="396" t="str">
        <f>IF(〇号!AD13="","",〇号!AD13)</f>
        <v/>
      </c>
      <c r="Q13" s="396" t="str">
        <f>IF(〇号!AE13="","",〇号!AE13)</f>
        <v/>
      </c>
      <c r="R13" s="396" t="str">
        <f>IF(〇号!AF13="","",〇号!AF13)</f>
        <v/>
      </c>
      <c r="S13" s="396" t="str">
        <f>IF(〇号!AG13="","",〇号!AG13)</f>
        <v/>
      </c>
      <c r="T13" s="396" t="str">
        <f>IF(〇号!AH13="","",〇号!AH13)</f>
        <v/>
      </c>
      <c r="U13" s="396" t="str">
        <f>IF(〇号!AI13="","",〇号!AI13)</f>
        <v/>
      </c>
      <c r="V13" s="396" t="str">
        <f>IF(〇号!AJ13="","",〇号!AJ13)</f>
        <v/>
      </c>
      <c r="W13" s="396" t="str">
        <f>IF(〇号!AK13="","",〇号!AK13)</f>
        <v/>
      </c>
      <c r="X13" s="396" t="str">
        <f>IF(〇号!AL13="","",〇号!AL13)</f>
        <v/>
      </c>
      <c r="Y13" s="396" t="str">
        <f>IF(〇号!AM13="","",〇号!AM13)</f>
        <v/>
      </c>
      <c r="Z13" s="396" t="str">
        <f>IF(〇号!AN13="","",〇号!AN13)</f>
        <v/>
      </c>
      <c r="AA13" s="396" t="str">
        <f>IF(〇号!AO13="","",〇号!AO13)</f>
        <v/>
      </c>
      <c r="AB13" s="396" t="str">
        <f>IF(〇号!AP13="","",〇号!AP13)</f>
        <v/>
      </c>
      <c r="AC13" s="396" t="str">
        <f>IF(〇号!AQ13="","",〇号!AQ13)</f>
        <v/>
      </c>
      <c r="AD13" s="396" t="str">
        <f>IF(〇号!AR13="","",〇号!AR13)</f>
        <v/>
      </c>
      <c r="AE13" s="396" t="str">
        <f>IF(〇号!AS13="","",〇号!AS13)</f>
        <v/>
      </c>
      <c r="AF13" s="396" t="str">
        <f>IF(〇号!AT13="","",〇号!AT13)</f>
        <v/>
      </c>
      <c r="AG13" s="396" t="str">
        <f>IF(〇号!AU13="","",〇号!AU13)</f>
        <v/>
      </c>
      <c r="AH13" s="396" t="str">
        <f>IF(〇号!AV13="","",〇号!AV13)</f>
        <v/>
      </c>
      <c r="AI13" s="396" t="str">
        <f>IF(〇号!AW13="","",〇号!AW13)</f>
        <v/>
      </c>
      <c r="AJ13" s="396" t="str">
        <f>IF(〇号!AX13="","",〇号!AX13)</f>
        <v/>
      </c>
      <c r="AK13" s="396" t="str">
        <f>IF(〇号!AY13="","",〇号!AY13)</f>
        <v/>
      </c>
      <c r="AL13" s="396" t="str">
        <f>IF(〇号!AZ13="","",〇号!AZ13)</f>
        <v/>
      </c>
      <c r="AM13" s="396" t="str">
        <f>IF(〇号!BA13="","",〇号!BA13)</f>
        <v/>
      </c>
      <c r="AN13" s="396" t="str">
        <f>IF(〇号!BB13="","",〇号!BB13)</f>
        <v/>
      </c>
      <c r="AO13" s="396" t="str">
        <f>IF(〇号!BC13="","",〇号!BC13)</f>
        <v/>
      </c>
      <c r="AP13" s="396" t="str">
        <f>IF(〇号!BD13="","",〇号!BD13)</f>
        <v/>
      </c>
      <c r="AQ13" s="398" t="str">
        <f>IF(〇号!BE13="","",〇号!BE13)</f>
        <v/>
      </c>
      <c r="AR13" s="86"/>
    </row>
    <row r="14" spans="1:44" s="317" customFormat="1" ht="14.25">
      <c r="A14" s="1009" t="s">
        <v>265</v>
      </c>
      <c r="B14" s="1010"/>
      <c r="C14" s="1010"/>
      <c r="D14" s="417"/>
      <c r="E14" s="396" t="str">
        <f>IF(〇号!S14=0,"",〇号!S14)</f>
        <v/>
      </c>
      <c r="F14" s="396" t="str">
        <f>IF(〇号!T14=0,"",〇号!T14)</f>
        <v/>
      </c>
      <c r="G14" s="396" t="str">
        <f>IF(〇号!U14=0,"",〇号!U14)</f>
        <v/>
      </c>
      <c r="H14" s="396" t="str">
        <f>IF(〇号!V14=0,"",〇号!V14)</f>
        <v/>
      </c>
      <c r="I14" s="396" t="str">
        <f>IF(〇号!W14=0,"",〇号!W14)</f>
        <v/>
      </c>
      <c r="J14" s="396" t="str">
        <f>IF(〇号!X14=0,"",〇号!X14)</f>
        <v/>
      </c>
      <c r="K14" s="396" t="str">
        <f>IF(〇号!Y14=0,"",〇号!Y14)</f>
        <v/>
      </c>
      <c r="L14" s="396" t="str">
        <f>IF(〇号!Z14=0,"",〇号!Z14)</f>
        <v/>
      </c>
      <c r="M14" s="396" t="str">
        <f>IF(〇号!AA14=0,"",〇号!AA14)</f>
        <v/>
      </c>
      <c r="N14" s="396" t="str">
        <f>IF(〇号!AB14=0,"",〇号!AB14)</f>
        <v/>
      </c>
      <c r="O14" s="396" t="str">
        <f>IF(〇号!AC14=0,"",〇号!AC14)</f>
        <v/>
      </c>
      <c r="P14" s="396" t="str">
        <f>IF(〇号!AD14=0,"",〇号!AD14)</f>
        <v/>
      </c>
      <c r="Q14" s="396" t="str">
        <f>IF(〇号!AE14=0,"",〇号!AE14)</f>
        <v/>
      </c>
      <c r="R14" s="396" t="str">
        <f>IF(〇号!AF14=0,"",〇号!AF14)</f>
        <v/>
      </c>
      <c r="S14" s="396" t="str">
        <f>IF(〇号!AG14=0,"",〇号!AG14)</f>
        <v/>
      </c>
      <c r="T14" s="396" t="str">
        <f>IF(〇号!AH14=0,"",〇号!AH14)</f>
        <v/>
      </c>
      <c r="U14" s="396" t="str">
        <f>IF(〇号!AI14=0,"",〇号!AI14)</f>
        <v/>
      </c>
      <c r="V14" s="396" t="str">
        <f>IF(〇号!AJ14=0,"",〇号!AJ14)</f>
        <v/>
      </c>
      <c r="W14" s="396" t="str">
        <f>IF(〇号!AK14=0,"",〇号!AK14)</f>
        <v/>
      </c>
      <c r="X14" s="396" t="str">
        <f>IF(〇号!AL14=0,"",〇号!AL14)</f>
        <v/>
      </c>
      <c r="Y14" s="396" t="str">
        <f>IF(〇号!AM14=0,"",〇号!AM14)</f>
        <v/>
      </c>
      <c r="Z14" s="396" t="str">
        <f>IF(〇号!AN14=0,"",〇号!AN14)</f>
        <v/>
      </c>
      <c r="AA14" s="396" t="str">
        <f>IF(〇号!AO14=0,"",〇号!AO14)</f>
        <v/>
      </c>
      <c r="AB14" s="396" t="str">
        <f>IF(〇号!AP14=0,"",〇号!AP14)</f>
        <v/>
      </c>
      <c r="AC14" s="396" t="str">
        <f>IF(〇号!AQ14=0,"",〇号!AQ14)</f>
        <v/>
      </c>
      <c r="AD14" s="396" t="str">
        <f>IF(〇号!AR14=0,"",〇号!AR14)</f>
        <v/>
      </c>
      <c r="AE14" s="396" t="str">
        <f>IF(〇号!AS14=0,"",〇号!AS14)</f>
        <v/>
      </c>
      <c r="AF14" s="396" t="str">
        <f>IF(〇号!AT14=0,"",〇号!AT14)</f>
        <v/>
      </c>
      <c r="AG14" s="396" t="str">
        <f>IF(〇号!AU14=0,"",〇号!AU14)</f>
        <v/>
      </c>
      <c r="AH14" s="396" t="str">
        <f>IF(〇号!AV14=0,"",〇号!AV14)</f>
        <v/>
      </c>
      <c r="AI14" s="396" t="str">
        <f>IF(〇号!AW14=0,"",〇号!AW14)</f>
        <v/>
      </c>
      <c r="AJ14" s="396" t="str">
        <f>IF(〇号!AX14=0,"",〇号!AX14)</f>
        <v/>
      </c>
      <c r="AK14" s="396" t="str">
        <f>IF(〇号!AY14=0,"",〇号!AY14)</f>
        <v/>
      </c>
      <c r="AL14" s="396" t="str">
        <f>IF(〇号!AZ14=0,"",〇号!AZ14)</f>
        <v/>
      </c>
      <c r="AM14" s="396" t="str">
        <f>IF(〇号!BA14=0,"",〇号!BA14)</f>
        <v/>
      </c>
      <c r="AN14" s="396" t="str">
        <f>IF(〇号!BB14=0,"",〇号!BB14)</f>
        <v/>
      </c>
      <c r="AO14" s="396" t="str">
        <f>IF(〇号!BC14=0,"",〇号!BC14)</f>
        <v/>
      </c>
      <c r="AP14" s="396" t="str">
        <f>IF(〇号!BD14=0,"",〇号!BD14)</f>
        <v/>
      </c>
      <c r="AQ14" s="398" t="str">
        <f>IF(〇号!BE14=0,"",〇号!BE14)</f>
        <v/>
      </c>
      <c r="AR14" s="86"/>
    </row>
    <row r="15" spans="1:44" s="317" customFormat="1" ht="14.25">
      <c r="A15" s="1009" t="s">
        <v>302</v>
      </c>
      <c r="B15" s="1010"/>
      <c r="C15" s="1010"/>
      <c r="D15" s="395"/>
      <c r="E15" s="396" t="str">
        <f>IFERROR(E38,"")</f>
        <v/>
      </c>
      <c r="F15" s="396" t="str">
        <f t="shared" ref="F15:AQ15" si="0">IFERROR(F38,"")</f>
        <v/>
      </c>
      <c r="G15" s="396" t="str">
        <f t="shared" si="0"/>
        <v/>
      </c>
      <c r="H15" s="396" t="str">
        <f t="shared" si="0"/>
        <v/>
      </c>
      <c r="I15" s="396" t="str">
        <f t="shared" si="0"/>
        <v/>
      </c>
      <c r="J15" s="396" t="str">
        <f t="shared" si="0"/>
        <v/>
      </c>
      <c r="K15" s="396" t="str">
        <f t="shared" si="0"/>
        <v/>
      </c>
      <c r="L15" s="396" t="str">
        <f t="shared" si="0"/>
        <v/>
      </c>
      <c r="M15" s="396" t="str">
        <f t="shared" si="0"/>
        <v/>
      </c>
      <c r="N15" s="396" t="str">
        <f t="shared" si="0"/>
        <v/>
      </c>
      <c r="O15" s="396" t="str">
        <f t="shared" si="0"/>
        <v/>
      </c>
      <c r="P15" s="396" t="str">
        <f t="shared" si="0"/>
        <v/>
      </c>
      <c r="Q15" s="396" t="str">
        <f t="shared" si="0"/>
        <v/>
      </c>
      <c r="R15" s="396" t="str">
        <f t="shared" si="0"/>
        <v/>
      </c>
      <c r="S15" s="396" t="str">
        <f t="shared" si="0"/>
        <v/>
      </c>
      <c r="T15" s="396" t="str">
        <f t="shared" si="0"/>
        <v/>
      </c>
      <c r="U15" s="396" t="str">
        <f t="shared" si="0"/>
        <v/>
      </c>
      <c r="V15" s="396" t="str">
        <f t="shared" si="0"/>
        <v/>
      </c>
      <c r="W15" s="396" t="str">
        <f t="shared" si="0"/>
        <v/>
      </c>
      <c r="X15" s="396" t="str">
        <f t="shared" si="0"/>
        <v/>
      </c>
      <c r="Y15" s="396" t="str">
        <f t="shared" si="0"/>
        <v/>
      </c>
      <c r="Z15" s="396" t="str">
        <f t="shared" si="0"/>
        <v/>
      </c>
      <c r="AA15" s="396" t="str">
        <f t="shared" si="0"/>
        <v/>
      </c>
      <c r="AB15" s="396" t="str">
        <f t="shared" si="0"/>
        <v/>
      </c>
      <c r="AC15" s="396" t="str">
        <f t="shared" si="0"/>
        <v/>
      </c>
      <c r="AD15" s="396" t="str">
        <f t="shared" si="0"/>
        <v/>
      </c>
      <c r="AE15" s="396" t="str">
        <f t="shared" si="0"/>
        <v/>
      </c>
      <c r="AF15" s="396" t="str">
        <f t="shared" si="0"/>
        <v/>
      </c>
      <c r="AG15" s="396" t="str">
        <f t="shared" si="0"/>
        <v/>
      </c>
      <c r="AH15" s="396" t="str">
        <f t="shared" si="0"/>
        <v/>
      </c>
      <c r="AI15" s="396" t="str">
        <f t="shared" si="0"/>
        <v/>
      </c>
      <c r="AJ15" s="396" t="str">
        <f t="shared" si="0"/>
        <v/>
      </c>
      <c r="AK15" s="396" t="str">
        <f t="shared" si="0"/>
        <v/>
      </c>
      <c r="AL15" s="396" t="str">
        <f t="shared" si="0"/>
        <v/>
      </c>
      <c r="AM15" s="396" t="str">
        <f t="shared" si="0"/>
        <v/>
      </c>
      <c r="AN15" s="396" t="str">
        <f t="shared" si="0"/>
        <v/>
      </c>
      <c r="AO15" s="396" t="str">
        <f t="shared" si="0"/>
        <v/>
      </c>
      <c r="AP15" s="396" t="str">
        <f t="shared" si="0"/>
        <v/>
      </c>
      <c r="AQ15" s="397" t="str">
        <f t="shared" si="0"/>
        <v/>
      </c>
      <c r="AR15" s="86"/>
    </row>
    <row r="16" spans="1:44" s="317" customFormat="1" ht="14.25" customHeight="1">
      <c r="A16" s="1009" t="s">
        <v>303</v>
      </c>
      <c r="B16" s="1010"/>
      <c r="C16" s="1010"/>
      <c r="D16" s="395"/>
      <c r="E16" s="396" t="str">
        <f>IFERROR(E39,"")</f>
        <v/>
      </c>
      <c r="F16" s="396" t="str">
        <f t="shared" ref="F16:AQ18" si="1">IFERROR(F39,"")</f>
        <v/>
      </c>
      <c r="G16" s="396" t="str">
        <f t="shared" si="1"/>
        <v/>
      </c>
      <c r="H16" s="396" t="str">
        <f t="shared" si="1"/>
        <v/>
      </c>
      <c r="I16" s="396" t="str">
        <f t="shared" si="1"/>
        <v/>
      </c>
      <c r="J16" s="396" t="str">
        <f t="shared" si="1"/>
        <v/>
      </c>
      <c r="K16" s="396" t="str">
        <f t="shared" si="1"/>
        <v/>
      </c>
      <c r="L16" s="396" t="str">
        <f t="shared" si="1"/>
        <v/>
      </c>
      <c r="M16" s="396" t="str">
        <f>IFERROR(M39,"")</f>
        <v/>
      </c>
      <c r="N16" s="396" t="str">
        <f t="shared" si="1"/>
        <v/>
      </c>
      <c r="O16" s="396" t="str">
        <f t="shared" si="1"/>
        <v/>
      </c>
      <c r="P16" s="396" t="str">
        <f t="shared" si="1"/>
        <v/>
      </c>
      <c r="Q16" s="396" t="str">
        <f t="shared" si="1"/>
        <v/>
      </c>
      <c r="R16" s="396" t="str">
        <f t="shared" si="1"/>
        <v/>
      </c>
      <c r="S16" s="396" t="str">
        <f t="shared" si="1"/>
        <v/>
      </c>
      <c r="T16" s="396" t="str">
        <f t="shared" si="1"/>
        <v/>
      </c>
      <c r="U16" s="396" t="str">
        <f t="shared" si="1"/>
        <v/>
      </c>
      <c r="V16" s="396" t="str">
        <f t="shared" si="1"/>
        <v/>
      </c>
      <c r="W16" s="396" t="str">
        <f t="shared" si="1"/>
        <v/>
      </c>
      <c r="X16" s="396" t="str">
        <f t="shared" si="1"/>
        <v/>
      </c>
      <c r="Y16" s="396" t="str">
        <f t="shared" si="1"/>
        <v/>
      </c>
      <c r="Z16" s="396" t="str">
        <f t="shared" si="1"/>
        <v/>
      </c>
      <c r="AA16" s="396" t="str">
        <f t="shared" si="1"/>
        <v/>
      </c>
      <c r="AB16" s="396" t="str">
        <f t="shared" si="1"/>
        <v/>
      </c>
      <c r="AC16" s="396" t="str">
        <f t="shared" si="1"/>
        <v/>
      </c>
      <c r="AD16" s="396" t="str">
        <f t="shared" si="1"/>
        <v/>
      </c>
      <c r="AE16" s="396" t="str">
        <f t="shared" si="1"/>
        <v/>
      </c>
      <c r="AF16" s="396" t="str">
        <f t="shared" si="1"/>
        <v/>
      </c>
      <c r="AG16" s="396" t="str">
        <f t="shared" si="1"/>
        <v/>
      </c>
      <c r="AH16" s="396" t="str">
        <f t="shared" si="1"/>
        <v/>
      </c>
      <c r="AI16" s="396" t="str">
        <f t="shared" si="1"/>
        <v/>
      </c>
      <c r="AJ16" s="396" t="str">
        <f t="shared" si="1"/>
        <v/>
      </c>
      <c r="AK16" s="396" t="str">
        <f t="shared" si="1"/>
        <v/>
      </c>
      <c r="AL16" s="396" t="str">
        <f t="shared" si="1"/>
        <v/>
      </c>
      <c r="AM16" s="396" t="str">
        <f t="shared" si="1"/>
        <v/>
      </c>
      <c r="AN16" s="396" t="str">
        <f t="shared" si="1"/>
        <v/>
      </c>
      <c r="AO16" s="396" t="str">
        <f t="shared" si="1"/>
        <v/>
      </c>
      <c r="AP16" s="396" t="str">
        <f t="shared" si="1"/>
        <v/>
      </c>
      <c r="AQ16" s="397" t="str">
        <f t="shared" si="1"/>
        <v/>
      </c>
      <c r="AR16" s="86"/>
    </row>
    <row r="17" spans="1:44" s="317" customFormat="1" ht="14.25">
      <c r="A17" s="1009" t="s">
        <v>304</v>
      </c>
      <c r="B17" s="1010"/>
      <c r="C17" s="1010"/>
      <c r="D17" s="395"/>
      <c r="E17" s="396" t="str">
        <f t="shared" ref="E17:T18" si="2">IFERROR(E40,"")</f>
        <v/>
      </c>
      <c r="F17" s="396" t="str">
        <f t="shared" si="2"/>
        <v/>
      </c>
      <c r="G17" s="396" t="str">
        <f t="shared" si="2"/>
        <v/>
      </c>
      <c r="H17" s="396" t="str">
        <f t="shared" si="2"/>
        <v/>
      </c>
      <c r="I17" s="396" t="str">
        <f t="shared" si="2"/>
        <v/>
      </c>
      <c r="J17" s="396" t="str">
        <f t="shared" si="2"/>
        <v/>
      </c>
      <c r="K17" s="396" t="str">
        <f t="shared" si="2"/>
        <v/>
      </c>
      <c r="L17" s="396" t="str">
        <f t="shared" si="2"/>
        <v/>
      </c>
      <c r="M17" s="396" t="str">
        <f t="shared" si="2"/>
        <v/>
      </c>
      <c r="N17" s="396" t="str">
        <f t="shared" si="2"/>
        <v/>
      </c>
      <c r="O17" s="396" t="str">
        <f t="shared" si="2"/>
        <v/>
      </c>
      <c r="P17" s="396" t="str">
        <f t="shared" si="2"/>
        <v/>
      </c>
      <c r="Q17" s="396" t="str">
        <f t="shared" si="2"/>
        <v/>
      </c>
      <c r="R17" s="396" t="str">
        <f t="shared" si="2"/>
        <v/>
      </c>
      <c r="S17" s="396" t="str">
        <f t="shared" si="2"/>
        <v/>
      </c>
      <c r="T17" s="396" t="str">
        <f t="shared" si="2"/>
        <v/>
      </c>
      <c r="U17" s="396" t="str">
        <f t="shared" si="1"/>
        <v/>
      </c>
      <c r="V17" s="396" t="str">
        <f t="shared" si="1"/>
        <v/>
      </c>
      <c r="W17" s="396" t="str">
        <f t="shared" si="1"/>
        <v/>
      </c>
      <c r="X17" s="396" t="str">
        <f t="shared" si="1"/>
        <v/>
      </c>
      <c r="Y17" s="396" t="str">
        <f t="shared" si="1"/>
        <v/>
      </c>
      <c r="Z17" s="396" t="str">
        <f t="shared" si="1"/>
        <v/>
      </c>
      <c r="AA17" s="396" t="str">
        <f t="shared" si="1"/>
        <v/>
      </c>
      <c r="AB17" s="396" t="str">
        <f t="shared" si="1"/>
        <v/>
      </c>
      <c r="AC17" s="396" t="str">
        <f t="shared" si="1"/>
        <v/>
      </c>
      <c r="AD17" s="396" t="str">
        <f t="shared" si="1"/>
        <v/>
      </c>
      <c r="AE17" s="396" t="str">
        <f t="shared" si="1"/>
        <v/>
      </c>
      <c r="AF17" s="396" t="str">
        <f t="shared" si="1"/>
        <v/>
      </c>
      <c r="AG17" s="396" t="str">
        <f t="shared" si="1"/>
        <v/>
      </c>
      <c r="AH17" s="396" t="str">
        <f t="shared" si="1"/>
        <v/>
      </c>
      <c r="AI17" s="396" t="str">
        <f t="shared" si="1"/>
        <v/>
      </c>
      <c r="AJ17" s="396" t="str">
        <f t="shared" si="1"/>
        <v/>
      </c>
      <c r="AK17" s="396" t="str">
        <f t="shared" si="1"/>
        <v/>
      </c>
      <c r="AL17" s="396" t="str">
        <f t="shared" si="1"/>
        <v/>
      </c>
      <c r="AM17" s="396" t="str">
        <f t="shared" si="1"/>
        <v/>
      </c>
      <c r="AN17" s="396" t="str">
        <f t="shared" si="1"/>
        <v/>
      </c>
      <c r="AO17" s="396" t="str">
        <f t="shared" si="1"/>
        <v/>
      </c>
      <c r="AP17" s="396" t="str">
        <f t="shared" si="1"/>
        <v/>
      </c>
      <c r="AQ17" s="397" t="str">
        <f t="shared" si="1"/>
        <v/>
      </c>
      <c r="AR17" s="372"/>
    </row>
    <row r="18" spans="1:44" s="317" customFormat="1" ht="14.25">
      <c r="A18" s="1051" t="s">
        <v>305</v>
      </c>
      <c r="B18" s="1052"/>
      <c r="C18" s="1052"/>
      <c r="D18" s="399"/>
      <c r="E18" s="396" t="str">
        <f t="shared" si="2"/>
        <v/>
      </c>
      <c r="F18" s="396" t="str">
        <f t="shared" si="1"/>
        <v/>
      </c>
      <c r="G18" s="396" t="str">
        <f t="shared" si="1"/>
        <v/>
      </c>
      <c r="H18" s="396" t="str">
        <f t="shared" si="1"/>
        <v/>
      </c>
      <c r="I18" s="396" t="str">
        <f t="shared" si="1"/>
        <v/>
      </c>
      <c r="J18" s="396" t="str">
        <f t="shared" si="1"/>
        <v/>
      </c>
      <c r="K18" s="396" t="str">
        <f t="shared" si="1"/>
        <v/>
      </c>
      <c r="L18" s="396" t="str">
        <f t="shared" si="1"/>
        <v/>
      </c>
      <c r="M18" s="396" t="str">
        <f t="shared" si="1"/>
        <v/>
      </c>
      <c r="N18" s="396" t="str">
        <f t="shared" si="1"/>
        <v/>
      </c>
      <c r="O18" s="396" t="str">
        <f t="shared" si="1"/>
        <v/>
      </c>
      <c r="P18" s="396" t="str">
        <f t="shared" si="1"/>
        <v/>
      </c>
      <c r="Q18" s="396" t="str">
        <f t="shared" si="1"/>
        <v/>
      </c>
      <c r="R18" s="396" t="str">
        <f t="shared" si="1"/>
        <v/>
      </c>
      <c r="S18" s="396" t="str">
        <f t="shared" si="1"/>
        <v/>
      </c>
      <c r="T18" s="396" t="str">
        <f t="shared" si="1"/>
        <v/>
      </c>
      <c r="U18" s="396" t="str">
        <f t="shared" si="1"/>
        <v/>
      </c>
      <c r="V18" s="396" t="str">
        <f t="shared" si="1"/>
        <v/>
      </c>
      <c r="W18" s="396" t="str">
        <f t="shared" si="1"/>
        <v/>
      </c>
      <c r="X18" s="396" t="str">
        <f t="shared" si="1"/>
        <v/>
      </c>
      <c r="Y18" s="396" t="str">
        <f t="shared" si="1"/>
        <v/>
      </c>
      <c r="Z18" s="396" t="str">
        <f t="shared" si="1"/>
        <v/>
      </c>
      <c r="AA18" s="396" t="str">
        <f t="shared" si="1"/>
        <v/>
      </c>
      <c r="AB18" s="396" t="str">
        <f t="shared" si="1"/>
        <v/>
      </c>
      <c r="AC18" s="396" t="str">
        <f t="shared" si="1"/>
        <v/>
      </c>
      <c r="AD18" s="396" t="str">
        <f t="shared" si="1"/>
        <v/>
      </c>
      <c r="AE18" s="396" t="str">
        <f t="shared" si="1"/>
        <v/>
      </c>
      <c r="AF18" s="396" t="str">
        <f t="shared" si="1"/>
        <v/>
      </c>
      <c r="AG18" s="396" t="str">
        <f t="shared" si="1"/>
        <v/>
      </c>
      <c r="AH18" s="396" t="str">
        <f t="shared" si="1"/>
        <v/>
      </c>
      <c r="AI18" s="396" t="str">
        <f t="shared" si="1"/>
        <v/>
      </c>
      <c r="AJ18" s="396" t="str">
        <f t="shared" si="1"/>
        <v/>
      </c>
      <c r="AK18" s="396" t="str">
        <f t="shared" si="1"/>
        <v/>
      </c>
      <c r="AL18" s="396" t="str">
        <f t="shared" si="1"/>
        <v/>
      </c>
      <c r="AM18" s="396" t="str">
        <f t="shared" si="1"/>
        <v/>
      </c>
      <c r="AN18" s="396" t="str">
        <f t="shared" si="1"/>
        <v/>
      </c>
      <c r="AO18" s="396" t="str">
        <f t="shared" si="1"/>
        <v/>
      </c>
      <c r="AP18" s="396" t="str">
        <f t="shared" si="1"/>
        <v/>
      </c>
      <c r="AQ18" s="397" t="str">
        <f t="shared" si="1"/>
        <v/>
      </c>
      <c r="AR18" s="372"/>
    </row>
    <row r="19" spans="1:44" s="317" customFormat="1" ht="14.25" hidden="1">
      <c r="A19" s="1009" t="s">
        <v>352</v>
      </c>
      <c r="B19" s="1010"/>
      <c r="C19" s="1010"/>
      <c r="D19" s="400"/>
      <c r="E19" s="401">
        <f t="shared" ref="E19:AQ19" si="3">IF(E11="",0,E11)</f>
        <v>0</v>
      </c>
      <c r="F19" s="401">
        <f t="shared" si="3"/>
        <v>0</v>
      </c>
      <c r="G19" s="401">
        <f t="shared" si="3"/>
        <v>0</v>
      </c>
      <c r="H19" s="401">
        <f t="shared" si="3"/>
        <v>0</v>
      </c>
      <c r="I19" s="401">
        <f t="shared" si="3"/>
        <v>0</v>
      </c>
      <c r="J19" s="401">
        <f t="shared" si="3"/>
        <v>0</v>
      </c>
      <c r="K19" s="401">
        <f t="shared" si="3"/>
        <v>0</v>
      </c>
      <c r="L19" s="401">
        <f t="shared" si="3"/>
        <v>0</v>
      </c>
      <c r="M19" s="401">
        <f t="shared" si="3"/>
        <v>0</v>
      </c>
      <c r="N19" s="401">
        <f t="shared" si="3"/>
        <v>0</v>
      </c>
      <c r="O19" s="401">
        <f t="shared" si="3"/>
        <v>0</v>
      </c>
      <c r="P19" s="401">
        <f t="shared" si="3"/>
        <v>0</v>
      </c>
      <c r="Q19" s="401">
        <f t="shared" si="3"/>
        <v>0</v>
      </c>
      <c r="R19" s="401">
        <f t="shared" si="3"/>
        <v>0</v>
      </c>
      <c r="S19" s="401">
        <f t="shared" si="3"/>
        <v>0</v>
      </c>
      <c r="T19" s="401">
        <f t="shared" si="3"/>
        <v>0</v>
      </c>
      <c r="U19" s="401">
        <f t="shared" si="3"/>
        <v>0</v>
      </c>
      <c r="V19" s="401">
        <f t="shared" si="3"/>
        <v>0</v>
      </c>
      <c r="W19" s="401">
        <f t="shared" si="3"/>
        <v>0</v>
      </c>
      <c r="X19" s="401">
        <f t="shared" si="3"/>
        <v>0</v>
      </c>
      <c r="Y19" s="401">
        <f t="shared" si="3"/>
        <v>0</v>
      </c>
      <c r="Z19" s="401">
        <f t="shared" si="3"/>
        <v>0</v>
      </c>
      <c r="AA19" s="401">
        <f t="shared" si="3"/>
        <v>0</v>
      </c>
      <c r="AB19" s="401">
        <f t="shared" si="3"/>
        <v>0</v>
      </c>
      <c r="AC19" s="401">
        <f t="shared" si="3"/>
        <v>0</v>
      </c>
      <c r="AD19" s="401">
        <f t="shared" si="3"/>
        <v>0</v>
      </c>
      <c r="AE19" s="401">
        <f t="shared" si="3"/>
        <v>0</v>
      </c>
      <c r="AF19" s="401">
        <f t="shared" si="3"/>
        <v>0</v>
      </c>
      <c r="AG19" s="401">
        <f t="shared" si="3"/>
        <v>0</v>
      </c>
      <c r="AH19" s="401">
        <f t="shared" si="3"/>
        <v>0</v>
      </c>
      <c r="AI19" s="401">
        <f t="shared" si="3"/>
        <v>0</v>
      </c>
      <c r="AJ19" s="401">
        <f t="shared" si="3"/>
        <v>0</v>
      </c>
      <c r="AK19" s="401">
        <f t="shared" si="3"/>
        <v>0</v>
      </c>
      <c r="AL19" s="401">
        <f t="shared" si="3"/>
        <v>0</v>
      </c>
      <c r="AM19" s="401">
        <f t="shared" si="3"/>
        <v>0</v>
      </c>
      <c r="AN19" s="401">
        <f t="shared" si="3"/>
        <v>0</v>
      </c>
      <c r="AO19" s="401">
        <f t="shared" si="3"/>
        <v>0</v>
      </c>
      <c r="AP19" s="401">
        <f t="shared" si="3"/>
        <v>0</v>
      </c>
      <c r="AQ19" s="402">
        <f t="shared" si="3"/>
        <v>0</v>
      </c>
      <c r="AR19" s="86"/>
    </row>
    <row r="20" spans="1:44" s="317" customFormat="1" ht="14.25" hidden="1">
      <c r="A20" s="1045" t="s">
        <v>343</v>
      </c>
      <c r="B20" s="728"/>
      <c r="C20" s="729"/>
      <c r="D20" s="403">
        <f>SUM(D8:G8)</f>
        <v>0</v>
      </c>
      <c r="E20" s="404">
        <f t="shared" ref="E20:AQ20" si="4">D20+D19</f>
        <v>0</v>
      </c>
      <c r="F20" s="404">
        <f t="shared" si="4"/>
        <v>0</v>
      </c>
      <c r="G20" s="404">
        <f t="shared" si="4"/>
        <v>0</v>
      </c>
      <c r="H20" s="404">
        <f t="shared" si="4"/>
        <v>0</v>
      </c>
      <c r="I20" s="404">
        <f t="shared" si="4"/>
        <v>0</v>
      </c>
      <c r="J20" s="404">
        <f t="shared" si="4"/>
        <v>0</v>
      </c>
      <c r="K20" s="404">
        <f t="shared" si="4"/>
        <v>0</v>
      </c>
      <c r="L20" s="404">
        <f t="shared" si="4"/>
        <v>0</v>
      </c>
      <c r="M20" s="404">
        <f t="shared" si="4"/>
        <v>0</v>
      </c>
      <c r="N20" s="404">
        <f t="shared" si="4"/>
        <v>0</v>
      </c>
      <c r="O20" s="404">
        <f t="shared" si="4"/>
        <v>0</v>
      </c>
      <c r="P20" s="404">
        <f t="shared" si="4"/>
        <v>0</v>
      </c>
      <c r="Q20" s="404">
        <f t="shared" si="4"/>
        <v>0</v>
      </c>
      <c r="R20" s="404">
        <f t="shared" si="4"/>
        <v>0</v>
      </c>
      <c r="S20" s="404">
        <f t="shared" si="4"/>
        <v>0</v>
      </c>
      <c r="T20" s="404">
        <f t="shared" si="4"/>
        <v>0</v>
      </c>
      <c r="U20" s="404">
        <f t="shared" si="4"/>
        <v>0</v>
      </c>
      <c r="V20" s="404">
        <f t="shared" si="4"/>
        <v>0</v>
      </c>
      <c r="W20" s="404">
        <f t="shared" si="4"/>
        <v>0</v>
      </c>
      <c r="X20" s="404">
        <f t="shared" si="4"/>
        <v>0</v>
      </c>
      <c r="Y20" s="404">
        <f t="shared" si="4"/>
        <v>0</v>
      </c>
      <c r="Z20" s="404">
        <f t="shared" si="4"/>
        <v>0</v>
      </c>
      <c r="AA20" s="404">
        <f t="shared" si="4"/>
        <v>0</v>
      </c>
      <c r="AB20" s="404">
        <f t="shared" si="4"/>
        <v>0</v>
      </c>
      <c r="AC20" s="404">
        <f t="shared" si="4"/>
        <v>0</v>
      </c>
      <c r="AD20" s="404">
        <f t="shared" si="4"/>
        <v>0</v>
      </c>
      <c r="AE20" s="404">
        <f t="shared" si="4"/>
        <v>0</v>
      </c>
      <c r="AF20" s="404">
        <f t="shared" si="4"/>
        <v>0</v>
      </c>
      <c r="AG20" s="404">
        <f t="shared" si="4"/>
        <v>0</v>
      </c>
      <c r="AH20" s="404">
        <f t="shared" si="4"/>
        <v>0</v>
      </c>
      <c r="AI20" s="404">
        <f t="shared" si="4"/>
        <v>0</v>
      </c>
      <c r="AJ20" s="404">
        <f t="shared" si="4"/>
        <v>0</v>
      </c>
      <c r="AK20" s="404">
        <f t="shared" si="4"/>
        <v>0</v>
      </c>
      <c r="AL20" s="404">
        <f t="shared" si="4"/>
        <v>0</v>
      </c>
      <c r="AM20" s="404">
        <f t="shared" si="4"/>
        <v>0</v>
      </c>
      <c r="AN20" s="404">
        <f t="shared" si="4"/>
        <v>0</v>
      </c>
      <c r="AO20" s="404">
        <f t="shared" si="4"/>
        <v>0</v>
      </c>
      <c r="AP20" s="404">
        <f t="shared" si="4"/>
        <v>0</v>
      </c>
      <c r="AQ20" s="405">
        <f t="shared" si="4"/>
        <v>0</v>
      </c>
      <c r="AR20"/>
    </row>
    <row r="21" spans="1:44" s="317" customFormat="1" ht="14.25" hidden="1">
      <c r="A21" s="1045" t="s">
        <v>344</v>
      </c>
      <c r="B21" s="728"/>
      <c r="C21" s="729"/>
      <c r="D21" s="406" t="e">
        <f t="shared" ref="D21:AQ21" si="5">(D20)/SUM($D$5:$G$5)*100</f>
        <v>#DIV/0!</v>
      </c>
      <c r="E21" s="406" t="e">
        <f t="shared" si="5"/>
        <v>#DIV/0!</v>
      </c>
      <c r="F21" s="406" t="e">
        <f t="shared" si="5"/>
        <v>#DIV/0!</v>
      </c>
      <c r="G21" s="406" t="e">
        <f t="shared" si="5"/>
        <v>#DIV/0!</v>
      </c>
      <c r="H21" s="406" t="e">
        <f t="shared" si="5"/>
        <v>#DIV/0!</v>
      </c>
      <c r="I21" s="406" t="e">
        <f t="shared" si="5"/>
        <v>#DIV/0!</v>
      </c>
      <c r="J21" s="406" t="e">
        <f t="shared" si="5"/>
        <v>#DIV/0!</v>
      </c>
      <c r="K21" s="406" t="e">
        <f t="shared" si="5"/>
        <v>#DIV/0!</v>
      </c>
      <c r="L21" s="406" t="e">
        <f t="shared" si="5"/>
        <v>#DIV/0!</v>
      </c>
      <c r="M21" s="406" t="e">
        <f t="shared" si="5"/>
        <v>#DIV/0!</v>
      </c>
      <c r="N21" s="406" t="e">
        <f t="shared" si="5"/>
        <v>#DIV/0!</v>
      </c>
      <c r="O21" s="406" t="e">
        <f t="shared" si="5"/>
        <v>#DIV/0!</v>
      </c>
      <c r="P21" s="406" t="e">
        <f t="shared" si="5"/>
        <v>#DIV/0!</v>
      </c>
      <c r="Q21" s="406" t="e">
        <f t="shared" si="5"/>
        <v>#DIV/0!</v>
      </c>
      <c r="R21" s="406" t="e">
        <f t="shared" si="5"/>
        <v>#DIV/0!</v>
      </c>
      <c r="S21" s="406" t="e">
        <f t="shared" si="5"/>
        <v>#DIV/0!</v>
      </c>
      <c r="T21" s="406" t="e">
        <f t="shared" si="5"/>
        <v>#DIV/0!</v>
      </c>
      <c r="U21" s="406" t="e">
        <f t="shared" si="5"/>
        <v>#DIV/0!</v>
      </c>
      <c r="V21" s="406" t="e">
        <f t="shared" si="5"/>
        <v>#DIV/0!</v>
      </c>
      <c r="W21" s="406" t="e">
        <f t="shared" si="5"/>
        <v>#DIV/0!</v>
      </c>
      <c r="X21" s="406" t="e">
        <f t="shared" si="5"/>
        <v>#DIV/0!</v>
      </c>
      <c r="Y21" s="406" t="e">
        <f t="shared" si="5"/>
        <v>#DIV/0!</v>
      </c>
      <c r="Z21" s="406" t="e">
        <f t="shared" si="5"/>
        <v>#DIV/0!</v>
      </c>
      <c r="AA21" s="406" t="e">
        <f t="shared" si="5"/>
        <v>#DIV/0!</v>
      </c>
      <c r="AB21" s="406" t="e">
        <f t="shared" si="5"/>
        <v>#DIV/0!</v>
      </c>
      <c r="AC21" s="406" t="e">
        <f t="shared" si="5"/>
        <v>#DIV/0!</v>
      </c>
      <c r="AD21" s="406" t="e">
        <f t="shared" si="5"/>
        <v>#DIV/0!</v>
      </c>
      <c r="AE21" s="406" t="e">
        <f t="shared" si="5"/>
        <v>#DIV/0!</v>
      </c>
      <c r="AF21" s="406" t="e">
        <f t="shared" si="5"/>
        <v>#DIV/0!</v>
      </c>
      <c r="AG21" s="406" t="e">
        <f t="shared" si="5"/>
        <v>#DIV/0!</v>
      </c>
      <c r="AH21" s="406" t="e">
        <f t="shared" si="5"/>
        <v>#DIV/0!</v>
      </c>
      <c r="AI21" s="406" t="e">
        <f t="shared" si="5"/>
        <v>#DIV/0!</v>
      </c>
      <c r="AJ21" s="406" t="e">
        <f t="shared" si="5"/>
        <v>#DIV/0!</v>
      </c>
      <c r="AK21" s="406" t="e">
        <f t="shared" si="5"/>
        <v>#DIV/0!</v>
      </c>
      <c r="AL21" s="406" t="e">
        <f t="shared" si="5"/>
        <v>#DIV/0!</v>
      </c>
      <c r="AM21" s="406" t="e">
        <f t="shared" si="5"/>
        <v>#DIV/0!</v>
      </c>
      <c r="AN21" s="406" t="e">
        <f t="shared" si="5"/>
        <v>#DIV/0!</v>
      </c>
      <c r="AO21" s="406" t="e">
        <f t="shared" si="5"/>
        <v>#DIV/0!</v>
      </c>
      <c r="AP21" s="406" t="e">
        <f t="shared" si="5"/>
        <v>#DIV/0!</v>
      </c>
      <c r="AQ21" s="407" t="e">
        <f t="shared" si="5"/>
        <v>#DIV/0!</v>
      </c>
      <c r="AR21"/>
    </row>
    <row r="22" spans="1:44" s="317" customFormat="1" ht="15" thickBot="1">
      <c r="A22" s="1055" t="s">
        <v>344</v>
      </c>
      <c r="B22" s="771"/>
      <c r="C22" s="772"/>
      <c r="D22" s="408" t="str">
        <f t="shared" ref="D22:AQ22" si="6">IFERROR(D21,"")</f>
        <v/>
      </c>
      <c r="E22" s="409" t="str">
        <f t="shared" si="6"/>
        <v/>
      </c>
      <c r="F22" s="409" t="str">
        <f t="shared" si="6"/>
        <v/>
      </c>
      <c r="G22" s="409" t="str">
        <f t="shared" si="6"/>
        <v/>
      </c>
      <c r="H22" s="409" t="str">
        <f t="shared" si="6"/>
        <v/>
      </c>
      <c r="I22" s="409" t="str">
        <f t="shared" si="6"/>
        <v/>
      </c>
      <c r="J22" s="409" t="str">
        <f t="shared" si="6"/>
        <v/>
      </c>
      <c r="K22" s="409" t="str">
        <f t="shared" si="6"/>
        <v/>
      </c>
      <c r="L22" s="409" t="str">
        <f t="shared" si="6"/>
        <v/>
      </c>
      <c r="M22" s="409" t="str">
        <f t="shared" si="6"/>
        <v/>
      </c>
      <c r="N22" s="409" t="str">
        <f t="shared" si="6"/>
        <v/>
      </c>
      <c r="O22" s="409" t="str">
        <f t="shared" si="6"/>
        <v/>
      </c>
      <c r="P22" s="409" t="str">
        <f t="shared" si="6"/>
        <v/>
      </c>
      <c r="Q22" s="409" t="str">
        <f t="shared" si="6"/>
        <v/>
      </c>
      <c r="R22" s="409" t="str">
        <f t="shared" si="6"/>
        <v/>
      </c>
      <c r="S22" s="409" t="str">
        <f t="shared" si="6"/>
        <v/>
      </c>
      <c r="T22" s="409" t="str">
        <f t="shared" si="6"/>
        <v/>
      </c>
      <c r="U22" s="409" t="str">
        <f t="shared" si="6"/>
        <v/>
      </c>
      <c r="V22" s="409" t="str">
        <f t="shared" si="6"/>
        <v/>
      </c>
      <c r="W22" s="409" t="str">
        <f t="shared" si="6"/>
        <v/>
      </c>
      <c r="X22" s="409" t="str">
        <f t="shared" si="6"/>
        <v/>
      </c>
      <c r="Y22" s="409" t="str">
        <f t="shared" si="6"/>
        <v/>
      </c>
      <c r="Z22" s="409" t="str">
        <f t="shared" si="6"/>
        <v/>
      </c>
      <c r="AA22" s="409" t="str">
        <f t="shared" si="6"/>
        <v/>
      </c>
      <c r="AB22" s="409" t="str">
        <f t="shared" si="6"/>
        <v/>
      </c>
      <c r="AC22" s="409" t="str">
        <f t="shared" si="6"/>
        <v/>
      </c>
      <c r="AD22" s="409" t="str">
        <f t="shared" si="6"/>
        <v/>
      </c>
      <c r="AE22" s="409" t="str">
        <f t="shared" si="6"/>
        <v/>
      </c>
      <c r="AF22" s="409" t="str">
        <f t="shared" si="6"/>
        <v/>
      </c>
      <c r="AG22" s="409" t="str">
        <f t="shared" si="6"/>
        <v/>
      </c>
      <c r="AH22" s="409" t="str">
        <f t="shared" si="6"/>
        <v/>
      </c>
      <c r="AI22" s="409" t="str">
        <f t="shared" si="6"/>
        <v/>
      </c>
      <c r="AJ22" s="409" t="str">
        <f t="shared" si="6"/>
        <v/>
      </c>
      <c r="AK22" s="409" t="str">
        <f t="shared" si="6"/>
        <v/>
      </c>
      <c r="AL22" s="409" t="str">
        <f t="shared" si="6"/>
        <v/>
      </c>
      <c r="AM22" s="409" t="str">
        <f t="shared" si="6"/>
        <v/>
      </c>
      <c r="AN22" s="409" t="str">
        <f t="shared" si="6"/>
        <v/>
      </c>
      <c r="AO22" s="409" t="str">
        <f t="shared" si="6"/>
        <v/>
      </c>
      <c r="AP22" s="409" t="str">
        <f t="shared" si="6"/>
        <v/>
      </c>
      <c r="AQ22" s="410" t="str">
        <f t="shared" si="6"/>
        <v/>
      </c>
      <c r="AR22" s="86"/>
    </row>
    <row r="24" spans="1:44" s="317" customFormat="1" ht="14.25" hidden="1">
      <c r="A24" s="346"/>
      <c r="B24" s="346" t="s">
        <v>175</v>
      </c>
      <c r="C24" s="346" t="s">
        <v>176</v>
      </c>
      <c r="D24" s="347" t="s">
        <v>177</v>
      </c>
      <c r="E24" s="346" t="s">
        <v>178</v>
      </c>
      <c r="F24" s="346" t="s">
        <v>179</v>
      </c>
      <c r="G24" s="346" t="s">
        <v>180</v>
      </c>
      <c r="H24" s="346" t="s">
        <v>181</v>
      </c>
      <c r="I24" s="346" t="s">
        <v>182</v>
      </c>
      <c r="J24" s="346" t="s">
        <v>183</v>
      </c>
      <c r="K24" s="346" t="s">
        <v>184</v>
      </c>
      <c r="L24" s="346" t="s">
        <v>306</v>
      </c>
      <c r="M24" s="346" t="s">
        <v>307</v>
      </c>
      <c r="N24" s="346" t="s">
        <v>308</v>
      </c>
      <c r="O24" s="346" t="s">
        <v>309</v>
      </c>
      <c r="P24" s="346" t="s">
        <v>310</v>
      </c>
      <c r="Q24" s="346" t="s">
        <v>311</v>
      </c>
      <c r="R24" s="346" t="s">
        <v>312</v>
      </c>
      <c r="S24" s="346" t="s">
        <v>313</v>
      </c>
      <c r="T24" s="346" t="s">
        <v>314</v>
      </c>
      <c r="U24" s="346" t="s">
        <v>315</v>
      </c>
    </row>
    <row r="25" spans="1:44" s="317" customFormat="1" ht="14.25" hidden="1">
      <c r="A25" s="348" t="s">
        <v>185</v>
      </c>
      <c r="B25" s="348" t="str">
        <f t="array" aca="1" ref="B25" ca="1">IFERROR(OFFSET(INDEX(11:11,SMALL(IF(11:11&lt;&gt;"",COLUMN(11:11)),COLUMN())),-1,0),"")</f>
        <v/>
      </c>
      <c r="C25" s="348" t="str">
        <f t="array" aca="1" ref="C25" ca="1">IFERROR(OFFSET(INDEX(11:11,SMALL(IF(11:11&lt;&gt;"",COLUMN(11:11)),COLUMN())),-1,0),"")</f>
        <v/>
      </c>
      <c r="D25" s="348" t="str">
        <f t="array" aca="1" ref="D25" ca="1">IFERROR(OFFSET(INDEX(11:11,SMALL(IF(11:11&lt;&gt;"",COLUMN(11:11)),COLUMN())),-1,0),"")</f>
        <v/>
      </c>
      <c r="E25" s="348" t="str">
        <f t="array" aca="1" ref="E25" ca="1">IFERROR(OFFSET(INDEX(11:11,SMALL(IF(11:11&lt;&gt;"",COLUMN(11:11)),COLUMN())),-1,0),"")</f>
        <v/>
      </c>
      <c r="F25" s="348" t="str">
        <f t="array" aca="1" ref="F25" ca="1">IFERROR(OFFSET(INDEX(11:11,SMALL(IF(11:11&lt;&gt;"",COLUMN(11:11)),COLUMN())),-1,0),"")</f>
        <v/>
      </c>
      <c r="G25" s="348" t="str">
        <f t="array" aca="1" ref="G25" ca="1">IFERROR(OFFSET(INDEX(11:11,SMALL(IF(11:11&lt;&gt;"",COLUMN(11:11)),COLUMN())),-1,0),"")</f>
        <v/>
      </c>
      <c r="H25" s="348" t="str">
        <f t="array" aca="1" ref="H25" ca="1">IFERROR(OFFSET(INDEX(11:11,SMALL(IF(11:11&lt;&gt;"",COLUMN(11:11)),COLUMN())),-1,0),"")</f>
        <v/>
      </c>
      <c r="I25" s="348" t="str">
        <f t="array" aca="1" ref="I25" ca="1">IFERROR(OFFSET(INDEX(11:11,SMALL(IF(11:11&lt;&gt;"",COLUMN(11:11)),COLUMN())),-1,0),"")</f>
        <v/>
      </c>
      <c r="J25" s="348" t="str">
        <f t="array" aca="1" ref="J25" ca="1">IFERROR(OFFSET(INDEX(11:11,SMALL(IF(11:11&lt;&gt;"",COLUMN(11:11)),COLUMN())),-1,0),"")</f>
        <v/>
      </c>
      <c r="K25" s="348" t="str">
        <f t="array" aca="1" ref="K25" ca="1">IFERROR(OFFSET(INDEX(11:11,SMALL(IF(11:11&lt;&gt;"",COLUMN(11:11)),COLUMN())),-1,0),"")</f>
        <v/>
      </c>
      <c r="L25" s="348" t="str">
        <f t="array" aca="1" ref="L25" ca="1">IFERROR(OFFSET(INDEX(11:11,SMALL(IF(11:11&lt;&gt;"",COLUMN(11:11)),COLUMN())),-1,0),"")</f>
        <v/>
      </c>
      <c r="M25" s="348" t="str">
        <f t="array" aca="1" ref="M25" ca="1">IFERROR(OFFSET(INDEX(11:11,SMALL(IF(11:11&lt;&gt;"",COLUMN(11:11)),COLUMN())),-1,0),"")</f>
        <v/>
      </c>
      <c r="N25" s="348" t="str">
        <f t="array" aca="1" ref="N25" ca="1">IFERROR(OFFSET(INDEX(11:11,SMALL(IF(11:11&lt;&gt;"",COLUMN(11:11)),COLUMN())),-1,0),"")</f>
        <v/>
      </c>
      <c r="O25" s="348" t="str">
        <f t="array" aca="1" ref="O25" ca="1">IFERROR(OFFSET(INDEX(11:11,SMALL(IF(11:11&lt;&gt;"",COLUMN(11:11)),COLUMN())),-1,0),"")</f>
        <v/>
      </c>
      <c r="P25" s="348" t="str">
        <f t="array" aca="1" ref="P25" ca="1">IFERROR(OFFSET(INDEX(11:11,SMALL(IF(11:11&lt;&gt;"",COLUMN(11:11)),COLUMN())),-1,0),"")</f>
        <v/>
      </c>
      <c r="Q25" s="348" t="str">
        <f t="array" aca="1" ref="Q25" ca="1">IFERROR(OFFSET(INDEX(11:11,SMALL(IF(11:11&lt;&gt;"",COLUMN(11:11)),COLUMN())),-1,0),"")</f>
        <v/>
      </c>
      <c r="R25" s="348" t="str">
        <f t="array" aca="1" ref="R25" ca="1">IFERROR(OFFSET(INDEX(11:11,SMALL(IF(11:11&lt;&gt;"",COLUMN(11:11)),COLUMN())),-1,0),"")</f>
        <v/>
      </c>
      <c r="S25" s="348" t="str">
        <f t="array" aca="1" ref="S25" ca="1">IFERROR(OFFSET(INDEX(11:11,SMALL(IF(11:11&lt;&gt;"",COLUMN(11:11)),COLUMN())),-1,0),"")</f>
        <v/>
      </c>
      <c r="T25" s="348" t="str">
        <f t="array" aca="1" ref="T25" ca="1">IFERROR(OFFSET(INDEX(11:11,SMALL(IF(11:11&lt;&gt;"",COLUMN(11:11)),COLUMN())),-1,0),"")</f>
        <v/>
      </c>
      <c r="U25" s="348" t="str">
        <f t="array" aca="1" ref="U25" ca="1">IFERROR(OFFSET(INDEX(11:11,SMALL(IF(11:11&lt;&gt;"",COLUMN(11:11)),COLUMN())),-1,0),"")</f>
        <v/>
      </c>
    </row>
    <row r="26" spans="1:44" s="317" customFormat="1" ht="14.25" hidden="1">
      <c r="A26" s="348" t="str">
        <f t="array" ref="A26">IFERROR(INDEX(11:11,SMALL(IF(11:11&lt;&gt;"",COLUMN(11:11)),COLUMN())),"")</f>
        <v>追水量（L)</v>
      </c>
      <c r="B26" s="348" t="str">
        <f t="array" ref="B26">IFERROR(INDEX(11:11,SMALL(IF(11:11&lt;&gt;"",COLUMN(11:11)),COLUMN())),"")</f>
        <v/>
      </c>
      <c r="C26" s="348" t="str">
        <f t="array" ref="C26">IFERROR(INDEX(11:11,SMALL(IF(11:11&lt;&gt;"",COLUMN(11:11)),COLUMN())),"")</f>
        <v/>
      </c>
      <c r="D26" s="348" t="str">
        <f t="array" ref="D26">IFERROR(INDEX(11:11,SMALL(IF(11:11&lt;&gt;"",COLUMN(11:11)),COLUMN())),"")</f>
        <v/>
      </c>
      <c r="E26" s="348" t="str">
        <f t="array" ref="E26">IFERROR(INDEX(11:11,SMALL(IF(11:11&lt;&gt;"",COLUMN(11:11)),COLUMN())),"")</f>
        <v/>
      </c>
      <c r="F26" s="348" t="str">
        <f t="array" ref="F26">IFERROR(INDEX(11:11,SMALL(IF(11:11&lt;&gt;"",COLUMN(11:11)),COLUMN())),"")</f>
        <v/>
      </c>
      <c r="G26" s="348" t="str">
        <f t="array" ref="G26">IFERROR(INDEX(11:11,SMALL(IF(11:11&lt;&gt;"",COLUMN(11:11)),COLUMN())),"")</f>
        <v/>
      </c>
      <c r="H26" s="348" t="str">
        <f t="array" ref="H26">IFERROR(INDEX(11:11,SMALL(IF(11:11&lt;&gt;"",COLUMN(11:11)),COLUMN())),"")</f>
        <v/>
      </c>
      <c r="I26" s="348" t="str">
        <f t="array" ref="I26">IFERROR(INDEX(11:11,SMALL(IF(11:11&lt;&gt;"",COLUMN(11:11)),COLUMN())),"")</f>
        <v/>
      </c>
      <c r="J26" s="348" t="str">
        <f t="array" ref="J26">IFERROR(INDEX(11:11,SMALL(IF(11:11&lt;&gt;"",COLUMN(11:11)),COLUMN())),"")</f>
        <v/>
      </c>
      <c r="K26" s="348" t="str">
        <f t="array" ref="K26">IFERROR(INDEX(11:11,SMALL(IF(11:11&lt;&gt;"",COLUMN(11:11)),COLUMN())),"")</f>
        <v/>
      </c>
      <c r="L26" s="348" t="str">
        <f t="array" ref="L26">IFERROR(INDEX(11:11,SMALL(IF(11:11&lt;&gt;"",COLUMN(11:11)),COLUMN())),"")</f>
        <v/>
      </c>
      <c r="M26" s="348" t="str">
        <f t="array" ref="M26">IFERROR(INDEX(11:11,SMALL(IF(11:11&lt;&gt;"",COLUMN(11:11)),COLUMN())),"")</f>
        <v/>
      </c>
      <c r="N26" s="348" t="str">
        <f t="array" ref="N26">IFERROR(INDEX(11:11,SMALL(IF(11:11&lt;&gt;"",COLUMN(11:11)),COLUMN())),"")</f>
        <v/>
      </c>
      <c r="O26" s="348" t="str">
        <f t="array" ref="O26">IFERROR(INDEX(11:11,SMALL(IF(11:11&lt;&gt;"",COLUMN(11:11)),COLUMN())),"")</f>
        <v/>
      </c>
      <c r="P26" s="348" t="str">
        <f t="array" ref="P26">IFERROR(INDEX(11:11,SMALL(IF(11:11&lt;&gt;"",COLUMN(11:11)),COLUMN())),"")</f>
        <v/>
      </c>
      <c r="Q26" s="348" t="str">
        <f t="array" ref="Q26">IFERROR(INDEX(11:11,SMALL(IF(11:11&lt;&gt;"",COLUMN(11:11)),COLUMN())),"")</f>
        <v/>
      </c>
      <c r="R26" s="348" t="str">
        <f t="array" ref="R26">IFERROR(INDEX(11:11,SMALL(IF(11:11&lt;&gt;"",COLUMN(11:11)),COLUMN())),"")</f>
        <v/>
      </c>
      <c r="S26" s="348" t="str">
        <f t="array" ref="S26">IFERROR(INDEX(11:11,SMALL(IF(11:11&lt;&gt;"",COLUMN(11:11)),COLUMN())),"")</f>
        <v/>
      </c>
      <c r="T26" s="348" t="str">
        <f t="array" ref="T26">IFERROR(INDEX(11:11,SMALL(IF(11:11&lt;&gt;"",COLUMN(11:11)),COLUMN())),"")</f>
        <v/>
      </c>
      <c r="U26" s="348" t="str">
        <f t="array" ref="U26">IFERROR(INDEX(11:11,SMALL(IF(11:11&lt;&gt;"",COLUMN(11:11)),COLUMN())),"")</f>
        <v/>
      </c>
    </row>
    <row r="27" spans="1:44" s="317" customFormat="1" ht="14.25" hidden="1">
      <c r="A27" s="1053" t="s">
        <v>186</v>
      </c>
      <c r="B27" s="1053"/>
      <c r="C27" s="1053"/>
      <c r="D27" s="349" t="s">
        <v>187</v>
      </c>
      <c r="E27" s="349" t="s">
        <v>188</v>
      </c>
      <c r="F27" s="349" t="s">
        <v>189</v>
      </c>
      <c r="G27" s="349" t="s">
        <v>190</v>
      </c>
      <c r="H27" s="349" t="s">
        <v>191</v>
      </c>
      <c r="I27" s="349" t="s">
        <v>192</v>
      </c>
      <c r="J27" s="349" t="s">
        <v>193</v>
      </c>
      <c r="K27" s="349" t="s">
        <v>194</v>
      </c>
      <c r="L27" s="347" t="s">
        <v>195</v>
      </c>
      <c r="M27" s="347" t="s">
        <v>196</v>
      </c>
      <c r="N27" s="347" t="s">
        <v>197</v>
      </c>
      <c r="O27" s="347" t="s">
        <v>316</v>
      </c>
      <c r="P27" s="347" t="s">
        <v>317</v>
      </c>
      <c r="Q27" s="347" t="s">
        <v>318</v>
      </c>
      <c r="R27" s="347" t="s">
        <v>319</v>
      </c>
      <c r="S27" s="347" t="s">
        <v>320</v>
      </c>
      <c r="T27" s="347" t="s">
        <v>321</v>
      </c>
      <c r="U27" s="347" t="s">
        <v>322</v>
      </c>
      <c r="V27" s="347" t="s">
        <v>323</v>
      </c>
      <c r="W27" s="347" t="s">
        <v>324</v>
      </c>
      <c r="X27" s="347" t="s">
        <v>325</v>
      </c>
    </row>
    <row r="28" spans="1:44" s="317" customFormat="1" ht="14.25" hidden="1">
      <c r="A28" s="1054"/>
      <c r="B28" s="1054"/>
      <c r="C28" s="1054"/>
      <c r="D28" s="350" t="e">
        <f>SUM(D8:G8)/SUM(D5:G5)*100</f>
        <v>#DIV/0!</v>
      </c>
      <c r="E28" s="350" t="e">
        <f>(SUM(D8:G8)+SUM(B26:B26))/SUM(D5:G5)*100</f>
        <v>#DIV/0!</v>
      </c>
      <c r="F28" s="350" t="e">
        <f>(SUM(D8:G8)+SUM(B26:C26))/SUM(D5:G5)*100</f>
        <v>#DIV/0!</v>
      </c>
      <c r="G28" s="350" t="e">
        <f>(SUM(D8:G8)+SUM(B26:D26))/SUM(D5:G5)*100</f>
        <v>#DIV/0!</v>
      </c>
      <c r="H28" s="350" t="e">
        <f>(SUM(D8:G8)+SUM(B26:E26))/SUM(D5:G5)*100</f>
        <v>#DIV/0!</v>
      </c>
      <c r="I28" s="351" t="e">
        <f>(SUM(D8:G8)+SUM(B26:F26))/SUM(D5:G5)*100</f>
        <v>#DIV/0!</v>
      </c>
      <c r="J28" s="350" t="e">
        <f>(SUM(D8:G8)+SUM(B26:G26))/SUM(D5:G5)*100</f>
        <v>#DIV/0!</v>
      </c>
      <c r="K28" s="350" t="e">
        <f>(SUM(D8:G8)+SUM(B26:H26))/SUM(D5:G5)*100</f>
        <v>#DIV/0!</v>
      </c>
      <c r="L28" s="350" t="e">
        <f>(SUM(D8:G8)+SUM(B26:I26))/SUM(D5:G5)*100</f>
        <v>#DIV/0!</v>
      </c>
      <c r="M28" s="350" t="e">
        <f>(SUM(D8:G8)+SUM(B26:J26))/SUM(D5:G5)*100</f>
        <v>#DIV/0!</v>
      </c>
      <c r="N28" s="350" t="e">
        <f>(SUM(D8:G8)+SUM(B26:K26))/SUM(D5:G5)*100</f>
        <v>#DIV/0!</v>
      </c>
      <c r="O28" s="352" t="e">
        <f>(SUM(D8:G8)+SUM(B26:L26))/SUM(D5:G5)*100</f>
        <v>#DIV/0!</v>
      </c>
      <c r="P28" s="353" t="e">
        <f>(SUM(D8:G8)+SUM(B26:M26))/SUM(D5:G5)*100</f>
        <v>#DIV/0!</v>
      </c>
      <c r="Q28" s="353" t="e">
        <f>(SUM(D8:G8)+SUM(B26:N26))/SUM(D5:G5)*100</f>
        <v>#DIV/0!</v>
      </c>
      <c r="R28" s="353" t="e">
        <f>(SUM(D8:G8)+SUM(B26:O26))/SUM(D5:G5)*100</f>
        <v>#DIV/0!</v>
      </c>
      <c r="S28" s="353" t="e">
        <f>(SUM(D8:G8)+SUM(B26:P26))/SUM(D5:G5)*100</f>
        <v>#DIV/0!</v>
      </c>
      <c r="T28" s="353" t="e">
        <f>(SUM(D8:G8)+SUM(B26:Q26))/SUM(D5:G5)*100</f>
        <v>#DIV/0!</v>
      </c>
      <c r="U28" s="353" t="e">
        <f>(SUM(D8:G8)+SUM(B26:R26))/SUM(D5:G5)*100</f>
        <v>#DIV/0!</v>
      </c>
      <c r="V28" s="353" t="e">
        <f>(SUM(D8:G8)+SUM(B26:S26))/SUM(D5:G5)*100</f>
        <v>#DIV/0!</v>
      </c>
      <c r="W28" s="353" t="e">
        <f>(SUM(D8:G8)+SUM(B26:T26))/SUM(D5:G5)*100</f>
        <v>#DIV/0!</v>
      </c>
      <c r="X28" s="353" t="e">
        <f>(SUM(D8:G8)+SUM(B26:U26))/SUM(D5:G5)*100</f>
        <v>#DIV/0!</v>
      </c>
    </row>
    <row r="29" spans="1:44" s="317" customFormat="1" ht="14.25" hidden="1"/>
    <row r="30" spans="1:44" s="317" customFormat="1" ht="14.25" hidden="1">
      <c r="A30" s="1046" t="s">
        <v>129</v>
      </c>
      <c r="B30" s="1047"/>
      <c r="C30" s="1047"/>
      <c r="E30" s="354" t="e">
        <f t="shared" ref="E30:AQ30" si="7">IF(E12="",IF(E13="",NA(),E13/-10),E12)</f>
        <v>#N/A</v>
      </c>
      <c r="F30" s="354" t="e">
        <f t="shared" si="7"/>
        <v>#N/A</v>
      </c>
      <c r="G30" s="354" t="e">
        <f t="shared" si="7"/>
        <v>#N/A</v>
      </c>
      <c r="H30" s="354" t="e">
        <f t="shared" si="7"/>
        <v>#N/A</v>
      </c>
      <c r="I30" s="354" t="e">
        <f t="shared" si="7"/>
        <v>#N/A</v>
      </c>
      <c r="J30" s="354" t="e">
        <f t="shared" si="7"/>
        <v>#N/A</v>
      </c>
      <c r="K30" s="354" t="e">
        <f t="shared" si="7"/>
        <v>#N/A</v>
      </c>
      <c r="L30" s="354" t="e">
        <f t="shared" si="7"/>
        <v>#N/A</v>
      </c>
      <c r="M30" s="354" t="e">
        <f t="shared" si="7"/>
        <v>#N/A</v>
      </c>
      <c r="N30" s="354" t="e">
        <f t="shared" si="7"/>
        <v>#N/A</v>
      </c>
      <c r="O30" s="354" t="e">
        <f t="shared" si="7"/>
        <v>#N/A</v>
      </c>
      <c r="P30" s="354" t="e">
        <f t="shared" si="7"/>
        <v>#N/A</v>
      </c>
      <c r="Q30" s="354" t="e">
        <f t="shared" si="7"/>
        <v>#N/A</v>
      </c>
      <c r="R30" s="354" t="e">
        <f t="shared" si="7"/>
        <v>#N/A</v>
      </c>
      <c r="S30" s="354" t="e">
        <f t="shared" si="7"/>
        <v>#N/A</v>
      </c>
      <c r="T30" s="354" t="e">
        <f t="shared" si="7"/>
        <v>#N/A</v>
      </c>
      <c r="U30" s="354" t="e">
        <f t="shared" si="7"/>
        <v>#N/A</v>
      </c>
      <c r="V30" s="354" t="e">
        <f t="shared" si="7"/>
        <v>#N/A</v>
      </c>
      <c r="W30" s="354" t="e">
        <f t="shared" si="7"/>
        <v>#N/A</v>
      </c>
      <c r="X30" s="354" t="e">
        <f t="shared" si="7"/>
        <v>#N/A</v>
      </c>
      <c r="Y30" s="354" t="e">
        <f t="shared" si="7"/>
        <v>#N/A</v>
      </c>
      <c r="Z30" s="354" t="e">
        <f t="shared" si="7"/>
        <v>#N/A</v>
      </c>
      <c r="AA30" s="354" t="e">
        <f t="shared" si="7"/>
        <v>#N/A</v>
      </c>
      <c r="AB30" s="354" t="e">
        <f t="shared" si="7"/>
        <v>#N/A</v>
      </c>
      <c r="AC30" s="354" t="e">
        <f t="shared" si="7"/>
        <v>#N/A</v>
      </c>
      <c r="AD30" s="354" t="e">
        <f t="shared" si="7"/>
        <v>#N/A</v>
      </c>
      <c r="AE30" s="354" t="e">
        <f t="shared" si="7"/>
        <v>#N/A</v>
      </c>
      <c r="AF30" s="354" t="e">
        <f t="shared" si="7"/>
        <v>#N/A</v>
      </c>
      <c r="AG30" s="354" t="e">
        <f t="shared" si="7"/>
        <v>#N/A</v>
      </c>
      <c r="AH30" s="354" t="e">
        <f t="shared" si="7"/>
        <v>#N/A</v>
      </c>
      <c r="AI30" s="354" t="e">
        <f t="shared" si="7"/>
        <v>#N/A</v>
      </c>
      <c r="AJ30" s="354" t="e">
        <f t="shared" si="7"/>
        <v>#N/A</v>
      </c>
      <c r="AK30" s="354" t="e">
        <f t="shared" si="7"/>
        <v>#N/A</v>
      </c>
      <c r="AL30" s="354" t="e">
        <f t="shared" si="7"/>
        <v>#N/A</v>
      </c>
      <c r="AM30" s="354" t="e">
        <f t="shared" si="7"/>
        <v>#N/A</v>
      </c>
      <c r="AN30" s="354" t="e">
        <f t="shared" si="7"/>
        <v>#N/A</v>
      </c>
      <c r="AO30" s="354" t="e">
        <f t="shared" si="7"/>
        <v>#N/A</v>
      </c>
      <c r="AP30" s="354" t="e">
        <f t="shared" si="7"/>
        <v>#N/A</v>
      </c>
      <c r="AQ30" s="354" t="e">
        <f t="shared" si="7"/>
        <v>#N/A</v>
      </c>
    </row>
    <row r="31" spans="1:44" s="317" customFormat="1" ht="14.25" hidden="1">
      <c r="A31" s="1048" t="s">
        <v>44</v>
      </c>
      <c r="B31" s="1048"/>
      <c r="C31" s="1049"/>
      <c r="E31" s="355" t="e">
        <f>IF(E30="",NA(),E30*(-10))</f>
        <v>#N/A</v>
      </c>
      <c r="F31" s="355" t="e">
        <f t="shared" ref="F31:AQ31" si="8">IF(F30="",NA(),F30*(-10))</f>
        <v>#N/A</v>
      </c>
      <c r="G31" s="355" t="e">
        <f t="shared" si="8"/>
        <v>#N/A</v>
      </c>
      <c r="H31" s="355" t="e">
        <f t="shared" si="8"/>
        <v>#N/A</v>
      </c>
      <c r="I31" s="355" t="e">
        <f t="shared" si="8"/>
        <v>#N/A</v>
      </c>
      <c r="J31" s="355" t="e">
        <f t="shared" si="8"/>
        <v>#N/A</v>
      </c>
      <c r="K31" s="355" t="e">
        <f t="shared" si="8"/>
        <v>#N/A</v>
      </c>
      <c r="L31" s="355" t="e">
        <f t="shared" si="8"/>
        <v>#N/A</v>
      </c>
      <c r="M31" s="355" t="e">
        <f t="shared" si="8"/>
        <v>#N/A</v>
      </c>
      <c r="N31" s="355" t="e">
        <f t="shared" si="8"/>
        <v>#N/A</v>
      </c>
      <c r="O31" s="355" t="e">
        <f t="shared" si="8"/>
        <v>#N/A</v>
      </c>
      <c r="P31" s="355" t="e">
        <f t="shared" si="8"/>
        <v>#N/A</v>
      </c>
      <c r="Q31" s="355" t="e">
        <f t="shared" si="8"/>
        <v>#N/A</v>
      </c>
      <c r="R31" s="355" t="e">
        <f t="shared" si="8"/>
        <v>#N/A</v>
      </c>
      <c r="S31" s="355" t="e">
        <f t="shared" si="8"/>
        <v>#N/A</v>
      </c>
      <c r="T31" s="355" t="e">
        <f t="shared" si="8"/>
        <v>#N/A</v>
      </c>
      <c r="U31" s="355" t="e">
        <f t="shared" si="8"/>
        <v>#N/A</v>
      </c>
      <c r="V31" s="355" t="e">
        <f t="shared" si="8"/>
        <v>#N/A</v>
      </c>
      <c r="W31" s="355" t="e">
        <f t="shared" si="8"/>
        <v>#N/A</v>
      </c>
      <c r="X31" s="355" t="e">
        <f t="shared" si="8"/>
        <v>#N/A</v>
      </c>
      <c r="Y31" s="355" t="e">
        <f t="shared" si="8"/>
        <v>#N/A</v>
      </c>
      <c r="Z31" s="355" t="e">
        <f t="shared" si="8"/>
        <v>#N/A</v>
      </c>
      <c r="AA31" s="355" t="e">
        <f t="shared" si="8"/>
        <v>#N/A</v>
      </c>
      <c r="AB31" s="355" t="e">
        <f t="shared" si="8"/>
        <v>#N/A</v>
      </c>
      <c r="AC31" s="355" t="e">
        <f t="shared" si="8"/>
        <v>#N/A</v>
      </c>
      <c r="AD31" s="355" t="e">
        <f t="shared" si="8"/>
        <v>#N/A</v>
      </c>
      <c r="AE31" s="355" t="e">
        <f t="shared" si="8"/>
        <v>#N/A</v>
      </c>
      <c r="AF31" s="355" t="e">
        <f t="shared" si="8"/>
        <v>#N/A</v>
      </c>
      <c r="AG31" s="355" t="e">
        <f t="shared" si="8"/>
        <v>#N/A</v>
      </c>
      <c r="AH31" s="355" t="e">
        <f t="shared" si="8"/>
        <v>#N/A</v>
      </c>
      <c r="AI31" s="355" t="e">
        <f t="shared" si="8"/>
        <v>#N/A</v>
      </c>
      <c r="AJ31" s="355" t="e">
        <f t="shared" si="8"/>
        <v>#N/A</v>
      </c>
      <c r="AK31" s="355" t="e">
        <f t="shared" si="8"/>
        <v>#N/A</v>
      </c>
      <c r="AL31" s="355" t="e">
        <f t="shared" si="8"/>
        <v>#N/A</v>
      </c>
      <c r="AM31" s="355" t="e">
        <f t="shared" si="8"/>
        <v>#N/A</v>
      </c>
      <c r="AN31" s="355" t="e">
        <f t="shared" si="8"/>
        <v>#N/A</v>
      </c>
      <c r="AO31" s="355" t="e">
        <f t="shared" si="8"/>
        <v>#N/A</v>
      </c>
      <c r="AP31" s="355" t="e">
        <f t="shared" si="8"/>
        <v>#N/A</v>
      </c>
      <c r="AQ31" s="355" t="e">
        <f t="shared" si="8"/>
        <v>#N/A</v>
      </c>
    </row>
    <row r="32" spans="1:44" s="317" customFormat="1" ht="14.25" hidden="1">
      <c r="A32" s="356"/>
      <c r="B32" s="1012" t="s">
        <v>35</v>
      </c>
      <c r="C32" s="1050"/>
      <c r="E32" s="357" t="e">
        <f>IF(E30="",NA(),ROUND(1443/(1443+E31),4))</f>
        <v>#N/A</v>
      </c>
      <c r="F32" s="357" t="e">
        <f t="shared" ref="F32:AQ32" si="9">IF(F30="",NA(),ROUND(1443/(1443+F31),4))</f>
        <v>#N/A</v>
      </c>
      <c r="G32" s="357" t="e">
        <f t="shared" si="9"/>
        <v>#N/A</v>
      </c>
      <c r="H32" s="357" t="e">
        <f t="shared" si="9"/>
        <v>#N/A</v>
      </c>
      <c r="I32" s="357" t="e">
        <f t="shared" si="9"/>
        <v>#N/A</v>
      </c>
      <c r="J32" s="357" t="e">
        <f t="shared" si="9"/>
        <v>#N/A</v>
      </c>
      <c r="K32" s="357" t="e">
        <f t="shared" si="9"/>
        <v>#N/A</v>
      </c>
      <c r="L32" s="357" t="e">
        <f t="shared" si="9"/>
        <v>#N/A</v>
      </c>
      <c r="M32" s="357" t="e">
        <f t="shared" si="9"/>
        <v>#N/A</v>
      </c>
      <c r="N32" s="357" t="e">
        <f t="shared" si="9"/>
        <v>#N/A</v>
      </c>
      <c r="O32" s="357" t="e">
        <f t="shared" si="9"/>
        <v>#N/A</v>
      </c>
      <c r="P32" s="357" t="e">
        <f t="shared" si="9"/>
        <v>#N/A</v>
      </c>
      <c r="Q32" s="357" t="e">
        <f t="shared" si="9"/>
        <v>#N/A</v>
      </c>
      <c r="R32" s="357" t="e">
        <f t="shared" si="9"/>
        <v>#N/A</v>
      </c>
      <c r="S32" s="357" t="e">
        <f t="shared" si="9"/>
        <v>#N/A</v>
      </c>
      <c r="T32" s="357" t="e">
        <f t="shared" si="9"/>
        <v>#N/A</v>
      </c>
      <c r="U32" s="357" t="e">
        <f t="shared" si="9"/>
        <v>#N/A</v>
      </c>
      <c r="V32" s="357" t="e">
        <f t="shared" si="9"/>
        <v>#N/A</v>
      </c>
      <c r="W32" s="357" t="e">
        <f t="shared" si="9"/>
        <v>#N/A</v>
      </c>
      <c r="X32" s="357" t="e">
        <f t="shared" si="9"/>
        <v>#N/A</v>
      </c>
      <c r="Y32" s="357" t="e">
        <f t="shared" si="9"/>
        <v>#N/A</v>
      </c>
      <c r="Z32" s="357" t="e">
        <f t="shared" si="9"/>
        <v>#N/A</v>
      </c>
      <c r="AA32" s="357" t="e">
        <f t="shared" si="9"/>
        <v>#N/A</v>
      </c>
      <c r="AB32" s="357" t="e">
        <f t="shared" si="9"/>
        <v>#N/A</v>
      </c>
      <c r="AC32" s="357" t="e">
        <f t="shared" si="9"/>
        <v>#N/A</v>
      </c>
      <c r="AD32" s="357" t="e">
        <f t="shared" si="9"/>
        <v>#N/A</v>
      </c>
      <c r="AE32" s="357" t="e">
        <f t="shared" si="9"/>
        <v>#N/A</v>
      </c>
      <c r="AF32" s="357" t="e">
        <f t="shared" si="9"/>
        <v>#N/A</v>
      </c>
      <c r="AG32" s="357" t="e">
        <f t="shared" si="9"/>
        <v>#N/A</v>
      </c>
      <c r="AH32" s="357" t="e">
        <f t="shared" si="9"/>
        <v>#N/A</v>
      </c>
      <c r="AI32" s="357" t="e">
        <f t="shared" si="9"/>
        <v>#N/A</v>
      </c>
      <c r="AJ32" s="357" t="e">
        <f t="shared" si="9"/>
        <v>#N/A</v>
      </c>
      <c r="AK32" s="357" t="e">
        <f t="shared" si="9"/>
        <v>#N/A</v>
      </c>
      <c r="AL32" s="357" t="e">
        <f t="shared" si="9"/>
        <v>#N/A</v>
      </c>
      <c r="AM32" s="357" t="e">
        <f t="shared" si="9"/>
        <v>#N/A</v>
      </c>
      <c r="AN32" s="357" t="e">
        <f t="shared" si="9"/>
        <v>#N/A</v>
      </c>
      <c r="AO32" s="357" t="e">
        <f t="shared" si="9"/>
        <v>#N/A</v>
      </c>
      <c r="AP32" s="357" t="e">
        <f t="shared" si="9"/>
        <v>#N/A</v>
      </c>
      <c r="AQ32" s="357" t="e">
        <f t="shared" si="9"/>
        <v>#N/A</v>
      </c>
    </row>
    <row r="33" spans="1:44" s="317" customFormat="1" ht="14.25" hidden="1">
      <c r="A33" s="356"/>
      <c r="B33" s="1012" t="s">
        <v>36</v>
      </c>
      <c r="C33" s="1050"/>
      <c r="E33" s="357" t="e">
        <f>IF(E14="",NA(),IFERROR(E14*VLOOKUP(E14,'各種計算式等（配付時非表示）'!$E$3:$H$1003,3,TRUE)+VLOOKUP(E14,'各種計算式等（配付時非表示）'!$E$3:$H$1003,4,TRUE)+0.0000000001,"-"))</f>
        <v>#N/A</v>
      </c>
      <c r="F33" s="357" t="e">
        <f>IF(F14="",NA(),IFERROR(F14*VLOOKUP(F14,'各種計算式等（配付時非表示）'!$E$3:$H$1003,3,TRUE)+VLOOKUP(F14,'各種計算式等（配付時非表示）'!$E$3:$H$1003,4,TRUE)+0.0000000001,"-"))</f>
        <v>#N/A</v>
      </c>
      <c r="G33" s="357" t="e">
        <f>IF(G14="",NA(),IFERROR(G14*VLOOKUP(G14,'各種計算式等（配付時非表示）'!$E$3:$H$1003,3,TRUE)+VLOOKUP(G14,'各種計算式等（配付時非表示）'!$E$3:$H$1003,4,TRUE)+0.0000000001,"-"))</f>
        <v>#N/A</v>
      </c>
      <c r="H33" s="357" t="e">
        <f>IF(H14="",NA(),IFERROR(H14*VLOOKUP(H14,'各種計算式等（配付時非表示）'!$E$3:$H$1003,3,TRUE)+VLOOKUP(H14,'各種計算式等（配付時非表示）'!$E$3:$H$1003,4,TRUE)+0.0000000001,"-"))</f>
        <v>#N/A</v>
      </c>
      <c r="I33" s="357" t="e">
        <f>IF(I14="",NA(),IFERROR(I14*VLOOKUP(I14,'各種計算式等（配付時非表示）'!$E$3:$H$1003,3,TRUE)+VLOOKUP(I14,'各種計算式等（配付時非表示）'!$E$3:$H$1003,4,TRUE)+0.0000000001,"-"))</f>
        <v>#N/A</v>
      </c>
      <c r="J33" s="357" t="e">
        <f>IF(J14="",NA(),IFERROR(J14*VLOOKUP(J14,'各種計算式等（配付時非表示）'!$E$3:$H$1003,3,TRUE)+VLOOKUP(J14,'各種計算式等（配付時非表示）'!$E$3:$H$1003,4,TRUE)+0.0000000001,"-"))</f>
        <v>#N/A</v>
      </c>
      <c r="K33" s="357" t="e">
        <f>IF(K14="",NA(),IFERROR(K14*VLOOKUP(K14,'各種計算式等（配付時非表示）'!$E$3:$H$1003,3,TRUE)+VLOOKUP(K14,'各種計算式等（配付時非表示）'!$E$3:$H$1003,4,TRUE)+0.0000000001,"-"))</f>
        <v>#N/A</v>
      </c>
      <c r="L33" s="357" t="e">
        <f>IF(L14="",NA(),IFERROR(L14*VLOOKUP(L14,'各種計算式等（配付時非表示）'!$E$3:$H$1003,3,TRUE)+VLOOKUP(L14,'各種計算式等（配付時非表示）'!$E$3:$H$1003,4,TRUE)+0.0000000001,"-"))</f>
        <v>#N/A</v>
      </c>
      <c r="M33" s="357" t="e">
        <f>IF(M14="",NA(),IFERROR(M14*VLOOKUP(M14,'各種計算式等（配付時非表示）'!$E$3:$H$1003,3,TRUE)+VLOOKUP(M14,'各種計算式等（配付時非表示）'!$E$3:$H$1003,4,TRUE)+0.0000000001,"-"))</f>
        <v>#N/A</v>
      </c>
      <c r="N33" s="357" t="e">
        <f>IF(N14="",NA(),IFERROR(N14*VLOOKUP(N14,'各種計算式等（配付時非表示）'!$E$3:$H$1003,3,TRUE)+VLOOKUP(N14,'各種計算式等（配付時非表示）'!$E$3:$H$1003,4,TRUE)+0.0000000001,"-"))</f>
        <v>#N/A</v>
      </c>
      <c r="O33" s="357" t="e">
        <f>IF(O14="",NA(),IFERROR(O14*VLOOKUP(O14,'各種計算式等（配付時非表示）'!$E$3:$H$1003,3,TRUE)+VLOOKUP(O14,'各種計算式等（配付時非表示）'!$E$3:$H$1003,4,TRUE)+0.0000000001,"-"))</f>
        <v>#N/A</v>
      </c>
      <c r="P33" s="357" t="e">
        <f>IF(P14="",NA(),IFERROR(P14*VLOOKUP(P14,'各種計算式等（配付時非表示）'!$E$3:$H$1003,3,TRUE)+VLOOKUP(P14,'各種計算式等（配付時非表示）'!$E$3:$H$1003,4,TRUE)+0.0000000001,"-"))</f>
        <v>#N/A</v>
      </c>
      <c r="Q33" s="357" t="e">
        <f>IF(Q14="",NA(),IFERROR(Q14*VLOOKUP(Q14,'各種計算式等（配付時非表示）'!$E$3:$H$1003,3,TRUE)+VLOOKUP(Q14,'各種計算式等（配付時非表示）'!$E$3:$H$1003,4,TRUE)+0.0000000001,"-"))</f>
        <v>#N/A</v>
      </c>
      <c r="R33" s="357" t="e">
        <f>IF(R14="",NA(),IFERROR(R14*VLOOKUP(R14,'各種計算式等（配付時非表示）'!$E$3:$H$1003,3,TRUE)+VLOOKUP(R14,'各種計算式等（配付時非表示）'!$E$3:$H$1003,4,TRUE)+0.0000000001,"-"))</f>
        <v>#N/A</v>
      </c>
      <c r="S33" s="357" t="e">
        <f>IF(S14="",NA(),IFERROR(S14*VLOOKUP(S14,'各種計算式等（配付時非表示）'!$E$3:$H$1003,3,TRUE)+VLOOKUP(S14,'各種計算式等（配付時非表示）'!$E$3:$H$1003,4,TRUE)+0.0000000001,"-"))</f>
        <v>#N/A</v>
      </c>
      <c r="T33" s="357" t="e">
        <f>IF(T14="",NA(),IFERROR(T14*VLOOKUP(T14,'各種計算式等（配付時非表示）'!$E$3:$H$1003,3,TRUE)+VLOOKUP(T14,'各種計算式等（配付時非表示）'!$E$3:$H$1003,4,TRUE)+0.0000000001,"-"))</f>
        <v>#N/A</v>
      </c>
      <c r="U33" s="357" t="e">
        <f>IF(U14="",NA(),IFERROR(U14*VLOOKUP(U14,'各種計算式等（配付時非表示）'!$E$3:$H$1003,3,TRUE)+VLOOKUP(U14,'各種計算式等（配付時非表示）'!$E$3:$H$1003,4,TRUE)+0.0000000001,"-"))</f>
        <v>#N/A</v>
      </c>
      <c r="V33" s="357" t="e">
        <f>IF(V14="",NA(),IFERROR(V14*VLOOKUP(V14,'各種計算式等（配付時非表示）'!$E$3:$H$1003,3,TRUE)+VLOOKUP(V14,'各種計算式等（配付時非表示）'!$E$3:$H$1003,4,TRUE)+0.0000000001,"-"))</f>
        <v>#N/A</v>
      </c>
      <c r="W33" s="357" t="e">
        <f>IF(W14="",NA(),IFERROR(W14*VLOOKUP(W14,'各種計算式等（配付時非表示）'!$E$3:$H$1003,3,TRUE)+VLOOKUP(W14,'各種計算式等（配付時非表示）'!$E$3:$H$1003,4,TRUE)+0.0000000001,"-"))</f>
        <v>#N/A</v>
      </c>
      <c r="X33" s="357" t="e">
        <f>IF(X14="",NA(),IFERROR(X14*VLOOKUP(X14,'各種計算式等（配付時非表示）'!$E$3:$H$1003,3,TRUE)+VLOOKUP(X14,'各種計算式等（配付時非表示）'!$E$3:$H$1003,4,TRUE)+0.0000000001,"-"))</f>
        <v>#N/A</v>
      </c>
      <c r="Y33" s="357" t="e">
        <f>IF(Y14="",NA(),IFERROR(Y14*VLOOKUP(Y14,'各種計算式等（配付時非表示）'!$E$3:$H$1003,3,TRUE)+VLOOKUP(Y14,'各種計算式等（配付時非表示）'!$E$3:$H$1003,4,TRUE)+0.0000000001,"-"))</f>
        <v>#N/A</v>
      </c>
      <c r="Z33" s="357" t="e">
        <f>IF(Z14="",NA(),IFERROR(Z14*VLOOKUP(Z14,'各種計算式等（配付時非表示）'!$E$3:$H$1003,3,TRUE)+VLOOKUP(Z14,'各種計算式等（配付時非表示）'!$E$3:$H$1003,4,TRUE)+0.0000000001,"-"))</f>
        <v>#N/A</v>
      </c>
      <c r="AA33" s="357" t="e">
        <f>IF(AA14="",NA(),IFERROR(AA14*VLOOKUP(AA14,'各種計算式等（配付時非表示）'!$E$3:$H$1003,3,TRUE)+VLOOKUP(AA14,'各種計算式等（配付時非表示）'!$E$3:$H$1003,4,TRUE)+0.0000000001,"-"))</f>
        <v>#N/A</v>
      </c>
      <c r="AB33" s="357" t="e">
        <f>IF(AB14="",NA(),IFERROR(AB14*VLOOKUP(AB14,'各種計算式等（配付時非表示）'!$E$3:$H$1003,3,TRUE)+VLOOKUP(AB14,'各種計算式等（配付時非表示）'!$E$3:$H$1003,4,TRUE)+0.0000000001,"-"))</f>
        <v>#N/A</v>
      </c>
      <c r="AC33" s="357" t="e">
        <f>IF(AC14="",NA(),IFERROR(AC14*VLOOKUP(AC14,'各種計算式等（配付時非表示）'!$E$3:$H$1003,3,TRUE)+VLOOKUP(AC14,'各種計算式等（配付時非表示）'!$E$3:$H$1003,4,TRUE)+0.0000000001,"-"))</f>
        <v>#N/A</v>
      </c>
      <c r="AD33" s="357" t="e">
        <f>IF(AD14="",NA(),IFERROR(AD14*VLOOKUP(AD14,'各種計算式等（配付時非表示）'!$E$3:$H$1003,3,TRUE)+VLOOKUP(AD14,'各種計算式等（配付時非表示）'!$E$3:$H$1003,4,TRUE)+0.0000000001,"-"))</f>
        <v>#N/A</v>
      </c>
      <c r="AE33" s="357" t="e">
        <f>IF(AE14="",NA(),IFERROR(AE14*VLOOKUP(AE14,'各種計算式等（配付時非表示）'!$E$3:$H$1003,3,TRUE)+VLOOKUP(AE14,'各種計算式等（配付時非表示）'!$E$3:$H$1003,4,TRUE)+0.0000000001,"-"))</f>
        <v>#N/A</v>
      </c>
      <c r="AF33" s="357" t="e">
        <f>IF(AF14="",NA(),IFERROR(AF14*VLOOKUP(AF14,'各種計算式等（配付時非表示）'!$E$3:$H$1003,3,TRUE)+VLOOKUP(AF14,'各種計算式等（配付時非表示）'!$E$3:$H$1003,4,TRUE)+0.0000000001,"-"))</f>
        <v>#N/A</v>
      </c>
      <c r="AG33" s="357" t="e">
        <f>IF(AG14="",NA(),IFERROR(AG14*VLOOKUP(AG14,'各種計算式等（配付時非表示）'!$E$3:$H$1003,3,TRUE)+VLOOKUP(AG14,'各種計算式等（配付時非表示）'!$E$3:$H$1003,4,TRUE)+0.0000000001,"-"))</f>
        <v>#N/A</v>
      </c>
      <c r="AH33" s="357" t="e">
        <f>IF(AH14="",NA(),IFERROR(AH14*VLOOKUP(AH14,'各種計算式等（配付時非表示）'!$E$3:$H$1003,3,TRUE)+VLOOKUP(AH14,'各種計算式等（配付時非表示）'!$E$3:$H$1003,4,TRUE)+0.0000000001,"-"))</f>
        <v>#N/A</v>
      </c>
      <c r="AI33" s="357" t="e">
        <f>IF(AI14="",NA(),IFERROR(AI14*VLOOKUP(AI14,'各種計算式等（配付時非表示）'!$E$3:$H$1003,3,TRUE)+VLOOKUP(AI14,'各種計算式等（配付時非表示）'!$E$3:$H$1003,4,TRUE)+0.0000000001,"-"))</f>
        <v>#N/A</v>
      </c>
      <c r="AJ33" s="357" t="e">
        <f>IF(AJ14="",NA(),IFERROR(AJ14*VLOOKUP(AJ14,'各種計算式等（配付時非表示）'!$E$3:$H$1003,3,TRUE)+VLOOKUP(AJ14,'各種計算式等（配付時非表示）'!$E$3:$H$1003,4,TRUE)+0.0000000001,"-"))</f>
        <v>#N/A</v>
      </c>
      <c r="AK33" s="357" t="e">
        <f>IF(AK14="",NA(),IFERROR(AK14*VLOOKUP(AK14,'各種計算式等（配付時非表示）'!$E$3:$H$1003,3,TRUE)+VLOOKUP(AK14,'各種計算式等（配付時非表示）'!$E$3:$H$1003,4,TRUE)+0.0000000001,"-"))</f>
        <v>#N/A</v>
      </c>
      <c r="AL33" s="357" t="e">
        <f>IF(AL14="",NA(),IFERROR(AL14*VLOOKUP(AL14,'各種計算式等（配付時非表示）'!$E$3:$H$1003,3,TRUE)+VLOOKUP(AL14,'各種計算式等（配付時非表示）'!$E$3:$H$1003,4,TRUE)+0.0000000001,"-"))</f>
        <v>#N/A</v>
      </c>
      <c r="AM33" s="357" t="e">
        <f>IF(AM14="",NA(),IFERROR(AM14*VLOOKUP(AM14,'各種計算式等（配付時非表示）'!$E$3:$H$1003,3,TRUE)+VLOOKUP(AM14,'各種計算式等（配付時非表示）'!$E$3:$H$1003,4,TRUE)+0.0000000001,"-"))</f>
        <v>#N/A</v>
      </c>
      <c r="AN33" s="357" t="e">
        <f>IF(AN14="",NA(),IFERROR(AN14*VLOOKUP(AN14,'各種計算式等（配付時非表示）'!$E$3:$H$1003,3,TRUE)+VLOOKUP(AN14,'各種計算式等（配付時非表示）'!$E$3:$H$1003,4,TRUE)+0.0000000001,"-"))</f>
        <v>#N/A</v>
      </c>
      <c r="AO33" s="357" t="e">
        <f>IF(AO14="",NA(),IFERROR(AO14*VLOOKUP(AO14,'各種計算式等（配付時非表示）'!$E$3:$H$1003,3,TRUE)+VLOOKUP(AO14,'各種計算式等（配付時非表示）'!$E$3:$H$1003,4,TRUE)+0.0000000001,"-"))</f>
        <v>#N/A</v>
      </c>
      <c r="AP33" s="357" t="e">
        <f>IF(AP14="",NA(),IFERROR(AP14*VLOOKUP(AP14,'各種計算式等（配付時非表示）'!$E$3:$H$1003,3,TRUE)+VLOOKUP(AP14,'各種計算式等（配付時非表示）'!$E$3:$H$1003,4,TRUE)+0.0000000001,"-"))</f>
        <v>#N/A</v>
      </c>
      <c r="AQ33" s="357" t="e">
        <f>IF(AQ14="",NA(),IFERROR(AQ14*VLOOKUP(AQ14,'各種計算式等（配付時非表示）'!$E$3:$H$1003,3,TRUE)+VLOOKUP(AQ14,'各種計算式等（配付時非表示）'!$E$3:$H$1003,4,TRUE)+0.0000000001,"-"))</f>
        <v>#N/A</v>
      </c>
    </row>
    <row r="34" spans="1:44" s="317" customFormat="1" ht="14.25" hidden="1">
      <c r="A34" s="1012" t="s">
        <v>3</v>
      </c>
      <c r="B34" s="1012"/>
      <c r="C34" s="1012"/>
      <c r="E34" s="358" t="e">
        <f>IFERROR(ROUNDDOWN((E32-E33)*260+0.21,1),NA())</f>
        <v>#N/A</v>
      </c>
      <c r="F34" s="358" t="e">
        <f t="shared" ref="F34:AQ34" si="10">IFERROR(ROUNDDOWN((F32-F33)*260+0.21,1),NA())</f>
        <v>#N/A</v>
      </c>
      <c r="G34" s="358" t="e">
        <f t="shared" si="10"/>
        <v>#N/A</v>
      </c>
      <c r="H34" s="358" t="e">
        <f t="shared" si="10"/>
        <v>#N/A</v>
      </c>
      <c r="I34" s="358" t="e">
        <f t="shared" si="10"/>
        <v>#N/A</v>
      </c>
      <c r="J34" s="358" t="e">
        <f t="shared" si="10"/>
        <v>#N/A</v>
      </c>
      <c r="K34" s="358" t="e">
        <f t="shared" si="10"/>
        <v>#N/A</v>
      </c>
      <c r="L34" s="358" t="e">
        <f t="shared" si="10"/>
        <v>#N/A</v>
      </c>
      <c r="M34" s="358" t="e">
        <f t="shared" si="10"/>
        <v>#N/A</v>
      </c>
      <c r="N34" s="358" t="e">
        <f t="shared" si="10"/>
        <v>#N/A</v>
      </c>
      <c r="O34" s="358" t="e">
        <f t="shared" si="10"/>
        <v>#N/A</v>
      </c>
      <c r="P34" s="358" t="e">
        <f t="shared" si="10"/>
        <v>#N/A</v>
      </c>
      <c r="Q34" s="358" t="e">
        <f t="shared" si="10"/>
        <v>#N/A</v>
      </c>
      <c r="R34" s="358" t="e">
        <f t="shared" si="10"/>
        <v>#N/A</v>
      </c>
      <c r="S34" s="358" t="e">
        <f t="shared" si="10"/>
        <v>#N/A</v>
      </c>
      <c r="T34" s="358" t="e">
        <f t="shared" si="10"/>
        <v>#N/A</v>
      </c>
      <c r="U34" s="358" t="e">
        <f t="shared" si="10"/>
        <v>#N/A</v>
      </c>
      <c r="V34" s="358" t="e">
        <f t="shared" si="10"/>
        <v>#N/A</v>
      </c>
      <c r="W34" s="358" t="e">
        <f t="shared" si="10"/>
        <v>#N/A</v>
      </c>
      <c r="X34" s="358" t="e">
        <f t="shared" si="10"/>
        <v>#N/A</v>
      </c>
      <c r="Y34" s="358" t="e">
        <f t="shared" si="10"/>
        <v>#N/A</v>
      </c>
      <c r="Z34" s="358" t="e">
        <f t="shared" si="10"/>
        <v>#N/A</v>
      </c>
      <c r="AA34" s="358" t="e">
        <f t="shared" si="10"/>
        <v>#N/A</v>
      </c>
      <c r="AB34" s="358" t="e">
        <f t="shared" si="10"/>
        <v>#N/A</v>
      </c>
      <c r="AC34" s="358" t="e">
        <f t="shared" si="10"/>
        <v>#N/A</v>
      </c>
      <c r="AD34" s="358" t="e">
        <f t="shared" si="10"/>
        <v>#N/A</v>
      </c>
      <c r="AE34" s="358" t="e">
        <f t="shared" si="10"/>
        <v>#N/A</v>
      </c>
      <c r="AF34" s="358" t="e">
        <f t="shared" si="10"/>
        <v>#N/A</v>
      </c>
      <c r="AG34" s="358" t="e">
        <f t="shared" si="10"/>
        <v>#N/A</v>
      </c>
      <c r="AH34" s="358" t="e">
        <f t="shared" si="10"/>
        <v>#N/A</v>
      </c>
      <c r="AI34" s="358" t="e">
        <f t="shared" si="10"/>
        <v>#N/A</v>
      </c>
      <c r="AJ34" s="358" t="e">
        <f t="shared" si="10"/>
        <v>#N/A</v>
      </c>
      <c r="AK34" s="358" t="e">
        <f t="shared" si="10"/>
        <v>#N/A</v>
      </c>
      <c r="AL34" s="358" t="e">
        <f t="shared" si="10"/>
        <v>#N/A</v>
      </c>
      <c r="AM34" s="358" t="e">
        <f t="shared" si="10"/>
        <v>#N/A</v>
      </c>
      <c r="AN34" s="358" t="e">
        <f t="shared" si="10"/>
        <v>#N/A</v>
      </c>
      <c r="AO34" s="358" t="e">
        <f t="shared" si="10"/>
        <v>#N/A</v>
      </c>
      <c r="AP34" s="358" t="e">
        <f t="shared" si="10"/>
        <v>#N/A</v>
      </c>
      <c r="AQ34" s="358" t="e">
        <f t="shared" si="10"/>
        <v>#N/A</v>
      </c>
    </row>
    <row r="35" spans="1:44" s="317" customFormat="1" ht="14.25" hidden="1">
      <c r="A35" s="1012" t="s">
        <v>326</v>
      </c>
      <c r="B35" s="1012"/>
      <c r="C35" s="1012"/>
      <c r="E35" s="359" t="e">
        <f t="shared" ref="E35:AQ35" si="11">IF(E14=0,NA(),ROUNDDOWN(E14*1.5848,1))</f>
        <v>#VALUE!</v>
      </c>
      <c r="F35" s="359" t="e">
        <f t="shared" si="11"/>
        <v>#VALUE!</v>
      </c>
      <c r="G35" s="359" t="e">
        <f t="shared" si="11"/>
        <v>#VALUE!</v>
      </c>
      <c r="H35" s="359" t="e">
        <f t="shared" si="11"/>
        <v>#VALUE!</v>
      </c>
      <c r="I35" s="359" t="e">
        <f t="shared" si="11"/>
        <v>#VALUE!</v>
      </c>
      <c r="J35" s="359" t="e">
        <f t="shared" si="11"/>
        <v>#VALUE!</v>
      </c>
      <c r="K35" s="359" t="e">
        <f t="shared" si="11"/>
        <v>#VALUE!</v>
      </c>
      <c r="L35" s="359" t="e">
        <f t="shared" si="11"/>
        <v>#VALUE!</v>
      </c>
      <c r="M35" s="359" t="e">
        <f t="shared" si="11"/>
        <v>#VALUE!</v>
      </c>
      <c r="N35" s="359" t="e">
        <f t="shared" si="11"/>
        <v>#VALUE!</v>
      </c>
      <c r="O35" s="359" t="e">
        <f t="shared" si="11"/>
        <v>#VALUE!</v>
      </c>
      <c r="P35" s="359" t="e">
        <f t="shared" si="11"/>
        <v>#VALUE!</v>
      </c>
      <c r="Q35" s="359" t="e">
        <f t="shared" si="11"/>
        <v>#VALUE!</v>
      </c>
      <c r="R35" s="359" t="e">
        <f t="shared" si="11"/>
        <v>#VALUE!</v>
      </c>
      <c r="S35" s="359" t="e">
        <f t="shared" si="11"/>
        <v>#VALUE!</v>
      </c>
      <c r="T35" s="359" t="e">
        <f t="shared" si="11"/>
        <v>#VALUE!</v>
      </c>
      <c r="U35" s="359" t="e">
        <f t="shared" si="11"/>
        <v>#VALUE!</v>
      </c>
      <c r="V35" s="359" t="e">
        <f t="shared" si="11"/>
        <v>#VALUE!</v>
      </c>
      <c r="W35" s="359" t="e">
        <f t="shared" si="11"/>
        <v>#VALUE!</v>
      </c>
      <c r="X35" s="359" t="e">
        <f t="shared" si="11"/>
        <v>#VALUE!</v>
      </c>
      <c r="Y35" s="359" t="e">
        <f t="shared" si="11"/>
        <v>#VALUE!</v>
      </c>
      <c r="Z35" s="359" t="e">
        <f t="shared" si="11"/>
        <v>#VALUE!</v>
      </c>
      <c r="AA35" s="359" t="e">
        <f t="shared" si="11"/>
        <v>#VALUE!</v>
      </c>
      <c r="AB35" s="359" t="e">
        <f t="shared" si="11"/>
        <v>#VALUE!</v>
      </c>
      <c r="AC35" s="359" t="e">
        <f t="shared" si="11"/>
        <v>#VALUE!</v>
      </c>
      <c r="AD35" s="359" t="e">
        <f t="shared" si="11"/>
        <v>#VALUE!</v>
      </c>
      <c r="AE35" s="359" t="e">
        <f t="shared" si="11"/>
        <v>#VALUE!</v>
      </c>
      <c r="AF35" s="359" t="e">
        <f t="shared" si="11"/>
        <v>#VALUE!</v>
      </c>
      <c r="AG35" s="359" t="e">
        <f t="shared" si="11"/>
        <v>#VALUE!</v>
      </c>
      <c r="AH35" s="359" t="e">
        <f t="shared" si="11"/>
        <v>#VALUE!</v>
      </c>
      <c r="AI35" s="359" t="e">
        <f t="shared" si="11"/>
        <v>#VALUE!</v>
      </c>
      <c r="AJ35" s="359" t="e">
        <f t="shared" si="11"/>
        <v>#VALUE!</v>
      </c>
      <c r="AK35" s="359" t="e">
        <f t="shared" si="11"/>
        <v>#VALUE!</v>
      </c>
      <c r="AL35" s="359" t="e">
        <f t="shared" si="11"/>
        <v>#VALUE!</v>
      </c>
      <c r="AM35" s="359" t="e">
        <f t="shared" si="11"/>
        <v>#VALUE!</v>
      </c>
      <c r="AN35" s="359" t="e">
        <f t="shared" si="11"/>
        <v>#VALUE!</v>
      </c>
      <c r="AO35" s="359" t="e">
        <f t="shared" si="11"/>
        <v>#VALUE!</v>
      </c>
      <c r="AP35" s="359" t="e">
        <f t="shared" si="11"/>
        <v>#VALUE!</v>
      </c>
      <c r="AQ35" s="359" t="e">
        <f t="shared" si="11"/>
        <v>#VALUE!</v>
      </c>
    </row>
    <row r="36" spans="1:44" s="317" customFormat="1" ht="14.25" hidden="1">
      <c r="A36" s="1012" t="s">
        <v>162</v>
      </c>
      <c r="B36" s="1012"/>
      <c r="C36" s="1012"/>
      <c r="E36" s="359" t="e">
        <f>IF(E34="",NA(),ROUNDDOWN(E34+E35,1))</f>
        <v>#N/A</v>
      </c>
      <c r="F36" s="359" t="e">
        <f t="shared" ref="F36:AQ36" si="12">IF(F34="",NA(),ROUNDDOWN(F34+F35,1))</f>
        <v>#N/A</v>
      </c>
      <c r="G36" s="359" t="e">
        <f t="shared" si="12"/>
        <v>#N/A</v>
      </c>
      <c r="H36" s="359" t="e">
        <f t="shared" si="12"/>
        <v>#N/A</v>
      </c>
      <c r="I36" s="359" t="e">
        <f t="shared" si="12"/>
        <v>#N/A</v>
      </c>
      <c r="J36" s="359" t="e">
        <f t="shared" si="12"/>
        <v>#N/A</v>
      </c>
      <c r="K36" s="359" t="e">
        <f>IF(K34="",NA(),ROUNDDOWN(K34+K35,1))</f>
        <v>#N/A</v>
      </c>
      <c r="L36" s="359" t="e">
        <f t="shared" si="12"/>
        <v>#N/A</v>
      </c>
      <c r="M36" s="359" t="e">
        <f t="shared" si="12"/>
        <v>#N/A</v>
      </c>
      <c r="N36" s="359" t="e">
        <f t="shared" si="12"/>
        <v>#N/A</v>
      </c>
      <c r="O36" s="359" t="e">
        <f t="shared" si="12"/>
        <v>#N/A</v>
      </c>
      <c r="P36" s="359" t="e">
        <f t="shared" si="12"/>
        <v>#N/A</v>
      </c>
      <c r="Q36" s="359" t="e">
        <f t="shared" si="12"/>
        <v>#N/A</v>
      </c>
      <c r="R36" s="359" t="e">
        <f t="shared" si="12"/>
        <v>#N/A</v>
      </c>
      <c r="S36" s="359" t="e">
        <f t="shared" si="12"/>
        <v>#N/A</v>
      </c>
      <c r="T36" s="359" t="e">
        <f t="shared" si="12"/>
        <v>#N/A</v>
      </c>
      <c r="U36" s="359" t="e">
        <f t="shared" si="12"/>
        <v>#N/A</v>
      </c>
      <c r="V36" s="359" t="e">
        <f t="shared" si="12"/>
        <v>#N/A</v>
      </c>
      <c r="W36" s="359" t="e">
        <f t="shared" si="12"/>
        <v>#N/A</v>
      </c>
      <c r="X36" s="359" t="e">
        <f t="shared" si="12"/>
        <v>#N/A</v>
      </c>
      <c r="Y36" s="359" t="e">
        <f t="shared" si="12"/>
        <v>#N/A</v>
      </c>
      <c r="Z36" s="359" t="e">
        <f t="shared" si="12"/>
        <v>#N/A</v>
      </c>
      <c r="AA36" s="359" t="e">
        <f t="shared" si="12"/>
        <v>#N/A</v>
      </c>
      <c r="AB36" s="359" t="e">
        <f t="shared" si="12"/>
        <v>#N/A</v>
      </c>
      <c r="AC36" s="359" t="e">
        <f t="shared" si="12"/>
        <v>#N/A</v>
      </c>
      <c r="AD36" s="359" t="e">
        <f t="shared" si="12"/>
        <v>#N/A</v>
      </c>
      <c r="AE36" s="359" t="e">
        <f t="shared" si="12"/>
        <v>#N/A</v>
      </c>
      <c r="AF36" s="359" t="e">
        <f t="shared" si="12"/>
        <v>#N/A</v>
      </c>
      <c r="AG36" s="359" t="e">
        <f t="shared" si="12"/>
        <v>#N/A</v>
      </c>
      <c r="AH36" s="359" t="e">
        <f t="shared" si="12"/>
        <v>#N/A</v>
      </c>
      <c r="AI36" s="359" t="e">
        <f t="shared" si="12"/>
        <v>#N/A</v>
      </c>
      <c r="AJ36" s="359" t="e">
        <f t="shared" si="12"/>
        <v>#N/A</v>
      </c>
      <c r="AK36" s="359" t="e">
        <f t="shared" si="12"/>
        <v>#N/A</v>
      </c>
      <c r="AL36" s="359" t="e">
        <f t="shared" si="12"/>
        <v>#N/A</v>
      </c>
      <c r="AM36" s="359" t="e">
        <f t="shared" si="12"/>
        <v>#N/A</v>
      </c>
      <c r="AN36" s="359" t="e">
        <f t="shared" si="12"/>
        <v>#N/A</v>
      </c>
      <c r="AO36" s="359" t="e">
        <f t="shared" si="12"/>
        <v>#N/A</v>
      </c>
      <c r="AP36" s="359" t="e">
        <f t="shared" si="12"/>
        <v>#N/A</v>
      </c>
      <c r="AQ36" s="359" t="e">
        <f t="shared" si="12"/>
        <v>#N/A</v>
      </c>
    </row>
    <row r="37" spans="1:44" s="317" customFormat="1" ht="14.25" hidden="1">
      <c r="A37" s="1012" t="s">
        <v>198</v>
      </c>
      <c r="B37" s="1012"/>
      <c r="C37" s="1012"/>
      <c r="E37" s="360" t="e">
        <f t="shared" ref="E37:AQ37" si="13">IF(E14="",NA(),IF(E10&lt;=$B25,E14*$D28/100,IF(E10&lt;=$C25,E14*$E28/100,IF(E10&lt;=$D25,E14*$F28/100,IF(E10&lt;=$E25,E14*$G28/100,IF(E10&lt;=$F25,E14*$H28/100,IF(E10&lt;=$G25,E14*$I28/100,IF(E10&lt;=$H25,E14*$J28/100,IF(E10&lt;=$I25,E14*$K28/100,IF(E10&lt;=$J25,E14*$L28/100,IF(E10&lt;=$K25,E14*$M28/100,IF(E10&lt;=$L25,E14*$N28/100,IF(E10&lt;=$M25,E14*$O28/100,IF(E10&lt;=$N25,E14*$P28/100,IF(E10&lt;=$O25,E14*$Q28/100,IF(E10&lt;=$P25,E14*$R28/100,IF(E10&lt;=$Q25,E14*$S28/100,IF(E10&lt;=$R25,E14*$T28/100,IF(E10&lt;=$S25,E14*$U28/100,IF(E10&lt;=$T25,E14*$V28/100,IF(E10&lt;=$U25,E14*$W28/100,E14*$X28/100)))))))))))))))))))))</f>
        <v>#N/A</v>
      </c>
      <c r="F37" s="360" t="e">
        <f t="shared" si="13"/>
        <v>#N/A</v>
      </c>
      <c r="G37" s="360" t="e">
        <f t="shared" si="13"/>
        <v>#N/A</v>
      </c>
      <c r="H37" s="360" t="e">
        <f t="shared" si="13"/>
        <v>#N/A</v>
      </c>
      <c r="I37" s="360" t="e">
        <f t="shared" si="13"/>
        <v>#N/A</v>
      </c>
      <c r="J37" s="360" t="e">
        <f t="shared" si="13"/>
        <v>#N/A</v>
      </c>
      <c r="K37" s="360" t="e">
        <f t="shared" si="13"/>
        <v>#N/A</v>
      </c>
      <c r="L37" s="360" t="e">
        <f t="shared" si="13"/>
        <v>#N/A</v>
      </c>
      <c r="M37" s="360" t="e">
        <f t="shared" si="13"/>
        <v>#N/A</v>
      </c>
      <c r="N37" s="360" t="e">
        <f t="shared" si="13"/>
        <v>#N/A</v>
      </c>
      <c r="O37" s="360" t="e">
        <f t="shared" si="13"/>
        <v>#N/A</v>
      </c>
      <c r="P37" s="360" t="e">
        <f t="shared" si="13"/>
        <v>#N/A</v>
      </c>
      <c r="Q37" s="360" t="e">
        <f t="shared" si="13"/>
        <v>#N/A</v>
      </c>
      <c r="R37" s="360" t="e">
        <f t="shared" si="13"/>
        <v>#N/A</v>
      </c>
      <c r="S37" s="360" t="e">
        <f t="shared" si="13"/>
        <v>#N/A</v>
      </c>
      <c r="T37" s="360" t="e">
        <f t="shared" si="13"/>
        <v>#N/A</v>
      </c>
      <c r="U37" s="360" t="e">
        <f t="shared" si="13"/>
        <v>#N/A</v>
      </c>
      <c r="V37" s="360" t="e">
        <f t="shared" si="13"/>
        <v>#N/A</v>
      </c>
      <c r="W37" s="360" t="e">
        <f t="shared" si="13"/>
        <v>#N/A</v>
      </c>
      <c r="X37" s="360" t="e">
        <f t="shared" si="13"/>
        <v>#N/A</v>
      </c>
      <c r="Y37" s="360" t="e">
        <f t="shared" si="13"/>
        <v>#N/A</v>
      </c>
      <c r="Z37" s="360" t="e">
        <f t="shared" si="13"/>
        <v>#N/A</v>
      </c>
      <c r="AA37" s="360" t="e">
        <f t="shared" si="13"/>
        <v>#N/A</v>
      </c>
      <c r="AB37" s="360" t="e">
        <f t="shared" si="13"/>
        <v>#N/A</v>
      </c>
      <c r="AC37" s="360" t="e">
        <f t="shared" si="13"/>
        <v>#N/A</v>
      </c>
      <c r="AD37" s="360" t="e">
        <f t="shared" si="13"/>
        <v>#N/A</v>
      </c>
      <c r="AE37" s="360" t="e">
        <f t="shared" si="13"/>
        <v>#N/A</v>
      </c>
      <c r="AF37" s="360" t="e">
        <f t="shared" si="13"/>
        <v>#N/A</v>
      </c>
      <c r="AG37" s="360" t="e">
        <f t="shared" si="13"/>
        <v>#N/A</v>
      </c>
      <c r="AH37" s="360" t="e">
        <f t="shared" si="13"/>
        <v>#N/A</v>
      </c>
      <c r="AI37" s="360" t="e">
        <f t="shared" si="13"/>
        <v>#N/A</v>
      </c>
      <c r="AJ37" s="360" t="e">
        <f t="shared" si="13"/>
        <v>#N/A</v>
      </c>
      <c r="AK37" s="360" t="e">
        <f t="shared" si="13"/>
        <v>#N/A</v>
      </c>
      <c r="AL37" s="360" t="e">
        <f t="shared" si="13"/>
        <v>#N/A</v>
      </c>
      <c r="AM37" s="360" t="e">
        <f t="shared" si="13"/>
        <v>#N/A</v>
      </c>
      <c r="AN37" s="360" t="e">
        <f t="shared" si="13"/>
        <v>#N/A</v>
      </c>
      <c r="AO37" s="360" t="e">
        <f t="shared" si="13"/>
        <v>#N/A</v>
      </c>
      <c r="AP37" s="360" t="e">
        <f t="shared" si="13"/>
        <v>#N/A</v>
      </c>
      <c r="AQ37" s="360" t="e">
        <f t="shared" si="13"/>
        <v>#N/A</v>
      </c>
    </row>
    <row r="38" spans="1:44" s="317" customFormat="1" ht="14.25" hidden="1">
      <c r="A38" s="1011" t="s">
        <v>327</v>
      </c>
      <c r="B38" s="1012"/>
      <c r="C38" s="1050"/>
      <c r="E38" s="361" t="e">
        <f t="shared" ref="E38:AA38" si="14">IF(E37=0,NA(),ROUND(E37*1.5848,1))</f>
        <v>#N/A</v>
      </c>
      <c r="F38" s="361" t="e">
        <f t="shared" si="14"/>
        <v>#N/A</v>
      </c>
      <c r="G38" s="361" t="e">
        <f t="shared" si="14"/>
        <v>#N/A</v>
      </c>
      <c r="H38" s="361" t="e">
        <f t="shared" si="14"/>
        <v>#N/A</v>
      </c>
      <c r="I38" s="361" t="e">
        <f t="shared" si="14"/>
        <v>#N/A</v>
      </c>
      <c r="J38" s="361" t="e">
        <f t="shared" si="14"/>
        <v>#N/A</v>
      </c>
      <c r="K38" s="361" t="e">
        <f t="shared" si="14"/>
        <v>#N/A</v>
      </c>
      <c r="L38" s="361" t="e">
        <f t="shared" si="14"/>
        <v>#N/A</v>
      </c>
      <c r="M38" s="361" t="e">
        <f t="shared" si="14"/>
        <v>#N/A</v>
      </c>
      <c r="N38" s="361" t="e">
        <f t="shared" si="14"/>
        <v>#N/A</v>
      </c>
      <c r="O38" s="361" t="e">
        <f t="shared" si="14"/>
        <v>#N/A</v>
      </c>
      <c r="P38" s="361" t="e">
        <f t="shared" si="14"/>
        <v>#N/A</v>
      </c>
      <c r="Q38" s="361" t="e">
        <f t="shared" si="14"/>
        <v>#N/A</v>
      </c>
      <c r="R38" s="361" t="e">
        <f t="shared" si="14"/>
        <v>#N/A</v>
      </c>
      <c r="S38" s="361" t="e">
        <f t="shared" si="14"/>
        <v>#N/A</v>
      </c>
      <c r="T38" s="361" t="e">
        <f t="shared" si="14"/>
        <v>#N/A</v>
      </c>
      <c r="U38" s="361" t="e">
        <f t="shared" si="14"/>
        <v>#N/A</v>
      </c>
      <c r="V38" s="361" t="e">
        <f t="shared" si="14"/>
        <v>#N/A</v>
      </c>
      <c r="W38" s="361" t="e">
        <f t="shared" si="14"/>
        <v>#N/A</v>
      </c>
      <c r="X38" s="361" t="e">
        <f t="shared" si="14"/>
        <v>#N/A</v>
      </c>
      <c r="Y38" s="361" t="e">
        <f t="shared" si="14"/>
        <v>#N/A</v>
      </c>
      <c r="Z38" s="361" t="e">
        <f t="shared" si="14"/>
        <v>#N/A</v>
      </c>
      <c r="AA38" s="361" t="e">
        <f t="shared" si="14"/>
        <v>#N/A</v>
      </c>
      <c r="AB38" s="361" t="e">
        <f>IF(AB37=0,NA(),ROUND(AB37*1.5848,1))</f>
        <v>#N/A</v>
      </c>
      <c r="AC38" s="361" t="e">
        <f t="shared" ref="AC38:AQ38" si="15">IF(AC37=0,NA(),ROUND(AC37*1.5848,1))</f>
        <v>#N/A</v>
      </c>
      <c r="AD38" s="361" t="e">
        <f t="shared" si="15"/>
        <v>#N/A</v>
      </c>
      <c r="AE38" s="361" t="e">
        <f t="shared" si="15"/>
        <v>#N/A</v>
      </c>
      <c r="AF38" s="361" t="e">
        <f t="shared" si="15"/>
        <v>#N/A</v>
      </c>
      <c r="AG38" s="361" t="e">
        <f t="shared" si="15"/>
        <v>#N/A</v>
      </c>
      <c r="AH38" s="361" t="e">
        <f t="shared" si="15"/>
        <v>#N/A</v>
      </c>
      <c r="AI38" s="361" t="e">
        <f t="shared" si="15"/>
        <v>#N/A</v>
      </c>
      <c r="AJ38" s="361" t="e">
        <f t="shared" si="15"/>
        <v>#N/A</v>
      </c>
      <c r="AK38" s="361" t="e">
        <f t="shared" si="15"/>
        <v>#N/A</v>
      </c>
      <c r="AL38" s="361" t="e">
        <f t="shared" si="15"/>
        <v>#N/A</v>
      </c>
      <c r="AM38" s="361" t="e">
        <f t="shared" si="15"/>
        <v>#N/A</v>
      </c>
      <c r="AN38" s="361" t="e">
        <f t="shared" si="15"/>
        <v>#N/A</v>
      </c>
      <c r="AO38" s="361" t="e">
        <f t="shared" si="15"/>
        <v>#N/A</v>
      </c>
      <c r="AP38" s="361" t="e">
        <f t="shared" si="15"/>
        <v>#N/A</v>
      </c>
      <c r="AQ38" s="361" t="e">
        <f t="shared" si="15"/>
        <v>#N/A</v>
      </c>
    </row>
    <row r="39" spans="1:44" s="317" customFormat="1" ht="14.25" hidden="1">
      <c r="A39" s="1011" t="s">
        <v>328</v>
      </c>
      <c r="B39" s="1012"/>
      <c r="C39" s="1050"/>
      <c r="E39" s="361" t="e">
        <f>IF(E40="",NA(),ROUND(E40-E38,1))</f>
        <v>#N/A</v>
      </c>
      <c r="F39" s="361" t="e">
        <f t="shared" ref="F39:AQ39" si="16">IF(F40="",NA(),ROUND(F40-F38,1))</f>
        <v>#N/A</v>
      </c>
      <c r="G39" s="361" t="e">
        <f t="shared" si="16"/>
        <v>#N/A</v>
      </c>
      <c r="H39" s="361" t="e">
        <f t="shared" si="16"/>
        <v>#N/A</v>
      </c>
      <c r="I39" s="361" t="e">
        <f t="shared" si="16"/>
        <v>#N/A</v>
      </c>
      <c r="J39" s="361" t="e">
        <f t="shared" si="16"/>
        <v>#N/A</v>
      </c>
      <c r="K39" s="361" t="e">
        <f t="shared" si="16"/>
        <v>#N/A</v>
      </c>
      <c r="L39" s="361" t="e">
        <f t="shared" si="16"/>
        <v>#N/A</v>
      </c>
      <c r="M39" s="361" t="e">
        <f t="shared" si="16"/>
        <v>#N/A</v>
      </c>
      <c r="N39" s="361" t="e">
        <f t="shared" si="16"/>
        <v>#N/A</v>
      </c>
      <c r="O39" s="361" t="e">
        <f t="shared" si="16"/>
        <v>#N/A</v>
      </c>
      <c r="P39" s="361" t="e">
        <f t="shared" si="16"/>
        <v>#N/A</v>
      </c>
      <c r="Q39" s="361" t="e">
        <f t="shared" si="16"/>
        <v>#N/A</v>
      </c>
      <c r="R39" s="361" t="e">
        <f t="shared" si="16"/>
        <v>#N/A</v>
      </c>
      <c r="S39" s="361" t="e">
        <f t="shared" si="16"/>
        <v>#N/A</v>
      </c>
      <c r="T39" s="361" t="e">
        <f t="shared" si="16"/>
        <v>#N/A</v>
      </c>
      <c r="U39" s="361" t="e">
        <f t="shared" si="16"/>
        <v>#N/A</v>
      </c>
      <c r="V39" s="361" t="e">
        <f t="shared" si="16"/>
        <v>#N/A</v>
      </c>
      <c r="W39" s="361" t="e">
        <f t="shared" si="16"/>
        <v>#N/A</v>
      </c>
      <c r="X39" s="361" t="e">
        <f t="shared" si="16"/>
        <v>#N/A</v>
      </c>
      <c r="Y39" s="361" t="e">
        <f t="shared" si="16"/>
        <v>#N/A</v>
      </c>
      <c r="Z39" s="361" t="e">
        <f t="shared" si="16"/>
        <v>#N/A</v>
      </c>
      <c r="AA39" s="361" t="e">
        <f t="shared" si="16"/>
        <v>#N/A</v>
      </c>
      <c r="AB39" s="361" t="e">
        <f t="shared" si="16"/>
        <v>#N/A</v>
      </c>
      <c r="AC39" s="361" t="e">
        <f t="shared" si="16"/>
        <v>#N/A</v>
      </c>
      <c r="AD39" s="361" t="e">
        <f t="shared" si="16"/>
        <v>#N/A</v>
      </c>
      <c r="AE39" s="361" t="e">
        <f t="shared" si="16"/>
        <v>#N/A</v>
      </c>
      <c r="AF39" s="361" t="e">
        <f t="shared" si="16"/>
        <v>#N/A</v>
      </c>
      <c r="AG39" s="361" t="e">
        <f t="shared" si="16"/>
        <v>#N/A</v>
      </c>
      <c r="AH39" s="361" t="e">
        <f t="shared" si="16"/>
        <v>#N/A</v>
      </c>
      <c r="AI39" s="361" t="e">
        <f t="shared" si="16"/>
        <v>#N/A</v>
      </c>
      <c r="AJ39" s="361" t="e">
        <f t="shared" si="16"/>
        <v>#N/A</v>
      </c>
      <c r="AK39" s="361" t="e">
        <f t="shared" si="16"/>
        <v>#N/A</v>
      </c>
      <c r="AL39" s="361" t="e">
        <f t="shared" si="16"/>
        <v>#N/A</v>
      </c>
      <c r="AM39" s="361" t="e">
        <f t="shared" si="16"/>
        <v>#N/A</v>
      </c>
      <c r="AN39" s="361" t="e">
        <f t="shared" si="16"/>
        <v>#N/A</v>
      </c>
      <c r="AO39" s="361" t="e">
        <f t="shared" si="16"/>
        <v>#N/A</v>
      </c>
      <c r="AP39" s="361" t="e">
        <f t="shared" si="16"/>
        <v>#N/A</v>
      </c>
      <c r="AQ39" s="361" t="e">
        <f t="shared" si="16"/>
        <v>#N/A</v>
      </c>
    </row>
    <row r="40" spans="1:44" s="317" customFormat="1" ht="14.25" hidden="1">
      <c r="A40" s="1011" t="s">
        <v>329</v>
      </c>
      <c r="B40" s="1012"/>
      <c r="C40" s="1050"/>
      <c r="E40" s="360" t="e">
        <f t="shared" ref="E40:AQ40" si="17">IF(E36="",NA(),IF(E10&lt;=$B25,E36*$D28/100,IF(E10&lt;=$C25,E36*$E28/100,IF(E10&lt;=$D25,E36*$F28/100,IF(E10&lt;=$E25,E36*$G28/100,IF(E10&lt;=$F25,E36*$H28/100,IF(E10&lt;=$G25,E36*$I28/100,IF(E10&lt;=$H25,E36*$J28/100,IF(E10&lt;=$I25,E36*$K28/100,IF(E10&lt;=$J25,E36*$L28/100,IF(E10&lt;=$K25,E36*$M28/100,IF(E10&lt;=$L25,E36*$N28/100,IF(E10&lt;=$M25,E36*$O28/100,IF(E10&lt;=$N25,E36*$P28/100,IF(E10&lt;=$O25,E36*$Q28/100,IF(E10&lt;=$P25,E36*$R28/100,IF(E10&lt;=$Q25,E36*$S28/100,IF(E10&lt;=$R25,E36*$T28/100,IF(E10&lt;=$S25,E36*$U28/100,IF(E10&lt;=$T25,E36*$V28/100,IF(E10&lt;=$U25,E36*$W28/100,E36*$X28/100)))))))))))))))))))))</f>
        <v>#N/A</v>
      </c>
      <c r="F40" s="360" t="e">
        <f t="shared" si="17"/>
        <v>#N/A</v>
      </c>
      <c r="G40" s="360" t="e">
        <f t="shared" si="17"/>
        <v>#N/A</v>
      </c>
      <c r="H40" s="360" t="e">
        <f t="shared" si="17"/>
        <v>#N/A</v>
      </c>
      <c r="I40" s="360" t="e">
        <f t="shared" si="17"/>
        <v>#N/A</v>
      </c>
      <c r="J40" s="360" t="e">
        <f t="shared" si="17"/>
        <v>#N/A</v>
      </c>
      <c r="K40" s="360" t="e">
        <f t="shared" si="17"/>
        <v>#N/A</v>
      </c>
      <c r="L40" s="360" t="e">
        <f t="shared" si="17"/>
        <v>#N/A</v>
      </c>
      <c r="M40" s="360" t="e">
        <f t="shared" si="17"/>
        <v>#N/A</v>
      </c>
      <c r="N40" s="360" t="e">
        <f t="shared" si="17"/>
        <v>#N/A</v>
      </c>
      <c r="O40" s="360" t="e">
        <f t="shared" si="17"/>
        <v>#N/A</v>
      </c>
      <c r="P40" s="360" t="e">
        <f t="shared" si="17"/>
        <v>#N/A</v>
      </c>
      <c r="Q40" s="360" t="e">
        <f t="shared" si="17"/>
        <v>#N/A</v>
      </c>
      <c r="R40" s="360" t="e">
        <f t="shared" si="17"/>
        <v>#N/A</v>
      </c>
      <c r="S40" s="360" t="e">
        <f t="shared" si="17"/>
        <v>#N/A</v>
      </c>
      <c r="T40" s="360" t="e">
        <f t="shared" si="17"/>
        <v>#N/A</v>
      </c>
      <c r="U40" s="360" t="e">
        <f t="shared" si="17"/>
        <v>#N/A</v>
      </c>
      <c r="V40" s="360" t="e">
        <f t="shared" si="17"/>
        <v>#N/A</v>
      </c>
      <c r="W40" s="360" t="e">
        <f t="shared" si="17"/>
        <v>#N/A</v>
      </c>
      <c r="X40" s="360" t="e">
        <f t="shared" si="17"/>
        <v>#N/A</v>
      </c>
      <c r="Y40" s="360" t="e">
        <f t="shared" si="17"/>
        <v>#N/A</v>
      </c>
      <c r="Z40" s="360" t="e">
        <f t="shared" si="17"/>
        <v>#N/A</v>
      </c>
      <c r="AA40" s="360" t="e">
        <f t="shared" si="17"/>
        <v>#N/A</v>
      </c>
      <c r="AB40" s="360" t="e">
        <f t="shared" si="17"/>
        <v>#N/A</v>
      </c>
      <c r="AC40" s="360" t="e">
        <f t="shared" si="17"/>
        <v>#N/A</v>
      </c>
      <c r="AD40" s="360" t="e">
        <f t="shared" si="17"/>
        <v>#N/A</v>
      </c>
      <c r="AE40" s="360" t="e">
        <f t="shared" si="17"/>
        <v>#N/A</v>
      </c>
      <c r="AF40" s="360" t="e">
        <f t="shared" si="17"/>
        <v>#N/A</v>
      </c>
      <c r="AG40" s="360" t="e">
        <f t="shared" si="17"/>
        <v>#N/A</v>
      </c>
      <c r="AH40" s="360" t="e">
        <f t="shared" si="17"/>
        <v>#N/A</v>
      </c>
      <c r="AI40" s="360" t="e">
        <f t="shared" si="17"/>
        <v>#N/A</v>
      </c>
      <c r="AJ40" s="360" t="e">
        <f t="shared" si="17"/>
        <v>#N/A</v>
      </c>
      <c r="AK40" s="360" t="e">
        <f t="shared" si="17"/>
        <v>#N/A</v>
      </c>
      <c r="AL40" s="360" t="e">
        <f t="shared" si="17"/>
        <v>#N/A</v>
      </c>
      <c r="AM40" s="360" t="e">
        <f t="shared" si="17"/>
        <v>#N/A</v>
      </c>
      <c r="AN40" s="360" t="e">
        <f t="shared" si="17"/>
        <v>#N/A</v>
      </c>
      <c r="AO40" s="360" t="e">
        <f t="shared" si="17"/>
        <v>#N/A</v>
      </c>
      <c r="AP40" s="360" t="e">
        <f t="shared" si="17"/>
        <v>#N/A</v>
      </c>
      <c r="AQ40" s="360" t="e">
        <f t="shared" si="17"/>
        <v>#N/A</v>
      </c>
    </row>
    <row r="41" spans="1:44" s="317" customFormat="1" ht="15" hidden="1" thickBot="1">
      <c r="A41" s="1014" t="s">
        <v>330</v>
      </c>
      <c r="B41" s="1015"/>
      <c r="C41" s="1015"/>
      <c r="E41" s="362" t="e">
        <f>IF(E40="",NA(),ROUND(E38/E40*100,1))</f>
        <v>#N/A</v>
      </c>
      <c r="F41" s="362" t="e">
        <f t="shared" ref="F41:AQ41" si="18">IF(F40="",NA(),ROUND(F38/F40*100,1))</f>
        <v>#N/A</v>
      </c>
      <c r="G41" s="362" t="e">
        <f t="shared" si="18"/>
        <v>#N/A</v>
      </c>
      <c r="H41" s="362" t="e">
        <f t="shared" si="18"/>
        <v>#N/A</v>
      </c>
      <c r="I41" s="362" t="e">
        <f t="shared" si="18"/>
        <v>#N/A</v>
      </c>
      <c r="J41" s="362" t="e">
        <f t="shared" si="18"/>
        <v>#N/A</v>
      </c>
      <c r="K41" s="362" t="e">
        <f t="shared" si="18"/>
        <v>#N/A</v>
      </c>
      <c r="L41" s="362" t="e">
        <f t="shared" si="18"/>
        <v>#N/A</v>
      </c>
      <c r="M41" s="362" t="e">
        <f t="shared" si="18"/>
        <v>#N/A</v>
      </c>
      <c r="N41" s="362" t="e">
        <f t="shared" si="18"/>
        <v>#N/A</v>
      </c>
      <c r="O41" s="362" t="e">
        <f t="shared" si="18"/>
        <v>#N/A</v>
      </c>
      <c r="P41" s="362" t="e">
        <f t="shared" si="18"/>
        <v>#N/A</v>
      </c>
      <c r="Q41" s="362" t="e">
        <f t="shared" si="18"/>
        <v>#N/A</v>
      </c>
      <c r="R41" s="362" t="e">
        <f t="shared" si="18"/>
        <v>#N/A</v>
      </c>
      <c r="S41" s="362" t="e">
        <f t="shared" si="18"/>
        <v>#N/A</v>
      </c>
      <c r="T41" s="362" t="e">
        <f t="shared" si="18"/>
        <v>#N/A</v>
      </c>
      <c r="U41" s="362" t="e">
        <f t="shared" si="18"/>
        <v>#N/A</v>
      </c>
      <c r="V41" s="362" t="e">
        <f t="shared" si="18"/>
        <v>#N/A</v>
      </c>
      <c r="W41" s="362" t="e">
        <f t="shared" si="18"/>
        <v>#N/A</v>
      </c>
      <c r="X41" s="362" t="e">
        <f t="shared" si="18"/>
        <v>#N/A</v>
      </c>
      <c r="Y41" s="362" t="e">
        <f t="shared" si="18"/>
        <v>#N/A</v>
      </c>
      <c r="Z41" s="362" t="e">
        <f t="shared" si="18"/>
        <v>#N/A</v>
      </c>
      <c r="AA41" s="362" t="e">
        <f t="shared" si="18"/>
        <v>#N/A</v>
      </c>
      <c r="AB41" s="362" t="e">
        <f t="shared" si="18"/>
        <v>#N/A</v>
      </c>
      <c r="AC41" s="362" t="e">
        <f t="shared" si="18"/>
        <v>#N/A</v>
      </c>
      <c r="AD41" s="362" t="e">
        <f t="shared" si="18"/>
        <v>#N/A</v>
      </c>
      <c r="AE41" s="362" t="e">
        <f t="shared" si="18"/>
        <v>#N/A</v>
      </c>
      <c r="AF41" s="362" t="e">
        <f t="shared" si="18"/>
        <v>#N/A</v>
      </c>
      <c r="AG41" s="362" t="e">
        <f t="shared" si="18"/>
        <v>#N/A</v>
      </c>
      <c r="AH41" s="362" t="e">
        <f t="shared" si="18"/>
        <v>#N/A</v>
      </c>
      <c r="AI41" s="362" t="e">
        <f t="shared" si="18"/>
        <v>#N/A</v>
      </c>
      <c r="AJ41" s="362" t="e">
        <f t="shared" si="18"/>
        <v>#N/A</v>
      </c>
      <c r="AK41" s="362" t="e">
        <f t="shared" si="18"/>
        <v>#N/A</v>
      </c>
      <c r="AL41" s="362" t="e">
        <f t="shared" si="18"/>
        <v>#N/A</v>
      </c>
      <c r="AM41" s="362" t="e">
        <f t="shared" si="18"/>
        <v>#N/A</v>
      </c>
      <c r="AN41" s="362" t="e">
        <f t="shared" si="18"/>
        <v>#N/A</v>
      </c>
      <c r="AO41" s="362" t="e">
        <f t="shared" si="18"/>
        <v>#N/A</v>
      </c>
      <c r="AP41" s="362" t="e">
        <f t="shared" si="18"/>
        <v>#N/A</v>
      </c>
      <c r="AQ41" s="362" t="e">
        <f t="shared" si="18"/>
        <v>#N/A</v>
      </c>
      <c r="AR41" s="362"/>
    </row>
    <row r="42" spans="1:44" s="317" customFormat="1" ht="14.25" hidden="1">
      <c r="A42" s="1011" t="s">
        <v>331</v>
      </c>
      <c r="B42" s="1012"/>
      <c r="C42" s="1050"/>
      <c r="D42" s="317">
        <f>P5</f>
        <v>0</v>
      </c>
      <c r="E42" s="317">
        <f>D42</f>
        <v>0</v>
      </c>
      <c r="F42" s="317">
        <f t="shared" ref="F42:U45" si="19">E42</f>
        <v>0</v>
      </c>
      <c r="G42" s="317">
        <f t="shared" si="19"/>
        <v>0</v>
      </c>
      <c r="H42" s="317">
        <f t="shared" si="19"/>
        <v>0</v>
      </c>
      <c r="I42" s="317">
        <f t="shared" si="19"/>
        <v>0</v>
      </c>
      <c r="J42" s="317">
        <f t="shared" si="19"/>
        <v>0</v>
      </c>
      <c r="K42" s="317">
        <f t="shared" si="19"/>
        <v>0</v>
      </c>
      <c r="L42" s="317">
        <f t="shared" si="19"/>
        <v>0</v>
      </c>
      <c r="M42" s="317">
        <f t="shared" si="19"/>
        <v>0</v>
      </c>
      <c r="N42" s="317">
        <f t="shared" si="19"/>
        <v>0</v>
      </c>
      <c r="O42" s="317">
        <f t="shared" si="19"/>
        <v>0</v>
      </c>
      <c r="P42" s="317">
        <f t="shared" si="19"/>
        <v>0</v>
      </c>
      <c r="Q42" s="317">
        <f t="shared" si="19"/>
        <v>0</v>
      </c>
      <c r="R42" s="317">
        <f t="shared" si="19"/>
        <v>0</v>
      </c>
      <c r="S42" s="317">
        <f t="shared" si="19"/>
        <v>0</v>
      </c>
      <c r="T42" s="317">
        <f t="shared" si="19"/>
        <v>0</v>
      </c>
      <c r="U42" s="317">
        <f t="shared" si="19"/>
        <v>0</v>
      </c>
      <c r="V42" s="317">
        <f t="shared" ref="V42:AK45" si="20">U42</f>
        <v>0</v>
      </c>
      <c r="W42" s="317">
        <f t="shared" si="20"/>
        <v>0</v>
      </c>
      <c r="X42" s="317">
        <f t="shared" si="20"/>
        <v>0</v>
      </c>
      <c r="Y42" s="317">
        <f t="shared" si="20"/>
        <v>0</v>
      </c>
      <c r="Z42" s="317">
        <f t="shared" si="20"/>
        <v>0</v>
      </c>
      <c r="AA42" s="317">
        <f t="shared" si="20"/>
        <v>0</v>
      </c>
      <c r="AB42" s="317">
        <f t="shared" si="20"/>
        <v>0</v>
      </c>
      <c r="AC42" s="317">
        <f t="shared" si="20"/>
        <v>0</v>
      </c>
      <c r="AD42" s="317">
        <f t="shared" si="20"/>
        <v>0</v>
      </c>
      <c r="AE42" s="317">
        <f t="shared" si="20"/>
        <v>0</v>
      </c>
      <c r="AF42" s="317">
        <f t="shared" si="20"/>
        <v>0</v>
      </c>
      <c r="AG42" s="317">
        <f t="shared" si="20"/>
        <v>0</v>
      </c>
      <c r="AH42" s="317">
        <f t="shared" si="20"/>
        <v>0</v>
      </c>
      <c r="AI42" s="317">
        <f t="shared" si="20"/>
        <v>0</v>
      </c>
      <c r="AJ42" s="317">
        <f t="shared" si="20"/>
        <v>0</v>
      </c>
      <c r="AK42" s="317">
        <f t="shared" si="20"/>
        <v>0</v>
      </c>
      <c r="AL42" s="317">
        <f t="shared" ref="AL42:AQ45" si="21">AK42</f>
        <v>0</v>
      </c>
      <c r="AM42" s="317">
        <f t="shared" si="21"/>
        <v>0</v>
      </c>
      <c r="AN42" s="317">
        <f t="shared" si="21"/>
        <v>0</v>
      </c>
      <c r="AO42" s="317">
        <f t="shared" si="21"/>
        <v>0</v>
      </c>
      <c r="AP42" s="317">
        <f t="shared" si="21"/>
        <v>0</v>
      </c>
      <c r="AQ42" s="317">
        <f t="shared" si="21"/>
        <v>0</v>
      </c>
    </row>
    <row r="43" spans="1:44" s="317" customFormat="1" ht="14.25" hidden="1">
      <c r="A43" s="1011" t="s">
        <v>332</v>
      </c>
      <c r="B43" s="1012"/>
      <c r="C43" s="1050"/>
      <c r="D43" s="317">
        <f>P6</f>
        <v>0</v>
      </c>
      <c r="E43" s="317">
        <f>D43</f>
        <v>0</v>
      </c>
      <c r="F43" s="317">
        <f t="shared" si="19"/>
        <v>0</v>
      </c>
      <c r="G43" s="317">
        <f t="shared" si="19"/>
        <v>0</v>
      </c>
      <c r="H43" s="317">
        <f t="shared" si="19"/>
        <v>0</v>
      </c>
      <c r="I43" s="317">
        <f t="shared" si="19"/>
        <v>0</v>
      </c>
      <c r="J43" s="317">
        <f t="shared" si="19"/>
        <v>0</v>
      </c>
      <c r="K43" s="317">
        <f t="shared" si="19"/>
        <v>0</v>
      </c>
      <c r="L43" s="317">
        <f t="shared" si="19"/>
        <v>0</v>
      </c>
      <c r="M43" s="317">
        <f t="shared" si="19"/>
        <v>0</v>
      </c>
      <c r="N43" s="317">
        <f t="shared" si="19"/>
        <v>0</v>
      </c>
      <c r="O43" s="317">
        <f t="shared" si="19"/>
        <v>0</v>
      </c>
      <c r="P43" s="317">
        <f t="shared" si="19"/>
        <v>0</v>
      </c>
      <c r="Q43" s="317">
        <f t="shared" si="19"/>
        <v>0</v>
      </c>
      <c r="R43" s="317">
        <f t="shared" si="19"/>
        <v>0</v>
      </c>
      <c r="S43" s="317">
        <f t="shared" si="19"/>
        <v>0</v>
      </c>
      <c r="T43" s="317">
        <f t="shared" si="19"/>
        <v>0</v>
      </c>
      <c r="U43" s="317">
        <f t="shared" si="19"/>
        <v>0</v>
      </c>
      <c r="V43" s="317">
        <f t="shared" si="20"/>
        <v>0</v>
      </c>
      <c r="W43" s="317">
        <f t="shared" si="20"/>
        <v>0</v>
      </c>
      <c r="X43" s="317">
        <f t="shared" si="20"/>
        <v>0</v>
      </c>
      <c r="Y43" s="317">
        <f t="shared" si="20"/>
        <v>0</v>
      </c>
      <c r="Z43" s="317">
        <f t="shared" si="20"/>
        <v>0</v>
      </c>
      <c r="AA43" s="317">
        <f t="shared" si="20"/>
        <v>0</v>
      </c>
      <c r="AB43" s="317">
        <f t="shared" si="20"/>
        <v>0</v>
      </c>
      <c r="AC43" s="317">
        <f t="shared" si="20"/>
        <v>0</v>
      </c>
      <c r="AD43" s="317">
        <f t="shared" si="20"/>
        <v>0</v>
      </c>
      <c r="AE43" s="317">
        <f t="shared" si="20"/>
        <v>0</v>
      </c>
      <c r="AF43" s="317">
        <f t="shared" si="20"/>
        <v>0</v>
      </c>
      <c r="AG43" s="317">
        <f t="shared" si="20"/>
        <v>0</v>
      </c>
      <c r="AH43" s="317">
        <f t="shared" si="20"/>
        <v>0</v>
      </c>
      <c r="AI43" s="317">
        <f t="shared" si="20"/>
        <v>0</v>
      </c>
      <c r="AJ43" s="317">
        <f t="shared" si="20"/>
        <v>0</v>
      </c>
      <c r="AK43" s="317">
        <f t="shared" si="20"/>
        <v>0</v>
      </c>
      <c r="AL43" s="317">
        <f t="shared" si="21"/>
        <v>0</v>
      </c>
      <c r="AM43" s="317">
        <f t="shared" si="21"/>
        <v>0</v>
      </c>
      <c r="AN43" s="317">
        <f t="shared" si="21"/>
        <v>0</v>
      </c>
      <c r="AO43" s="317">
        <f t="shared" si="21"/>
        <v>0</v>
      </c>
      <c r="AP43" s="317">
        <f t="shared" si="21"/>
        <v>0</v>
      </c>
      <c r="AQ43" s="317">
        <f t="shared" si="21"/>
        <v>0</v>
      </c>
    </row>
    <row r="44" spans="1:44" s="317" customFormat="1" ht="14.25" hidden="1">
      <c r="A44" s="1011" t="s">
        <v>333</v>
      </c>
      <c r="B44" s="1012"/>
      <c r="C44" s="1050"/>
      <c r="D44" s="317">
        <f>P4</f>
        <v>0</v>
      </c>
      <c r="E44" s="317">
        <f>D44</f>
        <v>0</v>
      </c>
      <c r="F44" s="317">
        <f t="shared" si="19"/>
        <v>0</v>
      </c>
      <c r="G44" s="317">
        <f t="shared" si="19"/>
        <v>0</v>
      </c>
      <c r="H44" s="317">
        <f t="shared" si="19"/>
        <v>0</v>
      </c>
      <c r="I44" s="317">
        <f t="shared" si="19"/>
        <v>0</v>
      </c>
      <c r="J44" s="317">
        <f t="shared" si="19"/>
        <v>0</v>
      </c>
      <c r="K44" s="317">
        <f t="shared" si="19"/>
        <v>0</v>
      </c>
      <c r="L44" s="317">
        <f t="shared" si="19"/>
        <v>0</v>
      </c>
      <c r="M44" s="317">
        <f t="shared" si="19"/>
        <v>0</v>
      </c>
      <c r="N44" s="317">
        <f t="shared" si="19"/>
        <v>0</v>
      </c>
      <c r="O44" s="317">
        <f t="shared" si="19"/>
        <v>0</v>
      </c>
      <c r="P44" s="317">
        <f t="shared" si="19"/>
        <v>0</v>
      </c>
      <c r="Q44" s="317">
        <f t="shared" si="19"/>
        <v>0</v>
      </c>
      <c r="R44" s="317">
        <f t="shared" si="19"/>
        <v>0</v>
      </c>
      <c r="S44" s="317">
        <f t="shared" si="19"/>
        <v>0</v>
      </c>
      <c r="T44" s="317">
        <f t="shared" si="19"/>
        <v>0</v>
      </c>
      <c r="U44" s="317">
        <f t="shared" si="19"/>
        <v>0</v>
      </c>
      <c r="V44" s="317">
        <f t="shared" si="20"/>
        <v>0</v>
      </c>
      <c r="W44" s="317">
        <f t="shared" si="20"/>
        <v>0</v>
      </c>
      <c r="X44" s="317">
        <f t="shared" si="20"/>
        <v>0</v>
      </c>
      <c r="Y44" s="317">
        <f t="shared" si="20"/>
        <v>0</v>
      </c>
      <c r="Z44" s="317">
        <f t="shared" si="20"/>
        <v>0</v>
      </c>
      <c r="AA44" s="317">
        <f t="shared" si="20"/>
        <v>0</v>
      </c>
      <c r="AB44" s="317">
        <f t="shared" si="20"/>
        <v>0</v>
      </c>
      <c r="AC44" s="317">
        <f t="shared" si="20"/>
        <v>0</v>
      </c>
      <c r="AD44" s="317">
        <f t="shared" si="20"/>
        <v>0</v>
      </c>
      <c r="AE44" s="317">
        <f t="shared" si="20"/>
        <v>0</v>
      </c>
      <c r="AF44" s="317">
        <f t="shared" si="20"/>
        <v>0</v>
      </c>
      <c r="AG44" s="317">
        <f t="shared" si="20"/>
        <v>0</v>
      </c>
      <c r="AH44" s="317">
        <f t="shared" si="20"/>
        <v>0</v>
      </c>
      <c r="AI44" s="317">
        <f t="shared" si="20"/>
        <v>0</v>
      </c>
      <c r="AJ44" s="317">
        <f t="shared" si="20"/>
        <v>0</v>
      </c>
      <c r="AK44" s="317">
        <f t="shared" si="20"/>
        <v>0</v>
      </c>
      <c r="AL44" s="317">
        <f t="shared" si="21"/>
        <v>0</v>
      </c>
      <c r="AM44" s="317">
        <f t="shared" si="21"/>
        <v>0</v>
      </c>
      <c r="AN44" s="317">
        <f t="shared" si="21"/>
        <v>0</v>
      </c>
      <c r="AO44" s="317">
        <f t="shared" si="21"/>
        <v>0</v>
      </c>
      <c r="AP44" s="317">
        <f t="shared" si="21"/>
        <v>0</v>
      </c>
      <c r="AQ44" s="317">
        <f t="shared" si="21"/>
        <v>0</v>
      </c>
    </row>
    <row r="45" spans="1:44" s="317" customFormat="1" ht="15" hidden="1" thickBot="1">
      <c r="A45" s="1014" t="s">
        <v>334</v>
      </c>
      <c r="B45" s="1015"/>
      <c r="C45" s="1015"/>
      <c r="D45" s="317">
        <f>P7</f>
        <v>80</v>
      </c>
      <c r="E45" s="317">
        <f>D45</f>
        <v>80</v>
      </c>
      <c r="F45" s="317">
        <f t="shared" si="19"/>
        <v>80</v>
      </c>
      <c r="G45" s="317">
        <f t="shared" si="19"/>
        <v>80</v>
      </c>
      <c r="H45" s="317">
        <f t="shared" si="19"/>
        <v>80</v>
      </c>
      <c r="I45" s="317">
        <f t="shared" si="19"/>
        <v>80</v>
      </c>
      <c r="J45" s="317">
        <f t="shared" si="19"/>
        <v>80</v>
      </c>
      <c r="K45" s="317">
        <f t="shared" si="19"/>
        <v>80</v>
      </c>
      <c r="L45" s="317">
        <f t="shared" si="19"/>
        <v>80</v>
      </c>
      <c r="M45" s="317">
        <f t="shared" si="19"/>
        <v>80</v>
      </c>
      <c r="N45" s="317">
        <f t="shared" si="19"/>
        <v>80</v>
      </c>
      <c r="O45" s="317">
        <f t="shared" si="19"/>
        <v>80</v>
      </c>
      <c r="P45" s="317">
        <f t="shared" si="19"/>
        <v>80</v>
      </c>
      <c r="Q45" s="317">
        <f t="shared" si="19"/>
        <v>80</v>
      </c>
      <c r="R45" s="317">
        <f t="shared" si="19"/>
        <v>80</v>
      </c>
      <c r="S45" s="317">
        <f t="shared" si="19"/>
        <v>80</v>
      </c>
      <c r="T45" s="317">
        <f t="shared" si="19"/>
        <v>80</v>
      </c>
      <c r="U45" s="317">
        <f t="shared" si="19"/>
        <v>80</v>
      </c>
      <c r="V45" s="317">
        <f t="shared" si="20"/>
        <v>80</v>
      </c>
      <c r="W45" s="317">
        <f t="shared" si="20"/>
        <v>80</v>
      </c>
      <c r="X45" s="317">
        <f t="shared" si="20"/>
        <v>80</v>
      </c>
      <c r="Y45" s="317">
        <f t="shared" si="20"/>
        <v>80</v>
      </c>
      <c r="Z45" s="317">
        <f t="shared" si="20"/>
        <v>80</v>
      </c>
      <c r="AA45" s="317">
        <f t="shared" si="20"/>
        <v>80</v>
      </c>
      <c r="AB45" s="317">
        <f t="shared" si="20"/>
        <v>80</v>
      </c>
      <c r="AC45" s="317">
        <f t="shared" si="20"/>
        <v>80</v>
      </c>
      <c r="AD45" s="317">
        <f t="shared" si="20"/>
        <v>80</v>
      </c>
      <c r="AE45" s="317">
        <f t="shared" si="20"/>
        <v>80</v>
      </c>
      <c r="AF45" s="317">
        <f t="shared" si="20"/>
        <v>80</v>
      </c>
      <c r="AG45" s="317">
        <f t="shared" si="20"/>
        <v>80</v>
      </c>
      <c r="AH45" s="317">
        <f t="shared" si="20"/>
        <v>80</v>
      </c>
      <c r="AI45" s="317">
        <f t="shared" si="20"/>
        <v>80</v>
      </c>
      <c r="AJ45" s="317">
        <f t="shared" si="20"/>
        <v>80</v>
      </c>
      <c r="AK45" s="317">
        <f t="shared" si="20"/>
        <v>80</v>
      </c>
      <c r="AL45" s="317">
        <f t="shared" si="21"/>
        <v>80</v>
      </c>
      <c r="AM45" s="317">
        <f t="shared" si="21"/>
        <v>80</v>
      </c>
      <c r="AN45" s="317">
        <f t="shared" si="21"/>
        <v>80</v>
      </c>
      <c r="AO45" s="317">
        <f t="shared" si="21"/>
        <v>80</v>
      </c>
      <c r="AP45" s="317">
        <f t="shared" si="21"/>
        <v>80</v>
      </c>
      <c r="AQ45" s="317">
        <f t="shared" si="21"/>
        <v>80</v>
      </c>
    </row>
    <row r="46" spans="1:44" s="317" customFormat="1" ht="14.25" hidden="1"/>
    <row r="47" spans="1:44" s="317" customFormat="1" ht="21" customHeight="1" thickBot="1">
      <c r="A47" s="316" t="s">
        <v>335</v>
      </c>
    </row>
    <row r="48" spans="1:44" s="317" customFormat="1" ht="12.95" customHeight="1" thickBot="1">
      <c r="A48" s="1016" t="s">
        <v>286</v>
      </c>
      <c r="B48" s="1017"/>
      <c r="C48" s="1017"/>
      <c r="D48" s="1022"/>
      <c r="E48" s="1022"/>
      <c r="F48" s="1023"/>
      <c r="H48" s="318" t="s">
        <v>294</v>
      </c>
      <c r="I48" s="1022"/>
      <c r="J48" s="1023"/>
      <c r="L48" s="363" t="s">
        <v>295</v>
      </c>
      <c r="M48" s="1057"/>
      <c r="N48" s="1058"/>
      <c r="O48" s="364"/>
      <c r="P48" s="1059" t="s">
        <v>297</v>
      </c>
      <c r="Q48" s="1060"/>
      <c r="R48" s="365"/>
      <c r="S48" s="365"/>
      <c r="T48" s="365"/>
    </row>
    <row r="49" spans="1:44" s="317" customFormat="1" ht="12.95" customHeight="1" thickBot="1">
      <c r="L49" s="366" t="s">
        <v>296</v>
      </c>
      <c r="M49" s="1061"/>
      <c r="N49" s="1062"/>
      <c r="P49" s="1028"/>
      <c r="Q49" s="1029"/>
      <c r="R49" s="1029"/>
      <c r="S49" s="1029"/>
      <c r="T49" s="1029"/>
      <c r="U49" s="1029"/>
      <c r="V49" s="1029"/>
      <c r="W49" s="1029"/>
      <c r="X49" s="1030"/>
    </row>
    <row r="50" spans="1:44" s="317" customFormat="1" ht="14.25">
      <c r="A50" s="1037" t="s">
        <v>63</v>
      </c>
      <c r="B50" s="1038"/>
      <c r="C50" s="1038"/>
      <c r="D50" s="388" t="s">
        <v>49</v>
      </c>
      <c r="E50" s="388" t="s">
        <v>14</v>
      </c>
      <c r="F50" s="388" t="s">
        <v>16</v>
      </c>
      <c r="G50" s="388" t="s">
        <v>50</v>
      </c>
      <c r="H50" s="388" t="s">
        <v>51</v>
      </c>
      <c r="I50" s="322" t="s">
        <v>54</v>
      </c>
      <c r="J50" s="323" t="s">
        <v>53</v>
      </c>
      <c r="K50" s="324"/>
      <c r="P50" s="1031"/>
      <c r="Q50" s="1032"/>
      <c r="R50" s="1032"/>
      <c r="S50" s="1032"/>
      <c r="T50" s="1032"/>
      <c r="U50" s="1032"/>
      <c r="V50" s="1032"/>
      <c r="W50" s="1032"/>
      <c r="X50" s="1033"/>
      <c r="Z50" s="326"/>
      <c r="AA50" s="326"/>
    </row>
    <row r="51" spans="1:44" s="317" customFormat="1" ht="14.25">
      <c r="A51" s="1011" t="s">
        <v>166</v>
      </c>
      <c r="B51" s="1012"/>
      <c r="C51" s="1012"/>
      <c r="D51" s="373" t="str">
        <f>IF(D52+D53=0,"",D52+D53)</f>
        <v/>
      </c>
      <c r="E51" s="373" t="str">
        <f>IF(E52+E53=0,"",E52+E53)</f>
        <v/>
      </c>
      <c r="F51" s="373" t="str">
        <f>IF(F52+F53=0,"",F52+F53)</f>
        <v/>
      </c>
      <c r="G51" s="373" t="str">
        <f>IF(G52+G53=0,"",G52+G53)</f>
        <v/>
      </c>
      <c r="H51" s="373" t="str">
        <f>IF(H52+H53=0,"",H52+H53)</f>
        <v/>
      </c>
      <c r="I51" s="327"/>
      <c r="J51" s="390" t="str">
        <f>IF(SUM(D51:I51)=0,"",SUM(D51:I51))</f>
        <v/>
      </c>
      <c r="K51" s="324"/>
      <c r="P51" s="1031"/>
      <c r="Q51" s="1032"/>
      <c r="R51" s="1032"/>
      <c r="S51" s="1032"/>
      <c r="T51" s="1032"/>
      <c r="U51" s="1032"/>
      <c r="V51" s="1032"/>
      <c r="W51" s="1032"/>
      <c r="X51" s="1033"/>
      <c r="Z51" s="326"/>
      <c r="AA51" s="326"/>
    </row>
    <row r="52" spans="1:44" s="317" customFormat="1" ht="14.25">
      <c r="A52" s="1011" t="s">
        <v>95</v>
      </c>
      <c r="B52" s="1012"/>
      <c r="C52" s="1012"/>
      <c r="D52" s="393"/>
      <c r="E52" s="393"/>
      <c r="F52" s="393"/>
      <c r="G52" s="393"/>
      <c r="H52" s="393"/>
      <c r="I52" s="327"/>
      <c r="J52" s="390" t="str">
        <f>IF(SUM(D52:I52)=0,"",SUM(D52:I52))</f>
        <v/>
      </c>
      <c r="K52" s="330"/>
      <c r="P52" s="1031"/>
      <c r="Q52" s="1032"/>
      <c r="R52" s="1032"/>
      <c r="S52" s="1032"/>
      <c r="T52" s="1032"/>
      <c r="U52" s="1032"/>
      <c r="V52" s="1032"/>
      <c r="W52" s="1032"/>
      <c r="X52" s="1033"/>
      <c r="Y52" s="1013"/>
      <c r="Z52" s="1013"/>
      <c r="AA52" s="1013"/>
    </row>
    <row r="53" spans="1:44" s="317" customFormat="1" ht="14.25">
      <c r="A53" s="1011" t="s">
        <v>52</v>
      </c>
      <c r="B53" s="1012"/>
      <c r="C53" s="1012"/>
      <c r="D53" s="393"/>
      <c r="E53" s="393"/>
      <c r="F53" s="393"/>
      <c r="G53" s="393"/>
      <c r="H53" s="393"/>
      <c r="I53" s="327"/>
      <c r="J53" s="390" t="str">
        <f>IF(SUM(D53:I53)=0,"",SUM(D53:I53))</f>
        <v/>
      </c>
      <c r="K53" s="330"/>
      <c r="P53" s="1031"/>
      <c r="Q53" s="1032"/>
      <c r="R53" s="1032"/>
      <c r="S53" s="1032"/>
      <c r="T53" s="1032"/>
      <c r="U53" s="1032"/>
      <c r="V53" s="1032"/>
      <c r="W53" s="1032"/>
      <c r="X53" s="1033"/>
      <c r="Y53" s="1013"/>
      <c r="Z53" s="1013"/>
      <c r="AA53" s="1013"/>
    </row>
    <row r="54" spans="1:44" s="317" customFormat="1" ht="15" thickBot="1">
      <c r="A54" s="1014" t="s">
        <v>165</v>
      </c>
      <c r="B54" s="1015"/>
      <c r="C54" s="1015"/>
      <c r="D54" s="394"/>
      <c r="E54" s="394"/>
      <c r="F54" s="394"/>
      <c r="G54" s="394"/>
      <c r="H54" s="394"/>
      <c r="I54" s="391" t="str">
        <f>IF(SUM(E57:AQ57)=0,"",SUM(E57:AQ57))</f>
        <v/>
      </c>
      <c r="J54" s="392" t="str">
        <f>IF(SUM(D54:I54)=0,"",SUM(D54:I54))</f>
        <v/>
      </c>
      <c r="K54" s="330"/>
      <c r="O54" s="364"/>
      <c r="P54" s="1034"/>
      <c r="Q54" s="1035"/>
      <c r="R54" s="1035"/>
      <c r="S54" s="1035"/>
      <c r="T54" s="1035"/>
      <c r="U54" s="1035"/>
      <c r="V54" s="1035"/>
      <c r="W54" s="1035"/>
      <c r="X54" s="1036"/>
      <c r="Y54" s="1013"/>
      <c r="Z54" s="1013"/>
      <c r="AA54" s="1013"/>
    </row>
    <row r="55" spans="1:44" s="317" customFormat="1" ht="10.5" customHeight="1" thickBot="1"/>
    <row r="56" spans="1:44" s="317" customFormat="1" ht="14.25">
      <c r="A56" s="1056" t="s">
        <v>17</v>
      </c>
      <c r="B56" s="1038"/>
      <c r="C56" s="1038"/>
      <c r="D56" s="388">
        <v>1</v>
      </c>
      <c r="E56" s="388">
        <v>2</v>
      </c>
      <c r="F56" s="388">
        <v>3</v>
      </c>
      <c r="G56" s="388">
        <v>4</v>
      </c>
      <c r="H56" s="388">
        <v>5</v>
      </c>
      <c r="I56" s="388">
        <v>6</v>
      </c>
      <c r="J56" s="388">
        <v>7</v>
      </c>
      <c r="K56" s="388">
        <v>8</v>
      </c>
      <c r="L56" s="388">
        <v>9</v>
      </c>
      <c r="M56" s="388">
        <v>10</v>
      </c>
      <c r="N56" s="388">
        <v>11</v>
      </c>
      <c r="O56" s="388">
        <v>12</v>
      </c>
      <c r="P56" s="388">
        <v>13</v>
      </c>
      <c r="Q56" s="388">
        <v>14</v>
      </c>
      <c r="R56" s="388">
        <v>15</v>
      </c>
      <c r="S56" s="388">
        <v>16</v>
      </c>
      <c r="T56" s="388">
        <v>17</v>
      </c>
      <c r="U56" s="388">
        <v>18</v>
      </c>
      <c r="V56" s="388">
        <v>19</v>
      </c>
      <c r="W56" s="388">
        <v>20</v>
      </c>
      <c r="X56" s="388">
        <v>21</v>
      </c>
      <c r="Y56" s="388">
        <v>22</v>
      </c>
      <c r="Z56" s="388">
        <v>23</v>
      </c>
      <c r="AA56" s="388">
        <v>24</v>
      </c>
      <c r="AB56" s="388">
        <v>25</v>
      </c>
      <c r="AC56" s="388">
        <v>26</v>
      </c>
      <c r="AD56" s="388">
        <v>27</v>
      </c>
      <c r="AE56" s="388">
        <v>28</v>
      </c>
      <c r="AF56" s="388">
        <v>29</v>
      </c>
      <c r="AG56" s="388">
        <v>30</v>
      </c>
      <c r="AH56" s="388">
        <v>31</v>
      </c>
      <c r="AI56" s="388">
        <v>32</v>
      </c>
      <c r="AJ56" s="388">
        <v>33</v>
      </c>
      <c r="AK56" s="388">
        <v>34</v>
      </c>
      <c r="AL56" s="388">
        <v>35</v>
      </c>
      <c r="AM56" s="388">
        <v>36</v>
      </c>
      <c r="AN56" s="388">
        <v>37</v>
      </c>
      <c r="AO56" s="388">
        <v>38</v>
      </c>
      <c r="AP56" s="388">
        <v>39</v>
      </c>
      <c r="AQ56" s="323">
        <v>40</v>
      </c>
    </row>
    <row r="57" spans="1:44" s="317" customFormat="1" ht="14.25">
      <c r="A57" s="1011" t="s">
        <v>209</v>
      </c>
      <c r="B57" s="1012"/>
      <c r="C57" s="1012"/>
      <c r="D57" s="387"/>
      <c r="E57" s="329"/>
      <c r="F57" s="329"/>
      <c r="G57" s="329"/>
      <c r="H57" s="329"/>
      <c r="I57" s="329"/>
      <c r="J57" s="329"/>
      <c r="K57" s="329"/>
      <c r="L57" s="329"/>
      <c r="M57" s="329"/>
      <c r="N57" s="329"/>
      <c r="O57" s="329"/>
      <c r="P57" s="329"/>
      <c r="Q57" s="329"/>
      <c r="R57" s="329"/>
      <c r="S57" s="329"/>
      <c r="T57" s="329"/>
      <c r="U57" s="329"/>
      <c r="V57" s="329"/>
      <c r="W57" s="329"/>
      <c r="X57" s="329"/>
      <c r="Y57" s="329"/>
      <c r="Z57" s="329"/>
      <c r="AA57" s="329"/>
      <c r="AB57" s="329"/>
      <c r="AC57" s="329"/>
      <c r="AD57" s="329"/>
      <c r="AE57" s="329"/>
      <c r="AF57" s="329"/>
      <c r="AG57" s="329"/>
      <c r="AH57" s="329"/>
      <c r="AI57" s="329"/>
      <c r="AJ57" s="329"/>
      <c r="AK57" s="329"/>
      <c r="AL57" s="329"/>
      <c r="AM57" s="329"/>
      <c r="AN57" s="329"/>
      <c r="AO57" s="329"/>
      <c r="AP57" s="329"/>
      <c r="AQ57" s="333"/>
    </row>
    <row r="58" spans="1:44" s="317" customFormat="1" ht="14.25">
      <c r="A58" s="1063" t="s">
        <v>1</v>
      </c>
      <c r="B58" s="1064"/>
      <c r="C58" s="1065" t="s">
        <v>65</v>
      </c>
      <c r="D58" s="334"/>
      <c r="E58" s="335"/>
      <c r="F58" s="335"/>
      <c r="G58" s="335"/>
      <c r="H58" s="335"/>
      <c r="I58" s="335"/>
      <c r="J58" s="335"/>
      <c r="K58" s="335"/>
      <c r="L58" s="335"/>
      <c r="M58" s="335"/>
      <c r="N58" s="335"/>
      <c r="O58" s="335"/>
      <c r="P58" s="335"/>
      <c r="Q58" s="335"/>
      <c r="R58" s="335"/>
      <c r="S58" s="335"/>
      <c r="T58" s="335"/>
      <c r="U58" s="335"/>
      <c r="V58" s="335"/>
      <c r="W58" s="335"/>
      <c r="X58" s="335"/>
      <c r="Y58" s="335"/>
      <c r="Z58" s="335"/>
      <c r="AA58" s="335"/>
      <c r="AB58" s="335"/>
      <c r="AC58" s="335"/>
      <c r="AD58" s="335"/>
      <c r="AE58" s="335"/>
      <c r="AF58" s="335"/>
      <c r="AG58" s="335"/>
      <c r="AH58" s="335"/>
      <c r="AI58" s="335"/>
      <c r="AJ58" s="335"/>
      <c r="AK58" s="335"/>
      <c r="AL58" s="335"/>
      <c r="AM58" s="335"/>
      <c r="AN58" s="335"/>
      <c r="AO58" s="335"/>
      <c r="AP58" s="335"/>
      <c r="AQ58" s="337"/>
      <c r="AR58" s="372"/>
    </row>
    <row r="59" spans="1:44" s="317" customFormat="1" ht="14.25">
      <c r="A59" s="1063" t="s">
        <v>2</v>
      </c>
      <c r="B59" s="1064"/>
      <c r="C59" s="1065"/>
      <c r="D59" s="334"/>
      <c r="E59" s="335"/>
      <c r="F59" s="335"/>
      <c r="G59" s="335"/>
      <c r="H59" s="335"/>
      <c r="I59" s="335"/>
      <c r="J59" s="335"/>
      <c r="K59" s="335"/>
      <c r="L59" s="335"/>
      <c r="M59" s="335"/>
      <c r="N59" s="335"/>
      <c r="O59" s="335"/>
      <c r="P59" s="335"/>
      <c r="Q59" s="335"/>
      <c r="R59" s="335"/>
      <c r="S59" s="335"/>
      <c r="T59" s="335"/>
      <c r="U59" s="335"/>
      <c r="V59" s="335"/>
      <c r="W59" s="335"/>
      <c r="X59" s="335"/>
      <c r="Y59" s="335"/>
      <c r="Z59" s="335"/>
      <c r="AA59" s="335"/>
      <c r="AB59" s="335"/>
      <c r="AC59" s="335"/>
      <c r="AD59" s="335"/>
      <c r="AE59" s="335"/>
      <c r="AF59" s="335"/>
      <c r="AG59" s="335"/>
      <c r="AH59" s="335"/>
      <c r="AI59" s="335"/>
      <c r="AJ59" s="335"/>
      <c r="AK59" s="335"/>
      <c r="AL59" s="335"/>
      <c r="AM59" s="335"/>
      <c r="AN59" s="335"/>
      <c r="AO59" s="335"/>
      <c r="AP59" s="335"/>
      <c r="AQ59" s="337"/>
      <c r="AR59" s="372"/>
    </row>
    <row r="60" spans="1:44" s="317" customFormat="1" ht="14.25">
      <c r="A60" s="1011" t="s">
        <v>265</v>
      </c>
      <c r="B60" s="1012"/>
      <c r="C60" s="1012"/>
      <c r="D60" s="340"/>
      <c r="E60" s="341"/>
      <c r="F60" s="341"/>
      <c r="G60" s="341"/>
      <c r="H60" s="341"/>
      <c r="I60" s="341"/>
      <c r="J60" s="341"/>
      <c r="K60" s="341"/>
      <c r="L60" s="341"/>
      <c r="M60" s="341"/>
      <c r="N60" s="341"/>
      <c r="O60" s="341"/>
      <c r="P60" s="341"/>
      <c r="Q60" s="341"/>
      <c r="R60" s="341"/>
      <c r="S60" s="341"/>
      <c r="T60" s="341"/>
      <c r="U60" s="341"/>
      <c r="V60" s="341"/>
      <c r="W60" s="341"/>
      <c r="X60" s="341"/>
      <c r="Y60" s="341"/>
      <c r="Z60" s="341"/>
      <c r="AA60" s="341"/>
      <c r="AB60" s="341"/>
      <c r="AC60" s="341"/>
      <c r="AD60" s="341"/>
      <c r="AE60" s="341"/>
      <c r="AF60" s="341"/>
      <c r="AG60" s="341"/>
      <c r="AH60" s="341"/>
      <c r="AI60" s="341"/>
      <c r="AJ60" s="341"/>
      <c r="AK60" s="341"/>
      <c r="AL60" s="336"/>
      <c r="AM60" s="336"/>
      <c r="AN60" s="336"/>
      <c r="AO60" s="341"/>
      <c r="AP60" s="341"/>
      <c r="AQ60" s="342"/>
    </row>
    <row r="61" spans="1:44" s="317" customFormat="1" ht="14.25">
      <c r="A61" s="1011" t="s">
        <v>302</v>
      </c>
      <c r="B61" s="1012"/>
      <c r="C61" s="1012"/>
      <c r="D61" s="395"/>
      <c r="E61" s="396" t="str">
        <f>IFERROR(E84,"")</f>
        <v/>
      </c>
      <c r="F61" s="396" t="str">
        <f t="shared" ref="F61:AQ64" si="22">IFERROR(F84,"")</f>
        <v/>
      </c>
      <c r="G61" s="396" t="str">
        <f t="shared" si="22"/>
        <v/>
      </c>
      <c r="H61" s="396" t="str">
        <f t="shared" si="22"/>
        <v/>
      </c>
      <c r="I61" s="396" t="str">
        <f t="shared" si="22"/>
        <v/>
      </c>
      <c r="J61" s="396" t="str">
        <f t="shared" si="22"/>
        <v/>
      </c>
      <c r="K61" s="396" t="str">
        <f t="shared" si="22"/>
        <v/>
      </c>
      <c r="L61" s="396" t="str">
        <f t="shared" si="22"/>
        <v/>
      </c>
      <c r="M61" s="396" t="str">
        <f t="shared" si="22"/>
        <v/>
      </c>
      <c r="N61" s="396" t="str">
        <f t="shared" si="22"/>
        <v/>
      </c>
      <c r="O61" s="396" t="str">
        <f t="shared" si="22"/>
        <v/>
      </c>
      <c r="P61" s="396" t="str">
        <f t="shared" si="22"/>
        <v/>
      </c>
      <c r="Q61" s="396" t="str">
        <f t="shared" si="22"/>
        <v/>
      </c>
      <c r="R61" s="396" t="str">
        <f t="shared" si="22"/>
        <v/>
      </c>
      <c r="S61" s="396" t="str">
        <f t="shared" si="22"/>
        <v/>
      </c>
      <c r="T61" s="396" t="str">
        <f t="shared" si="22"/>
        <v/>
      </c>
      <c r="U61" s="396" t="str">
        <f t="shared" si="22"/>
        <v/>
      </c>
      <c r="V61" s="396" t="str">
        <f t="shared" si="22"/>
        <v/>
      </c>
      <c r="W61" s="396" t="str">
        <f t="shared" si="22"/>
        <v/>
      </c>
      <c r="X61" s="396" t="str">
        <f t="shared" si="22"/>
        <v/>
      </c>
      <c r="Y61" s="396" t="str">
        <f t="shared" si="22"/>
        <v/>
      </c>
      <c r="Z61" s="396" t="str">
        <f t="shared" si="22"/>
        <v/>
      </c>
      <c r="AA61" s="396" t="str">
        <f t="shared" si="22"/>
        <v/>
      </c>
      <c r="AB61" s="396" t="str">
        <f t="shared" si="22"/>
        <v/>
      </c>
      <c r="AC61" s="396" t="str">
        <f t="shared" si="22"/>
        <v/>
      </c>
      <c r="AD61" s="396" t="str">
        <f t="shared" si="22"/>
        <v/>
      </c>
      <c r="AE61" s="396" t="str">
        <f t="shared" si="22"/>
        <v/>
      </c>
      <c r="AF61" s="396" t="str">
        <f t="shared" si="22"/>
        <v/>
      </c>
      <c r="AG61" s="396" t="str">
        <f t="shared" si="22"/>
        <v/>
      </c>
      <c r="AH61" s="396" t="str">
        <f t="shared" si="22"/>
        <v/>
      </c>
      <c r="AI61" s="396" t="str">
        <f t="shared" si="22"/>
        <v/>
      </c>
      <c r="AJ61" s="396" t="str">
        <f t="shared" si="22"/>
        <v/>
      </c>
      <c r="AK61" s="396" t="str">
        <f t="shared" si="22"/>
        <v/>
      </c>
      <c r="AL61" s="396" t="str">
        <f t="shared" si="22"/>
        <v/>
      </c>
      <c r="AM61" s="396" t="str">
        <f t="shared" si="22"/>
        <v/>
      </c>
      <c r="AN61" s="396" t="str">
        <f t="shared" si="22"/>
        <v/>
      </c>
      <c r="AO61" s="396" t="str">
        <f t="shared" si="22"/>
        <v/>
      </c>
      <c r="AP61" s="396" t="str">
        <f t="shared" si="22"/>
        <v/>
      </c>
      <c r="AQ61" s="398" t="str">
        <f t="shared" si="22"/>
        <v/>
      </c>
    </row>
    <row r="62" spans="1:44" s="317" customFormat="1" ht="14.25" customHeight="1">
      <c r="A62" s="1011" t="s">
        <v>303</v>
      </c>
      <c r="B62" s="1012"/>
      <c r="C62" s="1012"/>
      <c r="D62" s="395"/>
      <c r="E62" s="396" t="str">
        <f>IFERROR(E85,"")</f>
        <v/>
      </c>
      <c r="F62" s="396" t="str">
        <f t="shared" ref="F62:T62" si="23">IFERROR(F85,"")</f>
        <v/>
      </c>
      <c r="G62" s="396" t="str">
        <f t="shared" si="23"/>
        <v/>
      </c>
      <c r="H62" s="396" t="str">
        <f t="shared" si="23"/>
        <v/>
      </c>
      <c r="I62" s="396" t="str">
        <f t="shared" si="23"/>
        <v/>
      </c>
      <c r="J62" s="396" t="str">
        <f t="shared" si="23"/>
        <v/>
      </c>
      <c r="K62" s="396" t="str">
        <f t="shared" si="23"/>
        <v/>
      </c>
      <c r="L62" s="396" t="str">
        <f t="shared" si="23"/>
        <v/>
      </c>
      <c r="M62" s="396" t="str">
        <f t="shared" si="23"/>
        <v/>
      </c>
      <c r="N62" s="396" t="str">
        <f t="shared" si="23"/>
        <v/>
      </c>
      <c r="O62" s="396" t="str">
        <f t="shared" si="23"/>
        <v/>
      </c>
      <c r="P62" s="396" t="str">
        <f t="shared" si="23"/>
        <v/>
      </c>
      <c r="Q62" s="396" t="str">
        <f t="shared" si="23"/>
        <v/>
      </c>
      <c r="R62" s="396" t="str">
        <f t="shared" si="23"/>
        <v/>
      </c>
      <c r="S62" s="396" t="str">
        <f t="shared" si="23"/>
        <v/>
      </c>
      <c r="T62" s="396" t="str">
        <f t="shared" si="23"/>
        <v/>
      </c>
      <c r="U62" s="396" t="str">
        <f t="shared" si="22"/>
        <v/>
      </c>
      <c r="V62" s="396" t="str">
        <f t="shared" si="22"/>
        <v/>
      </c>
      <c r="W62" s="396" t="str">
        <f t="shared" si="22"/>
        <v/>
      </c>
      <c r="X62" s="396" t="str">
        <f t="shared" si="22"/>
        <v/>
      </c>
      <c r="Y62" s="396" t="str">
        <f t="shared" si="22"/>
        <v/>
      </c>
      <c r="Z62" s="396" t="str">
        <f t="shared" si="22"/>
        <v/>
      </c>
      <c r="AA62" s="396" t="str">
        <f t="shared" si="22"/>
        <v/>
      </c>
      <c r="AB62" s="396" t="str">
        <f t="shared" si="22"/>
        <v/>
      </c>
      <c r="AC62" s="396" t="str">
        <f t="shared" si="22"/>
        <v/>
      </c>
      <c r="AD62" s="396" t="str">
        <f t="shared" si="22"/>
        <v/>
      </c>
      <c r="AE62" s="396" t="str">
        <f t="shared" si="22"/>
        <v/>
      </c>
      <c r="AF62" s="396" t="str">
        <f t="shared" si="22"/>
        <v/>
      </c>
      <c r="AG62" s="396" t="str">
        <f t="shared" si="22"/>
        <v/>
      </c>
      <c r="AH62" s="396" t="str">
        <f t="shared" si="22"/>
        <v/>
      </c>
      <c r="AI62" s="396" t="str">
        <f t="shared" si="22"/>
        <v/>
      </c>
      <c r="AJ62" s="396" t="str">
        <f t="shared" si="22"/>
        <v/>
      </c>
      <c r="AK62" s="396" t="str">
        <f t="shared" si="22"/>
        <v/>
      </c>
      <c r="AL62" s="396" t="str">
        <f t="shared" si="22"/>
        <v/>
      </c>
      <c r="AM62" s="396" t="str">
        <f t="shared" si="22"/>
        <v/>
      </c>
      <c r="AN62" s="396" t="str">
        <f t="shared" si="22"/>
        <v/>
      </c>
      <c r="AO62" s="396" t="str">
        <f t="shared" si="22"/>
        <v/>
      </c>
      <c r="AP62" s="396" t="str">
        <f t="shared" si="22"/>
        <v/>
      </c>
      <c r="AQ62" s="397" t="str">
        <f t="shared" si="22"/>
        <v/>
      </c>
      <c r="AR62" s="372"/>
    </row>
    <row r="63" spans="1:44" s="317" customFormat="1" ht="14.25">
      <c r="A63" s="1011" t="s">
        <v>304</v>
      </c>
      <c r="B63" s="1012"/>
      <c r="C63" s="1012"/>
      <c r="D63" s="395"/>
      <c r="E63" s="396" t="str">
        <f>IFERROR(E86,"")</f>
        <v/>
      </c>
      <c r="F63" s="396" t="str">
        <f t="shared" si="22"/>
        <v/>
      </c>
      <c r="G63" s="396" t="str">
        <f t="shared" si="22"/>
        <v/>
      </c>
      <c r="H63" s="396" t="str">
        <f t="shared" si="22"/>
        <v/>
      </c>
      <c r="I63" s="396" t="str">
        <f t="shared" si="22"/>
        <v/>
      </c>
      <c r="J63" s="396" t="str">
        <f t="shared" si="22"/>
        <v/>
      </c>
      <c r="K63" s="396" t="str">
        <f t="shared" si="22"/>
        <v/>
      </c>
      <c r="L63" s="396" t="str">
        <f t="shared" si="22"/>
        <v/>
      </c>
      <c r="M63" s="396" t="str">
        <f t="shared" si="22"/>
        <v/>
      </c>
      <c r="N63" s="396" t="str">
        <f t="shared" si="22"/>
        <v/>
      </c>
      <c r="O63" s="396" t="str">
        <f t="shared" si="22"/>
        <v/>
      </c>
      <c r="P63" s="396" t="str">
        <f t="shared" si="22"/>
        <v/>
      </c>
      <c r="Q63" s="396" t="str">
        <f t="shared" si="22"/>
        <v/>
      </c>
      <c r="R63" s="396" t="str">
        <f t="shared" si="22"/>
        <v/>
      </c>
      <c r="S63" s="396" t="str">
        <f t="shared" si="22"/>
        <v/>
      </c>
      <c r="T63" s="396" t="str">
        <f t="shared" si="22"/>
        <v/>
      </c>
      <c r="U63" s="396" t="str">
        <f t="shared" si="22"/>
        <v/>
      </c>
      <c r="V63" s="396" t="str">
        <f t="shared" si="22"/>
        <v/>
      </c>
      <c r="W63" s="396" t="str">
        <f t="shared" si="22"/>
        <v/>
      </c>
      <c r="X63" s="396" t="str">
        <f t="shared" si="22"/>
        <v/>
      </c>
      <c r="Y63" s="396" t="str">
        <f t="shared" si="22"/>
        <v/>
      </c>
      <c r="Z63" s="396" t="str">
        <f t="shared" si="22"/>
        <v/>
      </c>
      <c r="AA63" s="396" t="str">
        <f t="shared" si="22"/>
        <v/>
      </c>
      <c r="AB63" s="396" t="str">
        <f t="shared" si="22"/>
        <v/>
      </c>
      <c r="AC63" s="396" t="str">
        <f t="shared" si="22"/>
        <v/>
      </c>
      <c r="AD63" s="396" t="str">
        <f t="shared" si="22"/>
        <v/>
      </c>
      <c r="AE63" s="396" t="str">
        <f t="shared" si="22"/>
        <v/>
      </c>
      <c r="AF63" s="396" t="str">
        <f t="shared" si="22"/>
        <v/>
      </c>
      <c r="AG63" s="396" t="str">
        <f t="shared" si="22"/>
        <v/>
      </c>
      <c r="AH63" s="396" t="str">
        <f t="shared" si="22"/>
        <v/>
      </c>
      <c r="AI63" s="396" t="str">
        <f t="shared" si="22"/>
        <v/>
      </c>
      <c r="AJ63" s="396" t="str">
        <f t="shared" si="22"/>
        <v/>
      </c>
      <c r="AK63" s="396" t="str">
        <f t="shared" si="22"/>
        <v/>
      </c>
      <c r="AL63" s="396" t="str">
        <f t="shared" si="22"/>
        <v/>
      </c>
      <c r="AM63" s="396" t="str">
        <f t="shared" si="22"/>
        <v/>
      </c>
      <c r="AN63" s="396" t="str">
        <f t="shared" si="22"/>
        <v/>
      </c>
      <c r="AO63" s="396" t="str">
        <f t="shared" si="22"/>
        <v/>
      </c>
      <c r="AP63" s="396" t="str">
        <f t="shared" si="22"/>
        <v/>
      </c>
      <c r="AQ63" s="397" t="str">
        <f t="shared" si="22"/>
        <v/>
      </c>
      <c r="AR63" s="372"/>
    </row>
    <row r="64" spans="1:44" s="317" customFormat="1" ht="14.25">
      <c r="A64" s="1011" t="s">
        <v>305</v>
      </c>
      <c r="B64" s="1012"/>
      <c r="C64" s="1012"/>
      <c r="D64" s="399"/>
      <c r="E64" s="396" t="str">
        <f>IFERROR(E87,"")</f>
        <v/>
      </c>
      <c r="F64" s="396" t="str">
        <f t="shared" si="22"/>
        <v/>
      </c>
      <c r="G64" s="396" t="str">
        <f t="shared" si="22"/>
        <v/>
      </c>
      <c r="H64" s="396" t="str">
        <f t="shared" si="22"/>
        <v/>
      </c>
      <c r="I64" s="396" t="str">
        <f t="shared" si="22"/>
        <v/>
      </c>
      <c r="J64" s="396" t="str">
        <f t="shared" si="22"/>
        <v/>
      </c>
      <c r="K64" s="396" t="str">
        <f t="shared" si="22"/>
        <v/>
      </c>
      <c r="L64" s="396" t="str">
        <f t="shared" si="22"/>
        <v/>
      </c>
      <c r="M64" s="396" t="str">
        <f t="shared" si="22"/>
        <v/>
      </c>
      <c r="N64" s="396" t="str">
        <f t="shared" si="22"/>
        <v/>
      </c>
      <c r="O64" s="396" t="str">
        <f t="shared" si="22"/>
        <v/>
      </c>
      <c r="P64" s="396" t="str">
        <f t="shared" si="22"/>
        <v/>
      </c>
      <c r="Q64" s="396" t="str">
        <f t="shared" si="22"/>
        <v/>
      </c>
      <c r="R64" s="396" t="str">
        <f t="shared" si="22"/>
        <v/>
      </c>
      <c r="S64" s="396" t="str">
        <f t="shared" si="22"/>
        <v/>
      </c>
      <c r="T64" s="396" t="str">
        <f t="shared" si="22"/>
        <v/>
      </c>
      <c r="U64" s="396" t="str">
        <f t="shared" si="22"/>
        <v/>
      </c>
      <c r="V64" s="396" t="str">
        <f t="shared" si="22"/>
        <v/>
      </c>
      <c r="W64" s="396" t="str">
        <f t="shared" si="22"/>
        <v/>
      </c>
      <c r="X64" s="396" t="str">
        <f t="shared" si="22"/>
        <v/>
      </c>
      <c r="Y64" s="396" t="str">
        <f t="shared" si="22"/>
        <v/>
      </c>
      <c r="Z64" s="396" t="str">
        <f t="shared" si="22"/>
        <v/>
      </c>
      <c r="AA64" s="396" t="str">
        <f t="shared" si="22"/>
        <v/>
      </c>
      <c r="AB64" s="396" t="str">
        <f t="shared" si="22"/>
        <v/>
      </c>
      <c r="AC64" s="396" t="str">
        <f t="shared" si="22"/>
        <v/>
      </c>
      <c r="AD64" s="396" t="str">
        <f t="shared" si="22"/>
        <v/>
      </c>
      <c r="AE64" s="396" t="str">
        <f t="shared" si="22"/>
        <v/>
      </c>
      <c r="AF64" s="396" t="str">
        <f t="shared" si="22"/>
        <v/>
      </c>
      <c r="AG64" s="396" t="str">
        <f t="shared" si="22"/>
        <v/>
      </c>
      <c r="AH64" s="396" t="str">
        <f t="shared" si="22"/>
        <v/>
      </c>
      <c r="AI64" s="396" t="str">
        <f t="shared" si="22"/>
        <v/>
      </c>
      <c r="AJ64" s="396" t="str">
        <f t="shared" si="22"/>
        <v/>
      </c>
      <c r="AK64" s="396" t="str">
        <f t="shared" si="22"/>
        <v/>
      </c>
      <c r="AL64" s="396" t="str">
        <f t="shared" si="22"/>
        <v/>
      </c>
      <c r="AM64" s="396" t="str">
        <f t="shared" si="22"/>
        <v/>
      </c>
      <c r="AN64" s="396" t="str">
        <f t="shared" si="22"/>
        <v/>
      </c>
      <c r="AO64" s="396" t="str">
        <f t="shared" si="22"/>
        <v/>
      </c>
      <c r="AP64" s="396" t="str">
        <f t="shared" si="22"/>
        <v/>
      </c>
      <c r="AQ64" s="397" t="str">
        <f t="shared" si="22"/>
        <v/>
      </c>
      <c r="AR64" s="372"/>
    </row>
    <row r="65" spans="1:44" s="317" customFormat="1" ht="14.25" hidden="1">
      <c r="A65" s="1011" t="s">
        <v>352</v>
      </c>
      <c r="B65" s="1012"/>
      <c r="C65" s="1012"/>
      <c r="D65" s="400"/>
      <c r="E65" s="401">
        <f t="shared" ref="E65:AQ65" si="24">IF(E57="",0,E57)</f>
        <v>0</v>
      </c>
      <c r="F65" s="401">
        <f t="shared" si="24"/>
        <v>0</v>
      </c>
      <c r="G65" s="401">
        <f t="shared" si="24"/>
        <v>0</v>
      </c>
      <c r="H65" s="401">
        <f t="shared" si="24"/>
        <v>0</v>
      </c>
      <c r="I65" s="401">
        <f t="shared" si="24"/>
        <v>0</v>
      </c>
      <c r="J65" s="401">
        <f t="shared" si="24"/>
        <v>0</v>
      </c>
      <c r="K65" s="401">
        <f t="shared" si="24"/>
        <v>0</v>
      </c>
      <c r="L65" s="401">
        <f t="shared" si="24"/>
        <v>0</v>
      </c>
      <c r="M65" s="401">
        <f t="shared" si="24"/>
        <v>0</v>
      </c>
      <c r="N65" s="401">
        <f t="shared" si="24"/>
        <v>0</v>
      </c>
      <c r="O65" s="401">
        <f t="shared" si="24"/>
        <v>0</v>
      </c>
      <c r="P65" s="401">
        <f t="shared" si="24"/>
        <v>0</v>
      </c>
      <c r="Q65" s="401">
        <f t="shared" si="24"/>
        <v>0</v>
      </c>
      <c r="R65" s="401">
        <f t="shared" si="24"/>
        <v>0</v>
      </c>
      <c r="S65" s="401">
        <f t="shared" si="24"/>
        <v>0</v>
      </c>
      <c r="T65" s="401">
        <f t="shared" si="24"/>
        <v>0</v>
      </c>
      <c r="U65" s="401">
        <f t="shared" si="24"/>
        <v>0</v>
      </c>
      <c r="V65" s="401">
        <f t="shared" si="24"/>
        <v>0</v>
      </c>
      <c r="W65" s="401">
        <f t="shared" si="24"/>
        <v>0</v>
      </c>
      <c r="X65" s="401">
        <f t="shared" si="24"/>
        <v>0</v>
      </c>
      <c r="Y65" s="401">
        <f t="shared" si="24"/>
        <v>0</v>
      </c>
      <c r="Z65" s="401">
        <f t="shared" si="24"/>
        <v>0</v>
      </c>
      <c r="AA65" s="401">
        <f t="shared" si="24"/>
        <v>0</v>
      </c>
      <c r="AB65" s="401">
        <f t="shared" si="24"/>
        <v>0</v>
      </c>
      <c r="AC65" s="401">
        <f t="shared" si="24"/>
        <v>0</v>
      </c>
      <c r="AD65" s="401">
        <f t="shared" si="24"/>
        <v>0</v>
      </c>
      <c r="AE65" s="401">
        <f t="shared" si="24"/>
        <v>0</v>
      </c>
      <c r="AF65" s="401">
        <f t="shared" si="24"/>
        <v>0</v>
      </c>
      <c r="AG65" s="401">
        <f t="shared" si="24"/>
        <v>0</v>
      </c>
      <c r="AH65" s="401">
        <f t="shared" si="24"/>
        <v>0</v>
      </c>
      <c r="AI65" s="401">
        <f t="shared" si="24"/>
        <v>0</v>
      </c>
      <c r="AJ65" s="401">
        <f t="shared" si="24"/>
        <v>0</v>
      </c>
      <c r="AK65" s="401">
        <f t="shared" si="24"/>
        <v>0</v>
      </c>
      <c r="AL65" s="401">
        <f t="shared" si="24"/>
        <v>0</v>
      </c>
      <c r="AM65" s="401">
        <f t="shared" si="24"/>
        <v>0</v>
      </c>
      <c r="AN65" s="401">
        <f t="shared" si="24"/>
        <v>0</v>
      </c>
      <c r="AO65" s="401">
        <f t="shared" si="24"/>
        <v>0</v>
      </c>
      <c r="AP65" s="401">
        <f t="shared" si="24"/>
        <v>0</v>
      </c>
      <c r="AQ65" s="402">
        <f t="shared" si="24"/>
        <v>0</v>
      </c>
      <c r="AR65" s="86"/>
    </row>
    <row r="66" spans="1:44" s="317" customFormat="1" ht="14.25" hidden="1">
      <c r="A66" s="594" t="s">
        <v>343</v>
      </c>
      <c r="B66" s="521"/>
      <c r="C66" s="723"/>
      <c r="D66" s="403">
        <f>SUM(D54:G54)</f>
        <v>0</v>
      </c>
      <c r="E66" s="404">
        <f t="shared" ref="E66:AQ66" si="25">D66+D65</f>
        <v>0</v>
      </c>
      <c r="F66" s="404">
        <f t="shared" si="25"/>
        <v>0</v>
      </c>
      <c r="G66" s="404">
        <f t="shared" si="25"/>
        <v>0</v>
      </c>
      <c r="H66" s="404">
        <f t="shared" si="25"/>
        <v>0</v>
      </c>
      <c r="I66" s="404">
        <f t="shared" si="25"/>
        <v>0</v>
      </c>
      <c r="J66" s="404">
        <f t="shared" si="25"/>
        <v>0</v>
      </c>
      <c r="K66" s="404">
        <f t="shared" si="25"/>
        <v>0</v>
      </c>
      <c r="L66" s="404">
        <f t="shared" si="25"/>
        <v>0</v>
      </c>
      <c r="M66" s="404">
        <f t="shared" si="25"/>
        <v>0</v>
      </c>
      <c r="N66" s="404">
        <f t="shared" si="25"/>
        <v>0</v>
      </c>
      <c r="O66" s="404">
        <f t="shared" si="25"/>
        <v>0</v>
      </c>
      <c r="P66" s="404">
        <f t="shared" si="25"/>
        <v>0</v>
      </c>
      <c r="Q66" s="404">
        <f t="shared" si="25"/>
        <v>0</v>
      </c>
      <c r="R66" s="404">
        <f t="shared" si="25"/>
        <v>0</v>
      </c>
      <c r="S66" s="404">
        <f t="shared" si="25"/>
        <v>0</v>
      </c>
      <c r="T66" s="404">
        <f t="shared" si="25"/>
        <v>0</v>
      </c>
      <c r="U66" s="404">
        <f t="shared" si="25"/>
        <v>0</v>
      </c>
      <c r="V66" s="404">
        <f t="shared" si="25"/>
        <v>0</v>
      </c>
      <c r="W66" s="404">
        <f t="shared" si="25"/>
        <v>0</v>
      </c>
      <c r="X66" s="404">
        <f t="shared" si="25"/>
        <v>0</v>
      </c>
      <c r="Y66" s="404">
        <f t="shared" si="25"/>
        <v>0</v>
      </c>
      <c r="Z66" s="404">
        <f t="shared" si="25"/>
        <v>0</v>
      </c>
      <c r="AA66" s="404">
        <f t="shared" si="25"/>
        <v>0</v>
      </c>
      <c r="AB66" s="404">
        <f t="shared" si="25"/>
        <v>0</v>
      </c>
      <c r="AC66" s="404">
        <f t="shared" si="25"/>
        <v>0</v>
      </c>
      <c r="AD66" s="404">
        <f t="shared" si="25"/>
        <v>0</v>
      </c>
      <c r="AE66" s="404">
        <f t="shared" si="25"/>
        <v>0</v>
      </c>
      <c r="AF66" s="404">
        <f t="shared" si="25"/>
        <v>0</v>
      </c>
      <c r="AG66" s="404">
        <f t="shared" si="25"/>
        <v>0</v>
      </c>
      <c r="AH66" s="404">
        <f t="shared" si="25"/>
        <v>0</v>
      </c>
      <c r="AI66" s="404">
        <f t="shared" si="25"/>
        <v>0</v>
      </c>
      <c r="AJ66" s="404">
        <f t="shared" si="25"/>
        <v>0</v>
      </c>
      <c r="AK66" s="404">
        <f t="shared" si="25"/>
        <v>0</v>
      </c>
      <c r="AL66" s="404">
        <f t="shared" si="25"/>
        <v>0</v>
      </c>
      <c r="AM66" s="404">
        <f t="shared" si="25"/>
        <v>0</v>
      </c>
      <c r="AN66" s="404">
        <f t="shared" si="25"/>
        <v>0</v>
      </c>
      <c r="AO66" s="404">
        <f t="shared" si="25"/>
        <v>0</v>
      </c>
      <c r="AP66" s="404">
        <f t="shared" si="25"/>
        <v>0</v>
      </c>
      <c r="AQ66" s="405">
        <f t="shared" si="25"/>
        <v>0</v>
      </c>
      <c r="AR66"/>
    </row>
    <row r="67" spans="1:44" s="317" customFormat="1" ht="14.25" hidden="1">
      <c r="A67" s="594" t="s">
        <v>344</v>
      </c>
      <c r="B67" s="521"/>
      <c r="C67" s="723"/>
      <c r="D67" s="406" t="e">
        <f t="shared" ref="D67:AQ67" si="26">(D66)/SUM($D51:$G51)*100</f>
        <v>#DIV/0!</v>
      </c>
      <c r="E67" s="406" t="e">
        <f t="shared" si="26"/>
        <v>#DIV/0!</v>
      </c>
      <c r="F67" s="406" t="e">
        <f t="shared" si="26"/>
        <v>#DIV/0!</v>
      </c>
      <c r="G67" s="406" t="e">
        <f t="shared" si="26"/>
        <v>#DIV/0!</v>
      </c>
      <c r="H67" s="406" t="e">
        <f t="shared" si="26"/>
        <v>#DIV/0!</v>
      </c>
      <c r="I67" s="406" t="e">
        <f t="shared" si="26"/>
        <v>#DIV/0!</v>
      </c>
      <c r="J67" s="406" t="e">
        <f t="shared" si="26"/>
        <v>#DIV/0!</v>
      </c>
      <c r="K67" s="406" t="e">
        <f t="shared" si="26"/>
        <v>#DIV/0!</v>
      </c>
      <c r="L67" s="406" t="e">
        <f t="shared" si="26"/>
        <v>#DIV/0!</v>
      </c>
      <c r="M67" s="406" t="e">
        <f t="shared" si="26"/>
        <v>#DIV/0!</v>
      </c>
      <c r="N67" s="406" t="e">
        <f t="shared" si="26"/>
        <v>#DIV/0!</v>
      </c>
      <c r="O67" s="406" t="e">
        <f t="shared" si="26"/>
        <v>#DIV/0!</v>
      </c>
      <c r="P67" s="406" t="e">
        <f t="shared" si="26"/>
        <v>#DIV/0!</v>
      </c>
      <c r="Q67" s="406" t="e">
        <f t="shared" si="26"/>
        <v>#DIV/0!</v>
      </c>
      <c r="R67" s="406" t="e">
        <f t="shared" si="26"/>
        <v>#DIV/0!</v>
      </c>
      <c r="S67" s="406" t="e">
        <f t="shared" si="26"/>
        <v>#DIV/0!</v>
      </c>
      <c r="T67" s="406" t="e">
        <f t="shared" si="26"/>
        <v>#DIV/0!</v>
      </c>
      <c r="U67" s="406" t="e">
        <f t="shared" si="26"/>
        <v>#DIV/0!</v>
      </c>
      <c r="V67" s="406" t="e">
        <f t="shared" si="26"/>
        <v>#DIV/0!</v>
      </c>
      <c r="W67" s="406" t="e">
        <f t="shared" si="26"/>
        <v>#DIV/0!</v>
      </c>
      <c r="X67" s="406" t="e">
        <f t="shared" si="26"/>
        <v>#DIV/0!</v>
      </c>
      <c r="Y67" s="406" t="e">
        <f t="shared" si="26"/>
        <v>#DIV/0!</v>
      </c>
      <c r="Z67" s="406" t="e">
        <f t="shared" si="26"/>
        <v>#DIV/0!</v>
      </c>
      <c r="AA67" s="406" t="e">
        <f t="shared" si="26"/>
        <v>#DIV/0!</v>
      </c>
      <c r="AB67" s="406" t="e">
        <f t="shared" si="26"/>
        <v>#DIV/0!</v>
      </c>
      <c r="AC67" s="406" t="e">
        <f t="shared" si="26"/>
        <v>#DIV/0!</v>
      </c>
      <c r="AD67" s="406" t="e">
        <f t="shared" si="26"/>
        <v>#DIV/0!</v>
      </c>
      <c r="AE67" s="406" t="e">
        <f t="shared" si="26"/>
        <v>#DIV/0!</v>
      </c>
      <c r="AF67" s="406" t="e">
        <f t="shared" si="26"/>
        <v>#DIV/0!</v>
      </c>
      <c r="AG67" s="406" t="e">
        <f t="shared" si="26"/>
        <v>#DIV/0!</v>
      </c>
      <c r="AH67" s="406" t="e">
        <f t="shared" si="26"/>
        <v>#DIV/0!</v>
      </c>
      <c r="AI67" s="406" t="e">
        <f t="shared" si="26"/>
        <v>#DIV/0!</v>
      </c>
      <c r="AJ67" s="406" t="e">
        <f t="shared" si="26"/>
        <v>#DIV/0!</v>
      </c>
      <c r="AK67" s="406" t="e">
        <f t="shared" si="26"/>
        <v>#DIV/0!</v>
      </c>
      <c r="AL67" s="406" t="e">
        <f t="shared" si="26"/>
        <v>#DIV/0!</v>
      </c>
      <c r="AM67" s="406" t="e">
        <f t="shared" si="26"/>
        <v>#DIV/0!</v>
      </c>
      <c r="AN67" s="406" t="e">
        <f t="shared" si="26"/>
        <v>#DIV/0!</v>
      </c>
      <c r="AO67" s="406" t="e">
        <f t="shared" si="26"/>
        <v>#DIV/0!</v>
      </c>
      <c r="AP67" s="406" t="e">
        <f t="shared" si="26"/>
        <v>#DIV/0!</v>
      </c>
      <c r="AQ67" s="407" t="e">
        <f t="shared" si="26"/>
        <v>#DIV/0!</v>
      </c>
      <c r="AR67"/>
    </row>
    <row r="68" spans="1:44" s="317" customFormat="1" ht="15" thickBot="1">
      <c r="A68" s="1066" t="s">
        <v>344</v>
      </c>
      <c r="B68" s="765"/>
      <c r="C68" s="766"/>
      <c r="D68" s="408" t="str">
        <f t="shared" ref="D68:AQ68" si="27">IFERROR(D67,"")</f>
        <v/>
      </c>
      <c r="E68" s="409" t="str">
        <f t="shared" si="27"/>
        <v/>
      </c>
      <c r="F68" s="409" t="str">
        <f t="shared" si="27"/>
        <v/>
      </c>
      <c r="G68" s="409" t="str">
        <f t="shared" si="27"/>
        <v/>
      </c>
      <c r="H68" s="409" t="str">
        <f t="shared" si="27"/>
        <v/>
      </c>
      <c r="I68" s="409" t="str">
        <f t="shared" si="27"/>
        <v/>
      </c>
      <c r="J68" s="409" t="str">
        <f t="shared" si="27"/>
        <v/>
      </c>
      <c r="K68" s="409" t="str">
        <f t="shared" si="27"/>
        <v/>
      </c>
      <c r="L68" s="409" t="str">
        <f t="shared" si="27"/>
        <v/>
      </c>
      <c r="M68" s="409" t="str">
        <f t="shared" si="27"/>
        <v/>
      </c>
      <c r="N68" s="409" t="str">
        <f t="shared" si="27"/>
        <v/>
      </c>
      <c r="O68" s="409" t="str">
        <f t="shared" si="27"/>
        <v/>
      </c>
      <c r="P68" s="409" t="str">
        <f t="shared" si="27"/>
        <v/>
      </c>
      <c r="Q68" s="409" t="str">
        <f t="shared" si="27"/>
        <v/>
      </c>
      <c r="R68" s="409" t="str">
        <f t="shared" si="27"/>
        <v/>
      </c>
      <c r="S68" s="409" t="str">
        <f t="shared" si="27"/>
        <v/>
      </c>
      <c r="T68" s="409" t="str">
        <f t="shared" si="27"/>
        <v/>
      </c>
      <c r="U68" s="409" t="str">
        <f t="shared" si="27"/>
        <v/>
      </c>
      <c r="V68" s="409" t="str">
        <f t="shared" si="27"/>
        <v/>
      </c>
      <c r="W68" s="409" t="str">
        <f t="shared" si="27"/>
        <v/>
      </c>
      <c r="X68" s="409" t="str">
        <f t="shared" si="27"/>
        <v/>
      </c>
      <c r="Y68" s="409" t="str">
        <f t="shared" si="27"/>
        <v/>
      </c>
      <c r="Z68" s="409" t="str">
        <f t="shared" si="27"/>
        <v/>
      </c>
      <c r="AA68" s="409" t="str">
        <f t="shared" si="27"/>
        <v/>
      </c>
      <c r="AB68" s="409" t="str">
        <f t="shared" si="27"/>
        <v/>
      </c>
      <c r="AC68" s="409" t="str">
        <f t="shared" si="27"/>
        <v/>
      </c>
      <c r="AD68" s="409" t="str">
        <f t="shared" si="27"/>
        <v/>
      </c>
      <c r="AE68" s="409" t="str">
        <f t="shared" si="27"/>
        <v/>
      </c>
      <c r="AF68" s="409" t="str">
        <f t="shared" si="27"/>
        <v/>
      </c>
      <c r="AG68" s="409" t="str">
        <f t="shared" si="27"/>
        <v/>
      </c>
      <c r="AH68" s="409" t="str">
        <f t="shared" si="27"/>
        <v/>
      </c>
      <c r="AI68" s="409" t="str">
        <f t="shared" si="27"/>
        <v/>
      </c>
      <c r="AJ68" s="409" t="str">
        <f t="shared" si="27"/>
        <v/>
      </c>
      <c r="AK68" s="409" t="str">
        <f t="shared" si="27"/>
        <v/>
      </c>
      <c r="AL68" s="409" t="str">
        <f t="shared" si="27"/>
        <v/>
      </c>
      <c r="AM68" s="409" t="str">
        <f t="shared" si="27"/>
        <v/>
      </c>
      <c r="AN68" s="409" t="str">
        <f t="shared" si="27"/>
        <v/>
      </c>
      <c r="AO68" s="409" t="str">
        <f t="shared" si="27"/>
        <v/>
      </c>
      <c r="AP68" s="409" t="str">
        <f t="shared" si="27"/>
        <v/>
      </c>
      <c r="AQ68" s="410" t="str">
        <f t="shared" si="27"/>
        <v/>
      </c>
      <c r="AR68" s="86"/>
    </row>
    <row r="70" spans="1:44" s="317" customFormat="1" ht="14.25" hidden="1">
      <c r="A70" s="346"/>
      <c r="B70" s="346" t="s">
        <v>175</v>
      </c>
      <c r="C70" s="346" t="s">
        <v>176</v>
      </c>
      <c r="D70" s="347" t="s">
        <v>177</v>
      </c>
      <c r="E70" s="346" t="s">
        <v>178</v>
      </c>
      <c r="F70" s="346" t="s">
        <v>179</v>
      </c>
      <c r="G70" s="346" t="s">
        <v>180</v>
      </c>
      <c r="H70" s="346" t="s">
        <v>181</v>
      </c>
      <c r="I70" s="346" t="s">
        <v>182</v>
      </c>
      <c r="J70" s="346" t="s">
        <v>183</v>
      </c>
      <c r="K70" s="346" t="s">
        <v>184</v>
      </c>
      <c r="L70" s="346" t="s">
        <v>306</v>
      </c>
      <c r="M70" s="346" t="s">
        <v>307</v>
      </c>
      <c r="N70" s="346" t="s">
        <v>308</v>
      </c>
      <c r="O70" s="346" t="s">
        <v>309</v>
      </c>
      <c r="P70" s="346" t="s">
        <v>310</v>
      </c>
      <c r="Q70" s="346" t="s">
        <v>311</v>
      </c>
      <c r="R70" s="346" t="s">
        <v>312</v>
      </c>
      <c r="S70" s="346" t="s">
        <v>313</v>
      </c>
      <c r="T70" s="346" t="s">
        <v>314</v>
      </c>
      <c r="U70" s="346" t="s">
        <v>315</v>
      </c>
    </row>
    <row r="71" spans="1:44" s="317" customFormat="1" ht="14.25" hidden="1">
      <c r="A71" s="348" t="s">
        <v>185</v>
      </c>
      <c r="B71" s="348" t="str">
        <f t="array" aca="1" ref="B71" ca="1">IFERROR(OFFSET(INDEX(57:57,SMALL(IF(57:57&lt;&gt;"",COLUMN(57:57)),COLUMN())),-1,0),"")</f>
        <v/>
      </c>
      <c r="C71" s="348" t="str">
        <f t="array" aca="1" ref="C71" ca="1">IFERROR(OFFSET(INDEX(57:57,SMALL(IF(57:57&lt;&gt;"",COLUMN(57:57)),COLUMN())),-1,0),"")</f>
        <v/>
      </c>
      <c r="D71" s="348" t="str">
        <f t="array" aca="1" ref="D71" ca="1">IFERROR(OFFSET(INDEX(57:57,SMALL(IF(57:57&lt;&gt;"",COLUMN(57:57)),COLUMN())),-1,0),"")</f>
        <v/>
      </c>
      <c r="E71" s="348" t="str">
        <f t="array" aca="1" ref="E71" ca="1">IFERROR(OFFSET(INDEX(57:57,SMALL(IF(57:57&lt;&gt;"",COLUMN(57:57)),COLUMN())),-1,0),"")</f>
        <v/>
      </c>
      <c r="F71" s="348" t="str">
        <f t="array" aca="1" ref="F71" ca="1">IFERROR(OFFSET(INDEX(57:57,SMALL(IF(57:57&lt;&gt;"",COLUMN(57:57)),COLUMN())),-1,0),"")</f>
        <v/>
      </c>
      <c r="G71" s="348" t="str">
        <f t="array" aca="1" ref="G71" ca="1">IFERROR(OFFSET(INDEX(57:57,SMALL(IF(57:57&lt;&gt;"",COLUMN(57:57)),COLUMN())),-1,0),"")</f>
        <v/>
      </c>
      <c r="H71" s="348" t="str">
        <f t="array" aca="1" ref="H71" ca="1">IFERROR(OFFSET(INDEX(57:57,SMALL(IF(57:57&lt;&gt;"",COLUMN(57:57)),COLUMN())),-1,0),"")</f>
        <v/>
      </c>
      <c r="I71" s="348" t="str">
        <f t="array" aca="1" ref="I71" ca="1">IFERROR(OFFSET(INDEX(57:57,SMALL(IF(57:57&lt;&gt;"",COLUMN(57:57)),COLUMN())),-1,0),"")</f>
        <v/>
      </c>
      <c r="J71" s="348" t="str">
        <f t="array" aca="1" ref="J71" ca="1">IFERROR(OFFSET(INDEX(57:57,SMALL(IF(57:57&lt;&gt;"",COLUMN(57:57)),COLUMN())),-1,0),"")</f>
        <v/>
      </c>
      <c r="K71" s="348" t="str">
        <f t="array" aca="1" ref="K71" ca="1">IFERROR(OFFSET(INDEX(57:57,SMALL(IF(57:57&lt;&gt;"",COLUMN(57:57)),COLUMN())),-1,0),"")</f>
        <v/>
      </c>
      <c r="L71" s="348" t="str">
        <f t="array" aca="1" ref="L71" ca="1">IFERROR(OFFSET(INDEX(57:57,SMALL(IF(57:57&lt;&gt;"",COLUMN(57:57)),COLUMN())),-1,0),"")</f>
        <v/>
      </c>
      <c r="M71" s="348" t="str">
        <f t="array" aca="1" ref="M71" ca="1">IFERROR(OFFSET(INDEX(57:57,SMALL(IF(57:57&lt;&gt;"",COLUMN(57:57)),COLUMN())),-1,0),"")</f>
        <v/>
      </c>
      <c r="N71" s="348" t="str">
        <f t="array" aca="1" ref="N71" ca="1">IFERROR(OFFSET(INDEX(57:57,SMALL(IF(57:57&lt;&gt;"",COLUMN(57:57)),COLUMN())),-1,0),"")</f>
        <v/>
      </c>
      <c r="O71" s="348" t="str">
        <f t="array" aca="1" ref="O71" ca="1">IFERROR(OFFSET(INDEX(57:57,SMALL(IF(57:57&lt;&gt;"",COLUMN(57:57)),COLUMN())),-1,0),"")</f>
        <v/>
      </c>
      <c r="P71" s="348" t="str">
        <f t="array" aca="1" ref="P71" ca="1">IFERROR(OFFSET(INDEX(57:57,SMALL(IF(57:57&lt;&gt;"",COLUMN(57:57)),COLUMN())),-1,0),"")</f>
        <v/>
      </c>
      <c r="Q71" s="348" t="str">
        <f t="array" aca="1" ref="Q71" ca="1">IFERROR(OFFSET(INDEX(57:57,SMALL(IF(57:57&lt;&gt;"",COLUMN(57:57)),COLUMN())),-1,0),"")</f>
        <v/>
      </c>
      <c r="R71" s="348" t="str">
        <f t="array" aca="1" ref="R71" ca="1">IFERROR(OFFSET(INDEX(57:57,SMALL(IF(57:57&lt;&gt;"",COLUMN(57:57)),COLUMN())),-1,0),"")</f>
        <v/>
      </c>
      <c r="S71" s="348" t="str">
        <f t="array" aca="1" ref="S71" ca="1">IFERROR(OFFSET(INDEX(57:57,SMALL(IF(57:57&lt;&gt;"",COLUMN(57:57)),COLUMN())),-1,0),"")</f>
        <v/>
      </c>
      <c r="T71" s="348" t="str">
        <f t="array" aca="1" ref="T71" ca="1">IFERROR(OFFSET(INDEX(57:57,SMALL(IF(57:57&lt;&gt;"",COLUMN(57:57)),COLUMN())),-1,0),"")</f>
        <v/>
      </c>
      <c r="U71" s="348" t="str">
        <f t="array" aca="1" ref="U71" ca="1">IFERROR(OFFSET(INDEX(57:57,SMALL(IF(57:57&lt;&gt;"",COLUMN(57:57)),COLUMN())),-1,0),"")</f>
        <v/>
      </c>
    </row>
    <row r="72" spans="1:44" s="317" customFormat="1" ht="14.25" hidden="1">
      <c r="A72" s="348" t="str">
        <f t="array" ref="A72">IFERROR(INDEX(57:57,SMALL(IF(57:57&lt;&gt;"",COLUMN(57:57)),COLUMN())),"")</f>
        <v>追水量（L)</v>
      </c>
      <c r="B72" s="348" t="str">
        <f t="array" ref="B72">IFERROR(INDEX(57:57,SMALL(IF(57:57&lt;&gt;"",COLUMN(57:57)),COLUMN())),"")</f>
        <v/>
      </c>
      <c r="C72" s="348" t="str">
        <f t="array" ref="C72">IFERROR(INDEX(57:57,SMALL(IF(57:57&lt;&gt;"",COLUMN(57:57)),COLUMN())),"")</f>
        <v/>
      </c>
      <c r="D72" s="348" t="str">
        <f t="array" ref="D72">IFERROR(INDEX(57:57,SMALL(IF(57:57&lt;&gt;"",COLUMN(57:57)),COLUMN())),"")</f>
        <v/>
      </c>
      <c r="E72" s="348" t="str">
        <f t="array" ref="E72">IFERROR(INDEX(57:57,SMALL(IF(57:57&lt;&gt;"",COLUMN(57:57)),COLUMN())),"")</f>
        <v/>
      </c>
      <c r="F72" s="348" t="str">
        <f t="array" ref="F72">IFERROR(INDEX(57:57,SMALL(IF(57:57&lt;&gt;"",COLUMN(57:57)),COLUMN())),"")</f>
        <v/>
      </c>
      <c r="G72" s="348" t="str">
        <f t="array" ref="G72">IFERROR(INDEX(57:57,SMALL(IF(57:57&lt;&gt;"",COLUMN(57:57)),COLUMN())),"")</f>
        <v/>
      </c>
      <c r="H72" s="348" t="str">
        <f t="array" ref="H72">IFERROR(INDEX(57:57,SMALL(IF(57:57&lt;&gt;"",COLUMN(57:57)),COLUMN())),"")</f>
        <v/>
      </c>
      <c r="I72" s="348" t="str">
        <f t="array" ref="I72">IFERROR(INDEX(57:57,SMALL(IF(57:57&lt;&gt;"",COLUMN(57:57)),COLUMN())),"")</f>
        <v/>
      </c>
      <c r="J72" s="348" t="str">
        <f t="array" ref="J72">IFERROR(INDEX(57:57,SMALL(IF(57:57&lt;&gt;"",COLUMN(57:57)),COLUMN())),"")</f>
        <v/>
      </c>
      <c r="K72" s="348" t="str">
        <f t="array" ref="K72">IFERROR(INDEX(57:57,SMALL(IF(57:57&lt;&gt;"",COLUMN(57:57)),COLUMN())),"")</f>
        <v/>
      </c>
      <c r="L72" s="348" t="str">
        <f t="array" ref="L72">IFERROR(INDEX(57:57,SMALL(IF(57:57&lt;&gt;"",COLUMN(57:57)),COLUMN())),"")</f>
        <v/>
      </c>
      <c r="M72" s="348" t="str">
        <f t="array" ref="M72">IFERROR(INDEX(57:57,SMALL(IF(57:57&lt;&gt;"",COLUMN(57:57)),COLUMN())),"")</f>
        <v/>
      </c>
      <c r="N72" s="348" t="str">
        <f t="array" ref="N72">IFERROR(INDEX(57:57,SMALL(IF(57:57&lt;&gt;"",COLUMN(57:57)),COLUMN())),"")</f>
        <v/>
      </c>
      <c r="O72" s="348" t="str">
        <f t="array" ref="O72">IFERROR(INDEX(57:57,SMALL(IF(57:57&lt;&gt;"",COLUMN(57:57)),COLUMN())),"")</f>
        <v/>
      </c>
      <c r="P72" s="348" t="str">
        <f t="array" ref="P72">IFERROR(INDEX(57:57,SMALL(IF(57:57&lt;&gt;"",COLUMN(57:57)),COLUMN())),"")</f>
        <v/>
      </c>
      <c r="Q72" s="348" t="str">
        <f t="array" ref="Q72">IFERROR(INDEX(57:57,SMALL(IF(57:57&lt;&gt;"",COLUMN(57:57)),COLUMN())),"")</f>
        <v/>
      </c>
      <c r="R72" s="348" t="str">
        <f t="array" ref="R72">IFERROR(INDEX(57:57,SMALL(IF(57:57&lt;&gt;"",COLUMN(57:57)),COLUMN())),"")</f>
        <v/>
      </c>
      <c r="S72" s="348" t="str">
        <f t="array" ref="S72">IFERROR(INDEX(57:57,SMALL(IF(57:57&lt;&gt;"",COLUMN(57:57)),COLUMN())),"")</f>
        <v/>
      </c>
      <c r="T72" s="348" t="str">
        <f t="array" ref="T72">IFERROR(INDEX(57:57,SMALL(IF(57:57&lt;&gt;"",COLUMN(57:57)),COLUMN())),"")</f>
        <v/>
      </c>
      <c r="U72" s="348" t="str">
        <f t="array" ref="U72">IFERROR(INDEX(57:57,SMALL(IF(57:57&lt;&gt;"",COLUMN(57:57)),COLUMN())),"")</f>
        <v/>
      </c>
    </row>
    <row r="73" spans="1:44" s="317" customFormat="1" ht="14.25" hidden="1">
      <c r="A73" s="1053" t="s">
        <v>186</v>
      </c>
      <c r="B73" s="1053"/>
      <c r="C73" s="1053"/>
      <c r="D73" s="349" t="s">
        <v>187</v>
      </c>
      <c r="E73" s="349" t="s">
        <v>188</v>
      </c>
      <c r="F73" s="349" t="s">
        <v>189</v>
      </c>
      <c r="G73" s="349" t="s">
        <v>190</v>
      </c>
      <c r="H73" s="349" t="s">
        <v>191</v>
      </c>
      <c r="I73" s="349" t="s">
        <v>192</v>
      </c>
      <c r="J73" s="349" t="s">
        <v>193</v>
      </c>
      <c r="K73" s="349" t="s">
        <v>194</v>
      </c>
      <c r="L73" s="347" t="s">
        <v>195</v>
      </c>
      <c r="M73" s="347" t="s">
        <v>196</v>
      </c>
      <c r="N73" s="347" t="s">
        <v>197</v>
      </c>
      <c r="O73" s="347" t="s">
        <v>316</v>
      </c>
      <c r="P73" s="347" t="s">
        <v>317</v>
      </c>
      <c r="Q73" s="347" t="s">
        <v>318</v>
      </c>
      <c r="R73" s="347" t="s">
        <v>319</v>
      </c>
      <c r="S73" s="347" t="s">
        <v>320</v>
      </c>
      <c r="T73" s="347" t="s">
        <v>321</v>
      </c>
      <c r="U73" s="347" t="s">
        <v>322</v>
      </c>
      <c r="V73" s="347" t="s">
        <v>323</v>
      </c>
      <c r="W73" s="347" t="s">
        <v>324</v>
      </c>
      <c r="X73" s="347" t="s">
        <v>325</v>
      </c>
    </row>
    <row r="74" spans="1:44" s="317" customFormat="1" ht="14.25" hidden="1">
      <c r="A74" s="1054"/>
      <c r="B74" s="1054"/>
      <c r="C74" s="1054"/>
      <c r="D74" s="350" t="e">
        <f>SUM(D54:G54)/SUM(D51:G51)*100</f>
        <v>#DIV/0!</v>
      </c>
      <c r="E74" s="350" t="e">
        <f>(SUM(D54:G54)+SUM(B72:B72))/SUM(D51:G51)*100</f>
        <v>#DIV/0!</v>
      </c>
      <c r="F74" s="350" t="e">
        <f>(SUM(D54:G54)+SUM(B72:C72))/SUM(D51:G51)*100</f>
        <v>#DIV/0!</v>
      </c>
      <c r="G74" s="350" t="e">
        <f>(SUM(D54:G54)+SUM(B72:D72))/SUM(D51:G51)*100</f>
        <v>#DIV/0!</v>
      </c>
      <c r="H74" s="350" t="e">
        <f>(SUM(D54:G54)+SUM(B72:E72))/SUM(D51:G51)*100</f>
        <v>#DIV/0!</v>
      </c>
      <c r="I74" s="351" t="e">
        <f>(SUM(D54:G54)+SUM(B72:F72))/SUM(D51:G51)*100</f>
        <v>#DIV/0!</v>
      </c>
      <c r="J74" s="350" t="e">
        <f>(SUM(D54:G54)+SUM(B72:G72))/SUM(D51:G51)*100</f>
        <v>#DIV/0!</v>
      </c>
      <c r="K74" s="350" t="e">
        <f>(SUM(D54:G54)+SUM(B72:H72))/SUM(D51:G51)*100</f>
        <v>#DIV/0!</v>
      </c>
      <c r="L74" s="350" t="e">
        <f>(SUM(D54:G54)+SUM(B72:I72))/SUM(D51:G51)*100</f>
        <v>#DIV/0!</v>
      </c>
      <c r="M74" s="350" t="e">
        <f>(SUM(D54:G54)+SUM(B72:J72))/SUM(D51:G51)*100</f>
        <v>#DIV/0!</v>
      </c>
      <c r="N74" s="350" t="e">
        <f>(SUM(D54:G54)+SUM(B72:K72))/SUM(D51:G51)*100</f>
        <v>#DIV/0!</v>
      </c>
      <c r="O74" s="352" t="e">
        <f>(SUM(D54:G54)+SUM(B72:L72))/SUM(D51:G51)*100</f>
        <v>#DIV/0!</v>
      </c>
      <c r="P74" s="353" t="e">
        <f>(SUM(D54:G54)+SUM(B72:M72))/SUM(D51:G51)*100</f>
        <v>#DIV/0!</v>
      </c>
      <c r="Q74" s="353" t="e">
        <f>(SUM(D54:G54)+SUM(B72:N72))/SUM(D51:G51)*100</f>
        <v>#DIV/0!</v>
      </c>
      <c r="R74" s="353" t="e">
        <f>(SUM(D54:G54)+SUM(B72:O72))/SUM(D51:G51)*100</f>
        <v>#DIV/0!</v>
      </c>
      <c r="S74" s="353" t="e">
        <f>(SUM(D54:G54)+SUM(B72:P72))/SUM(D51:G51)*100</f>
        <v>#DIV/0!</v>
      </c>
      <c r="T74" s="353" t="e">
        <f>(SUM(D54:G54)+SUM(B72:Q72))/SUM(D51:G51)*100</f>
        <v>#DIV/0!</v>
      </c>
      <c r="U74" s="353" t="e">
        <f>(SUM(D54:G54)+SUM(B72:R72))/SUM(D51:G51)*100</f>
        <v>#DIV/0!</v>
      </c>
      <c r="V74" s="353" t="e">
        <f>(SUM(D54:G54)+SUM(B72:S72))/SUM(D51:G51)*100</f>
        <v>#DIV/0!</v>
      </c>
      <c r="W74" s="353" t="e">
        <f>(SUM(D54:G54)+SUM(B72:T72))/SUM(D51:G51)*100</f>
        <v>#DIV/0!</v>
      </c>
      <c r="X74" s="353" t="e">
        <f>(SUM(D54:G54)+SUM(B72:U72))/SUM(D51:G51)*100</f>
        <v>#DIV/0!</v>
      </c>
    </row>
    <row r="75" spans="1:44" s="317" customFormat="1" ht="14.25" hidden="1"/>
    <row r="76" spans="1:44" s="317" customFormat="1" ht="14.25" hidden="1">
      <c r="A76" s="1046" t="s">
        <v>129</v>
      </c>
      <c r="B76" s="1047"/>
      <c r="C76" s="1047"/>
      <c r="E76" s="354" t="e">
        <f t="shared" ref="E76:AQ76" si="28">IF(E58="",IF(E59="",NA(),E59/-10),E58)</f>
        <v>#N/A</v>
      </c>
      <c r="F76" s="354" t="e">
        <f t="shared" si="28"/>
        <v>#N/A</v>
      </c>
      <c r="G76" s="354" t="e">
        <f t="shared" si="28"/>
        <v>#N/A</v>
      </c>
      <c r="H76" s="354" t="e">
        <f t="shared" si="28"/>
        <v>#N/A</v>
      </c>
      <c r="I76" s="354" t="e">
        <f t="shared" si="28"/>
        <v>#N/A</v>
      </c>
      <c r="J76" s="354" t="e">
        <f t="shared" si="28"/>
        <v>#N/A</v>
      </c>
      <c r="K76" s="354" t="e">
        <f t="shared" si="28"/>
        <v>#N/A</v>
      </c>
      <c r="L76" s="354" t="e">
        <f t="shared" si="28"/>
        <v>#N/A</v>
      </c>
      <c r="M76" s="354" t="e">
        <f t="shared" si="28"/>
        <v>#N/A</v>
      </c>
      <c r="N76" s="354" t="e">
        <f t="shared" si="28"/>
        <v>#N/A</v>
      </c>
      <c r="O76" s="354" t="e">
        <f t="shared" si="28"/>
        <v>#N/A</v>
      </c>
      <c r="P76" s="354" t="e">
        <f t="shared" si="28"/>
        <v>#N/A</v>
      </c>
      <c r="Q76" s="354" t="e">
        <f t="shared" si="28"/>
        <v>#N/A</v>
      </c>
      <c r="R76" s="354" t="e">
        <f t="shared" si="28"/>
        <v>#N/A</v>
      </c>
      <c r="S76" s="354" t="e">
        <f t="shared" si="28"/>
        <v>#N/A</v>
      </c>
      <c r="T76" s="354" t="e">
        <f t="shared" si="28"/>
        <v>#N/A</v>
      </c>
      <c r="U76" s="354" t="e">
        <f t="shared" si="28"/>
        <v>#N/A</v>
      </c>
      <c r="V76" s="354" t="e">
        <f t="shared" si="28"/>
        <v>#N/A</v>
      </c>
      <c r="W76" s="354" t="e">
        <f t="shared" si="28"/>
        <v>#N/A</v>
      </c>
      <c r="X76" s="354" t="e">
        <f t="shared" si="28"/>
        <v>#N/A</v>
      </c>
      <c r="Y76" s="354" t="e">
        <f t="shared" si="28"/>
        <v>#N/A</v>
      </c>
      <c r="Z76" s="354" t="e">
        <f t="shared" si="28"/>
        <v>#N/A</v>
      </c>
      <c r="AA76" s="354" t="e">
        <f t="shared" si="28"/>
        <v>#N/A</v>
      </c>
      <c r="AB76" s="354" t="e">
        <f t="shared" si="28"/>
        <v>#N/A</v>
      </c>
      <c r="AC76" s="354" t="e">
        <f t="shared" si="28"/>
        <v>#N/A</v>
      </c>
      <c r="AD76" s="354" t="e">
        <f t="shared" si="28"/>
        <v>#N/A</v>
      </c>
      <c r="AE76" s="354" t="e">
        <f t="shared" si="28"/>
        <v>#N/A</v>
      </c>
      <c r="AF76" s="354" t="e">
        <f t="shared" si="28"/>
        <v>#N/A</v>
      </c>
      <c r="AG76" s="354" t="e">
        <f t="shared" si="28"/>
        <v>#N/A</v>
      </c>
      <c r="AH76" s="354" t="e">
        <f t="shared" si="28"/>
        <v>#N/A</v>
      </c>
      <c r="AI76" s="354" t="e">
        <f t="shared" si="28"/>
        <v>#N/A</v>
      </c>
      <c r="AJ76" s="354" t="e">
        <f t="shared" si="28"/>
        <v>#N/A</v>
      </c>
      <c r="AK76" s="354" t="e">
        <f t="shared" si="28"/>
        <v>#N/A</v>
      </c>
      <c r="AL76" s="354" t="e">
        <f t="shared" si="28"/>
        <v>#N/A</v>
      </c>
      <c r="AM76" s="354" t="e">
        <f t="shared" si="28"/>
        <v>#N/A</v>
      </c>
      <c r="AN76" s="354" t="e">
        <f t="shared" si="28"/>
        <v>#N/A</v>
      </c>
      <c r="AO76" s="354" t="e">
        <f t="shared" si="28"/>
        <v>#N/A</v>
      </c>
      <c r="AP76" s="354" t="e">
        <f t="shared" si="28"/>
        <v>#N/A</v>
      </c>
      <c r="AQ76" s="354" t="e">
        <f t="shared" si="28"/>
        <v>#N/A</v>
      </c>
    </row>
    <row r="77" spans="1:44" s="317" customFormat="1" ht="14.25" hidden="1">
      <c r="A77" s="1048" t="s">
        <v>44</v>
      </c>
      <c r="B77" s="1048"/>
      <c r="C77" s="1049"/>
      <c r="E77" s="355" t="e">
        <f>IF(E76="",NA(),E76*(-10))</f>
        <v>#N/A</v>
      </c>
      <c r="F77" s="355" t="e">
        <f t="shared" ref="F77:AQ77" si="29">IF(F76="",NA(),F76*(-10))</f>
        <v>#N/A</v>
      </c>
      <c r="G77" s="355" t="e">
        <f t="shared" si="29"/>
        <v>#N/A</v>
      </c>
      <c r="H77" s="355" t="e">
        <f>IF(H76="",NA(),H76*(-10))</f>
        <v>#N/A</v>
      </c>
      <c r="I77" s="355" t="e">
        <f t="shared" si="29"/>
        <v>#N/A</v>
      </c>
      <c r="J77" s="355" t="e">
        <f t="shared" si="29"/>
        <v>#N/A</v>
      </c>
      <c r="K77" s="355" t="e">
        <f t="shared" si="29"/>
        <v>#N/A</v>
      </c>
      <c r="L77" s="355" t="e">
        <f t="shared" si="29"/>
        <v>#N/A</v>
      </c>
      <c r="M77" s="355" t="e">
        <f t="shared" si="29"/>
        <v>#N/A</v>
      </c>
      <c r="N77" s="355" t="e">
        <f t="shared" si="29"/>
        <v>#N/A</v>
      </c>
      <c r="O77" s="355" t="e">
        <f t="shared" si="29"/>
        <v>#N/A</v>
      </c>
      <c r="P77" s="355" t="e">
        <f t="shared" si="29"/>
        <v>#N/A</v>
      </c>
      <c r="Q77" s="355" t="e">
        <f t="shared" si="29"/>
        <v>#N/A</v>
      </c>
      <c r="R77" s="355" t="e">
        <f t="shared" si="29"/>
        <v>#N/A</v>
      </c>
      <c r="S77" s="355" t="e">
        <f t="shared" si="29"/>
        <v>#N/A</v>
      </c>
      <c r="T77" s="355" t="e">
        <f t="shared" si="29"/>
        <v>#N/A</v>
      </c>
      <c r="U77" s="355" t="e">
        <f t="shared" si="29"/>
        <v>#N/A</v>
      </c>
      <c r="V77" s="355" t="e">
        <f t="shared" si="29"/>
        <v>#N/A</v>
      </c>
      <c r="W77" s="355" t="e">
        <f t="shared" si="29"/>
        <v>#N/A</v>
      </c>
      <c r="X77" s="355" t="e">
        <f t="shared" si="29"/>
        <v>#N/A</v>
      </c>
      <c r="Y77" s="355" t="e">
        <f t="shared" si="29"/>
        <v>#N/A</v>
      </c>
      <c r="Z77" s="355" t="e">
        <f t="shared" si="29"/>
        <v>#N/A</v>
      </c>
      <c r="AA77" s="355" t="e">
        <f t="shared" si="29"/>
        <v>#N/A</v>
      </c>
      <c r="AB77" s="355" t="e">
        <f t="shared" si="29"/>
        <v>#N/A</v>
      </c>
      <c r="AC77" s="355" t="e">
        <f t="shared" si="29"/>
        <v>#N/A</v>
      </c>
      <c r="AD77" s="355" t="e">
        <f t="shared" si="29"/>
        <v>#N/A</v>
      </c>
      <c r="AE77" s="355" t="e">
        <f t="shared" si="29"/>
        <v>#N/A</v>
      </c>
      <c r="AF77" s="355" t="e">
        <f t="shared" si="29"/>
        <v>#N/A</v>
      </c>
      <c r="AG77" s="355" t="e">
        <f t="shared" si="29"/>
        <v>#N/A</v>
      </c>
      <c r="AH77" s="355" t="e">
        <f t="shared" si="29"/>
        <v>#N/A</v>
      </c>
      <c r="AI77" s="355" t="e">
        <f t="shared" si="29"/>
        <v>#N/A</v>
      </c>
      <c r="AJ77" s="355" t="e">
        <f t="shared" si="29"/>
        <v>#N/A</v>
      </c>
      <c r="AK77" s="355" t="e">
        <f t="shared" si="29"/>
        <v>#N/A</v>
      </c>
      <c r="AL77" s="355" t="e">
        <f t="shared" si="29"/>
        <v>#N/A</v>
      </c>
      <c r="AM77" s="355" t="e">
        <f t="shared" si="29"/>
        <v>#N/A</v>
      </c>
      <c r="AN77" s="355" t="e">
        <f t="shared" si="29"/>
        <v>#N/A</v>
      </c>
      <c r="AO77" s="355" t="e">
        <f t="shared" si="29"/>
        <v>#N/A</v>
      </c>
      <c r="AP77" s="355" t="e">
        <f t="shared" si="29"/>
        <v>#N/A</v>
      </c>
      <c r="AQ77" s="355" t="e">
        <f t="shared" si="29"/>
        <v>#N/A</v>
      </c>
    </row>
    <row r="78" spans="1:44" s="317" customFormat="1" ht="14.25" hidden="1">
      <c r="A78" s="356"/>
      <c r="B78" s="1012" t="s">
        <v>35</v>
      </c>
      <c r="C78" s="1050"/>
      <c r="E78" s="357" t="e">
        <f>IF(E76="",NA(),ROUND(1443/(1443+E77),4))</f>
        <v>#N/A</v>
      </c>
      <c r="F78" s="357" t="e">
        <f t="shared" ref="F78:AQ78" si="30">IF(F76="",NA(),ROUND(1443/(1443+F77),4))</f>
        <v>#N/A</v>
      </c>
      <c r="G78" s="357" t="e">
        <f t="shared" si="30"/>
        <v>#N/A</v>
      </c>
      <c r="H78" s="357" t="e">
        <f>IF(H76="",NA(),ROUND(1443/(1443+H77),4))</f>
        <v>#N/A</v>
      </c>
      <c r="I78" s="357" t="e">
        <f t="shared" si="30"/>
        <v>#N/A</v>
      </c>
      <c r="J78" s="357" t="e">
        <f t="shared" si="30"/>
        <v>#N/A</v>
      </c>
      <c r="K78" s="357" t="e">
        <f t="shared" si="30"/>
        <v>#N/A</v>
      </c>
      <c r="L78" s="357" t="e">
        <f t="shared" si="30"/>
        <v>#N/A</v>
      </c>
      <c r="M78" s="357" t="e">
        <f t="shared" si="30"/>
        <v>#N/A</v>
      </c>
      <c r="N78" s="357" t="e">
        <f t="shared" si="30"/>
        <v>#N/A</v>
      </c>
      <c r="O78" s="357" t="e">
        <f t="shared" si="30"/>
        <v>#N/A</v>
      </c>
      <c r="P78" s="357" t="e">
        <f t="shared" si="30"/>
        <v>#N/A</v>
      </c>
      <c r="Q78" s="357" t="e">
        <f t="shared" si="30"/>
        <v>#N/A</v>
      </c>
      <c r="R78" s="357" t="e">
        <f t="shared" si="30"/>
        <v>#N/A</v>
      </c>
      <c r="S78" s="357" t="e">
        <f t="shared" si="30"/>
        <v>#N/A</v>
      </c>
      <c r="T78" s="357" t="e">
        <f t="shared" si="30"/>
        <v>#N/A</v>
      </c>
      <c r="U78" s="357" t="e">
        <f t="shared" si="30"/>
        <v>#N/A</v>
      </c>
      <c r="V78" s="357" t="e">
        <f t="shared" si="30"/>
        <v>#N/A</v>
      </c>
      <c r="W78" s="357" t="e">
        <f t="shared" si="30"/>
        <v>#N/A</v>
      </c>
      <c r="X78" s="357" t="e">
        <f t="shared" si="30"/>
        <v>#N/A</v>
      </c>
      <c r="Y78" s="357" t="e">
        <f t="shared" si="30"/>
        <v>#N/A</v>
      </c>
      <c r="Z78" s="357" t="e">
        <f t="shared" si="30"/>
        <v>#N/A</v>
      </c>
      <c r="AA78" s="357" t="e">
        <f t="shared" si="30"/>
        <v>#N/A</v>
      </c>
      <c r="AB78" s="357" t="e">
        <f t="shared" si="30"/>
        <v>#N/A</v>
      </c>
      <c r="AC78" s="357" t="e">
        <f t="shared" si="30"/>
        <v>#N/A</v>
      </c>
      <c r="AD78" s="357" t="e">
        <f t="shared" si="30"/>
        <v>#N/A</v>
      </c>
      <c r="AE78" s="357" t="e">
        <f t="shared" si="30"/>
        <v>#N/A</v>
      </c>
      <c r="AF78" s="357" t="e">
        <f t="shared" si="30"/>
        <v>#N/A</v>
      </c>
      <c r="AG78" s="357" t="e">
        <f t="shared" si="30"/>
        <v>#N/A</v>
      </c>
      <c r="AH78" s="357" t="e">
        <f t="shared" si="30"/>
        <v>#N/A</v>
      </c>
      <c r="AI78" s="357" t="e">
        <f t="shared" si="30"/>
        <v>#N/A</v>
      </c>
      <c r="AJ78" s="357" t="e">
        <f t="shared" si="30"/>
        <v>#N/A</v>
      </c>
      <c r="AK78" s="357" t="e">
        <f t="shared" si="30"/>
        <v>#N/A</v>
      </c>
      <c r="AL78" s="357" t="e">
        <f t="shared" si="30"/>
        <v>#N/A</v>
      </c>
      <c r="AM78" s="357" t="e">
        <f t="shared" si="30"/>
        <v>#N/A</v>
      </c>
      <c r="AN78" s="357" t="e">
        <f t="shared" si="30"/>
        <v>#N/A</v>
      </c>
      <c r="AO78" s="357" t="e">
        <f t="shared" si="30"/>
        <v>#N/A</v>
      </c>
      <c r="AP78" s="357" t="e">
        <f t="shared" si="30"/>
        <v>#N/A</v>
      </c>
      <c r="AQ78" s="357" t="e">
        <f t="shared" si="30"/>
        <v>#N/A</v>
      </c>
    </row>
    <row r="79" spans="1:44" s="317" customFormat="1" ht="14.25" hidden="1">
      <c r="A79" s="356"/>
      <c r="B79" s="1012" t="s">
        <v>36</v>
      </c>
      <c r="C79" s="1050"/>
      <c r="E79" s="357" t="e">
        <f>IF(E60="",NA(),IFERROR(E60*VLOOKUP(E60,'各種計算式等（配付時非表示）'!$E$3:$H$1003,3,TRUE)+VLOOKUP(E60,'各種計算式等（配付時非表示）'!$E$3:$H$1003,4,TRUE)+0.0000000001,"-"))</f>
        <v>#N/A</v>
      </c>
      <c r="F79" s="357" t="e">
        <f>IF(F60="",NA(),IFERROR(F60*VLOOKUP(F60,'各種計算式等（配付時非表示）'!$E$3:$H$1003,3,TRUE)+VLOOKUP(F60,'各種計算式等（配付時非表示）'!$E$3:$H$1003,4,TRUE)+0.0000000001,"-"))</f>
        <v>#N/A</v>
      </c>
      <c r="G79" s="357" t="e">
        <f>IF(G60="",NA(),IFERROR(G60*VLOOKUP(G60,'各種計算式等（配付時非表示）'!$E$3:$H$1003,3,TRUE)+VLOOKUP(G60,'各種計算式等（配付時非表示）'!$E$3:$H$1003,4,TRUE)+0.0000000001,"-"))</f>
        <v>#N/A</v>
      </c>
      <c r="H79" s="357" t="e">
        <f>IF(H60="",NA(),IFERROR(H60*VLOOKUP(H60,'各種計算式等（配付時非表示）'!$E$3:$H$1003,3,TRUE)+VLOOKUP(H60,'各種計算式等（配付時非表示）'!$E$3:$H$1003,4,TRUE)+0.0000000001,"-"))</f>
        <v>#N/A</v>
      </c>
      <c r="I79" s="357" t="e">
        <f>IF(I60="",NA(),IFERROR(I60*VLOOKUP(I60,'各種計算式等（配付時非表示）'!$E$3:$H$1003,3,TRUE)+VLOOKUP(I60,'各種計算式等（配付時非表示）'!$E$3:$H$1003,4,TRUE)+0.0000000001,"-"))</f>
        <v>#N/A</v>
      </c>
      <c r="J79" s="357" t="e">
        <f>IF(J60="",NA(),IFERROR(J60*VLOOKUP(J60,'各種計算式等（配付時非表示）'!$E$3:$H$1003,3,TRUE)+VLOOKUP(J60,'各種計算式等（配付時非表示）'!$E$3:$H$1003,4,TRUE)+0.0000000001,"-"))</f>
        <v>#N/A</v>
      </c>
      <c r="K79" s="357" t="e">
        <f>IF(K60="",NA(),IFERROR(K60*VLOOKUP(K60,'各種計算式等（配付時非表示）'!$E$3:$H$1003,3,TRUE)+VLOOKUP(K60,'各種計算式等（配付時非表示）'!$E$3:$H$1003,4,TRUE)+0.0000000001,"-"))</f>
        <v>#N/A</v>
      </c>
      <c r="L79" s="357" t="e">
        <f>IF(L60="",NA(),IFERROR(L60*VLOOKUP(L60,'各種計算式等（配付時非表示）'!$E$3:$H$1003,3,TRUE)+VLOOKUP(L60,'各種計算式等（配付時非表示）'!$E$3:$H$1003,4,TRUE)+0.0000000001,"-"))</f>
        <v>#N/A</v>
      </c>
      <c r="M79" s="357" t="e">
        <f>IF(M60="",NA(),IFERROR(M60*VLOOKUP(M60,'各種計算式等（配付時非表示）'!$E$3:$H$1003,3,TRUE)+VLOOKUP(M60,'各種計算式等（配付時非表示）'!$E$3:$H$1003,4,TRUE)+0.0000000001,"-"))</f>
        <v>#N/A</v>
      </c>
      <c r="N79" s="357" t="e">
        <f>IF(N60="",NA(),IFERROR(N60*VLOOKUP(N60,'各種計算式等（配付時非表示）'!$E$3:$H$1003,3,TRUE)+VLOOKUP(N60,'各種計算式等（配付時非表示）'!$E$3:$H$1003,4,TRUE)+0.0000000001,"-"))</f>
        <v>#N/A</v>
      </c>
      <c r="O79" s="357" t="e">
        <f>IF(O60="",NA(),IFERROR(O60*VLOOKUP(O60,'各種計算式等（配付時非表示）'!$E$3:$H$1003,3,TRUE)+VLOOKUP(O60,'各種計算式等（配付時非表示）'!$E$3:$H$1003,4,TRUE)+0.0000000001,"-"))</f>
        <v>#N/A</v>
      </c>
      <c r="P79" s="357" t="e">
        <f>IF(P60="",NA(),IFERROR(P60*VLOOKUP(P60,'各種計算式等（配付時非表示）'!$E$3:$H$1003,3,TRUE)+VLOOKUP(P60,'各種計算式等（配付時非表示）'!$E$3:$H$1003,4,TRUE)+0.0000000001,"-"))</f>
        <v>#N/A</v>
      </c>
      <c r="Q79" s="357" t="e">
        <f>IF(Q60="",NA(),IFERROR(Q60*VLOOKUP(Q60,'各種計算式等（配付時非表示）'!$E$3:$H$1003,3,TRUE)+VLOOKUP(Q60,'各種計算式等（配付時非表示）'!$E$3:$H$1003,4,TRUE)+0.0000000001,"-"))</f>
        <v>#N/A</v>
      </c>
      <c r="R79" s="357" t="e">
        <f>IF(R60="",NA(),IFERROR(R60*VLOOKUP(R60,'各種計算式等（配付時非表示）'!$E$3:$H$1003,3,TRUE)+VLOOKUP(R60,'各種計算式等（配付時非表示）'!$E$3:$H$1003,4,TRUE)+0.0000000001,"-"))</f>
        <v>#N/A</v>
      </c>
      <c r="S79" s="357" t="e">
        <f>IF(S60="",NA(),IFERROR(S60*VLOOKUP(S60,'各種計算式等（配付時非表示）'!$E$3:$H$1003,3,TRUE)+VLOOKUP(S60,'各種計算式等（配付時非表示）'!$E$3:$H$1003,4,TRUE)+0.0000000001,"-"))</f>
        <v>#N/A</v>
      </c>
      <c r="T79" s="357" t="e">
        <f>IF(T60="",NA(),IFERROR(T60*VLOOKUP(T60,'各種計算式等（配付時非表示）'!$E$3:$H$1003,3,TRUE)+VLOOKUP(T60,'各種計算式等（配付時非表示）'!$E$3:$H$1003,4,TRUE)+0.0000000001,"-"))</f>
        <v>#N/A</v>
      </c>
      <c r="U79" s="357" t="e">
        <f>IF(U60="",NA(),IFERROR(U60*VLOOKUP(U60,'各種計算式等（配付時非表示）'!$E$3:$H$1003,3,TRUE)+VLOOKUP(U60,'各種計算式等（配付時非表示）'!$E$3:$H$1003,4,TRUE)+0.0000000001,"-"))</f>
        <v>#N/A</v>
      </c>
      <c r="V79" s="357" t="e">
        <f>IF(V60="",NA(),IFERROR(V60*VLOOKUP(V60,'各種計算式等（配付時非表示）'!$E$3:$H$1003,3,TRUE)+VLOOKUP(V60,'各種計算式等（配付時非表示）'!$E$3:$H$1003,4,TRUE)+0.0000000001,"-"))</f>
        <v>#N/A</v>
      </c>
      <c r="W79" s="357" t="e">
        <f>IF(W60="",NA(),IFERROR(W60*VLOOKUP(W60,'各種計算式等（配付時非表示）'!$E$3:$H$1003,3,TRUE)+VLOOKUP(W60,'各種計算式等（配付時非表示）'!$E$3:$H$1003,4,TRUE)+0.0000000001,"-"))</f>
        <v>#N/A</v>
      </c>
      <c r="X79" s="357" t="e">
        <f>IF(X60="",NA(),IFERROR(X60*VLOOKUP(X60,'各種計算式等（配付時非表示）'!$E$3:$H$1003,3,TRUE)+VLOOKUP(X60,'各種計算式等（配付時非表示）'!$E$3:$H$1003,4,TRUE)+0.0000000001,"-"))</f>
        <v>#N/A</v>
      </c>
      <c r="Y79" s="357" t="e">
        <f>IF(Y60="",NA(),IFERROR(Y60*VLOOKUP(Y60,'各種計算式等（配付時非表示）'!$E$3:$H$1003,3,TRUE)+VLOOKUP(Y60,'各種計算式等（配付時非表示）'!$E$3:$H$1003,4,TRUE)+0.0000000001,"-"))</f>
        <v>#N/A</v>
      </c>
      <c r="Z79" s="357" t="e">
        <f>IF(Z60="",NA(),IFERROR(Z60*VLOOKUP(Z60,'各種計算式等（配付時非表示）'!$E$3:$H$1003,3,TRUE)+VLOOKUP(Z60,'各種計算式等（配付時非表示）'!$E$3:$H$1003,4,TRUE)+0.0000000001,"-"))</f>
        <v>#N/A</v>
      </c>
      <c r="AA79" s="357" t="e">
        <f>IF(AA60="",NA(),IFERROR(AA60*VLOOKUP(AA60,'各種計算式等（配付時非表示）'!$E$3:$H$1003,3,TRUE)+VLOOKUP(AA60,'各種計算式等（配付時非表示）'!$E$3:$H$1003,4,TRUE)+0.0000000001,"-"))</f>
        <v>#N/A</v>
      </c>
      <c r="AB79" s="357" t="e">
        <f>IF(AB60="",NA(),IFERROR(AB60*VLOOKUP(AB60,'各種計算式等（配付時非表示）'!$E$3:$H$1003,3,TRUE)+VLOOKUP(AB60,'各種計算式等（配付時非表示）'!$E$3:$H$1003,4,TRUE)+0.0000000001,"-"))</f>
        <v>#N/A</v>
      </c>
      <c r="AC79" s="357" t="e">
        <f>IF(AC60="",NA(),IFERROR(AC60*VLOOKUP(AC60,'各種計算式等（配付時非表示）'!$E$3:$H$1003,3,TRUE)+VLOOKUP(AC60,'各種計算式等（配付時非表示）'!$E$3:$H$1003,4,TRUE)+0.0000000001,"-"))</f>
        <v>#N/A</v>
      </c>
      <c r="AD79" s="357" t="e">
        <f>IF(AD60="",NA(),IFERROR(AD60*VLOOKUP(AD60,'各種計算式等（配付時非表示）'!$E$3:$H$1003,3,TRUE)+VLOOKUP(AD60,'各種計算式等（配付時非表示）'!$E$3:$H$1003,4,TRUE)+0.0000000001,"-"))</f>
        <v>#N/A</v>
      </c>
      <c r="AE79" s="357" t="e">
        <f>IF(AE60="",NA(),IFERROR(AE60*VLOOKUP(AE60,'各種計算式等（配付時非表示）'!$E$3:$H$1003,3,TRUE)+VLOOKUP(AE60,'各種計算式等（配付時非表示）'!$E$3:$H$1003,4,TRUE)+0.0000000001,"-"))</f>
        <v>#N/A</v>
      </c>
      <c r="AF79" s="357" t="e">
        <f>IF(AF60="",NA(),IFERROR(AF60*VLOOKUP(AF60,'各種計算式等（配付時非表示）'!$E$3:$H$1003,3,TRUE)+VLOOKUP(AF60,'各種計算式等（配付時非表示）'!$E$3:$H$1003,4,TRUE)+0.0000000001,"-"))</f>
        <v>#N/A</v>
      </c>
      <c r="AG79" s="357" t="e">
        <f>IF(AG60="",NA(),IFERROR(AG60*VLOOKUP(AG60,'各種計算式等（配付時非表示）'!$E$3:$H$1003,3,TRUE)+VLOOKUP(AG60,'各種計算式等（配付時非表示）'!$E$3:$H$1003,4,TRUE)+0.0000000001,"-"))</f>
        <v>#N/A</v>
      </c>
      <c r="AH79" s="357" t="e">
        <f>IF(AH60="",NA(),IFERROR(AH60*VLOOKUP(AH60,'各種計算式等（配付時非表示）'!$E$3:$H$1003,3,TRUE)+VLOOKUP(AH60,'各種計算式等（配付時非表示）'!$E$3:$H$1003,4,TRUE)+0.0000000001,"-"))</f>
        <v>#N/A</v>
      </c>
      <c r="AI79" s="357" t="e">
        <f>IF(AI60="",NA(),IFERROR(AI60*VLOOKUP(AI60,'各種計算式等（配付時非表示）'!$E$3:$H$1003,3,TRUE)+VLOOKUP(AI60,'各種計算式等（配付時非表示）'!$E$3:$H$1003,4,TRUE)+0.0000000001,"-"))</f>
        <v>#N/A</v>
      </c>
      <c r="AJ79" s="357" t="e">
        <f>IF(AJ60="",NA(),IFERROR(AJ60*VLOOKUP(AJ60,'各種計算式等（配付時非表示）'!$E$3:$H$1003,3,TRUE)+VLOOKUP(AJ60,'各種計算式等（配付時非表示）'!$E$3:$H$1003,4,TRUE)+0.0000000001,"-"))</f>
        <v>#N/A</v>
      </c>
      <c r="AK79" s="357" t="e">
        <f>IF(AK60="",NA(),IFERROR(AK60*VLOOKUP(AK60,'各種計算式等（配付時非表示）'!$E$3:$H$1003,3,TRUE)+VLOOKUP(AK60,'各種計算式等（配付時非表示）'!$E$3:$H$1003,4,TRUE)+0.0000000001,"-"))</f>
        <v>#N/A</v>
      </c>
      <c r="AL79" s="357" t="e">
        <f>IF(AL60="",NA(),IFERROR(AL60*VLOOKUP(AL60,'各種計算式等（配付時非表示）'!$E$3:$H$1003,3,TRUE)+VLOOKUP(AL60,'各種計算式等（配付時非表示）'!$E$3:$H$1003,4,TRUE)+0.0000000001,"-"))</f>
        <v>#N/A</v>
      </c>
      <c r="AM79" s="357" t="e">
        <f>IF(AM60="",NA(),IFERROR(AM60*VLOOKUP(AM60,'各種計算式等（配付時非表示）'!$E$3:$H$1003,3,TRUE)+VLOOKUP(AM60,'各種計算式等（配付時非表示）'!$E$3:$H$1003,4,TRUE)+0.0000000001,"-"))</f>
        <v>#N/A</v>
      </c>
      <c r="AN79" s="357" t="e">
        <f>IF(AN60="",NA(),IFERROR(AN60*VLOOKUP(AN60,'各種計算式等（配付時非表示）'!$E$3:$H$1003,3,TRUE)+VLOOKUP(AN60,'各種計算式等（配付時非表示）'!$E$3:$H$1003,4,TRUE)+0.0000000001,"-"))</f>
        <v>#N/A</v>
      </c>
      <c r="AO79" s="357" t="e">
        <f>IF(AO60="",NA(),IFERROR(AO60*VLOOKUP(AO60,'各種計算式等（配付時非表示）'!$E$3:$H$1003,3,TRUE)+VLOOKUP(AO60,'各種計算式等（配付時非表示）'!$E$3:$H$1003,4,TRUE)+0.0000000001,"-"))</f>
        <v>#N/A</v>
      </c>
      <c r="AP79" s="357" t="e">
        <f>IF(AP60="",NA(),IFERROR(AP60*VLOOKUP(AP60,'各種計算式等（配付時非表示）'!$E$3:$H$1003,3,TRUE)+VLOOKUP(AP60,'各種計算式等（配付時非表示）'!$E$3:$H$1003,4,TRUE)+0.0000000001,"-"))</f>
        <v>#N/A</v>
      </c>
      <c r="AQ79" s="357" t="e">
        <f>IF(AQ60="",NA(),IFERROR(AQ60*VLOOKUP(AQ60,'各種計算式等（配付時非表示）'!$E$3:$H$1003,3,TRUE)+VLOOKUP(AQ60,'各種計算式等（配付時非表示）'!$E$3:$H$1003,4,TRUE)+0.0000000001,"-"))</f>
        <v>#N/A</v>
      </c>
    </row>
    <row r="80" spans="1:44" s="317" customFormat="1" ht="14.25" hidden="1">
      <c r="A80" s="1012" t="s">
        <v>3</v>
      </c>
      <c r="B80" s="1012"/>
      <c r="C80" s="1012"/>
      <c r="E80" s="358" t="e">
        <f>IFERROR(ROUNDDOWN((E78-E79)*260+0.21,1),NA())</f>
        <v>#N/A</v>
      </c>
      <c r="F80" s="358" t="e">
        <f t="shared" ref="F80:AQ80" si="31">IFERROR(ROUNDDOWN((F78-F79)*260+0.21,1),NA())</f>
        <v>#N/A</v>
      </c>
      <c r="G80" s="358" t="e">
        <f t="shared" si="31"/>
        <v>#N/A</v>
      </c>
      <c r="H80" s="358" t="e">
        <f>IFERROR(ROUNDDOWN((H78-H79)*260+0.21,1),NA())</f>
        <v>#N/A</v>
      </c>
      <c r="I80" s="358" t="e">
        <f t="shared" si="31"/>
        <v>#N/A</v>
      </c>
      <c r="J80" s="358" t="e">
        <f t="shared" si="31"/>
        <v>#N/A</v>
      </c>
      <c r="K80" s="358" t="e">
        <f t="shared" si="31"/>
        <v>#N/A</v>
      </c>
      <c r="L80" s="358" t="e">
        <f t="shared" si="31"/>
        <v>#N/A</v>
      </c>
      <c r="M80" s="358" t="e">
        <f t="shared" si="31"/>
        <v>#N/A</v>
      </c>
      <c r="N80" s="358" t="e">
        <f t="shared" si="31"/>
        <v>#N/A</v>
      </c>
      <c r="O80" s="358" t="e">
        <f t="shared" si="31"/>
        <v>#N/A</v>
      </c>
      <c r="P80" s="358" t="e">
        <f t="shared" si="31"/>
        <v>#N/A</v>
      </c>
      <c r="Q80" s="358" t="e">
        <f t="shared" si="31"/>
        <v>#N/A</v>
      </c>
      <c r="R80" s="358" t="e">
        <f t="shared" si="31"/>
        <v>#N/A</v>
      </c>
      <c r="S80" s="358" t="e">
        <f t="shared" si="31"/>
        <v>#N/A</v>
      </c>
      <c r="T80" s="358" t="e">
        <f t="shared" si="31"/>
        <v>#N/A</v>
      </c>
      <c r="U80" s="358" t="e">
        <f t="shared" si="31"/>
        <v>#N/A</v>
      </c>
      <c r="V80" s="358" t="e">
        <f t="shared" si="31"/>
        <v>#N/A</v>
      </c>
      <c r="W80" s="358" t="e">
        <f t="shared" si="31"/>
        <v>#N/A</v>
      </c>
      <c r="X80" s="358" t="e">
        <f t="shared" si="31"/>
        <v>#N/A</v>
      </c>
      <c r="Y80" s="358" t="e">
        <f t="shared" si="31"/>
        <v>#N/A</v>
      </c>
      <c r="Z80" s="358" t="e">
        <f t="shared" si="31"/>
        <v>#N/A</v>
      </c>
      <c r="AA80" s="358" t="e">
        <f t="shared" si="31"/>
        <v>#N/A</v>
      </c>
      <c r="AB80" s="358" t="e">
        <f t="shared" si="31"/>
        <v>#N/A</v>
      </c>
      <c r="AC80" s="358" t="e">
        <f t="shared" si="31"/>
        <v>#N/A</v>
      </c>
      <c r="AD80" s="358" t="e">
        <f t="shared" si="31"/>
        <v>#N/A</v>
      </c>
      <c r="AE80" s="358" t="e">
        <f t="shared" si="31"/>
        <v>#N/A</v>
      </c>
      <c r="AF80" s="358" t="e">
        <f t="shared" si="31"/>
        <v>#N/A</v>
      </c>
      <c r="AG80" s="358" t="e">
        <f t="shared" si="31"/>
        <v>#N/A</v>
      </c>
      <c r="AH80" s="358" t="e">
        <f t="shared" si="31"/>
        <v>#N/A</v>
      </c>
      <c r="AI80" s="358" t="e">
        <f t="shared" si="31"/>
        <v>#N/A</v>
      </c>
      <c r="AJ80" s="358" t="e">
        <f t="shared" si="31"/>
        <v>#N/A</v>
      </c>
      <c r="AK80" s="358" t="e">
        <f t="shared" si="31"/>
        <v>#N/A</v>
      </c>
      <c r="AL80" s="358" t="e">
        <f t="shared" si="31"/>
        <v>#N/A</v>
      </c>
      <c r="AM80" s="358" t="e">
        <f t="shared" si="31"/>
        <v>#N/A</v>
      </c>
      <c r="AN80" s="358" t="e">
        <f t="shared" si="31"/>
        <v>#N/A</v>
      </c>
      <c r="AO80" s="358" t="e">
        <f t="shared" si="31"/>
        <v>#N/A</v>
      </c>
      <c r="AP80" s="358" t="e">
        <f t="shared" si="31"/>
        <v>#N/A</v>
      </c>
      <c r="AQ80" s="358" t="e">
        <f t="shared" si="31"/>
        <v>#N/A</v>
      </c>
    </row>
    <row r="81" spans="1:44" s="317" customFormat="1" ht="14.25" hidden="1">
      <c r="A81" s="1012" t="s">
        <v>326</v>
      </c>
      <c r="B81" s="1012"/>
      <c r="C81" s="1012"/>
      <c r="E81" s="359" t="e">
        <f t="shared" ref="E81:AQ81" si="32">IF(E60="",NA(),ROUNDDOWN(E60*1.5848,1))</f>
        <v>#N/A</v>
      </c>
      <c r="F81" s="359" t="e">
        <f t="shared" si="32"/>
        <v>#N/A</v>
      </c>
      <c r="G81" s="359" t="e">
        <f t="shared" si="32"/>
        <v>#N/A</v>
      </c>
      <c r="H81" s="359" t="e">
        <f t="shared" si="32"/>
        <v>#N/A</v>
      </c>
      <c r="I81" s="359" t="e">
        <f t="shared" si="32"/>
        <v>#N/A</v>
      </c>
      <c r="J81" s="359" t="e">
        <f t="shared" si="32"/>
        <v>#N/A</v>
      </c>
      <c r="K81" s="359" t="e">
        <f t="shared" si="32"/>
        <v>#N/A</v>
      </c>
      <c r="L81" s="359" t="e">
        <f t="shared" si="32"/>
        <v>#N/A</v>
      </c>
      <c r="M81" s="359" t="e">
        <f t="shared" si="32"/>
        <v>#N/A</v>
      </c>
      <c r="N81" s="359" t="e">
        <f t="shared" si="32"/>
        <v>#N/A</v>
      </c>
      <c r="O81" s="359" t="e">
        <f t="shared" si="32"/>
        <v>#N/A</v>
      </c>
      <c r="P81" s="359" t="e">
        <f t="shared" si="32"/>
        <v>#N/A</v>
      </c>
      <c r="Q81" s="359" t="e">
        <f t="shared" si="32"/>
        <v>#N/A</v>
      </c>
      <c r="R81" s="359" t="e">
        <f t="shared" si="32"/>
        <v>#N/A</v>
      </c>
      <c r="S81" s="359" t="e">
        <f t="shared" si="32"/>
        <v>#N/A</v>
      </c>
      <c r="T81" s="359" t="e">
        <f t="shared" si="32"/>
        <v>#N/A</v>
      </c>
      <c r="U81" s="359" t="e">
        <f t="shared" si="32"/>
        <v>#N/A</v>
      </c>
      <c r="V81" s="359" t="e">
        <f t="shared" si="32"/>
        <v>#N/A</v>
      </c>
      <c r="W81" s="359" t="e">
        <f t="shared" si="32"/>
        <v>#N/A</v>
      </c>
      <c r="X81" s="359" t="e">
        <f t="shared" si="32"/>
        <v>#N/A</v>
      </c>
      <c r="Y81" s="359" t="e">
        <f t="shared" si="32"/>
        <v>#N/A</v>
      </c>
      <c r="Z81" s="359" t="e">
        <f t="shared" si="32"/>
        <v>#N/A</v>
      </c>
      <c r="AA81" s="359" t="e">
        <f t="shared" si="32"/>
        <v>#N/A</v>
      </c>
      <c r="AB81" s="359" t="e">
        <f t="shared" si="32"/>
        <v>#N/A</v>
      </c>
      <c r="AC81" s="359" t="e">
        <f t="shared" si="32"/>
        <v>#N/A</v>
      </c>
      <c r="AD81" s="359" t="e">
        <f t="shared" si="32"/>
        <v>#N/A</v>
      </c>
      <c r="AE81" s="359" t="e">
        <f t="shared" si="32"/>
        <v>#N/A</v>
      </c>
      <c r="AF81" s="359" t="e">
        <f t="shared" si="32"/>
        <v>#N/A</v>
      </c>
      <c r="AG81" s="359" t="e">
        <f t="shared" si="32"/>
        <v>#N/A</v>
      </c>
      <c r="AH81" s="359" t="e">
        <f t="shared" si="32"/>
        <v>#N/A</v>
      </c>
      <c r="AI81" s="359" t="e">
        <f t="shared" si="32"/>
        <v>#N/A</v>
      </c>
      <c r="AJ81" s="359" t="e">
        <f t="shared" si="32"/>
        <v>#N/A</v>
      </c>
      <c r="AK81" s="359" t="e">
        <f t="shared" si="32"/>
        <v>#N/A</v>
      </c>
      <c r="AL81" s="359" t="e">
        <f t="shared" si="32"/>
        <v>#N/A</v>
      </c>
      <c r="AM81" s="359" t="e">
        <f t="shared" si="32"/>
        <v>#N/A</v>
      </c>
      <c r="AN81" s="359" t="e">
        <f t="shared" si="32"/>
        <v>#N/A</v>
      </c>
      <c r="AO81" s="359" t="e">
        <f t="shared" si="32"/>
        <v>#N/A</v>
      </c>
      <c r="AP81" s="359" t="e">
        <f t="shared" si="32"/>
        <v>#N/A</v>
      </c>
      <c r="AQ81" s="359" t="e">
        <f t="shared" si="32"/>
        <v>#N/A</v>
      </c>
    </row>
    <row r="82" spans="1:44" s="317" customFormat="1" ht="14.25" hidden="1">
      <c r="A82" s="1012" t="s">
        <v>162</v>
      </c>
      <c r="B82" s="1012"/>
      <c r="C82" s="1012"/>
      <c r="E82" s="359" t="e">
        <f>IF(E80="",NA(),ROUNDDOWN(E80+E81,1))</f>
        <v>#N/A</v>
      </c>
      <c r="F82" s="359" t="e">
        <f t="shared" ref="F82:AQ82" si="33">IF(F80="",NA(),ROUNDDOWN(F80+F81,1))</f>
        <v>#N/A</v>
      </c>
      <c r="G82" s="359" t="e">
        <f t="shared" si="33"/>
        <v>#N/A</v>
      </c>
      <c r="H82" s="359" t="e">
        <f>IF(H80="",NA(),ROUNDDOWN(H80+H81,1))</f>
        <v>#N/A</v>
      </c>
      <c r="I82" s="359" t="e">
        <f t="shared" si="33"/>
        <v>#N/A</v>
      </c>
      <c r="J82" s="359" t="e">
        <f t="shared" si="33"/>
        <v>#N/A</v>
      </c>
      <c r="K82" s="359" t="e">
        <f t="shared" si="33"/>
        <v>#N/A</v>
      </c>
      <c r="L82" s="359" t="e">
        <f t="shared" si="33"/>
        <v>#N/A</v>
      </c>
      <c r="M82" s="359" t="e">
        <f t="shared" si="33"/>
        <v>#N/A</v>
      </c>
      <c r="N82" s="359" t="e">
        <f t="shared" si="33"/>
        <v>#N/A</v>
      </c>
      <c r="O82" s="359" t="e">
        <f t="shared" si="33"/>
        <v>#N/A</v>
      </c>
      <c r="P82" s="359" t="e">
        <f t="shared" si="33"/>
        <v>#N/A</v>
      </c>
      <c r="Q82" s="359" t="e">
        <f t="shared" si="33"/>
        <v>#N/A</v>
      </c>
      <c r="R82" s="359" t="e">
        <f t="shared" si="33"/>
        <v>#N/A</v>
      </c>
      <c r="S82" s="359" t="e">
        <f t="shared" si="33"/>
        <v>#N/A</v>
      </c>
      <c r="T82" s="359" t="e">
        <f>IF(T80="",NA(),ROUNDDOWN(T80+T81,1))</f>
        <v>#N/A</v>
      </c>
      <c r="U82" s="359" t="e">
        <f t="shared" si="33"/>
        <v>#N/A</v>
      </c>
      <c r="V82" s="359" t="e">
        <f>IF(V80="",NA(),ROUNDDOWN(V80+V81,1))</f>
        <v>#N/A</v>
      </c>
      <c r="W82" s="359" t="e">
        <f t="shared" si="33"/>
        <v>#N/A</v>
      </c>
      <c r="X82" s="359" t="e">
        <f t="shared" si="33"/>
        <v>#N/A</v>
      </c>
      <c r="Y82" s="359" t="e">
        <f t="shared" si="33"/>
        <v>#N/A</v>
      </c>
      <c r="Z82" s="359" t="e">
        <f t="shared" si="33"/>
        <v>#N/A</v>
      </c>
      <c r="AA82" s="359" t="e">
        <f t="shared" si="33"/>
        <v>#N/A</v>
      </c>
      <c r="AB82" s="359" t="e">
        <f t="shared" si="33"/>
        <v>#N/A</v>
      </c>
      <c r="AC82" s="359" t="e">
        <f t="shared" si="33"/>
        <v>#N/A</v>
      </c>
      <c r="AD82" s="359" t="e">
        <f t="shared" si="33"/>
        <v>#N/A</v>
      </c>
      <c r="AE82" s="359" t="e">
        <f t="shared" si="33"/>
        <v>#N/A</v>
      </c>
      <c r="AF82" s="359" t="e">
        <f t="shared" si="33"/>
        <v>#N/A</v>
      </c>
      <c r="AG82" s="359" t="e">
        <f t="shared" si="33"/>
        <v>#N/A</v>
      </c>
      <c r="AH82" s="359" t="e">
        <f t="shared" si="33"/>
        <v>#N/A</v>
      </c>
      <c r="AI82" s="359" t="e">
        <f t="shared" si="33"/>
        <v>#N/A</v>
      </c>
      <c r="AJ82" s="359" t="e">
        <f t="shared" si="33"/>
        <v>#N/A</v>
      </c>
      <c r="AK82" s="359" t="e">
        <f t="shared" si="33"/>
        <v>#N/A</v>
      </c>
      <c r="AL82" s="359" t="e">
        <f t="shared" si="33"/>
        <v>#N/A</v>
      </c>
      <c r="AM82" s="359" t="e">
        <f t="shared" si="33"/>
        <v>#N/A</v>
      </c>
      <c r="AN82" s="359" t="e">
        <f t="shared" si="33"/>
        <v>#N/A</v>
      </c>
      <c r="AO82" s="359" t="e">
        <f t="shared" si="33"/>
        <v>#N/A</v>
      </c>
      <c r="AP82" s="359" t="e">
        <f t="shared" si="33"/>
        <v>#N/A</v>
      </c>
      <c r="AQ82" s="359" t="e">
        <f t="shared" si="33"/>
        <v>#N/A</v>
      </c>
    </row>
    <row r="83" spans="1:44" s="317" customFormat="1" ht="14.25" hidden="1">
      <c r="A83" s="1012" t="s">
        <v>198</v>
      </c>
      <c r="B83" s="1012"/>
      <c r="C83" s="1012"/>
      <c r="E83" s="360" t="e">
        <f t="shared" ref="E83:AQ83" si="34">IF(E60="",NA(),IF(E56&lt;=$B71,E60*$D74/100,IF(E56&lt;=$C71,E60*$E74/100,IF(E56&lt;=$D71,E60*$F74/100,IF(E56&lt;=$E71,E60*$G74/100,IF(E56&lt;=$F71,E60*$H74/100,IF(E56&lt;=$G71,E60*$I74/100,IF(E56&lt;=$H71,E60*$J74/100,IF(E56&lt;=$I71,E60*$K74/100,IF(E56&lt;=$J71,E60*$L74/100,IF(E56&lt;=$K71,E60*$M74/100,IF(E56&lt;=$L71,E60*$N74/100,IF(E56&lt;=$M71,E60*$O74/100,IF(E56&lt;=$N71,E60*$P74/100,IF(E56&lt;=$O71,E60*$Q74/100,IF(E56&lt;=$P71,E60*$R74/100,IF(E56&lt;=$Q71,E60*$S74/100,IF(E56&lt;=$R71,E60*$T74/100,IF(E56&lt;=$S71,E60*$U74/100,IF(E56&lt;=$T71,E60*$V74/100,IF(E56&lt;=$U71,E60*$W74/100,E60*$X74/100)))))))))))))))))))))</f>
        <v>#N/A</v>
      </c>
      <c r="F83" s="360" t="e">
        <f t="shared" si="34"/>
        <v>#N/A</v>
      </c>
      <c r="G83" s="360" t="e">
        <f t="shared" si="34"/>
        <v>#N/A</v>
      </c>
      <c r="H83" s="360" t="e">
        <f t="shared" si="34"/>
        <v>#N/A</v>
      </c>
      <c r="I83" s="360" t="e">
        <f t="shared" si="34"/>
        <v>#N/A</v>
      </c>
      <c r="J83" s="360" t="e">
        <f t="shared" si="34"/>
        <v>#N/A</v>
      </c>
      <c r="K83" s="360" t="e">
        <f t="shared" si="34"/>
        <v>#N/A</v>
      </c>
      <c r="L83" s="360" t="e">
        <f t="shared" si="34"/>
        <v>#N/A</v>
      </c>
      <c r="M83" s="360" t="e">
        <f t="shared" si="34"/>
        <v>#N/A</v>
      </c>
      <c r="N83" s="360" t="e">
        <f t="shared" si="34"/>
        <v>#N/A</v>
      </c>
      <c r="O83" s="360" t="e">
        <f t="shared" si="34"/>
        <v>#N/A</v>
      </c>
      <c r="P83" s="360" t="e">
        <f t="shared" si="34"/>
        <v>#N/A</v>
      </c>
      <c r="Q83" s="360" t="e">
        <f t="shared" si="34"/>
        <v>#N/A</v>
      </c>
      <c r="R83" s="360" t="e">
        <f t="shared" si="34"/>
        <v>#N/A</v>
      </c>
      <c r="S83" s="360" t="e">
        <f t="shared" si="34"/>
        <v>#N/A</v>
      </c>
      <c r="T83" s="360" t="e">
        <f t="shared" si="34"/>
        <v>#N/A</v>
      </c>
      <c r="U83" s="360" t="e">
        <f t="shared" si="34"/>
        <v>#N/A</v>
      </c>
      <c r="V83" s="360" t="e">
        <f t="shared" si="34"/>
        <v>#N/A</v>
      </c>
      <c r="W83" s="360" t="e">
        <f t="shared" si="34"/>
        <v>#N/A</v>
      </c>
      <c r="X83" s="360" t="e">
        <f t="shared" si="34"/>
        <v>#N/A</v>
      </c>
      <c r="Y83" s="360" t="e">
        <f t="shared" si="34"/>
        <v>#N/A</v>
      </c>
      <c r="Z83" s="360" t="e">
        <f t="shared" si="34"/>
        <v>#N/A</v>
      </c>
      <c r="AA83" s="360" t="e">
        <f t="shared" si="34"/>
        <v>#N/A</v>
      </c>
      <c r="AB83" s="360" t="e">
        <f t="shared" si="34"/>
        <v>#N/A</v>
      </c>
      <c r="AC83" s="360" t="e">
        <f t="shared" si="34"/>
        <v>#N/A</v>
      </c>
      <c r="AD83" s="360" t="e">
        <f t="shared" si="34"/>
        <v>#N/A</v>
      </c>
      <c r="AE83" s="360" t="e">
        <f t="shared" si="34"/>
        <v>#N/A</v>
      </c>
      <c r="AF83" s="360" t="e">
        <f t="shared" si="34"/>
        <v>#N/A</v>
      </c>
      <c r="AG83" s="360" t="e">
        <f t="shared" si="34"/>
        <v>#N/A</v>
      </c>
      <c r="AH83" s="360" t="e">
        <f t="shared" si="34"/>
        <v>#N/A</v>
      </c>
      <c r="AI83" s="360" t="e">
        <f t="shared" si="34"/>
        <v>#N/A</v>
      </c>
      <c r="AJ83" s="360" t="e">
        <f t="shared" si="34"/>
        <v>#N/A</v>
      </c>
      <c r="AK83" s="360" t="e">
        <f t="shared" si="34"/>
        <v>#N/A</v>
      </c>
      <c r="AL83" s="360" t="e">
        <f t="shared" si="34"/>
        <v>#N/A</v>
      </c>
      <c r="AM83" s="360" t="e">
        <f t="shared" si="34"/>
        <v>#N/A</v>
      </c>
      <c r="AN83" s="360" t="e">
        <f t="shared" si="34"/>
        <v>#N/A</v>
      </c>
      <c r="AO83" s="360" t="e">
        <f t="shared" si="34"/>
        <v>#N/A</v>
      </c>
      <c r="AP83" s="360" t="e">
        <f t="shared" si="34"/>
        <v>#N/A</v>
      </c>
      <c r="AQ83" s="360" t="e">
        <f t="shared" si="34"/>
        <v>#N/A</v>
      </c>
    </row>
    <row r="84" spans="1:44" s="317" customFormat="1" ht="14.25" hidden="1">
      <c r="A84" s="1011" t="s">
        <v>327</v>
      </c>
      <c r="B84" s="1012"/>
      <c r="C84" s="1050"/>
      <c r="E84" s="361" t="e">
        <f>IF(E83="",NA(),ROUND(E83*1.5848,1))</f>
        <v>#N/A</v>
      </c>
      <c r="F84" s="361" t="e">
        <f t="shared" ref="F84:AQ84" si="35">IF(F83="",NA(),ROUND(F83*1.5848,1))</f>
        <v>#N/A</v>
      </c>
      <c r="G84" s="361" t="e">
        <f t="shared" si="35"/>
        <v>#N/A</v>
      </c>
      <c r="H84" s="361" t="e">
        <f t="shared" si="35"/>
        <v>#N/A</v>
      </c>
      <c r="I84" s="361" t="e">
        <f t="shared" si="35"/>
        <v>#N/A</v>
      </c>
      <c r="J84" s="361" t="e">
        <f t="shared" si="35"/>
        <v>#N/A</v>
      </c>
      <c r="K84" s="361" t="e">
        <f t="shared" si="35"/>
        <v>#N/A</v>
      </c>
      <c r="L84" s="361" t="e">
        <f t="shared" si="35"/>
        <v>#N/A</v>
      </c>
      <c r="M84" s="361" t="e">
        <f t="shared" si="35"/>
        <v>#N/A</v>
      </c>
      <c r="N84" s="361" t="e">
        <f t="shared" si="35"/>
        <v>#N/A</v>
      </c>
      <c r="O84" s="361" t="e">
        <f t="shared" si="35"/>
        <v>#N/A</v>
      </c>
      <c r="P84" s="361" t="e">
        <f t="shared" si="35"/>
        <v>#N/A</v>
      </c>
      <c r="Q84" s="361" t="e">
        <f t="shared" si="35"/>
        <v>#N/A</v>
      </c>
      <c r="R84" s="361" t="e">
        <f t="shared" si="35"/>
        <v>#N/A</v>
      </c>
      <c r="S84" s="361" t="e">
        <f t="shared" si="35"/>
        <v>#N/A</v>
      </c>
      <c r="T84" s="361" t="e">
        <f t="shared" si="35"/>
        <v>#N/A</v>
      </c>
      <c r="U84" s="361" t="e">
        <f t="shared" si="35"/>
        <v>#N/A</v>
      </c>
      <c r="V84" s="361" t="e">
        <f t="shared" si="35"/>
        <v>#N/A</v>
      </c>
      <c r="W84" s="361" t="e">
        <f t="shared" si="35"/>
        <v>#N/A</v>
      </c>
      <c r="X84" s="361" t="e">
        <f t="shared" si="35"/>
        <v>#N/A</v>
      </c>
      <c r="Y84" s="361" t="e">
        <f t="shared" si="35"/>
        <v>#N/A</v>
      </c>
      <c r="Z84" s="361" t="e">
        <f t="shared" si="35"/>
        <v>#N/A</v>
      </c>
      <c r="AA84" s="361" t="e">
        <f t="shared" si="35"/>
        <v>#N/A</v>
      </c>
      <c r="AB84" s="361" t="e">
        <f t="shared" si="35"/>
        <v>#N/A</v>
      </c>
      <c r="AC84" s="361" t="e">
        <f t="shared" si="35"/>
        <v>#N/A</v>
      </c>
      <c r="AD84" s="361" t="e">
        <f t="shared" si="35"/>
        <v>#N/A</v>
      </c>
      <c r="AE84" s="361" t="e">
        <f t="shared" si="35"/>
        <v>#N/A</v>
      </c>
      <c r="AF84" s="361" t="e">
        <f t="shared" si="35"/>
        <v>#N/A</v>
      </c>
      <c r="AG84" s="361" t="e">
        <f t="shared" si="35"/>
        <v>#N/A</v>
      </c>
      <c r="AH84" s="361" t="e">
        <f t="shared" si="35"/>
        <v>#N/A</v>
      </c>
      <c r="AI84" s="361" t="e">
        <f t="shared" si="35"/>
        <v>#N/A</v>
      </c>
      <c r="AJ84" s="361" t="e">
        <f t="shared" si="35"/>
        <v>#N/A</v>
      </c>
      <c r="AK84" s="361" t="e">
        <f t="shared" si="35"/>
        <v>#N/A</v>
      </c>
      <c r="AL84" s="361" t="e">
        <f t="shared" si="35"/>
        <v>#N/A</v>
      </c>
      <c r="AM84" s="361" t="e">
        <f t="shared" si="35"/>
        <v>#N/A</v>
      </c>
      <c r="AN84" s="361" t="e">
        <f t="shared" si="35"/>
        <v>#N/A</v>
      </c>
      <c r="AO84" s="361" t="e">
        <f t="shared" si="35"/>
        <v>#N/A</v>
      </c>
      <c r="AP84" s="361" t="e">
        <f t="shared" si="35"/>
        <v>#N/A</v>
      </c>
      <c r="AQ84" s="361" t="e">
        <f t="shared" si="35"/>
        <v>#N/A</v>
      </c>
    </row>
    <row r="85" spans="1:44" s="317" customFormat="1" ht="14.25" hidden="1">
      <c r="A85" s="1011" t="s">
        <v>328</v>
      </c>
      <c r="B85" s="1012"/>
      <c r="C85" s="1050"/>
      <c r="E85" s="361" t="e">
        <f>IF(E86="",NA(),ROUND(E86-E84,1))</f>
        <v>#N/A</v>
      </c>
      <c r="F85" s="361" t="e">
        <f t="shared" ref="F85:AQ85" si="36">IF(F86="",NA(),ROUND(F86-F84,1))</f>
        <v>#N/A</v>
      </c>
      <c r="G85" s="361" t="e">
        <f t="shared" si="36"/>
        <v>#N/A</v>
      </c>
      <c r="H85" s="361" t="e">
        <f>IF(H86="",NA(),ROUND(H86-H84,1))</f>
        <v>#N/A</v>
      </c>
      <c r="I85" s="361" t="e">
        <f t="shared" si="36"/>
        <v>#N/A</v>
      </c>
      <c r="J85" s="361" t="e">
        <f t="shared" si="36"/>
        <v>#N/A</v>
      </c>
      <c r="K85" s="361" t="e">
        <f t="shared" si="36"/>
        <v>#N/A</v>
      </c>
      <c r="L85" s="361" t="e">
        <f t="shared" si="36"/>
        <v>#N/A</v>
      </c>
      <c r="M85" s="361" t="e">
        <f t="shared" si="36"/>
        <v>#N/A</v>
      </c>
      <c r="N85" s="361" t="e">
        <f t="shared" si="36"/>
        <v>#N/A</v>
      </c>
      <c r="O85" s="361" t="e">
        <f t="shared" si="36"/>
        <v>#N/A</v>
      </c>
      <c r="P85" s="361" t="e">
        <f>IF(P86="",NA(),ROUND(P86-P84,1))</f>
        <v>#N/A</v>
      </c>
      <c r="Q85" s="361" t="e">
        <f t="shared" si="36"/>
        <v>#N/A</v>
      </c>
      <c r="R85" s="361" t="e">
        <f t="shared" si="36"/>
        <v>#N/A</v>
      </c>
      <c r="S85" s="361" t="e">
        <f t="shared" si="36"/>
        <v>#N/A</v>
      </c>
      <c r="T85" s="361" t="e">
        <f t="shared" si="36"/>
        <v>#N/A</v>
      </c>
      <c r="U85" s="361" t="e">
        <f t="shared" si="36"/>
        <v>#N/A</v>
      </c>
      <c r="V85" s="361" t="e">
        <f t="shared" si="36"/>
        <v>#N/A</v>
      </c>
      <c r="W85" s="361" t="e">
        <f t="shared" si="36"/>
        <v>#N/A</v>
      </c>
      <c r="X85" s="361" t="e">
        <f t="shared" si="36"/>
        <v>#N/A</v>
      </c>
      <c r="Y85" s="361" t="e">
        <f t="shared" si="36"/>
        <v>#N/A</v>
      </c>
      <c r="Z85" s="361" t="e">
        <f t="shared" si="36"/>
        <v>#N/A</v>
      </c>
      <c r="AA85" s="361" t="e">
        <f t="shared" si="36"/>
        <v>#N/A</v>
      </c>
      <c r="AB85" s="361" t="e">
        <f t="shared" si="36"/>
        <v>#N/A</v>
      </c>
      <c r="AC85" s="361" t="e">
        <f t="shared" si="36"/>
        <v>#N/A</v>
      </c>
      <c r="AD85" s="361" t="e">
        <f t="shared" si="36"/>
        <v>#N/A</v>
      </c>
      <c r="AE85" s="361" t="e">
        <f t="shared" si="36"/>
        <v>#N/A</v>
      </c>
      <c r="AF85" s="361" t="e">
        <f t="shared" si="36"/>
        <v>#N/A</v>
      </c>
      <c r="AG85" s="361" t="e">
        <f t="shared" si="36"/>
        <v>#N/A</v>
      </c>
      <c r="AH85" s="361" t="e">
        <f t="shared" si="36"/>
        <v>#N/A</v>
      </c>
      <c r="AI85" s="361" t="e">
        <f t="shared" si="36"/>
        <v>#N/A</v>
      </c>
      <c r="AJ85" s="361" t="e">
        <f t="shared" si="36"/>
        <v>#N/A</v>
      </c>
      <c r="AK85" s="361" t="e">
        <f t="shared" si="36"/>
        <v>#N/A</v>
      </c>
      <c r="AL85" s="361" t="e">
        <f t="shared" si="36"/>
        <v>#N/A</v>
      </c>
      <c r="AM85" s="361" t="e">
        <f t="shared" si="36"/>
        <v>#N/A</v>
      </c>
      <c r="AN85" s="361" t="e">
        <f t="shared" si="36"/>
        <v>#N/A</v>
      </c>
      <c r="AO85" s="361" t="e">
        <f t="shared" si="36"/>
        <v>#N/A</v>
      </c>
      <c r="AP85" s="361" t="e">
        <f t="shared" si="36"/>
        <v>#N/A</v>
      </c>
      <c r="AQ85" s="361" t="e">
        <f t="shared" si="36"/>
        <v>#N/A</v>
      </c>
    </row>
    <row r="86" spans="1:44" s="317" customFormat="1" ht="14.25" hidden="1">
      <c r="A86" s="1011" t="s">
        <v>329</v>
      </c>
      <c r="B86" s="1012"/>
      <c r="C86" s="1050"/>
      <c r="E86" s="360" t="e">
        <f t="shared" ref="E86:AQ86" si="37">IF(E82="",NA(),IF(E56&lt;=$B71,E82*$D74/100,IF(E56&lt;=$C71,E82*$E74/100,IF(E56&lt;=$D71,E82*$F74/100,IF(E56&lt;=$E71,E82*$G74/100,IF(E56&lt;=$F71,E82*$H74/100,IF(E56&lt;=$G71,E82*$I74/100,IF(E56&lt;=$H71,E82*$J74/100,IF(E56&lt;=$I71,E82*$K74/100,IF(E56&lt;=$J71,E82*$L74/100,IF(E56&lt;=$K71,E82*$M74/100,IF(E56&lt;=$L71,E82*$N74/100,IF(E56&lt;=$M71,E82*$O74/100,IF(E56&lt;=$N71,E82*$P74/100,IF(E56&lt;=$O71,E82*$Q74/100,IF(E56&lt;=$P71,E82*$R74/100,IF(E56&lt;=$Q71,E82*$S74/100,IF(E56&lt;=$R71,E82*$T74/100,IF(E56&lt;=$S71,E82*$U74/100,IF(E56&lt;=$T71,E82*$V74/100,IF(E56&lt;=$U71,E82*$W74/100,E82*$X74/100)))))))))))))))))))))</f>
        <v>#N/A</v>
      </c>
      <c r="F86" s="360" t="e">
        <f t="shared" si="37"/>
        <v>#N/A</v>
      </c>
      <c r="G86" s="360" t="e">
        <f t="shared" si="37"/>
        <v>#N/A</v>
      </c>
      <c r="H86" s="360" t="e">
        <f t="shared" si="37"/>
        <v>#N/A</v>
      </c>
      <c r="I86" s="360" t="e">
        <f t="shared" si="37"/>
        <v>#N/A</v>
      </c>
      <c r="J86" s="360" t="e">
        <f t="shared" si="37"/>
        <v>#N/A</v>
      </c>
      <c r="K86" s="360" t="e">
        <f t="shared" si="37"/>
        <v>#N/A</v>
      </c>
      <c r="L86" s="360" t="e">
        <f t="shared" si="37"/>
        <v>#N/A</v>
      </c>
      <c r="M86" s="360" t="e">
        <f t="shared" si="37"/>
        <v>#N/A</v>
      </c>
      <c r="N86" s="360" t="e">
        <f t="shared" si="37"/>
        <v>#N/A</v>
      </c>
      <c r="O86" s="360" t="e">
        <f t="shared" si="37"/>
        <v>#N/A</v>
      </c>
      <c r="P86" s="360" t="e">
        <f t="shared" si="37"/>
        <v>#N/A</v>
      </c>
      <c r="Q86" s="360" t="e">
        <f t="shared" si="37"/>
        <v>#N/A</v>
      </c>
      <c r="R86" s="360" t="e">
        <f t="shared" si="37"/>
        <v>#N/A</v>
      </c>
      <c r="S86" s="360" t="e">
        <f t="shared" si="37"/>
        <v>#N/A</v>
      </c>
      <c r="T86" s="360" t="e">
        <f t="shared" si="37"/>
        <v>#N/A</v>
      </c>
      <c r="U86" s="360" t="e">
        <f t="shared" si="37"/>
        <v>#N/A</v>
      </c>
      <c r="V86" s="360" t="e">
        <f t="shared" si="37"/>
        <v>#N/A</v>
      </c>
      <c r="W86" s="360" t="e">
        <f t="shared" si="37"/>
        <v>#N/A</v>
      </c>
      <c r="X86" s="360" t="e">
        <f t="shared" si="37"/>
        <v>#N/A</v>
      </c>
      <c r="Y86" s="360" t="e">
        <f t="shared" si="37"/>
        <v>#N/A</v>
      </c>
      <c r="Z86" s="360" t="e">
        <f t="shared" si="37"/>
        <v>#N/A</v>
      </c>
      <c r="AA86" s="360" t="e">
        <f t="shared" si="37"/>
        <v>#N/A</v>
      </c>
      <c r="AB86" s="360" t="e">
        <f t="shared" si="37"/>
        <v>#N/A</v>
      </c>
      <c r="AC86" s="360" t="e">
        <f t="shared" si="37"/>
        <v>#N/A</v>
      </c>
      <c r="AD86" s="360" t="e">
        <f t="shared" si="37"/>
        <v>#N/A</v>
      </c>
      <c r="AE86" s="360" t="e">
        <f t="shared" si="37"/>
        <v>#N/A</v>
      </c>
      <c r="AF86" s="360" t="e">
        <f t="shared" si="37"/>
        <v>#N/A</v>
      </c>
      <c r="AG86" s="360" t="e">
        <f t="shared" si="37"/>
        <v>#N/A</v>
      </c>
      <c r="AH86" s="360" t="e">
        <f t="shared" si="37"/>
        <v>#N/A</v>
      </c>
      <c r="AI86" s="360" t="e">
        <f t="shared" si="37"/>
        <v>#N/A</v>
      </c>
      <c r="AJ86" s="360" t="e">
        <f t="shared" si="37"/>
        <v>#N/A</v>
      </c>
      <c r="AK86" s="360" t="e">
        <f t="shared" si="37"/>
        <v>#N/A</v>
      </c>
      <c r="AL86" s="360" t="e">
        <f t="shared" si="37"/>
        <v>#N/A</v>
      </c>
      <c r="AM86" s="360" t="e">
        <f t="shared" si="37"/>
        <v>#N/A</v>
      </c>
      <c r="AN86" s="360" t="e">
        <f t="shared" si="37"/>
        <v>#N/A</v>
      </c>
      <c r="AO86" s="360" t="e">
        <f t="shared" si="37"/>
        <v>#N/A</v>
      </c>
      <c r="AP86" s="360" t="e">
        <f t="shared" si="37"/>
        <v>#N/A</v>
      </c>
      <c r="AQ86" s="360" t="e">
        <f t="shared" si="37"/>
        <v>#N/A</v>
      </c>
    </row>
    <row r="87" spans="1:44" s="317" customFormat="1" ht="15" hidden="1" thickBot="1">
      <c r="A87" s="1014" t="s">
        <v>330</v>
      </c>
      <c r="B87" s="1015"/>
      <c r="C87" s="1015"/>
      <c r="E87" s="362" t="e">
        <f>IF(E86="",NA(),ROUND(E84/E86*100,1))</f>
        <v>#N/A</v>
      </c>
      <c r="F87" s="362" t="e">
        <f t="shared" ref="F87:AQ87" si="38">IF(F86="",NA(),ROUND(F84/F86*100,1))</f>
        <v>#N/A</v>
      </c>
      <c r="G87" s="362" t="e">
        <f t="shared" si="38"/>
        <v>#N/A</v>
      </c>
      <c r="H87" s="362" t="e">
        <f>IF(H86="",NA(),ROUND(H84/H86*100,1))</f>
        <v>#N/A</v>
      </c>
      <c r="I87" s="362" t="e">
        <f t="shared" si="38"/>
        <v>#N/A</v>
      </c>
      <c r="J87" s="362" t="e">
        <f t="shared" si="38"/>
        <v>#N/A</v>
      </c>
      <c r="K87" s="362" t="e">
        <f t="shared" si="38"/>
        <v>#N/A</v>
      </c>
      <c r="L87" s="362" t="e">
        <f t="shared" si="38"/>
        <v>#N/A</v>
      </c>
      <c r="M87" s="362" t="e">
        <f t="shared" si="38"/>
        <v>#N/A</v>
      </c>
      <c r="N87" s="362" t="e">
        <f t="shared" si="38"/>
        <v>#N/A</v>
      </c>
      <c r="O87" s="362" t="e">
        <f t="shared" si="38"/>
        <v>#N/A</v>
      </c>
      <c r="P87" s="362" t="e">
        <f t="shared" si="38"/>
        <v>#N/A</v>
      </c>
      <c r="Q87" s="362" t="e">
        <f t="shared" si="38"/>
        <v>#N/A</v>
      </c>
      <c r="R87" s="362" t="e">
        <f t="shared" si="38"/>
        <v>#N/A</v>
      </c>
      <c r="S87" s="362" t="e">
        <f t="shared" si="38"/>
        <v>#N/A</v>
      </c>
      <c r="T87" s="362" t="e">
        <f t="shared" si="38"/>
        <v>#N/A</v>
      </c>
      <c r="U87" s="362" t="e">
        <f t="shared" si="38"/>
        <v>#N/A</v>
      </c>
      <c r="V87" s="362" t="e">
        <f t="shared" si="38"/>
        <v>#N/A</v>
      </c>
      <c r="W87" s="362" t="e">
        <f t="shared" si="38"/>
        <v>#N/A</v>
      </c>
      <c r="X87" s="362" t="e">
        <f t="shared" si="38"/>
        <v>#N/A</v>
      </c>
      <c r="Y87" s="362" t="e">
        <f t="shared" si="38"/>
        <v>#N/A</v>
      </c>
      <c r="Z87" s="362" t="e">
        <f t="shared" si="38"/>
        <v>#N/A</v>
      </c>
      <c r="AA87" s="362" t="e">
        <f t="shared" si="38"/>
        <v>#N/A</v>
      </c>
      <c r="AB87" s="362" t="e">
        <f t="shared" si="38"/>
        <v>#N/A</v>
      </c>
      <c r="AC87" s="362" t="e">
        <f t="shared" si="38"/>
        <v>#N/A</v>
      </c>
      <c r="AD87" s="362" t="e">
        <f t="shared" si="38"/>
        <v>#N/A</v>
      </c>
      <c r="AE87" s="362" t="e">
        <f t="shared" si="38"/>
        <v>#N/A</v>
      </c>
      <c r="AF87" s="362" t="e">
        <f t="shared" si="38"/>
        <v>#N/A</v>
      </c>
      <c r="AG87" s="362" t="e">
        <f t="shared" si="38"/>
        <v>#N/A</v>
      </c>
      <c r="AH87" s="362" t="e">
        <f t="shared" si="38"/>
        <v>#N/A</v>
      </c>
      <c r="AI87" s="362" t="e">
        <f t="shared" si="38"/>
        <v>#N/A</v>
      </c>
      <c r="AJ87" s="362" t="e">
        <f t="shared" si="38"/>
        <v>#N/A</v>
      </c>
      <c r="AK87" s="362" t="e">
        <f t="shared" si="38"/>
        <v>#N/A</v>
      </c>
      <c r="AL87" s="362" t="e">
        <f t="shared" si="38"/>
        <v>#N/A</v>
      </c>
      <c r="AM87" s="362" t="e">
        <f t="shared" si="38"/>
        <v>#N/A</v>
      </c>
      <c r="AN87" s="362" t="e">
        <f t="shared" si="38"/>
        <v>#N/A</v>
      </c>
      <c r="AO87" s="362" t="e">
        <f t="shared" si="38"/>
        <v>#N/A</v>
      </c>
      <c r="AP87" s="362" t="e">
        <f t="shared" si="38"/>
        <v>#N/A</v>
      </c>
      <c r="AQ87" s="362" t="e">
        <f t="shared" si="38"/>
        <v>#N/A</v>
      </c>
      <c r="AR87" s="362"/>
    </row>
    <row r="88" spans="1:44" s="317" customFormat="1" ht="14.25" hidden="1"/>
    <row r="89" spans="1:44" s="317" customFormat="1" ht="21" customHeight="1" thickBot="1">
      <c r="A89" s="316" t="s">
        <v>336</v>
      </c>
    </row>
    <row r="90" spans="1:44" s="317" customFormat="1" ht="12.95" customHeight="1" thickBot="1">
      <c r="A90" s="1016" t="s">
        <v>286</v>
      </c>
      <c r="B90" s="1017"/>
      <c r="C90" s="1017"/>
      <c r="D90" s="1022"/>
      <c r="E90" s="1022"/>
      <c r="F90" s="1023"/>
      <c r="H90" s="318" t="s">
        <v>294</v>
      </c>
      <c r="I90" s="1022"/>
      <c r="J90" s="1023"/>
      <c r="L90" s="363" t="s">
        <v>295</v>
      </c>
      <c r="M90" s="1057"/>
      <c r="N90" s="1058"/>
      <c r="O90" s="364"/>
      <c r="P90" s="1059" t="s">
        <v>297</v>
      </c>
      <c r="Q90" s="1060"/>
      <c r="R90" s="365"/>
      <c r="S90" s="365"/>
      <c r="T90" s="365"/>
    </row>
    <row r="91" spans="1:44" s="317" customFormat="1" ht="12.95" customHeight="1" thickBot="1">
      <c r="L91" s="366" t="s">
        <v>296</v>
      </c>
      <c r="M91" s="1061"/>
      <c r="N91" s="1062"/>
      <c r="P91" s="1028"/>
      <c r="Q91" s="1029"/>
      <c r="R91" s="1029"/>
      <c r="S91" s="1029"/>
      <c r="T91" s="1029"/>
      <c r="U91" s="1029"/>
      <c r="V91" s="1029"/>
      <c r="W91" s="1029"/>
      <c r="X91" s="1030"/>
    </row>
    <row r="92" spans="1:44" s="317" customFormat="1" ht="14.25">
      <c r="A92" s="1037" t="s">
        <v>63</v>
      </c>
      <c r="B92" s="1038"/>
      <c r="C92" s="1038"/>
      <c r="D92" s="388" t="s">
        <v>49</v>
      </c>
      <c r="E92" s="388" t="s">
        <v>14</v>
      </c>
      <c r="F92" s="388" t="s">
        <v>16</v>
      </c>
      <c r="G92" s="388" t="s">
        <v>50</v>
      </c>
      <c r="H92" s="388" t="s">
        <v>51</v>
      </c>
      <c r="I92" s="322" t="s">
        <v>54</v>
      </c>
      <c r="J92" s="323" t="s">
        <v>53</v>
      </c>
      <c r="K92" s="324"/>
      <c r="P92" s="1031"/>
      <c r="Q92" s="1032"/>
      <c r="R92" s="1032"/>
      <c r="S92" s="1032"/>
      <c r="T92" s="1032"/>
      <c r="U92" s="1032"/>
      <c r="V92" s="1032"/>
      <c r="W92" s="1032"/>
      <c r="X92" s="1033"/>
      <c r="Z92" s="326"/>
      <c r="AA92" s="326"/>
    </row>
    <row r="93" spans="1:44" s="317" customFormat="1" ht="14.25">
      <c r="A93" s="1011" t="s">
        <v>166</v>
      </c>
      <c r="B93" s="1012"/>
      <c r="C93" s="1012"/>
      <c r="D93" s="373" t="str">
        <f>IF(D94+D95=0,"",D94+D95)</f>
        <v/>
      </c>
      <c r="E93" s="373" t="str">
        <f>IF(E94+E95=0,"",E94+E95)</f>
        <v/>
      </c>
      <c r="F93" s="373" t="str">
        <f>IF(F94+F95=0,"",F94+F95)</f>
        <v/>
      </c>
      <c r="G93" s="373" t="str">
        <f>IF(G94+G95=0,"",G94+G95)</f>
        <v/>
      </c>
      <c r="H93" s="373" t="str">
        <f>IF(H94+H95=0,"",H94+H95)</f>
        <v/>
      </c>
      <c r="I93" s="327"/>
      <c r="J93" s="390" t="str">
        <f>IF(SUM(D93:I93)=0,"",SUM(D93:I93))</f>
        <v/>
      </c>
      <c r="K93" s="324"/>
      <c r="P93" s="1031"/>
      <c r="Q93" s="1032"/>
      <c r="R93" s="1032"/>
      <c r="S93" s="1032"/>
      <c r="T93" s="1032"/>
      <c r="U93" s="1032"/>
      <c r="V93" s="1032"/>
      <c r="W93" s="1032"/>
      <c r="X93" s="1033"/>
      <c r="Z93" s="326"/>
      <c r="AA93" s="326"/>
    </row>
    <row r="94" spans="1:44" s="317" customFormat="1" ht="14.25">
      <c r="A94" s="1011" t="s">
        <v>95</v>
      </c>
      <c r="B94" s="1012"/>
      <c r="C94" s="1012"/>
      <c r="D94" s="393"/>
      <c r="E94" s="393"/>
      <c r="F94" s="393"/>
      <c r="G94" s="393"/>
      <c r="H94" s="393"/>
      <c r="I94" s="327"/>
      <c r="J94" s="390" t="str">
        <f>IF(SUM(D94:I94)=0,"",SUM(D94:I94))</f>
        <v/>
      </c>
      <c r="K94" s="330"/>
      <c r="P94" s="1031"/>
      <c r="Q94" s="1032"/>
      <c r="R94" s="1032"/>
      <c r="S94" s="1032"/>
      <c r="T94" s="1032"/>
      <c r="U94" s="1032"/>
      <c r="V94" s="1032"/>
      <c r="W94" s="1032"/>
      <c r="X94" s="1033"/>
      <c r="Y94" s="1013"/>
      <c r="Z94" s="1013"/>
      <c r="AA94" s="1013"/>
    </row>
    <row r="95" spans="1:44" s="317" customFormat="1" ht="14.25">
      <c r="A95" s="1011" t="s">
        <v>52</v>
      </c>
      <c r="B95" s="1012"/>
      <c r="C95" s="1012"/>
      <c r="D95" s="393"/>
      <c r="E95" s="393"/>
      <c r="F95" s="393"/>
      <c r="G95" s="393"/>
      <c r="H95" s="393"/>
      <c r="I95" s="327"/>
      <c r="J95" s="390" t="str">
        <f>IF(SUM(D95:I95)=0,"",SUM(D95:I95))</f>
        <v/>
      </c>
      <c r="K95" s="330"/>
      <c r="P95" s="1031"/>
      <c r="Q95" s="1032"/>
      <c r="R95" s="1032"/>
      <c r="S95" s="1032"/>
      <c r="T95" s="1032"/>
      <c r="U95" s="1032"/>
      <c r="V95" s="1032"/>
      <c r="W95" s="1032"/>
      <c r="X95" s="1033"/>
      <c r="Y95" s="1013"/>
      <c r="Z95" s="1013"/>
      <c r="AA95" s="1013"/>
    </row>
    <row r="96" spans="1:44" s="317" customFormat="1" ht="15" thickBot="1">
      <c r="A96" s="1014" t="s">
        <v>165</v>
      </c>
      <c r="B96" s="1015"/>
      <c r="C96" s="1015"/>
      <c r="D96" s="394"/>
      <c r="E96" s="394"/>
      <c r="F96" s="394"/>
      <c r="G96" s="394"/>
      <c r="H96" s="394"/>
      <c r="I96" s="391" t="str">
        <f>IF(SUM(E99:AQ99)=0,"",SUM(E99:AQ99))</f>
        <v/>
      </c>
      <c r="J96" s="392" t="str">
        <f>IF(SUM(D96:I96)=0,"",SUM(D96:I96))</f>
        <v/>
      </c>
      <c r="K96" s="330"/>
      <c r="O96" s="364"/>
      <c r="P96" s="1034"/>
      <c r="Q96" s="1035"/>
      <c r="R96" s="1035"/>
      <c r="S96" s="1035"/>
      <c r="T96" s="1035"/>
      <c r="U96" s="1035"/>
      <c r="V96" s="1035"/>
      <c r="W96" s="1035"/>
      <c r="X96" s="1036"/>
      <c r="Y96" s="1013"/>
      <c r="Z96" s="1013"/>
      <c r="AA96" s="1013"/>
    </row>
    <row r="97" spans="1:44" s="317" customFormat="1" ht="10.5" customHeight="1" thickBot="1"/>
    <row r="98" spans="1:44" s="317" customFormat="1" ht="14.25">
      <c r="A98" s="1056" t="s">
        <v>17</v>
      </c>
      <c r="B98" s="1038"/>
      <c r="C98" s="1038"/>
      <c r="D98" s="388">
        <v>1</v>
      </c>
      <c r="E98" s="388">
        <v>2</v>
      </c>
      <c r="F98" s="388">
        <v>3</v>
      </c>
      <c r="G98" s="388">
        <v>4</v>
      </c>
      <c r="H98" s="388">
        <v>5</v>
      </c>
      <c r="I98" s="388">
        <v>6</v>
      </c>
      <c r="J98" s="388">
        <v>7</v>
      </c>
      <c r="K98" s="388">
        <v>8</v>
      </c>
      <c r="L98" s="388">
        <v>9</v>
      </c>
      <c r="M98" s="388">
        <v>10</v>
      </c>
      <c r="N98" s="388">
        <v>11</v>
      </c>
      <c r="O98" s="388">
        <v>12</v>
      </c>
      <c r="P98" s="388">
        <v>13</v>
      </c>
      <c r="Q98" s="388">
        <v>14</v>
      </c>
      <c r="R98" s="388">
        <v>15</v>
      </c>
      <c r="S98" s="388">
        <v>16</v>
      </c>
      <c r="T98" s="388">
        <v>17</v>
      </c>
      <c r="U98" s="388">
        <v>18</v>
      </c>
      <c r="V98" s="388">
        <v>19</v>
      </c>
      <c r="W98" s="388">
        <v>20</v>
      </c>
      <c r="X98" s="388">
        <v>21</v>
      </c>
      <c r="Y98" s="388">
        <v>22</v>
      </c>
      <c r="Z98" s="388">
        <v>23</v>
      </c>
      <c r="AA98" s="388">
        <v>24</v>
      </c>
      <c r="AB98" s="388">
        <v>25</v>
      </c>
      <c r="AC98" s="388">
        <v>26</v>
      </c>
      <c r="AD98" s="388">
        <v>27</v>
      </c>
      <c r="AE98" s="388">
        <v>28</v>
      </c>
      <c r="AF98" s="388">
        <v>29</v>
      </c>
      <c r="AG98" s="388">
        <v>30</v>
      </c>
      <c r="AH98" s="388">
        <v>31</v>
      </c>
      <c r="AI98" s="388">
        <v>32</v>
      </c>
      <c r="AJ98" s="388">
        <v>33</v>
      </c>
      <c r="AK98" s="388">
        <v>34</v>
      </c>
      <c r="AL98" s="388">
        <v>35</v>
      </c>
      <c r="AM98" s="388">
        <v>36</v>
      </c>
      <c r="AN98" s="388">
        <v>37</v>
      </c>
      <c r="AO98" s="388">
        <v>38</v>
      </c>
      <c r="AP98" s="388">
        <v>39</v>
      </c>
      <c r="AQ98" s="323">
        <v>40</v>
      </c>
    </row>
    <row r="99" spans="1:44" s="317" customFormat="1" ht="14.25">
      <c r="A99" s="1011" t="s">
        <v>209</v>
      </c>
      <c r="B99" s="1012"/>
      <c r="C99" s="1012"/>
      <c r="D99" s="387"/>
      <c r="E99" s="329"/>
      <c r="F99" s="329"/>
      <c r="G99" s="329"/>
      <c r="H99" s="329"/>
      <c r="I99" s="329"/>
      <c r="J99" s="329"/>
      <c r="K99" s="329"/>
      <c r="L99" s="329"/>
      <c r="M99" s="329"/>
      <c r="N99" s="329"/>
      <c r="O99" s="329"/>
      <c r="P99" s="329"/>
      <c r="Q99" s="329"/>
      <c r="R99" s="329"/>
      <c r="S99" s="329"/>
      <c r="T99" s="329"/>
      <c r="U99" s="329"/>
      <c r="V99" s="329"/>
      <c r="W99" s="329"/>
      <c r="X99" s="329"/>
      <c r="Y99" s="329"/>
      <c r="Z99" s="329"/>
      <c r="AA99" s="329"/>
      <c r="AB99" s="329"/>
      <c r="AC99" s="329"/>
      <c r="AD99" s="329"/>
      <c r="AE99" s="329"/>
      <c r="AF99" s="329"/>
      <c r="AG99" s="329"/>
      <c r="AH99" s="329"/>
      <c r="AI99" s="329"/>
      <c r="AJ99" s="329"/>
      <c r="AK99" s="329"/>
      <c r="AL99" s="329"/>
      <c r="AM99" s="329"/>
      <c r="AN99" s="329"/>
      <c r="AO99" s="329"/>
      <c r="AP99" s="329"/>
      <c r="AQ99" s="333"/>
    </row>
    <row r="100" spans="1:44" s="317" customFormat="1" ht="14.25">
      <c r="A100" s="1063" t="s">
        <v>1</v>
      </c>
      <c r="B100" s="1064"/>
      <c r="C100" s="1065" t="s">
        <v>65</v>
      </c>
      <c r="D100" s="334"/>
      <c r="E100" s="335"/>
      <c r="F100" s="335"/>
      <c r="G100" s="335"/>
      <c r="H100" s="335"/>
      <c r="I100" s="335"/>
      <c r="J100" s="335"/>
      <c r="K100" s="335"/>
      <c r="L100" s="335"/>
      <c r="M100" s="335"/>
      <c r="N100" s="335"/>
      <c r="O100" s="335"/>
      <c r="P100" s="335"/>
      <c r="Q100" s="335"/>
      <c r="R100" s="335"/>
      <c r="S100" s="335"/>
      <c r="T100" s="335"/>
      <c r="U100" s="335"/>
      <c r="V100" s="335"/>
      <c r="W100" s="335"/>
      <c r="X100" s="335"/>
      <c r="Y100" s="335"/>
      <c r="Z100" s="335"/>
      <c r="AA100" s="335"/>
      <c r="AB100" s="335"/>
      <c r="AC100" s="335"/>
      <c r="AD100" s="335"/>
      <c r="AE100" s="335"/>
      <c r="AF100" s="335"/>
      <c r="AG100" s="335"/>
      <c r="AH100" s="335"/>
      <c r="AI100" s="335"/>
      <c r="AJ100" s="335"/>
      <c r="AK100" s="335"/>
      <c r="AL100" s="335"/>
      <c r="AM100" s="335"/>
      <c r="AN100" s="335"/>
      <c r="AO100" s="335"/>
      <c r="AP100" s="335"/>
      <c r="AQ100" s="337"/>
      <c r="AR100" s="372"/>
    </row>
    <row r="101" spans="1:44" s="317" customFormat="1" ht="14.25">
      <c r="A101" s="1063" t="s">
        <v>2</v>
      </c>
      <c r="B101" s="1064"/>
      <c r="C101" s="1065"/>
      <c r="D101" s="334"/>
      <c r="E101" s="335"/>
      <c r="F101" s="335"/>
      <c r="G101" s="389"/>
      <c r="H101" s="335"/>
      <c r="I101" s="335"/>
      <c r="J101" s="335"/>
      <c r="K101" s="335"/>
      <c r="L101" s="335"/>
      <c r="M101" s="335"/>
      <c r="N101" s="335"/>
      <c r="O101" s="335"/>
      <c r="P101" s="335"/>
      <c r="Q101" s="335"/>
      <c r="R101" s="335"/>
      <c r="S101" s="335"/>
      <c r="T101" s="335"/>
      <c r="U101" s="335"/>
      <c r="V101" s="335"/>
      <c r="W101" s="335"/>
      <c r="X101" s="335"/>
      <c r="Y101" s="335"/>
      <c r="Z101" s="335"/>
      <c r="AA101" s="335"/>
      <c r="AB101" s="335"/>
      <c r="AC101" s="335"/>
      <c r="AD101" s="335"/>
      <c r="AE101" s="335"/>
      <c r="AF101" s="335"/>
      <c r="AG101" s="335"/>
      <c r="AH101" s="335"/>
      <c r="AI101" s="335"/>
      <c r="AJ101" s="335"/>
      <c r="AK101" s="335"/>
      <c r="AL101" s="335"/>
      <c r="AM101" s="335"/>
      <c r="AN101" s="335"/>
      <c r="AO101" s="335"/>
      <c r="AP101" s="335"/>
      <c r="AQ101" s="337"/>
      <c r="AR101" s="372"/>
    </row>
    <row r="102" spans="1:44" s="317" customFormat="1" ht="14.25">
      <c r="A102" s="1011" t="s">
        <v>265</v>
      </c>
      <c r="B102" s="1012"/>
      <c r="C102" s="1012"/>
      <c r="D102" s="340"/>
      <c r="E102" s="341"/>
      <c r="F102" s="341"/>
      <c r="G102" s="335"/>
      <c r="H102" s="341"/>
      <c r="I102" s="341"/>
      <c r="J102" s="341"/>
      <c r="K102" s="341"/>
      <c r="L102" s="341"/>
      <c r="M102" s="341"/>
      <c r="N102" s="341"/>
      <c r="O102" s="341"/>
      <c r="P102" s="341"/>
      <c r="Q102" s="341"/>
      <c r="R102" s="341"/>
      <c r="S102" s="341"/>
      <c r="T102" s="341"/>
      <c r="U102" s="341"/>
      <c r="V102" s="341"/>
      <c r="W102" s="341"/>
      <c r="X102" s="341"/>
      <c r="Y102" s="341"/>
      <c r="Z102" s="341"/>
      <c r="AA102" s="341"/>
      <c r="AB102" s="341"/>
      <c r="AC102" s="341"/>
      <c r="AD102" s="341"/>
      <c r="AE102" s="341"/>
      <c r="AF102" s="341"/>
      <c r="AG102" s="341"/>
      <c r="AH102" s="341"/>
      <c r="AI102" s="341"/>
      <c r="AJ102" s="341"/>
      <c r="AK102" s="341"/>
      <c r="AL102" s="336"/>
      <c r="AM102" s="336"/>
      <c r="AN102" s="336"/>
      <c r="AO102" s="341"/>
      <c r="AP102" s="341"/>
      <c r="AQ102" s="342"/>
    </row>
    <row r="103" spans="1:44" s="317" customFormat="1" ht="14.25">
      <c r="A103" s="1011" t="s">
        <v>302</v>
      </c>
      <c r="B103" s="1012"/>
      <c r="C103" s="1012"/>
      <c r="D103" s="395"/>
      <c r="E103" s="396" t="str">
        <f>IFERROR(E126,"")</f>
        <v/>
      </c>
      <c r="F103" s="396" t="str">
        <f t="shared" ref="F103:AQ103" si="39">IFERROR(F126,"")</f>
        <v/>
      </c>
      <c r="G103" s="396" t="str">
        <f t="shared" si="39"/>
        <v/>
      </c>
      <c r="H103" s="396" t="str">
        <f t="shared" si="39"/>
        <v/>
      </c>
      <c r="I103" s="396" t="str">
        <f t="shared" si="39"/>
        <v/>
      </c>
      <c r="J103" s="396" t="str">
        <f t="shared" si="39"/>
        <v/>
      </c>
      <c r="K103" s="396" t="str">
        <f t="shared" si="39"/>
        <v/>
      </c>
      <c r="L103" s="396" t="str">
        <f t="shared" si="39"/>
        <v/>
      </c>
      <c r="M103" s="396" t="str">
        <f t="shared" si="39"/>
        <v/>
      </c>
      <c r="N103" s="396" t="str">
        <f t="shared" si="39"/>
        <v/>
      </c>
      <c r="O103" s="396" t="str">
        <f t="shared" si="39"/>
        <v/>
      </c>
      <c r="P103" s="396" t="str">
        <f t="shared" si="39"/>
        <v/>
      </c>
      <c r="Q103" s="396" t="str">
        <f t="shared" si="39"/>
        <v/>
      </c>
      <c r="R103" s="396" t="str">
        <f t="shared" si="39"/>
        <v/>
      </c>
      <c r="S103" s="396" t="str">
        <f t="shared" si="39"/>
        <v/>
      </c>
      <c r="T103" s="396" t="str">
        <f t="shared" si="39"/>
        <v/>
      </c>
      <c r="U103" s="396" t="str">
        <f t="shared" si="39"/>
        <v/>
      </c>
      <c r="V103" s="396" t="str">
        <f t="shared" si="39"/>
        <v/>
      </c>
      <c r="W103" s="396" t="str">
        <f t="shared" si="39"/>
        <v/>
      </c>
      <c r="X103" s="396" t="str">
        <f t="shared" si="39"/>
        <v/>
      </c>
      <c r="Y103" s="396" t="str">
        <f t="shared" si="39"/>
        <v/>
      </c>
      <c r="Z103" s="396" t="str">
        <f t="shared" si="39"/>
        <v/>
      </c>
      <c r="AA103" s="396" t="str">
        <f t="shared" si="39"/>
        <v/>
      </c>
      <c r="AB103" s="396" t="str">
        <f t="shared" si="39"/>
        <v/>
      </c>
      <c r="AC103" s="396" t="str">
        <f t="shared" si="39"/>
        <v/>
      </c>
      <c r="AD103" s="396" t="str">
        <f t="shared" si="39"/>
        <v/>
      </c>
      <c r="AE103" s="396" t="str">
        <f t="shared" si="39"/>
        <v/>
      </c>
      <c r="AF103" s="396" t="str">
        <f t="shared" si="39"/>
        <v/>
      </c>
      <c r="AG103" s="396" t="str">
        <f t="shared" si="39"/>
        <v/>
      </c>
      <c r="AH103" s="396" t="str">
        <f t="shared" si="39"/>
        <v/>
      </c>
      <c r="AI103" s="396" t="str">
        <f t="shared" si="39"/>
        <v/>
      </c>
      <c r="AJ103" s="396" t="str">
        <f t="shared" si="39"/>
        <v/>
      </c>
      <c r="AK103" s="396" t="str">
        <f t="shared" si="39"/>
        <v/>
      </c>
      <c r="AL103" s="396" t="str">
        <f t="shared" si="39"/>
        <v/>
      </c>
      <c r="AM103" s="396" t="str">
        <f t="shared" si="39"/>
        <v/>
      </c>
      <c r="AN103" s="396" t="str">
        <f t="shared" si="39"/>
        <v/>
      </c>
      <c r="AO103" s="396" t="str">
        <f t="shared" si="39"/>
        <v/>
      </c>
      <c r="AP103" s="396" t="str">
        <f t="shared" si="39"/>
        <v/>
      </c>
      <c r="AQ103" s="397" t="str">
        <f t="shared" si="39"/>
        <v/>
      </c>
      <c r="AR103" s="372"/>
    </row>
    <row r="104" spans="1:44" s="317" customFormat="1" ht="14.25" customHeight="1">
      <c r="A104" s="1011" t="s">
        <v>303</v>
      </c>
      <c r="B104" s="1012"/>
      <c r="C104" s="1012"/>
      <c r="D104" s="395"/>
      <c r="E104" s="396" t="str">
        <f t="shared" ref="E104:AQ104" si="40">IFERROR(E127,"")</f>
        <v/>
      </c>
      <c r="F104" s="396" t="str">
        <f t="shared" si="40"/>
        <v/>
      </c>
      <c r="G104" s="396" t="str">
        <f t="shared" si="40"/>
        <v/>
      </c>
      <c r="H104" s="396" t="str">
        <f t="shared" si="40"/>
        <v/>
      </c>
      <c r="I104" s="396" t="str">
        <f t="shared" si="40"/>
        <v/>
      </c>
      <c r="J104" s="396" t="str">
        <f t="shared" si="40"/>
        <v/>
      </c>
      <c r="K104" s="396" t="str">
        <f t="shared" si="40"/>
        <v/>
      </c>
      <c r="L104" s="396" t="str">
        <f t="shared" si="40"/>
        <v/>
      </c>
      <c r="M104" s="396" t="str">
        <f t="shared" si="40"/>
        <v/>
      </c>
      <c r="N104" s="396" t="str">
        <f t="shared" si="40"/>
        <v/>
      </c>
      <c r="O104" s="396" t="str">
        <f t="shared" si="40"/>
        <v/>
      </c>
      <c r="P104" s="396" t="str">
        <f t="shared" si="40"/>
        <v/>
      </c>
      <c r="Q104" s="396" t="str">
        <f t="shared" si="40"/>
        <v/>
      </c>
      <c r="R104" s="396" t="str">
        <f t="shared" si="40"/>
        <v/>
      </c>
      <c r="S104" s="396" t="str">
        <f t="shared" si="40"/>
        <v/>
      </c>
      <c r="T104" s="396" t="str">
        <f t="shared" si="40"/>
        <v/>
      </c>
      <c r="U104" s="396" t="str">
        <f t="shared" si="40"/>
        <v/>
      </c>
      <c r="V104" s="396" t="str">
        <f t="shared" si="40"/>
        <v/>
      </c>
      <c r="W104" s="396" t="str">
        <f t="shared" si="40"/>
        <v/>
      </c>
      <c r="X104" s="396" t="str">
        <f t="shared" si="40"/>
        <v/>
      </c>
      <c r="Y104" s="396" t="str">
        <f t="shared" si="40"/>
        <v/>
      </c>
      <c r="Z104" s="396" t="str">
        <f t="shared" si="40"/>
        <v/>
      </c>
      <c r="AA104" s="396" t="str">
        <f t="shared" si="40"/>
        <v/>
      </c>
      <c r="AB104" s="396" t="str">
        <f t="shared" si="40"/>
        <v/>
      </c>
      <c r="AC104" s="396" t="str">
        <f t="shared" si="40"/>
        <v/>
      </c>
      <c r="AD104" s="396" t="str">
        <f t="shared" si="40"/>
        <v/>
      </c>
      <c r="AE104" s="396" t="str">
        <f t="shared" si="40"/>
        <v/>
      </c>
      <c r="AF104" s="396" t="str">
        <f t="shared" si="40"/>
        <v/>
      </c>
      <c r="AG104" s="396" t="str">
        <f t="shared" si="40"/>
        <v/>
      </c>
      <c r="AH104" s="396" t="str">
        <f t="shared" si="40"/>
        <v/>
      </c>
      <c r="AI104" s="396" t="str">
        <f t="shared" si="40"/>
        <v/>
      </c>
      <c r="AJ104" s="396" t="str">
        <f t="shared" si="40"/>
        <v/>
      </c>
      <c r="AK104" s="396" t="str">
        <f t="shared" si="40"/>
        <v/>
      </c>
      <c r="AL104" s="396" t="str">
        <f t="shared" si="40"/>
        <v/>
      </c>
      <c r="AM104" s="396" t="str">
        <f t="shared" si="40"/>
        <v/>
      </c>
      <c r="AN104" s="396" t="str">
        <f t="shared" si="40"/>
        <v/>
      </c>
      <c r="AO104" s="396" t="str">
        <f t="shared" si="40"/>
        <v/>
      </c>
      <c r="AP104" s="396" t="str">
        <f t="shared" si="40"/>
        <v/>
      </c>
      <c r="AQ104" s="397" t="str">
        <f t="shared" si="40"/>
        <v/>
      </c>
      <c r="AR104" s="372"/>
    </row>
    <row r="105" spans="1:44" s="317" customFormat="1" ht="14.25">
      <c r="A105" s="1011" t="s">
        <v>304</v>
      </c>
      <c r="B105" s="1012"/>
      <c r="C105" s="1012"/>
      <c r="D105" s="395"/>
      <c r="E105" s="396" t="str">
        <f t="shared" ref="E105:AQ105" si="41">IFERROR(E128,"")</f>
        <v/>
      </c>
      <c r="F105" s="396" t="str">
        <f t="shared" si="41"/>
        <v/>
      </c>
      <c r="G105" s="396" t="str">
        <f t="shared" si="41"/>
        <v/>
      </c>
      <c r="H105" s="396" t="str">
        <f t="shared" si="41"/>
        <v/>
      </c>
      <c r="I105" s="396" t="str">
        <f t="shared" si="41"/>
        <v/>
      </c>
      <c r="J105" s="396" t="str">
        <f t="shared" si="41"/>
        <v/>
      </c>
      <c r="K105" s="396" t="str">
        <f t="shared" si="41"/>
        <v/>
      </c>
      <c r="L105" s="396" t="str">
        <f t="shared" si="41"/>
        <v/>
      </c>
      <c r="M105" s="396" t="str">
        <f t="shared" si="41"/>
        <v/>
      </c>
      <c r="N105" s="396" t="str">
        <f t="shared" si="41"/>
        <v/>
      </c>
      <c r="O105" s="396" t="str">
        <f t="shared" si="41"/>
        <v/>
      </c>
      <c r="P105" s="396" t="str">
        <f t="shared" si="41"/>
        <v/>
      </c>
      <c r="Q105" s="396" t="str">
        <f t="shared" si="41"/>
        <v/>
      </c>
      <c r="R105" s="396" t="str">
        <f t="shared" si="41"/>
        <v/>
      </c>
      <c r="S105" s="396" t="str">
        <f t="shared" si="41"/>
        <v/>
      </c>
      <c r="T105" s="396" t="str">
        <f t="shared" si="41"/>
        <v/>
      </c>
      <c r="U105" s="396" t="str">
        <f t="shared" si="41"/>
        <v/>
      </c>
      <c r="V105" s="396" t="str">
        <f t="shared" si="41"/>
        <v/>
      </c>
      <c r="W105" s="396" t="str">
        <f t="shared" si="41"/>
        <v/>
      </c>
      <c r="X105" s="396" t="str">
        <f t="shared" si="41"/>
        <v/>
      </c>
      <c r="Y105" s="396" t="str">
        <f t="shared" si="41"/>
        <v/>
      </c>
      <c r="Z105" s="396" t="str">
        <f t="shared" si="41"/>
        <v/>
      </c>
      <c r="AA105" s="396" t="str">
        <f t="shared" si="41"/>
        <v/>
      </c>
      <c r="AB105" s="396" t="str">
        <f t="shared" si="41"/>
        <v/>
      </c>
      <c r="AC105" s="396" t="str">
        <f t="shared" si="41"/>
        <v/>
      </c>
      <c r="AD105" s="396" t="str">
        <f t="shared" si="41"/>
        <v/>
      </c>
      <c r="AE105" s="396" t="str">
        <f t="shared" si="41"/>
        <v/>
      </c>
      <c r="AF105" s="396" t="str">
        <f t="shared" si="41"/>
        <v/>
      </c>
      <c r="AG105" s="396" t="str">
        <f t="shared" si="41"/>
        <v/>
      </c>
      <c r="AH105" s="396" t="str">
        <f t="shared" si="41"/>
        <v/>
      </c>
      <c r="AI105" s="396" t="str">
        <f t="shared" si="41"/>
        <v/>
      </c>
      <c r="AJ105" s="396" t="str">
        <f t="shared" si="41"/>
        <v/>
      </c>
      <c r="AK105" s="396" t="str">
        <f t="shared" si="41"/>
        <v/>
      </c>
      <c r="AL105" s="396" t="str">
        <f t="shared" si="41"/>
        <v/>
      </c>
      <c r="AM105" s="396" t="str">
        <f t="shared" si="41"/>
        <v/>
      </c>
      <c r="AN105" s="396" t="str">
        <f t="shared" si="41"/>
        <v/>
      </c>
      <c r="AO105" s="396" t="str">
        <f t="shared" si="41"/>
        <v/>
      </c>
      <c r="AP105" s="396" t="str">
        <f t="shared" si="41"/>
        <v/>
      </c>
      <c r="AQ105" s="397" t="str">
        <f t="shared" si="41"/>
        <v/>
      </c>
      <c r="AR105" s="372"/>
    </row>
    <row r="106" spans="1:44" s="317" customFormat="1" ht="14.25">
      <c r="A106" s="1067" t="s">
        <v>305</v>
      </c>
      <c r="B106" s="1068"/>
      <c r="C106" s="1068"/>
      <c r="D106" s="399"/>
      <c r="E106" s="396" t="str">
        <f t="shared" ref="E106:AQ106" si="42">IFERROR(E129,"")</f>
        <v/>
      </c>
      <c r="F106" s="396" t="str">
        <f t="shared" si="42"/>
        <v/>
      </c>
      <c r="G106" s="396" t="str">
        <f t="shared" si="42"/>
        <v/>
      </c>
      <c r="H106" s="396" t="str">
        <f t="shared" si="42"/>
        <v/>
      </c>
      <c r="I106" s="396" t="str">
        <f t="shared" si="42"/>
        <v/>
      </c>
      <c r="J106" s="396" t="str">
        <f t="shared" si="42"/>
        <v/>
      </c>
      <c r="K106" s="396" t="str">
        <f t="shared" si="42"/>
        <v/>
      </c>
      <c r="L106" s="396" t="str">
        <f t="shared" si="42"/>
        <v/>
      </c>
      <c r="M106" s="396" t="str">
        <f t="shared" si="42"/>
        <v/>
      </c>
      <c r="N106" s="396" t="str">
        <f t="shared" si="42"/>
        <v/>
      </c>
      <c r="O106" s="396" t="str">
        <f t="shared" si="42"/>
        <v/>
      </c>
      <c r="P106" s="396" t="str">
        <f t="shared" si="42"/>
        <v/>
      </c>
      <c r="Q106" s="396" t="str">
        <f t="shared" si="42"/>
        <v/>
      </c>
      <c r="R106" s="396" t="str">
        <f t="shared" si="42"/>
        <v/>
      </c>
      <c r="S106" s="396" t="str">
        <f t="shared" si="42"/>
        <v/>
      </c>
      <c r="T106" s="396" t="str">
        <f t="shared" si="42"/>
        <v/>
      </c>
      <c r="U106" s="396" t="str">
        <f t="shared" si="42"/>
        <v/>
      </c>
      <c r="V106" s="396" t="str">
        <f t="shared" si="42"/>
        <v/>
      </c>
      <c r="W106" s="396" t="str">
        <f t="shared" si="42"/>
        <v/>
      </c>
      <c r="X106" s="396" t="str">
        <f t="shared" si="42"/>
        <v/>
      </c>
      <c r="Y106" s="396" t="str">
        <f t="shared" si="42"/>
        <v/>
      </c>
      <c r="Z106" s="396" t="str">
        <f t="shared" si="42"/>
        <v/>
      </c>
      <c r="AA106" s="396" t="str">
        <f t="shared" si="42"/>
        <v/>
      </c>
      <c r="AB106" s="396" t="str">
        <f t="shared" si="42"/>
        <v/>
      </c>
      <c r="AC106" s="396" t="str">
        <f t="shared" si="42"/>
        <v/>
      </c>
      <c r="AD106" s="396" t="str">
        <f t="shared" si="42"/>
        <v/>
      </c>
      <c r="AE106" s="396" t="str">
        <f t="shared" si="42"/>
        <v/>
      </c>
      <c r="AF106" s="396" t="str">
        <f t="shared" si="42"/>
        <v/>
      </c>
      <c r="AG106" s="396" t="str">
        <f t="shared" si="42"/>
        <v/>
      </c>
      <c r="AH106" s="396" t="str">
        <f t="shared" si="42"/>
        <v/>
      </c>
      <c r="AI106" s="396" t="str">
        <f t="shared" si="42"/>
        <v/>
      </c>
      <c r="AJ106" s="396" t="str">
        <f t="shared" si="42"/>
        <v/>
      </c>
      <c r="AK106" s="396" t="str">
        <f t="shared" si="42"/>
        <v/>
      </c>
      <c r="AL106" s="396" t="str">
        <f t="shared" si="42"/>
        <v/>
      </c>
      <c r="AM106" s="396" t="str">
        <f t="shared" si="42"/>
        <v/>
      </c>
      <c r="AN106" s="396" t="str">
        <f t="shared" si="42"/>
        <v/>
      </c>
      <c r="AO106" s="396" t="str">
        <f t="shared" si="42"/>
        <v/>
      </c>
      <c r="AP106" s="396" t="str">
        <f t="shared" si="42"/>
        <v/>
      </c>
      <c r="AQ106" s="397" t="str">
        <f t="shared" si="42"/>
        <v/>
      </c>
      <c r="AR106" s="372"/>
    </row>
    <row r="107" spans="1:44" s="317" customFormat="1" ht="14.25" hidden="1">
      <c r="A107" s="1011" t="s">
        <v>352</v>
      </c>
      <c r="B107" s="1012"/>
      <c r="C107" s="1012"/>
      <c r="D107" s="400"/>
      <c r="E107" s="401">
        <f t="shared" ref="E107:AQ107" si="43">IF(E99="",0,E99)</f>
        <v>0</v>
      </c>
      <c r="F107" s="401">
        <f t="shared" si="43"/>
        <v>0</v>
      </c>
      <c r="G107" s="401">
        <f t="shared" si="43"/>
        <v>0</v>
      </c>
      <c r="H107" s="401">
        <f t="shared" si="43"/>
        <v>0</v>
      </c>
      <c r="I107" s="401">
        <f t="shared" si="43"/>
        <v>0</v>
      </c>
      <c r="J107" s="401">
        <f t="shared" si="43"/>
        <v>0</v>
      </c>
      <c r="K107" s="401">
        <f t="shared" si="43"/>
        <v>0</v>
      </c>
      <c r="L107" s="401">
        <f t="shared" si="43"/>
        <v>0</v>
      </c>
      <c r="M107" s="401">
        <f t="shared" si="43"/>
        <v>0</v>
      </c>
      <c r="N107" s="401">
        <f t="shared" si="43"/>
        <v>0</v>
      </c>
      <c r="O107" s="401">
        <f t="shared" si="43"/>
        <v>0</v>
      </c>
      <c r="P107" s="401">
        <f t="shared" si="43"/>
        <v>0</v>
      </c>
      <c r="Q107" s="401">
        <f t="shared" si="43"/>
        <v>0</v>
      </c>
      <c r="R107" s="401">
        <f t="shared" si="43"/>
        <v>0</v>
      </c>
      <c r="S107" s="401">
        <f t="shared" si="43"/>
        <v>0</v>
      </c>
      <c r="T107" s="401">
        <f t="shared" si="43"/>
        <v>0</v>
      </c>
      <c r="U107" s="401">
        <f t="shared" si="43"/>
        <v>0</v>
      </c>
      <c r="V107" s="401">
        <f t="shared" si="43"/>
        <v>0</v>
      </c>
      <c r="W107" s="401">
        <f t="shared" si="43"/>
        <v>0</v>
      </c>
      <c r="X107" s="401">
        <f t="shared" si="43"/>
        <v>0</v>
      </c>
      <c r="Y107" s="401">
        <f t="shared" si="43"/>
        <v>0</v>
      </c>
      <c r="Z107" s="401">
        <f t="shared" si="43"/>
        <v>0</v>
      </c>
      <c r="AA107" s="401">
        <f t="shared" si="43"/>
        <v>0</v>
      </c>
      <c r="AB107" s="401">
        <f t="shared" si="43"/>
        <v>0</v>
      </c>
      <c r="AC107" s="401">
        <f t="shared" si="43"/>
        <v>0</v>
      </c>
      <c r="AD107" s="401">
        <f t="shared" si="43"/>
        <v>0</v>
      </c>
      <c r="AE107" s="401">
        <f t="shared" si="43"/>
        <v>0</v>
      </c>
      <c r="AF107" s="401">
        <f t="shared" si="43"/>
        <v>0</v>
      </c>
      <c r="AG107" s="401">
        <f t="shared" si="43"/>
        <v>0</v>
      </c>
      <c r="AH107" s="401">
        <f t="shared" si="43"/>
        <v>0</v>
      </c>
      <c r="AI107" s="401">
        <f t="shared" si="43"/>
        <v>0</v>
      </c>
      <c r="AJ107" s="401">
        <f t="shared" si="43"/>
        <v>0</v>
      </c>
      <c r="AK107" s="401">
        <f t="shared" si="43"/>
        <v>0</v>
      </c>
      <c r="AL107" s="401">
        <f t="shared" si="43"/>
        <v>0</v>
      </c>
      <c r="AM107" s="401">
        <f t="shared" si="43"/>
        <v>0</v>
      </c>
      <c r="AN107" s="401">
        <f t="shared" si="43"/>
        <v>0</v>
      </c>
      <c r="AO107" s="401">
        <f t="shared" si="43"/>
        <v>0</v>
      </c>
      <c r="AP107" s="401">
        <f t="shared" si="43"/>
        <v>0</v>
      </c>
      <c r="AQ107" s="402">
        <f t="shared" si="43"/>
        <v>0</v>
      </c>
      <c r="AR107" s="86"/>
    </row>
    <row r="108" spans="1:44" s="317" customFormat="1" ht="14.25" hidden="1">
      <c r="A108" s="594" t="s">
        <v>343</v>
      </c>
      <c r="B108" s="521"/>
      <c r="C108" s="723"/>
      <c r="D108" s="403">
        <f>SUM(D96:G96)</f>
        <v>0</v>
      </c>
      <c r="E108" s="404">
        <f t="shared" ref="E108:AQ108" si="44">D108+D107</f>
        <v>0</v>
      </c>
      <c r="F108" s="404">
        <f t="shared" si="44"/>
        <v>0</v>
      </c>
      <c r="G108" s="404">
        <f t="shared" si="44"/>
        <v>0</v>
      </c>
      <c r="H108" s="404">
        <f t="shared" si="44"/>
        <v>0</v>
      </c>
      <c r="I108" s="404">
        <f t="shared" si="44"/>
        <v>0</v>
      </c>
      <c r="J108" s="404">
        <f t="shared" si="44"/>
        <v>0</v>
      </c>
      <c r="K108" s="404">
        <f t="shared" si="44"/>
        <v>0</v>
      </c>
      <c r="L108" s="404">
        <f t="shared" si="44"/>
        <v>0</v>
      </c>
      <c r="M108" s="404">
        <f t="shared" si="44"/>
        <v>0</v>
      </c>
      <c r="N108" s="404">
        <f t="shared" si="44"/>
        <v>0</v>
      </c>
      <c r="O108" s="404">
        <f t="shared" si="44"/>
        <v>0</v>
      </c>
      <c r="P108" s="404">
        <f t="shared" si="44"/>
        <v>0</v>
      </c>
      <c r="Q108" s="404">
        <f t="shared" si="44"/>
        <v>0</v>
      </c>
      <c r="R108" s="404">
        <f t="shared" si="44"/>
        <v>0</v>
      </c>
      <c r="S108" s="404">
        <f t="shared" si="44"/>
        <v>0</v>
      </c>
      <c r="T108" s="404">
        <f t="shared" si="44"/>
        <v>0</v>
      </c>
      <c r="U108" s="404">
        <f t="shared" si="44"/>
        <v>0</v>
      </c>
      <c r="V108" s="404">
        <f t="shared" si="44"/>
        <v>0</v>
      </c>
      <c r="W108" s="404">
        <f t="shared" si="44"/>
        <v>0</v>
      </c>
      <c r="X108" s="404">
        <f t="shared" si="44"/>
        <v>0</v>
      </c>
      <c r="Y108" s="404">
        <f t="shared" si="44"/>
        <v>0</v>
      </c>
      <c r="Z108" s="404">
        <f t="shared" si="44"/>
        <v>0</v>
      </c>
      <c r="AA108" s="404">
        <f t="shared" si="44"/>
        <v>0</v>
      </c>
      <c r="AB108" s="404">
        <f t="shared" si="44"/>
        <v>0</v>
      </c>
      <c r="AC108" s="404">
        <f t="shared" si="44"/>
        <v>0</v>
      </c>
      <c r="AD108" s="404">
        <f t="shared" si="44"/>
        <v>0</v>
      </c>
      <c r="AE108" s="404">
        <f t="shared" si="44"/>
        <v>0</v>
      </c>
      <c r="AF108" s="404">
        <f t="shared" si="44"/>
        <v>0</v>
      </c>
      <c r="AG108" s="404">
        <f t="shared" si="44"/>
        <v>0</v>
      </c>
      <c r="AH108" s="404">
        <f t="shared" si="44"/>
        <v>0</v>
      </c>
      <c r="AI108" s="404">
        <f t="shared" si="44"/>
        <v>0</v>
      </c>
      <c r="AJ108" s="404">
        <f t="shared" si="44"/>
        <v>0</v>
      </c>
      <c r="AK108" s="404">
        <f t="shared" si="44"/>
        <v>0</v>
      </c>
      <c r="AL108" s="404">
        <f t="shared" si="44"/>
        <v>0</v>
      </c>
      <c r="AM108" s="404">
        <f t="shared" si="44"/>
        <v>0</v>
      </c>
      <c r="AN108" s="404">
        <f t="shared" si="44"/>
        <v>0</v>
      </c>
      <c r="AO108" s="404">
        <f t="shared" si="44"/>
        <v>0</v>
      </c>
      <c r="AP108" s="404">
        <f t="shared" si="44"/>
        <v>0</v>
      </c>
      <c r="AQ108" s="405">
        <f t="shared" si="44"/>
        <v>0</v>
      </c>
      <c r="AR108"/>
    </row>
    <row r="109" spans="1:44" s="317" customFormat="1" ht="14.25" hidden="1">
      <c r="A109" s="594" t="s">
        <v>344</v>
      </c>
      <c r="B109" s="521"/>
      <c r="C109" s="723"/>
      <c r="D109" s="406" t="e">
        <f t="shared" ref="D109:AQ109" si="45">(D108)/SUM($D93:$G93)*100</f>
        <v>#DIV/0!</v>
      </c>
      <c r="E109" s="406" t="e">
        <f t="shared" si="45"/>
        <v>#DIV/0!</v>
      </c>
      <c r="F109" s="406" t="e">
        <f t="shared" si="45"/>
        <v>#DIV/0!</v>
      </c>
      <c r="G109" s="406" t="e">
        <f t="shared" si="45"/>
        <v>#DIV/0!</v>
      </c>
      <c r="H109" s="406" t="e">
        <f t="shared" si="45"/>
        <v>#DIV/0!</v>
      </c>
      <c r="I109" s="406" t="e">
        <f t="shared" si="45"/>
        <v>#DIV/0!</v>
      </c>
      <c r="J109" s="406" t="e">
        <f t="shared" si="45"/>
        <v>#DIV/0!</v>
      </c>
      <c r="K109" s="406" t="e">
        <f t="shared" si="45"/>
        <v>#DIV/0!</v>
      </c>
      <c r="L109" s="406" t="e">
        <f t="shared" si="45"/>
        <v>#DIV/0!</v>
      </c>
      <c r="M109" s="406" t="e">
        <f t="shared" si="45"/>
        <v>#DIV/0!</v>
      </c>
      <c r="N109" s="406" t="e">
        <f t="shared" si="45"/>
        <v>#DIV/0!</v>
      </c>
      <c r="O109" s="406" t="e">
        <f t="shared" si="45"/>
        <v>#DIV/0!</v>
      </c>
      <c r="P109" s="406" t="e">
        <f t="shared" si="45"/>
        <v>#DIV/0!</v>
      </c>
      <c r="Q109" s="406" t="e">
        <f t="shared" si="45"/>
        <v>#DIV/0!</v>
      </c>
      <c r="R109" s="406" t="e">
        <f t="shared" si="45"/>
        <v>#DIV/0!</v>
      </c>
      <c r="S109" s="406" t="e">
        <f t="shared" si="45"/>
        <v>#DIV/0!</v>
      </c>
      <c r="T109" s="406" t="e">
        <f t="shared" si="45"/>
        <v>#DIV/0!</v>
      </c>
      <c r="U109" s="406" t="e">
        <f t="shared" si="45"/>
        <v>#DIV/0!</v>
      </c>
      <c r="V109" s="406" t="e">
        <f t="shared" si="45"/>
        <v>#DIV/0!</v>
      </c>
      <c r="W109" s="406" t="e">
        <f t="shared" si="45"/>
        <v>#DIV/0!</v>
      </c>
      <c r="X109" s="406" t="e">
        <f t="shared" si="45"/>
        <v>#DIV/0!</v>
      </c>
      <c r="Y109" s="406" t="e">
        <f t="shared" si="45"/>
        <v>#DIV/0!</v>
      </c>
      <c r="Z109" s="406" t="e">
        <f t="shared" si="45"/>
        <v>#DIV/0!</v>
      </c>
      <c r="AA109" s="406" t="e">
        <f t="shared" si="45"/>
        <v>#DIV/0!</v>
      </c>
      <c r="AB109" s="406" t="e">
        <f t="shared" si="45"/>
        <v>#DIV/0!</v>
      </c>
      <c r="AC109" s="406" t="e">
        <f t="shared" si="45"/>
        <v>#DIV/0!</v>
      </c>
      <c r="AD109" s="406" t="e">
        <f t="shared" si="45"/>
        <v>#DIV/0!</v>
      </c>
      <c r="AE109" s="406" t="e">
        <f t="shared" si="45"/>
        <v>#DIV/0!</v>
      </c>
      <c r="AF109" s="406" t="e">
        <f t="shared" si="45"/>
        <v>#DIV/0!</v>
      </c>
      <c r="AG109" s="406" t="e">
        <f t="shared" si="45"/>
        <v>#DIV/0!</v>
      </c>
      <c r="AH109" s="406" t="e">
        <f t="shared" si="45"/>
        <v>#DIV/0!</v>
      </c>
      <c r="AI109" s="406" t="e">
        <f t="shared" si="45"/>
        <v>#DIV/0!</v>
      </c>
      <c r="AJ109" s="406" t="e">
        <f t="shared" si="45"/>
        <v>#DIV/0!</v>
      </c>
      <c r="AK109" s="406" t="e">
        <f t="shared" si="45"/>
        <v>#DIV/0!</v>
      </c>
      <c r="AL109" s="406" t="e">
        <f t="shared" si="45"/>
        <v>#DIV/0!</v>
      </c>
      <c r="AM109" s="406" t="e">
        <f t="shared" si="45"/>
        <v>#DIV/0!</v>
      </c>
      <c r="AN109" s="406" t="e">
        <f t="shared" si="45"/>
        <v>#DIV/0!</v>
      </c>
      <c r="AO109" s="406" t="e">
        <f t="shared" si="45"/>
        <v>#DIV/0!</v>
      </c>
      <c r="AP109" s="406" t="e">
        <f t="shared" si="45"/>
        <v>#DIV/0!</v>
      </c>
      <c r="AQ109" s="407" t="e">
        <f t="shared" si="45"/>
        <v>#DIV/0!</v>
      </c>
      <c r="AR109"/>
    </row>
    <row r="110" spans="1:44" s="317" customFormat="1" ht="15" thickBot="1">
      <c r="A110" s="1066" t="s">
        <v>344</v>
      </c>
      <c r="B110" s="765"/>
      <c r="C110" s="766"/>
      <c r="D110" s="408" t="str">
        <f t="shared" ref="D110:AQ110" si="46">IFERROR(D109,"")</f>
        <v/>
      </c>
      <c r="E110" s="409" t="str">
        <f t="shared" si="46"/>
        <v/>
      </c>
      <c r="F110" s="409" t="str">
        <f t="shared" si="46"/>
        <v/>
      </c>
      <c r="G110" s="409" t="str">
        <f t="shared" si="46"/>
        <v/>
      </c>
      <c r="H110" s="409" t="str">
        <f t="shared" si="46"/>
        <v/>
      </c>
      <c r="I110" s="409" t="str">
        <f t="shared" si="46"/>
        <v/>
      </c>
      <c r="J110" s="409" t="str">
        <f t="shared" si="46"/>
        <v/>
      </c>
      <c r="K110" s="409" t="str">
        <f t="shared" si="46"/>
        <v/>
      </c>
      <c r="L110" s="409" t="str">
        <f t="shared" si="46"/>
        <v/>
      </c>
      <c r="M110" s="409" t="str">
        <f t="shared" si="46"/>
        <v/>
      </c>
      <c r="N110" s="409" t="str">
        <f t="shared" si="46"/>
        <v/>
      </c>
      <c r="O110" s="409" t="str">
        <f t="shared" si="46"/>
        <v/>
      </c>
      <c r="P110" s="409" t="str">
        <f t="shared" si="46"/>
        <v/>
      </c>
      <c r="Q110" s="409" t="str">
        <f t="shared" si="46"/>
        <v/>
      </c>
      <c r="R110" s="409" t="str">
        <f t="shared" si="46"/>
        <v/>
      </c>
      <c r="S110" s="409" t="str">
        <f t="shared" si="46"/>
        <v/>
      </c>
      <c r="T110" s="409" t="str">
        <f t="shared" si="46"/>
        <v/>
      </c>
      <c r="U110" s="409" t="str">
        <f t="shared" si="46"/>
        <v/>
      </c>
      <c r="V110" s="409" t="str">
        <f t="shared" si="46"/>
        <v/>
      </c>
      <c r="W110" s="409" t="str">
        <f t="shared" si="46"/>
        <v/>
      </c>
      <c r="X110" s="409" t="str">
        <f t="shared" si="46"/>
        <v/>
      </c>
      <c r="Y110" s="409" t="str">
        <f t="shared" si="46"/>
        <v/>
      </c>
      <c r="Z110" s="409" t="str">
        <f t="shared" si="46"/>
        <v/>
      </c>
      <c r="AA110" s="409" t="str">
        <f t="shared" si="46"/>
        <v/>
      </c>
      <c r="AB110" s="409" t="str">
        <f t="shared" si="46"/>
        <v/>
      </c>
      <c r="AC110" s="409" t="str">
        <f t="shared" si="46"/>
        <v/>
      </c>
      <c r="AD110" s="409" t="str">
        <f t="shared" si="46"/>
        <v/>
      </c>
      <c r="AE110" s="409" t="str">
        <f t="shared" si="46"/>
        <v/>
      </c>
      <c r="AF110" s="409" t="str">
        <f t="shared" si="46"/>
        <v/>
      </c>
      <c r="AG110" s="409" t="str">
        <f t="shared" si="46"/>
        <v/>
      </c>
      <c r="AH110" s="409" t="str">
        <f t="shared" si="46"/>
        <v/>
      </c>
      <c r="AI110" s="409" t="str">
        <f t="shared" si="46"/>
        <v/>
      </c>
      <c r="AJ110" s="409" t="str">
        <f t="shared" si="46"/>
        <v/>
      </c>
      <c r="AK110" s="409" t="str">
        <f t="shared" si="46"/>
        <v/>
      </c>
      <c r="AL110" s="409" t="str">
        <f t="shared" si="46"/>
        <v/>
      </c>
      <c r="AM110" s="409" t="str">
        <f t="shared" si="46"/>
        <v/>
      </c>
      <c r="AN110" s="409" t="str">
        <f t="shared" si="46"/>
        <v/>
      </c>
      <c r="AO110" s="409" t="str">
        <f t="shared" si="46"/>
        <v/>
      </c>
      <c r="AP110" s="409" t="str">
        <f t="shared" si="46"/>
        <v/>
      </c>
      <c r="AQ110" s="410" t="str">
        <f t="shared" si="46"/>
        <v/>
      </c>
      <c r="AR110" s="86"/>
    </row>
    <row r="112" spans="1:44" s="317" customFormat="1" ht="14.25" hidden="1">
      <c r="A112" s="346"/>
      <c r="B112" s="346" t="s">
        <v>175</v>
      </c>
      <c r="C112" s="346" t="s">
        <v>176</v>
      </c>
      <c r="D112" s="347" t="s">
        <v>177</v>
      </c>
      <c r="E112" s="346" t="s">
        <v>178</v>
      </c>
      <c r="F112" s="346" t="s">
        <v>179</v>
      </c>
      <c r="G112" s="346" t="s">
        <v>180</v>
      </c>
      <c r="H112" s="346" t="s">
        <v>181</v>
      </c>
      <c r="I112" s="346" t="s">
        <v>182</v>
      </c>
      <c r="J112" s="346" t="s">
        <v>183</v>
      </c>
      <c r="K112" s="346" t="s">
        <v>184</v>
      </c>
      <c r="L112" s="346" t="s">
        <v>306</v>
      </c>
      <c r="M112" s="346" t="s">
        <v>307</v>
      </c>
      <c r="N112" s="346" t="s">
        <v>308</v>
      </c>
      <c r="O112" s="346" t="s">
        <v>309</v>
      </c>
      <c r="P112" s="346" t="s">
        <v>310</v>
      </c>
      <c r="Q112" s="346" t="s">
        <v>311</v>
      </c>
      <c r="R112" s="346" t="s">
        <v>312</v>
      </c>
      <c r="S112" s="346" t="s">
        <v>313</v>
      </c>
      <c r="T112" s="346" t="s">
        <v>314</v>
      </c>
      <c r="U112" s="346" t="s">
        <v>315</v>
      </c>
    </row>
    <row r="113" spans="1:43" s="317" customFormat="1" ht="14.25" hidden="1">
      <c r="A113" s="348" t="s">
        <v>185</v>
      </c>
      <c r="B113" s="348" t="str">
        <f t="array" aca="1" ref="B113" ca="1">IFERROR(OFFSET(INDEX(99:99,SMALL(IF(99:99&lt;&gt;"",COLUMN(99:99)),COLUMN())),-1,0),"")</f>
        <v/>
      </c>
      <c r="C113" s="348" t="str">
        <f t="array" aca="1" ref="C113" ca="1">IFERROR(OFFSET(INDEX(99:99,SMALL(IF(99:99&lt;&gt;"",COLUMN(99:99)),COLUMN())),-1,0),"")</f>
        <v/>
      </c>
      <c r="D113" s="348" t="str">
        <f t="array" aca="1" ref="D113" ca="1">IFERROR(OFFSET(INDEX(99:99,SMALL(IF(99:99&lt;&gt;"",COLUMN(99:99)),COLUMN())),-1,0),"")</f>
        <v/>
      </c>
      <c r="E113" s="348" t="str">
        <f t="array" aca="1" ref="E113" ca="1">IFERROR(OFFSET(INDEX(99:99,SMALL(IF(99:99&lt;&gt;"",COLUMN(99:99)),COLUMN())),-1,0),"")</f>
        <v/>
      </c>
      <c r="F113" s="348" t="str">
        <f t="array" aca="1" ref="F113" ca="1">IFERROR(OFFSET(INDEX(99:99,SMALL(IF(99:99&lt;&gt;"",COLUMN(99:99)),COLUMN())),-1,0),"")</f>
        <v/>
      </c>
      <c r="G113" s="348" t="str">
        <f t="array" aca="1" ref="G113" ca="1">IFERROR(OFFSET(INDEX(99:99,SMALL(IF(99:99&lt;&gt;"",COLUMN(99:99)),COLUMN())),-1,0),"")</f>
        <v/>
      </c>
      <c r="H113" s="348" t="str">
        <f t="array" aca="1" ref="H113" ca="1">IFERROR(OFFSET(INDEX(99:99,SMALL(IF(99:99&lt;&gt;"",COLUMN(99:99)),COLUMN())),-1,0),"")</f>
        <v/>
      </c>
      <c r="I113" s="348" t="str">
        <f t="array" aca="1" ref="I113" ca="1">IFERROR(OFFSET(INDEX(99:99,SMALL(IF(99:99&lt;&gt;"",COLUMN(99:99)),COLUMN())),-1,0),"")</f>
        <v/>
      </c>
      <c r="J113" s="348" t="str">
        <f t="array" aca="1" ref="J113" ca="1">IFERROR(OFFSET(INDEX(99:99,SMALL(IF(99:99&lt;&gt;"",COLUMN(99:99)),COLUMN())),-1,0),"")</f>
        <v/>
      </c>
      <c r="K113" s="348" t="str">
        <f t="array" aca="1" ref="K113" ca="1">IFERROR(OFFSET(INDEX(99:99,SMALL(IF(99:99&lt;&gt;"",COLUMN(99:99)),COLUMN())),-1,0),"")</f>
        <v/>
      </c>
      <c r="L113" s="348" t="str">
        <f t="array" aca="1" ref="L113" ca="1">IFERROR(OFFSET(INDEX(99:99,SMALL(IF(99:99&lt;&gt;"",COLUMN(99:99)),COLUMN())),-1,0),"")</f>
        <v/>
      </c>
      <c r="M113" s="348" t="str">
        <f t="array" aca="1" ref="M113" ca="1">IFERROR(OFFSET(INDEX(99:99,SMALL(IF(99:99&lt;&gt;"",COLUMN(99:99)),COLUMN())),-1,0),"")</f>
        <v/>
      </c>
      <c r="N113" s="348" t="str">
        <f t="array" aca="1" ref="N113" ca="1">IFERROR(OFFSET(INDEX(99:99,SMALL(IF(99:99&lt;&gt;"",COLUMN(99:99)),COLUMN())),-1,0),"")</f>
        <v/>
      </c>
      <c r="O113" s="348" t="str">
        <f t="array" aca="1" ref="O113" ca="1">IFERROR(OFFSET(INDEX(99:99,SMALL(IF(99:99&lt;&gt;"",COLUMN(99:99)),COLUMN())),-1,0),"")</f>
        <v/>
      </c>
      <c r="P113" s="348" t="str">
        <f t="array" aca="1" ref="P113" ca="1">IFERROR(OFFSET(INDEX(99:99,SMALL(IF(99:99&lt;&gt;"",COLUMN(99:99)),COLUMN())),-1,0),"")</f>
        <v/>
      </c>
      <c r="Q113" s="348" t="str">
        <f t="array" aca="1" ref="Q113" ca="1">IFERROR(OFFSET(INDEX(99:99,SMALL(IF(99:99&lt;&gt;"",COLUMN(99:99)),COLUMN())),-1,0),"")</f>
        <v/>
      </c>
      <c r="R113" s="348" t="str">
        <f t="array" aca="1" ref="R113" ca="1">IFERROR(OFFSET(INDEX(99:99,SMALL(IF(99:99&lt;&gt;"",COLUMN(99:99)),COLUMN())),-1,0),"")</f>
        <v/>
      </c>
      <c r="S113" s="348" t="str">
        <f t="array" aca="1" ref="S113" ca="1">IFERROR(OFFSET(INDEX(99:99,SMALL(IF(99:99&lt;&gt;"",COLUMN(99:99)),COLUMN())),-1,0),"")</f>
        <v/>
      </c>
      <c r="T113" s="348" t="str">
        <f t="array" aca="1" ref="T113" ca="1">IFERROR(OFFSET(INDEX(99:99,SMALL(IF(99:99&lt;&gt;"",COLUMN(99:99)),COLUMN())),-1,0),"")</f>
        <v/>
      </c>
      <c r="U113" s="348" t="str">
        <f t="array" aca="1" ref="U113" ca="1">IFERROR(OFFSET(INDEX(99:99,SMALL(IF(99:99&lt;&gt;"",COLUMN(99:99)),COLUMN())),-1,0),"")</f>
        <v/>
      </c>
    </row>
    <row r="114" spans="1:43" s="317" customFormat="1" ht="14.25" hidden="1">
      <c r="A114" s="348" t="str">
        <f t="array" ref="A114">IFERROR(INDEX(99:99,SMALL(IF(99:99&lt;&gt;"",COLUMN(99:99)),COLUMN())),"")</f>
        <v>追水量（L)</v>
      </c>
      <c r="B114" s="348" t="str">
        <f t="array" ref="B114">IFERROR(INDEX(99:99,SMALL(IF(99:99&lt;&gt;"",COLUMN(99:99)),COLUMN())),"")</f>
        <v/>
      </c>
      <c r="C114" s="348" t="str">
        <f t="array" ref="C114">IFERROR(INDEX(99:99,SMALL(IF(99:99&lt;&gt;"",COLUMN(99:99)),COLUMN())),"")</f>
        <v/>
      </c>
      <c r="D114" s="348" t="str">
        <f t="array" ref="D114">IFERROR(INDEX(99:99,SMALL(IF(99:99&lt;&gt;"",COLUMN(99:99)),COLUMN())),"")</f>
        <v/>
      </c>
      <c r="E114" s="348" t="str">
        <f t="array" ref="E114">IFERROR(INDEX(99:99,SMALL(IF(99:99&lt;&gt;"",COLUMN(99:99)),COLUMN())),"")</f>
        <v/>
      </c>
      <c r="F114" s="348" t="str">
        <f t="array" ref="F114">IFERROR(INDEX(99:99,SMALL(IF(99:99&lt;&gt;"",COLUMN(99:99)),COLUMN())),"")</f>
        <v/>
      </c>
      <c r="G114" s="348" t="str">
        <f t="array" ref="G114">IFERROR(INDEX(99:99,SMALL(IF(99:99&lt;&gt;"",COLUMN(99:99)),COLUMN())),"")</f>
        <v/>
      </c>
      <c r="H114" s="348" t="str">
        <f t="array" ref="H114">IFERROR(INDEX(99:99,SMALL(IF(99:99&lt;&gt;"",COLUMN(99:99)),COLUMN())),"")</f>
        <v/>
      </c>
      <c r="I114" s="348" t="str">
        <f t="array" ref="I114">IFERROR(INDEX(99:99,SMALL(IF(99:99&lt;&gt;"",COLUMN(99:99)),COLUMN())),"")</f>
        <v/>
      </c>
      <c r="J114" s="348" t="str">
        <f t="array" ref="J114">IFERROR(INDEX(99:99,SMALL(IF(99:99&lt;&gt;"",COLUMN(99:99)),COLUMN())),"")</f>
        <v/>
      </c>
      <c r="K114" s="348" t="str">
        <f t="array" ref="K114">IFERROR(INDEX(99:99,SMALL(IF(99:99&lt;&gt;"",COLUMN(99:99)),COLUMN())),"")</f>
        <v/>
      </c>
      <c r="L114" s="348" t="str">
        <f t="array" ref="L114">IFERROR(INDEX(99:99,SMALL(IF(99:99&lt;&gt;"",COLUMN(99:99)),COLUMN())),"")</f>
        <v/>
      </c>
      <c r="M114" s="348" t="str">
        <f t="array" ref="M114">IFERROR(INDEX(99:99,SMALL(IF(99:99&lt;&gt;"",COLUMN(99:99)),COLUMN())),"")</f>
        <v/>
      </c>
      <c r="N114" s="348" t="str">
        <f t="array" ref="N114">IFERROR(INDEX(99:99,SMALL(IF(99:99&lt;&gt;"",COLUMN(99:99)),COLUMN())),"")</f>
        <v/>
      </c>
      <c r="O114" s="348" t="str">
        <f t="array" ref="O114">IFERROR(INDEX(99:99,SMALL(IF(99:99&lt;&gt;"",COLUMN(99:99)),COLUMN())),"")</f>
        <v/>
      </c>
      <c r="P114" s="348" t="str">
        <f t="array" ref="P114">IFERROR(INDEX(99:99,SMALL(IF(99:99&lt;&gt;"",COLUMN(99:99)),COLUMN())),"")</f>
        <v/>
      </c>
      <c r="Q114" s="348" t="str">
        <f t="array" ref="Q114">IFERROR(INDEX(99:99,SMALL(IF(99:99&lt;&gt;"",COLUMN(99:99)),COLUMN())),"")</f>
        <v/>
      </c>
      <c r="R114" s="348" t="str">
        <f t="array" ref="R114">IFERROR(INDEX(99:99,SMALL(IF(99:99&lt;&gt;"",COLUMN(99:99)),COLUMN())),"")</f>
        <v/>
      </c>
      <c r="S114" s="348" t="str">
        <f t="array" ref="S114">IFERROR(INDEX(99:99,SMALL(IF(99:99&lt;&gt;"",COLUMN(99:99)),COLUMN())),"")</f>
        <v/>
      </c>
      <c r="T114" s="348" t="str">
        <f t="array" ref="T114">IFERROR(INDEX(99:99,SMALL(IF(99:99&lt;&gt;"",COLUMN(99:99)),COLUMN())),"")</f>
        <v/>
      </c>
      <c r="U114" s="348" t="str">
        <f t="array" ref="U114">IFERROR(INDEX(99:99,SMALL(IF(99:99&lt;&gt;"",COLUMN(99:99)),COLUMN())),"")</f>
        <v/>
      </c>
    </row>
    <row r="115" spans="1:43" s="317" customFormat="1" ht="14.25" hidden="1">
      <c r="A115" s="1053" t="s">
        <v>186</v>
      </c>
      <c r="B115" s="1053"/>
      <c r="C115" s="1053"/>
      <c r="D115" s="349" t="s">
        <v>187</v>
      </c>
      <c r="E115" s="349" t="s">
        <v>188</v>
      </c>
      <c r="F115" s="349" t="s">
        <v>189</v>
      </c>
      <c r="G115" s="349" t="s">
        <v>190</v>
      </c>
      <c r="H115" s="349" t="s">
        <v>191</v>
      </c>
      <c r="I115" s="349" t="s">
        <v>192</v>
      </c>
      <c r="J115" s="349" t="s">
        <v>193</v>
      </c>
      <c r="K115" s="349" t="s">
        <v>194</v>
      </c>
      <c r="L115" s="347" t="s">
        <v>195</v>
      </c>
      <c r="M115" s="347" t="s">
        <v>196</v>
      </c>
      <c r="N115" s="347" t="s">
        <v>197</v>
      </c>
      <c r="O115" s="347" t="s">
        <v>316</v>
      </c>
      <c r="P115" s="347" t="s">
        <v>317</v>
      </c>
      <c r="Q115" s="347" t="s">
        <v>318</v>
      </c>
      <c r="R115" s="347" t="s">
        <v>319</v>
      </c>
      <c r="S115" s="347" t="s">
        <v>320</v>
      </c>
      <c r="T115" s="347" t="s">
        <v>321</v>
      </c>
      <c r="U115" s="347" t="s">
        <v>322</v>
      </c>
      <c r="V115" s="347" t="s">
        <v>323</v>
      </c>
      <c r="W115" s="347" t="s">
        <v>324</v>
      </c>
      <c r="X115" s="347" t="s">
        <v>325</v>
      </c>
    </row>
    <row r="116" spans="1:43" s="317" customFormat="1" ht="14.25" hidden="1">
      <c r="A116" s="1054"/>
      <c r="B116" s="1054"/>
      <c r="C116" s="1054"/>
      <c r="D116" s="350" t="e">
        <f>SUM(D96:G96)/SUM(D93:G93)*100</f>
        <v>#DIV/0!</v>
      </c>
      <c r="E116" s="350" t="e">
        <f>(SUM(D96:G96)+SUM(B114:B114))/SUM(D93:G93)*100</f>
        <v>#DIV/0!</v>
      </c>
      <c r="F116" s="350" t="e">
        <f>(SUM(D96:G96)+SUM(B114:C114))/SUM(D93:G93)*100</f>
        <v>#DIV/0!</v>
      </c>
      <c r="G116" s="350" t="e">
        <f>(SUM(D96:G96)+SUM(B114:D114))/SUM(D93:G93)*100</f>
        <v>#DIV/0!</v>
      </c>
      <c r="H116" s="350" t="e">
        <f>(SUM(D96:G96)+SUM(B114:E114))/SUM(D93:G93)*100</f>
        <v>#DIV/0!</v>
      </c>
      <c r="I116" s="351" t="e">
        <f>(SUM(D96:G96)+SUM(B114:F114))/SUM(D93:G93)*100</f>
        <v>#DIV/0!</v>
      </c>
      <c r="J116" s="350" t="e">
        <f>(SUM(D96:G96)+SUM(B114:G114))/SUM(D93:G93)*100</f>
        <v>#DIV/0!</v>
      </c>
      <c r="K116" s="350" t="e">
        <f>(SUM(D96:G96)+SUM(B114:H114))/SUM(D93:G93)*100</f>
        <v>#DIV/0!</v>
      </c>
      <c r="L116" s="350" t="e">
        <f>(SUM(D96:G96)+SUM(B114:I114))/SUM(D93:G93)*100</f>
        <v>#DIV/0!</v>
      </c>
      <c r="M116" s="350" t="e">
        <f>(SUM(D96:G96)+SUM(B114:J114))/SUM(D93:G93)*100</f>
        <v>#DIV/0!</v>
      </c>
      <c r="N116" s="350" t="e">
        <f>(SUM(D96:G96)+SUM(B114:K114))/SUM(D93:G93)*100</f>
        <v>#DIV/0!</v>
      </c>
      <c r="O116" s="352" t="e">
        <f>(SUM(D96:G96)+SUM(B114:L114))/SUM(D93:G93)*100</f>
        <v>#DIV/0!</v>
      </c>
      <c r="P116" s="353" t="e">
        <f>(SUM(D96:G96)+SUM(B114:M114))/SUM(D93:G93)*100</f>
        <v>#DIV/0!</v>
      </c>
      <c r="Q116" s="353" t="e">
        <f>(SUM(D96:G96)+SUM(B114:N114))/SUM(D93:G93)*100</f>
        <v>#DIV/0!</v>
      </c>
      <c r="R116" s="353" t="e">
        <f>(SUM(D96:G96)+SUM(B114:O114))/SUM(D93:G93)*100</f>
        <v>#DIV/0!</v>
      </c>
      <c r="S116" s="353" t="e">
        <f>(SUM(D96:G96)+SUM(B114:P114))/SUM(D93:G93)*100</f>
        <v>#DIV/0!</v>
      </c>
      <c r="T116" s="353" t="e">
        <f>(SUM(D96:G96)+SUM(B114:Q114))/SUM(D93:G93)*100</f>
        <v>#DIV/0!</v>
      </c>
      <c r="U116" s="353" t="e">
        <f>(SUM(D96:G96)+SUM(B114:R114))/SUM(D93:G93)*100</f>
        <v>#DIV/0!</v>
      </c>
      <c r="V116" s="353" t="e">
        <f>(SUM(D96:G96)+SUM(B114:S114))/SUM(D93:G93)*100</f>
        <v>#DIV/0!</v>
      </c>
      <c r="W116" s="353" t="e">
        <f>(SUM(D96:G96)+SUM(B114:T114))/SUM(D93:G93)*100</f>
        <v>#DIV/0!</v>
      </c>
      <c r="X116" s="353" t="e">
        <f>(SUM(D96:G96)+SUM(B114:U114))/SUM(D93:G93)*100</f>
        <v>#DIV/0!</v>
      </c>
    </row>
    <row r="117" spans="1:43" s="317" customFormat="1" ht="14.25" hidden="1"/>
    <row r="118" spans="1:43" s="317" customFormat="1" ht="14.25" hidden="1">
      <c r="A118" s="1046" t="s">
        <v>129</v>
      </c>
      <c r="B118" s="1047"/>
      <c r="C118" s="1047"/>
      <c r="E118" s="354" t="e">
        <f t="shared" ref="E118:AQ118" si="47">IF(E100="",IF(E101="",NA(),E101/-10),E100)</f>
        <v>#N/A</v>
      </c>
      <c r="F118" s="354" t="e">
        <f t="shared" si="47"/>
        <v>#N/A</v>
      </c>
      <c r="G118" s="354" t="e">
        <f>IF(G100="",IF(G102="",NA(),G102/-10),G100)</f>
        <v>#N/A</v>
      </c>
      <c r="H118" s="354" t="e">
        <f t="shared" si="47"/>
        <v>#N/A</v>
      </c>
      <c r="I118" s="354" t="e">
        <f t="shared" si="47"/>
        <v>#N/A</v>
      </c>
      <c r="J118" s="354" t="e">
        <f t="shared" si="47"/>
        <v>#N/A</v>
      </c>
      <c r="K118" s="354" t="e">
        <f t="shared" si="47"/>
        <v>#N/A</v>
      </c>
      <c r="L118" s="354" t="e">
        <f t="shared" si="47"/>
        <v>#N/A</v>
      </c>
      <c r="M118" s="354" t="e">
        <f t="shared" si="47"/>
        <v>#N/A</v>
      </c>
      <c r="N118" s="354" t="e">
        <f t="shared" si="47"/>
        <v>#N/A</v>
      </c>
      <c r="O118" s="354" t="e">
        <f t="shared" si="47"/>
        <v>#N/A</v>
      </c>
      <c r="P118" s="354" t="e">
        <f t="shared" si="47"/>
        <v>#N/A</v>
      </c>
      <c r="Q118" s="354" t="e">
        <f t="shared" si="47"/>
        <v>#N/A</v>
      </c>
      <c r="R118" s="354" t="e">
        <f t="shared" si="47"/>
        <v>#N/A</v>
      </c>
      <c r="S118" s="354" t="e">
        <f t="shared" si="47"/>
        <v>#N/A</v>
      </c>
      <c r="T118" s="354" t="e">
        <f t="shared" si="47"/>
        <v>#N/A</v>
      </c>
      <c r="U118" s="354" t="e">
        <f t="shared" si="47"/>
        <v>#N/A</v>
      </c>
      <c r="V118" s="354" t="e">
        <f t="shared" si="47"/>
        <v>#N/A</v>
      </c>
      <c r="W118" s="354" t="e">
        <f t="shared" si="47"/>
        <v>#N/A</v>
      </c>
      <c r="X118" s="354" t="e">
        <f t="shared" si="47"/>
        <v>#N/A</v>
      </c>
      <c r="Y118" s="354" t="e">
        <f t="shared" si="47"/>
        <v>#N/A</v>
      </c>
      <c r="Z118" s="354" t="e">
        <f t="shared" si="47"/>
        <v>#N/A</v>
      </c>
      <c r="AA118" s="354" t="e">
        <f t="shared" si="47"/>
        <v>#N/A</v>
      </c>
      <c r="AB118" s="354" t="e">
        <f t="shared" si="47"/>
        <v>#N/A</v>
      </c>
      <c r="AC118" s="354" t="e">
        <f t="shared" si="47"/>
        <v>#N/A</v>
      </c>
      <c r="AD118" s="354" t="e">
        <f t="shared" si="47"/>
        <v>#N/A</v>
      </c>
      <c r="AE118" s="354" t="e">
        <f t="shared" si="47"/>
        <v>#N/A</v>
      </c>
      <c r="AF118" s="354" t="e">
        <f t="shared" si="47"/>
        <v>#N/A</v>
      </c>
      <c r="AG118" s="354" t="e">
        <f t="shared" si="47"/>
        <v>#N/A</v>
      </c>
      <c r="AH118" s="354" t="e">
        <f t="shared" si="47"/>
        <v>#N/A</v>
      </c>
      <c r="AI118" s="354" t="e">
        <f t="shared" si="47"/>
        <v>#N/A</v>
      </c>
      <c r="AJ118" s="354" t="e">
        <f t="shared" si="47"/>
        <v>#N/A</v>
      </c>
      <c r="AK118" s="354" t="e">
        <f t="shared" si="47"/>
        <v>#N/A</v>
      </c>
      <c r="AL118" s="354" t="e">
        <f t="shared" si="47"/>
        <v>#N/A</v>
      </c>
      <c r="AM118" s="354" t="e">
        <f t="shared" si="47"/>
        <v>#N/A</v>
      </c>
      <c r="AN118" s="354" t="e">
        <f t="shared" si="47"/>
        <v>#N/A</v>
      </c>
      <c r="AO118" s="354" t="e">
        <f t="shared" si="47"/>
        <v>#N/A</v>
      </c>
      <c r="AP118" s="354" t="e">
        <f t="shared" si="47"/>
        <v>#N/A</v>
      </c>
      <c r="AQ118" s="354" t="e">
        <f t="shared" si="47"/>
        <v>#N/A</v>
      </c>
    </row>
    <row r="119" spans="1:43" s="317" customFormat="1" ht="14.25" hidden="1">
      <c r="A119" s="1048" t="s">
        <v>44</v>
      </c>
      <c r="B119" s="1048"/>
      <c r="C119" s="1049"/>
      <c r="E119" s="355" t="e">
        <f>IF(E118="",NA(),E118*(-10))</f>
        <v>#N/A</v>
      </c>
      <c r="F119" s="355" t="e">
        <f t="shared" ref="F119:AQ119" si="48">IF(F118="",NA(),F118*(-10))</f>
        <v>#N/A</v>
      </c>
      <c r="G119" s="355" t="e">
        <f t="shared" si="48"/>
        <v>#N/A</v>
      </c>
      <c r="H119" s="355" t="e">
        <f t="shared" si="48"/>
        <v>#N/A</v>
      </c>
      <c r="I119" s="355" t="e">
        <f t="shared" si="48"/>
        <v>#N/A</v>
      </c>
      <c r="J119" s="355" t="e">
        <f t="shared" si="48"/>
        <v>#N/A</v>
      </c>
      <c r="K119" s="355" t="e">
        <f t="shared" si="48"/>
        <v>#N/A</v>
      </c>
      <c r="L119" s="355" t="e">
        <f t="shared" si="48"/>
        <v>#N/A</v>
      </c>
      <c r="M119" s="355" t="e">
        <f t="shared" si="48"/>
        <v>#N/A</v>
      </c>
      <c r="N119" s="355" t="e">
        <f t="shared" si="48"/>
        <v>#N/A</v>
      </c>
      <c r="O119" s="355" t="e">
        <f t="shared" si="48"/>
        <v>#N/A</v>
      </c>
      <c r="P119" s="355" t="e">
        <f t="shared" si="48"/>
        <v>#N/A</v>
      </c>
      <c r="Q119" s="355" t="e">
        <f t="shared" si="48"/>
        <v>#N/A</v>
      </c>
      <c r="R119" s="355" t="e">
        <f t="shared" si="48"/>
        <v>#N/A</v>
      </c>
      <c r="S119" s="355" t="e">
        <f t="shared" si="48"/>
        <v>#N/A</v>
      </c>
      <c r="T119" s="355" t="e">
        <f t="shared" si="48"/>
        <v>#N/A</v>
      </c>
      <c r="U119" s="355" t="e">
        <f t="shared" si="48"/>
        <v>#N/A</v>
      </c>
      <c r="V119" s="355" t="e">
        <f t="shared" si="48"/>
        <v>#N/A</v>
      </c>
      <c r="W119" s="355" t="e">
        <f t="shared" si="48"/>
        <v>#N/A</v>
      </c>
      <c r="X119" s="355" t="e">
        <f t="shared" si="48"/>
        <v>#N/A</v>
      </c>
      <c r="Y119" s="355" t="e">
        <f t="shared" si="48"/>
        <v>#N/A</v>
      </c>
      <c r="Z119" s="355" t="e">
        <f t="shared" si="48"/>
        <v>#N/A</v>
      </c>
      <c r="AA119" s="355" t="e">
        <f t="shared" si="48"/>
        <v>#N/A</v>
      </c>
      <c r="AB119" s="355" t="e">
        <f t="shared" si="48"/>
        <v>#N/A</v>
      </c>
      <c r="AC119" s="355" t="e">
        <f t="shared" si="48"/>
        <v>#N/A</v>
      </c>
      <c r="AD119" s="355" t="e">
        <f t="shared" si="48"/>
        <v>#N/A</v>
      </c>
      <c r="AE119" s="355" t="e">
        <f t="shared" si="48"/>
        <v>#N/A</v>
      </c>
      <c r="AF119" s="355" t="e">
        <f t="shared" si="48"/>
        <v>#N/A</v>
      </c>
      <c r="AG119" s="355" t="e">
        <f t="shared" si="48"/>
        <v>#N/A</v>
      </c>
      <c r="AH119" s="355" t="e">
        <f t="shared" si="48"/>
        <v>#N/A</v>
      </c>
      <c r="AI119" s="355" t="e">
        <f t="shared" si="48"/>
        <v>#N/A</v>
      </c>
      <c r="AJ119" s="355" t="e">
        <f t="shared" si="48"/>
        <v>#N/A</v>
      </c>
      <c r="AK119" s="355" t="e">
        <f t="shared" si="48"/>
        <v>#N/A</v>
      </c>
      <c r="AL119" s="355" t="e">
        <f t="shared" si="48"/>
        <v>#N/A</v>
      </c>
      <c r="AM119" s="355" t="e">
        <f t="shared" si="48"/>
        <v>#N/A</v>
      </c>
      <c r="AN119" s="355" t="e">
        <f t="shared" si="48"/>
        <v>#N/A</v>
      </c>
      <c r="AO119" s="355" t="e">
        <f t="shared" si="48"/>
        <v>#N/A</v>
      </c>
      <c r="AP119" s="355" t="e">
        <f t="shared" si="48"/>
        <v>#N/A</v>
      </c>
      <c r="AQ119" s="355" t="e">
        <f t="shared" si="48"/>
        <v>#N/A</v>
      </c>
    </row>
    <row r="120" spans="1:43" s="317" customFormat="1" ht="14.25" hidden="1">
      <c r="A120" s="356"/>
      <c r="B120" s="1012" t="s">
        <v>35</v>
      </c>
      <c r="C120" s="1050"/>
      <c r="E120" s="357" t="e">
        <f>IF(E118="",NA(),ROUND(1443/(1443+E119),4))</f>
        <v>#N/A</v>
      </c>
      <c r="F120" s="357" t="e">
        <f t="shared" ref="F120:AQ120" si="49">IF(F118="",NA(),ROUND(1443/(1443+F119),4))</f>
        <v>#N/A</v>
      </c>
      <c r="G120" s="357" t="e">
        <f t="shared" si="49"/>
        <v>#N/A</v>
      </c>
      <c r="H120" s="357" t="e">
        <f t="shared" si="49"/>
        <v>#N/A</v>
      </c>
      <c r="I120" s="357" t="e">
        <f t="shared" si="49"/>
        <v>#N/A</v>
      </c>
      <c r="J120" s="357" t="e">
        <f t="shared" si="49"/>
        <v>#N/A</v>
      </c>
      <c r="K120" s="357" t="e">
        <f t="shared" si="49"/>
        <v>#N/A</v>
      </c>
      <c r="L120" s="357" t="e">
        <f t="shared" si="49"/>
        <v>#N/A</v>
      </c>
      <c r="M120" s="357" t="e">
        <f t="shared" si="49"/>
        <v>#N/A</v>
      </c>
      <c r="N120" s="357" t="e">
        <f t="shared" si="49"/>
        <v>#N/A</v>
      </c>
      <c r="O120" s="357" t="e">
        <f t="shared" si="49"/>
        <v>#N/A</v>
      </c>
      <c r="P120" s="357" t="e">
        <f t="shared" si="49"/>
        <v>#N/A</v>
      </c>
      <c r="Q120" s="357" t="e">
        <f t="shared" si="49"/>
        <v>#N/A</v>
      </c>
      <c r="R120" s="357" t="e">
        <f t="shared" si="49"/>
        <v>#N/A</v>
      </c>
      <c r="S120" s="357" t="e">
        <f t="shared" si="49"/>
        <v>#N/A</v>
      </c>
      <c r="T120" s="357" t="e">
        <f t="shared" si="49"/>
        <v>#N/A</v>
      </c>
      <c r="U120" s="357" t="e">
        <f t="shared" si="49"/>
        <v>#N/A</v>
      </c>
      <c r="V120" s="357" t="e">
        <f t="shared" si="49"/>
        <v>#N/A</v>
      </c>
      <c r="W120" s="357" t="e">
        <f t="shared" si="49"/>
        <v>#N/A</v>
      </c>
      <c r="X120" s="357" t="e">
        <f t="shared" si="49"/>
        <v>#N/A</v>
      </c>
      <c r="Y120" s="357" t="e">
        <f t="shared" si="49"/>
        <v>#N/A</v>
      </c>
      <c r="Z120" s="357" t="e">
        <f t="shared" si="49"/>
        <v>#N/A</v>
      </c>
      <c r="AA120" s="357" t="e">
        <f t="shared" si="49"/>
        <v>#N/A</v>
      </c>
      <c r="AB120" s="357" t="e">
        <f t="shared" si="49"/>
        <v>#N/A</v>
      </c>
      <c r="AC120" s="357" t="e">
        <f t="shared" si="49"/>
        <v>#N/A</v>
      </c>
      <c r="AD120" s="357" t="e">
        <f t="shared" si="49"/>
        <v>#N/A</v>
      </c>
      <c r="AE120" s="357" t="e">
        <f t="shared" si="49"/>
        <v>#N/A</v>
      </c>
      <c r="AF120" s="357" t="e">
        <f t="shared" si="49"/>
        <v>#N/A</v>
      </c>
      <c r="AG120" s="357" t="e">
        <f t="shared" si="49"/>
        <v>#N/A</v>
      </c>
      <c r="AH120" s="357" t="e">
        <f t="shared" si="49"/>
        <v>#N/A</v>
      </c>
      <c r="AI120" s="357" t="e">
        <f t="shared" si="49"/>
        <v>#N/A</v>
      </c>
      <c r="AJ120" s="357" t="e">
        <f t="shared" si="49"/>
        <v>#N/A</v>
      </c>
      <c r="AK120" s="357" t="e">
        <f t="shared" si="49"/>
        <v>#N/A</v>
      </c>
      <c r="AL120" s="357" t="e">
        <f t="shared" si="49"/>
        <v>#N/A</v>
      </c>
      <c r="AM120" s="357" t="e">
        <f t="shared" si="49"/>
        <v>#N/A</v>
      </c>
      <c r="AN120" s="357" t="e">
        <f t="shared" si="49"/>
        <v>#N/A</v>
      </c>
      <c r="AO120" s="357" t="e">
        <f t="shared" si="49"/>
        <v>#N/A</v>
      </c>
      <c r="AP120" s="357" t="e">
        <f t="shared" si="49"/>
        <v>#N/A</v>
      </c>
      <c r="AQ120" s="357" t="e">
        <f t="shared" si="49"/>
        <v>#N/A</v>
      </c>
    </row>
    <row r="121" spans="1:43" s="317" customFormat="1" ht="14.25" hidden="1">
      <c r="A121" s="356"/>
      <c r="B121" s="1012" t="s">
        <v>36</v>
      </c>
      <c r="C121" s="1050"/>
      <c r="E121" s="357" t="e">
        <f>IF(E102="",NA(),IFERROR(E102*VLOOKUP(E102,'各種計算式等（配付時非表示）'!$E$3:$H$1003,3,TRUE)+VLOOKUP(E102,'各種計算式等（配付時非表示）'!$E$3:$H$1003,4,TRUE)+0.0000000001,"-"))</f>
        <v>#N/A</v>
      </c>
      <c r="F121" s="357" t="e">
        <f>IF(F102="",NA(),IFERROR(F102*VLOOKUP(F102,'各種計算式等（配付時非表示）'!$E$3:$H$1003,3,TRUE)+VLOOKUP(F102,'各種計算式等（配付時非表示）'!$E$3:$H$1003,4,TRUE)+0.0000000001,"-"))</f>
        <v>#N/A</v>
      </c>
      <c r="G121" s="357" t="e">
        <f>IF(G102="",NA(),IFERROR(G102*VLOOKUP(G102,'各種計算式等（配付時非表示）'!$E$3:$H$1003,3,TRUE)+VLOOKUP(G102,'各種計算式等（配付時非表示）'!$E$3:$H$1003,4,TRUE)+0.0000000001,"-"))</f>
        <v>#N/A</v>
      </c>
      <c r="H121" s="357" t="e">
        <f>IF(H102="",NA(),IFERROR(H102*VLOOKUP(H102,'各種計算式等（配付時非表示）'!$E$3:$H$1003,3,TRUE)+VLOOKUP(H102,'各種計算式等（配付時非表示）'!$E$3:$H$1003,4,TRUE)+0.0000000001,"-"))</f>
        <v>#N/A</v>
      </c>
      <c r="I121" s="357" t="e">
        <f>IF(I102="",NA(),IFERROR(I102*VLOOKUP(I102,'各種計算式等（配付時非表示）'!$E$3:$H$1003,3,TRUE)+VLOOKUP(I102,'各種計算式等（配付時非表示）'!$E$3:$H$1003,4,TRUE)+0.0000000001,"-"))</f>
        <v>#N/A</v>
      </c>
      <c r="J121" s="357" t="e">
        <f>IF(J102="",NA(),IFERROR(J102*VLOOKUP(J102,'各種計算式等（配付時非表示）'!$E$3:$H$1003,3,TRUE)+VLOOKUP(J102,'各種計算式等（配付時非表示）'!$E$3:$H$1003,4,TRUE)+0.0000000001,"-"))</f>
        <v>#N/A</v>
      </c>
      <c r="K121" s="357" t="e">
        <f>IF(K102="",NA(),IFERROR(K102*VLOOKUP(K102,'各種計算式等（配付時非表示）'!$E$3:$H$1003,3,TRUE)+VLOOKUP(K102,'各種計算式等（配付時非表示）'!$E$3:$H$1003,4,TRUE)+0.0000000001,"-"))</f>
        <v>#N/A</v>
      </c>
      <c r="L121" s="357" t="e">
        <f>IF(L102="",NA(),IFERROR(L102*VLOOKUP(L102,'各種計算式等（配付時非表示）'!$E$3:$H$1003,3,TRUE)+VLOOKUP(L102,'各種計算式等（配付時非表示）'!$E$3:$H$1003,4,TRUE)+0.0000000001,"-"))</f>
        <v>#N/A</v>
      </c>
      <c r="M121" s="357" t="e">
        <f>IF(M102="",NA(),IFERROR(M102*VLOOKUP(M102,'各種計算式等（配付時非表示）'!$E$3:$H$1003,3,TRUE)+VLOOKUP(M102,'各種計算式等（配付時非表示）'!$E$3:$H$1003,4,TRUE)+0.0000000001,"-"))</f>
        <v>#N/A</v>
      </c>
      <c r="N121" s="357" t="e">
        <f>IF(N102="",NA(),IFERROR(N102*VLOOKUP(N102,'各種計算式等（配付時非表示）'!$E$3:$H$1003,3,TRUE)+VLOOKUP(N102,'各種計算式等（配付時非表示）'!$E$3:$H$1003,4,TRUE)+0.0000000001,"-"))</f>
        <v>#N/A</v>
      </c>
      <c r="O121" s="357" t="e">
        <f>IF(O102="",NA(),IFERROR(O102*VLOOKUP(O102,'各種計算式等（配付時非表示）'!$E$3:$H$1003,3,TRUE)+VLOOKUP(O102,'各種計算式等（配付時非表示）'!$E$3:$H$1003,4,TRUE)+0.0000000001,"-"))</f>
        <v>#N/A</v>
      </c>
      <c r="P121" s="357" t="e">
        <f>IF(P102="",NA(),IFERROR(P102*VLOOKUP(P102,'各種計算式等（配付時非表示）'!$E$3:$H$1003,3,TRUE)+VLOOKUP(P102,'各種計算式等（配付時非表示）'!$E$3:$H$1003,4,TRUE)+0.0000000001,"-"))</f>
        <v>#N/A</v>
      </c>
      <c r="Q121" s="357" t="e">
        <f>IF(Q102="",NA(),IFERROR(Q102*VLOOKUP(Q102,'各種計算式等（配付時非表示）'!$E$3:$H$1003,3,TRUE)+VLOOKUP(Q102,'各種計算式等（配付時非表示）'!$E$3:$H$1003,4,TRUE)+0.0000000001,"-"))</f>
        <v>#N/A</v>
      </c>
      <c r="R121" s="357" t="e">
        <f>IF(R102="",NA(),IFERROR(R102*VLOOKUP(R102,'各種計算式等（配付時非表示）'!$E$3:$H$1003,3,TRUE)+VLOOKUP(R102,'各種計算式等（配付時非表示）'!$E$3:$H$1003,4,TRUE)+0.0000000001,"-"))</f>
        <v>#N/A</v>
      </c>
      <c r="S121" s="357" t="e">
        <f>IF(S102="",NA(),IFERROR(S102*VLOOKUP(S102,'各種計算式等（配付時非表示）'!$E$3:$H$1003,3,TRUE)+VLOOKUP(S102,'各種計算式等（配付時非表示）'!$E$3:$H$1003,4,TRUE)+0.0000000001,"-"))</f>
        <v>#N/A</v>
      </c>
      <c r="T121" s="357" t="e">
        <f>IF(T102="",NA(),IFERROR(T102*VLOOKUP(T102,'各種計算式等（配付時非表示）'!$E$3:$H$1003,3,TRUE)+VLOOKUP(T102,'各種計算式等（配付時非表示）'!$E$3:$H$1003,4,TRUE)+0.0000000001,"-"))</f>
        <v>#N/A</v>
      </c>
      <c r="U121" s="357" t="e">
        <f>IF(U102="",NA(),IFERROR(U102*VLOOKUP(U102,'各種計算式等（配付時非表示）'!$E$3:$H$1003,3,TRUE)+VLOOKUP(U102,'各種計算式等（配付時非表示）'!$E$3:$H$1003,4,TRUE)+0.0000000001,"-"))</f>
        <v>#N/A</v>
      </c>
      <c r="V121" s="357" t="e">
        <f>IF(V102="",NA(),IFERROR(V102*VLOOKUP(V102,'各種計算式等（配付時非表示）'!$E$3:$H$1003,3,TRUE)+VLOOKUP(V102,'各種計算式等（配付時非表示）'!$E$3:$H$1003,4,TRUE)+0.0000000001,"-"))</f>
        <v>#N/A</v>
      </c>
      <c r="W121" s="357" t="e">
        <f>IF(W102="",NA(),IFERROR(W102*VLOOKUP(W102,'各種計算式等（配付時非表示）'!$E$3:$H$1003,3,TRUE)+VLOOKUP(W102,'各種計算式等（配付時非表示）'!$E$3:$H$1003,4,TRUE)+0.0000000001,"-"))</f>
        <v>#N/A</v>
      </c>
      <c r="X121" s="357" t="e">
        <f>IF(X102="",NA(),IFERROR(X102*VLOOKUP(X102,'各種計算式等（配付時非表示）'!$E$3:$H$1003,3,TRUE)+VLOOKUP(X102,'各種計算式等（配付時非表示）'!$E$3:$H$1003,4,TRUE)+0.0000000001,"-"))</f>
        <v>#N/A</v>
      </c>
      <c r="Y121" s="357" t="e">
        <f>IF(Y102="",NA(),IFERROR(Y102*VLOOKUP(Y102,'各種計算式等（配付時非表示）'!$E$3:$H$1003,3,TRUE)+VLOOKUP(Y102,'各種計算式等（配付時非表示）'!$E$3:$H$1003,4,TRUE)+0.0000000001,"-"))</f>
        <v>#N/A</v>
      </c>
      <c r="Z121" s="357" t="e">
        <f>IF(Z102="",NA(),IFERROR(Z102*VLOOKUP(Z102,'各種計算式等（配付時非表示）'!$E$3:$H$1003,3,TRUE)+VLOOKUP(Z102,'各種計算式等（配付時非表示）'!$E$3:$H$1003,4,TRUE)+0.0000000001,"-"))</f>
        <v>#N/A</v>
      </c>
      <c r="AA121" s="357" t="e">
        <f>IF(AA102="",NA(),IFERROR(AA102*VLOOKUP(AA102,'各種計算式等（配付時非表示）'!$E$3:$H$1003,3,TRUE)+VLOOKUP(AA102,'各種計算式等（配付時非表示）'!$E$3:$H$1003,4,TRUE)+0.0000000001,"-"))</f>
        <v>#N/A</v>
      </c>
      <c r="AB121" s="357" t="e">
        <f>IF(AB102="",NA(),IFERROR(AB102*VLOOKUP(AB102,'各種計算式等（配付時非表示）'!$E$3:$H$1003,3,TRUE)+VLOOKUP(AB102,'各種計算式等（配付時非表示）'!$E$3:$H$1003,4,TRUE)+0.0000000001,"-"))</f>
        <v>#N/A</v>
      </c>
      <c r="AC121" s="357" t="e">
        <f>IF(AC102="",NA(),IFERROR(AC102*VLOOKUP(AC102,'各種計算式等（配付時非表示）'!$E$3:$H$1003,3,TRUE)+VLOOKUP(AC102,'各種計算式等（配付時非表示）'!$E$3:$H$1003,4,TRUE)+0.0000000001,"-"))</f>
        <v>#N/A</v>
      </c>
      <c r="AD121" s="357" t="e">
        <f>IF(AD102="",NA(),IFERROR(AD102*VLOOKUP(AD102,'各種計算式等（配付時非表示）'!$E$3:$H$1003,3,TRUE)+VLOOKUP(AD102,'各種計算式等（配付時非表示）'!$E$3:$H$1003,4,TRUE)+0.0000000001,"-"))</f>
        <v>#N/A</v>
      </c>
      <c r="AE121" s="357" t="e">
        <f>IF(AE102="",NA(),IFERROR(AE102*VLOOKUP(AE102,'各種計算式等（配付時非表示）'!$E$3:$H$1003,3,TRUE)+VLOOKUP(AE102,'各種計算式等（配付時非表示）'!$E$3:$H$1003,4,TRUE)+0.0000000001,"-"))</f>
        <v>#N/A</v>
      </c>
      <c r="AF121" s="357" t="e">
        <f>IF(AF102="",NA(),IFERROR(AF102*VLOOKUP(AF102,'各種計算式等（配付時非表示）'!$E$3:$H$1003,3,TRUE)+VLOOKUP(AF102,'各種計算式等（配付時非表示）'!$E$3:$H$1003,4,TRUE)+0.0000000001,"-"))</f>
        <v>#N/A</v>
      </c>
      <c r="AG121" s="357" t="e">
        <f>IF(AG102="",NA(),IFERROR(AG102*VLOOKUP(AG102,'各種計算式等（配付時非表示）'!$E$3:$H$1003,3,TRUE)+VLOOKUP(AG102,'各種計算式等（配付時非表示）'!$E$3:$H$1003,4,TRUE)+0.0000000001,"-"))</f>
        <v>#N/A</v>
      </c>
      <c r="AH121" s="357" t="e">
        <f>IF(AH102="",NA(),IFERROR(AH102*VLOOKUP(AH102,'各種計算式等（配付時非表示）'!$E$3:$H$1003,3,TRUE)+VLOOKUP(AH102,'各種計算式等（配付時非表示）'!$E$3:$H$1003,4,TRUE)+0.0000000001,"-"))</f>
        <v>#N/A</v>
      </c>
      <c r="AI121" s="357" t="e">
        <f>IF(AI102="",NA(),IFERROR(AI102*VLOOKUP(AI102,'各種計算式等（配付時非表示）'!$E$3:$H$1003,3,TRUE)+VLOOKUP(AI102,'各種計算式等（配付時非表示）'!$E$3:$H$1003,4,TRUE)+0.0000000001,"-"))</f>
        <v>#N/A</v>
      </c>
      <c r="AJ121" s="357" t="e">
        <f>IF(AJ102="",NA(),IFERROR(AJ102*VLOOKUP(AJ102,'各種計算式等（配付時非表示）'!$E$3:$H$1003,3,TRUE)+VLOOKUP(AJ102,'各種計算式等（配付時非表示）'!$E$3:$H$1003,4,TRUE)+0.0000000001,"-"))</f>
        <v>#N/A</v>
      </c>
      <c r="AK121" s="357" t="e">
        <f>IF(AK102="",NA(),IFERROR(AK102*VLOOKUP(AK102,'各種計算式等（配付時非表示）'!$E$3:$H$1003,3,TRUE)+VLOOKUP(AK102,'各種計算式等（配付時非表示）'!$E$3:$H$1003,4,TRUE)+0.0000000001,"-"))</f>
        <v>#N/A</v>
      </c>
      <c r="AL121" s="357" t="e">
        <f>IF(AL102="",NA(),IFERROR(AL102*VLOOKUP(AL102,'各種計算式等（配付時非表示）'!$E$3:$H$1003,3,TRUE)+VLOOKUP(AL102,'各種計算式等（配付時非表示）'!$E$3:$H$1003,4,TRUE)+0.0000000001,"-"))</f>
        <v>#N/A</v>
      </c>
      <c r="AM121" s="357" t="e">
        <f>IF(AM102="",NA(),IFERROR(AM102*VLOOKUP(AM102,'各種計算式等（配付時非表示）'!$E$3:$H$1003,3,TRUE)+VLOOKUP(AM102,'各種計算式等（配付時非表示）'!$E$3:$H$1003,4,TRUE)+0.0000000001,"-"))</f>
        <v>#N/A</v>
      </c>
      <c r="AN121" s="357" t="e">
        <f>IF(AN102="",NA(),IFERROR(AN102*VLOOKUP(AN102,'各種計算式等（配付時非表示）'!$E$3:$H$1003,3,TRUE)+VLOOKUP(AN102,'各種計算式等（配付時非表示）'!$E$3:$H$1003,4,TRUE)+0.0000000001,"-"))</f>
        <v>#N/A</v>
      </c>
      <c r="AO121" s="357" t="e">
        <f>IF(AO102="",NA(),IFERROR(AO102*VLOOKUP(AO102,'各種計算式等（配付時非表示）'!$E$3:$H$1003,3,TRUE)+VLOOKUP(AO102,'各種計算式等（配付時非表示）'!$E$3:$H$1003,4,TRUE)+0.0000000001,"-"))</f>
        <v>#N/A</v>
      </c>
      <c r="AP121" s="357" t="e">
        <f>IF(AP102="",NA(),IFERROR(AP102*VLOOKUP(AP102,'各種計算式等（配付時非表示）'!$E$3:$H$1003,3,TRUE)+VLOOKUP(AP102,'各種計算式等（配付時非表示）'!$E$3:$H$1003,4,TRUE)+0.0000000001,"-"))</f>
        <v>#N/A</v>
      </c>
      <c r="AQ121" s="357" t="e">
        <f>IF(AQ102="",NA(),IFERROR(AQ102*VLOOKUP(AQ102,'各種計算式等（配付時非表示）'!$E$3:$H$1003,3,TRUE)+VLOOKUP(AQ102,'各種計算式等（配付時非表示）'!$E$3:$H$1003,4,TRUE)+0.0000000001,"-"))</f>
        <v>#N/A</v>
      </c>
    </row>
    <row r="122" spans="1:43" s="317" customFormat="1" ht="14.25" hidden="1">
      <c r="A122" s="1012" t="s">
        <v>3</v>
      </c>
      <c r="B122" s="1012"/>
      <c r="C122" s="1012"/>
      <c r="E122" s="358" t="e">
        <f>IFERROR(ROUNDDOWN((E120-E121)*260+0.21,1),NA())</f>
        <v>#N/A</v>
      </c>
      <c r="F122" s="358" t="e">
        <f t="shared" ref="F122:AQ122" si="50">IFERROR(ROUNDDOWN((F120-F121)*260+0.21,1),NA())</f>
        <v>#N/A</v>
      </c>
      <c r="G122" s="358" t="e">
        <f t="shared" si="50"/>
        <v>#N/A</v>
      </c>
      <c r="H122" s="358" t="e">
        <f t="shared" si="50"/>
        <v>#N/A</v>
      </c>
      <c r="I122" s="358" t="e">
        <f t="shared" si="50"/>
        <v>#N/A</v>
      </c>
      <c r="J122" s="358" t="e">
        <f t="shared" si="50"/>
        <v>#N/A</v>
      </c>
      <c r="K122" s="358" t="e">
        <f t="shared" si="50"/>
        <v>#N/A</v>
      </c>
      <c r="L122" s="358" t="e">
        <f t="shared" si="50"/>
        <v>#N/A</v>
      </c>
      <c r="M122" s="358" t="e">
        <f t="shared" si="50"/>
        <v>#N/A</v>
      </c>
      <c r="N122" s="358" t="e">
        <f t="shared" si="50"/>
        <v>#N/A</v>
      </c>
      <c r="O122" s="358" t="e">
        <f t="shared" si="50"/>
        <v>#N/A</v>
      </c>
      <c r="P122" s="358" t="e">
        <f t="shared" si="50"/>
        <v>#N/A</v>
      </c>
      <c r="Q122" s="358" t="e">
        <f t="shared" si="50"/>
        <v>#N/A</v>
      </c>
      <c r="R122" s="358" t="e">
        <f t="shared" si="50"/>
        <v>#N/A</v>
      </c>
      <c r="S122" s="358" t="e">
        <f t="shared" si="50"/>
        <v>#N/A</v>
      </c>
      <c r="T122" s="358" t="e">
        <f t="shared" si="50"/>
        <v>#N/A</v>
      </c>
      <c r="U122" s="358" t="e">
        <f t="shared" si="50"/>
        <v>#N/A</v>
      </c>
      <c r="V122" s="358" t="e">
        <f t="shared" si="50"/>
        <v>#N/A</v>
      </c>
      <c r="W122" s="358" t="e">
        <f t="shared" si="50"/>
        <v>#N/A</v>
      </c>
      <c r="X122" s="358" t="e">
        <f t="shared" si="50"/>
        <v>#N/A</v>
      </c>
      <c r="Y122" s="358" t="e">
        <f t="shared" si="50"/>
        <v>#N/A</v>
      </c>
      <c r="Z122" s="358" t="e">
        <f t="shared" si="50"/>
        <v>#N/A</v>
      </c>
      <c r="AA122" s="358" t="e">
        <f t="shared" si="50"/>
        <v>#N/A</v>
      </c>
      <c r="AB122" s="358" t="e">
        <f t="shared" si="50"/>
        <v>#N/A</v>
      </c>
      <c r="AC122" s="358" t="e">
        <f t="shared" si="50"/>
        <v>#N/A</v>
      </c>
      <c r="AD122" s="358" t="e">
        <f t="shared" si="50"/>
        <v>#N/A</v>
      </c>
      <c r="AE122" s="358" t="e">
        <f t="shared" si="50"/>
        <v>#N/A</v>
      </c>
      <c r="AF122" s="358" t="e">
        <f t="shared" si="50"/>
        <v>#N/A</v>
      </c>
      <c r="AG122" s="358" t="e">
        <f t="shared" si="50"/>
        <v>#N/A</v>
      </c>
      <c r="AH122" s="358" t="e">
        <f t="shared" si="50"/>
        <v>#N/A</v>
      </c>
      <c r="AI122" s="358" t="e">
        <f t="shared" si="50"/>
        <v>#N/A</v>
      </c>
      <c r="AJ122" s="358" t="e">
        <f t="shared" si="50"/>
        <v>#N/A</v>
      </c>
      <c r="AK122" s="358" t="e">
        <f t="shared" si="50"/>
        <v>#N/A</v>
      </c>
      <c r="AL122" s="358" t="e">
        <f t="shared" si="50"/>
        <v>#N/A</v>
      </c>
      <c r="AM122" s="358" t="e">
        <f t="shared" si="50"/>
        <v>#N/A</v>
      </c>
      <c r="AN122" s="358" t="e">
        <f t="shared" si="50"/>
        <v>#N/A</v>
      </c>
      <c r="AO122" s="358" t="e">
        <f t="shared" si="50"/>
        <v>#N/A</v>
      </c>
      <c r="AP122" s="358" t="e">
        <f t="shared" si="50"/>
        <v>#N/A</v>
      </c>
      <c r="AQ122" s="358" t="e">
        <f t="shared" si="50"/>
        <v>#N/A</v>
      </c>
    </row>
    <row r="123" spans="1:43" s="317" customFormat="1" ht="14.25" hidden="1">
      <c r="A123" s="1012" t="s">
        <v>326</v>
      </c>
      <c r="B123" s="1012"/>
      <c r="C123" s="1012"/>
      <c r="E123" s="359" t="e">
        <f t="shared" ref="E123:AQ123" si="51">IF(E102="",NA(),ROUNDDOWN(E102*1.5848,1))</f>
        <v>#N/A</v>
      </c>
      <c r="F123" s="359" t="e">
        <f t="shared" si="51"/>
        <v>#N/A</v>
      </c>
      <c r="G123" s="359" t="e">
        <f>IF(#REF!="",NA(),ROUNDDOWN(#REF!*1.5848,1))</f>
        <v>#REF!</v>
      </c>
      <c r="H123" s="359" t="e">
        <f t="shared" si="51"/>
        <v>#N/A</v>
      </c>
      <c r="I123" s="359" t="e">
        <f t="shared" si="51"/>
        <v>#N/A</v>
      </c>
      <c r="J123" s="359" t="e">
        <f t="shared" si="51"/>
        <v>#N/A</v>
      </c>
      <c r="K123" s="359" t="e">
        <f t="shared" si="51"/>
        <v>#N/A</v>
      </c>
      <c r="L123" s="359" t="e">
        <f t="shared" si="51"/>
        <v>#N/A</v>
      </c>
      <c r="M123" s="359" t="e">
        <f t="shared" si="51"/>
        <v>#N/A</v>
      </c>
      <c r="N123" s="359" t="e">
        <f t="shared" si="51"/>
        <v>#N/A</v>
      </c>
      <c r="O123" s="359" t="e">
        <f t="shared" si="51"/>
        <v>#N/A</v>
      </c>
      <c r="P123" s="359" t="e">
        <f t="shared" si="51"/>
        <v>#N/A</v>
      </c>
      <c r="Q123" s="359" t="e">
        <f t="shared" si="51"/>
        <v>#N/A</v>
      </c>
      <c r="R123" s="359" t="e">
        <f t="shared" si="51"/>
        <v>#N/A</v>
      </c>
      <c r="S123" s="359" t="e">
        <f t="shared" si="51"/>
        <v>#N/A</v>
      </c>
      <c r="T123" s="359" t="e">
        <f t="shared" si="51"/>
        <v>#N/A</v>
      </c>
      <c r="U123" s="359" t="e">
        <f t="shared" si="51"/>
        <v>#N/A</v>
      </c>
      <c r="V123" s="359" t="e">
        <f t="shared" si="51"/>
        <v>#N/A</v>
      </c>
      <c r="W123" s="359" t="e">
        <f t="shared" si="51"/>
        <v>#N/A</v>
      </c>
      <c r="X123" s="359" t="e">
        <f t="shared" si="51"/>
        <v>#N/A</v>
      </c>
      <c r="Y123" s="359" t="e">
        <f t="shared" si="51"/>
        <v>#N/A</v>
      </c>
      <c r="Z123" s="359" t="e">
        <f t="shared" si="51"/>
        <v>#N/A</v>
      </c>
      <c r="AA123" s="359" t="e">
        <f t="shared" si="51"/>
        <v>#N/A</v>
      </c>
      <c r="AB123" s="359" t="e">
        <f t="shared" si="51"/>
        <v>#N/A</v>
      </c>
      <c r="AC123" s="359" t="e">
        <f t="shared" si="51"/>
        <v>#N/A</v>
      </c>
      <c r="AD123" s="359" t="e">
        <f t="shared" si="51"/>
        <v>#N/A</v>
      </c>
      <c r="AE123" s="359" t="e">
        <f t="shared" si="51"/>
        <v>#N/A</v>
      </c>
      <c r="AF123" s="359" t="e">
        <f t="shared" si="51"/>
        <v>#N/A</v>
      </c>
      <c r="AG123" s="359" t="e">
        <f t="shared" si="51"/>
        <v>#N/A</v>
      </c>
      <c r="AH123" s="359" t="e">
        <f t="shared" si="51"/>
        <v>#N/A</v>
      </c>
      <c r="AI123" s="359" t="e">
        <f t="shared" si="51"/>
        <v>#N/A</v>
      </c>
      <c r="AJ123" s="359" t="e">
        <f t="shared" si="51"/>
        <v>#N/A</v>
      </c>
      <c r="AK123" s="359" t="e">
        <f t="shared" si="51"/>
        <v>#N/A</v>
      </c>
      <c r="AL123" s="359" t="e">
        <f t="shared" si="51"/>
        <v>#N/A</v>
      </c>
      <c r="AM123" s="359" t="e">
        <f t="shared" si="51"/>
        <v>#N/A</v>
      </c>
      <c r="AN123" s="359" t="e">
        <f t="shared" si="51"/>
        <v>#N/A</v>
      </c>
      <c r="AO123" s="359" t="e">
        <f t="shared" si="51"/>
        <v>#N/A</v>
      </c>
      <c r="AP123" s="359" t="e">
        <f t="shared" si="51"/>
        <v>#N/A</v>
      </c>
      <c r="AQ123" s="359" t="e">
        <f t="shared" si="51"/>
        <v>#N/A</v>
      </c>
    </row>
    <row r="124" spans="1:43" s="317" customFormat="1" ht="14.25" hidden="1">
      <c r="A124" s="1012" t="s">
        <v>162</v>
      </c>
      <c r="B124" s="1012"/>
      <c r="C124" s="1012"/>
      <c r="E124" s="359" t="e">
        <f>IF(E122="",NA(),ROUNDDOWN(E122+E123,1))</f>
        <v>#N/A</v>
      </c>
      <c r="F124" s="359" t="e">
        <f t="shared" ref="F124:AQ124" si="52">IF(F122="",NA(),ROUNDDOWN(F122+F123,1))</f>
        <v>#N/A</v>
      </c>
      <c r="G124" s="359" t="e">
        <f t="shared" si="52"/>
        <v>#N/A</v>
      </c>
      <c r="H124" s="359" t="e">
        <f t="shared" si="52"/>
        <v>#N/A</v>
      </c>
      <c r="I124" s="359" t="e">
        <f t="shared" si="52"/>
        <v>#N/A</v>
      </c>
      <c r="J124" s="359" t="e">
        <f t="shared" si="52"/>
        <v>#N/A</v>
      </c>
      <c r="K124" s="359" t="e">
        <f t="shared" si="52"/>
        <v>#N/A</v>
      </c>
      <c r="L124" s="359" t="e">
        <f t="shared" si="52"/>
        <v>#N/A</v>
      </c>
      <c r="M124" s="359" t="e">
        <f t="shared" si="52"/>
        <v>#N/A</v>
      </c>
      <c r="N124" s="359" t="e">
        <f t="shared" si="52"/>
        <v>#N/A</v>
      </c>
      <c r="O124" s="359" t="e">
        <f t="shared" si="52"/>
        <v>#N/A</v>
      </c>
      <c r="P124" s="359" t="e">
        <f t="shared" si="52"/>
        <v>#N/A</v>
      </c>
      <c r="Q124" s="359" t="e">
        <f t="shared" si="52"/>
        <v>#N/A</v>
      </c>
      <c r="R124" s="359" t="e">
        <f t="shared" si="52"/>
        <v>#N/A</v>
      </c>
      <c r="S124" s="359" t="e">
        <f t="shared" si="52"/>
        <v>#N/A</v>
      </c>
      <c r="T124" s="359" t="e">
        <f t="shared" si="52"/>
        <v>#N/A</v>
      </c>
      <c r="U124" s="359" t="e">
        <f t="shared" si="52"/>
        <v>#N/A</v>
      </c>
      <c r="V124" s="359" t="e">
        <f t="shared" si="52"/>
        <v>#N/A</v>
      </c>
      <c r="W124" s="359" t="e">
        <f t="shared" si="52"/>
        <v>#N/A</v>
      </c>
      <c r="X124" s="359" t="e">
        <f t="shared" si="52"/>
        <v>#N/A</v>
      </c>
      <c r="Y124" s="359" t="e">
        <f t="shared" si="52"/>
        <v>#N/A</v>
      </c>
      <c r="Z124" s="359" t="e">
        <f t="shared" si="52"/>
        <v>#N/A</v>
      </c>
      <c r="AA124" s="359" t="e">
        <f t="shared" si="52"/>
        <v>#N/A</v>
      </c>
      <c r="AB124" s="359" t="e">
        <f t="shared" si="52"/>
        <v>#N/A</v>
      </c>
      <c r="AC124" s="359" t="e">
        <f t="shared" si="52"/>
        <v>#N/A</v>
      </c>
      <c r="AD124" s="359" t="e">
        <f t="shared" si="52"/>
        <v>#N/A</v>
      </c>
      <c r="AE124" s="359" t="e">
        <f t="shared" si="52"/>
        <v>#N/A</v>
      </c>
      <c r="AF124" s="359" t="e">
        <f t="shared" si="52"/>
        <v>#N/A</v>
      </c>
      <c r="AG124" s="359" t="e">
        <f t="shared" si="52"/>
        <v>#N/A</v>
      </c>
      <c r="AH124" s="359" t="e">
        <f t="shared" si="52"/>
        <v>#N/A</v>
      </c>
      <c r="AI124" s="359" t="e">
        <f t="shared" si="52"/>
        <v>#N/A</v>
      </c>
      <c r="AJ124" s="359" t="e">
        <f t="shared" si="52"/>
        <v>#N/A</v>
      </c>
      <c r="AK124" s="359" t="e">
        <f t="shared" si="52"/>
        <v>#N/A</v>
      </c>
      <c r="AL124" s="359" t="e">
        <f t="shared" si="52"/>
        <v>#N/A</v>
      </c>
      <c r="AM124" s="359" t="e">
        <f t="shared" si="52"/>
        <v>#N/A</v>
      </c>
      <c r="AN124" s="359" t="e">
        <f t="shared" si="52"/>
        <v>#N/A</v>
      </c>
      <c r="AO124" s="359" t="e">
        <f t="shared" si="52"/>
        <v>#N/A</v>
      </c>
      <c r="AP124" s="359" t="e">
        <f t="shared" si="52"/>
        <v>#N/A</v>
      </c>
      <c r="AQ124" s="359" t="e">
        <f t="shared" si="52"/>
        <v>#N/A</v>
      </c>
    </row>
    <row r="125" spans="1:43" s="317" customFormat="1" ht="14.25" hidden="1">
      <c r="A125" s="1012" t="s">
        <v>198</v>
      </c>
      <c r="B125" s="1012"/>
      <c r="C125" s="1012"/>
      <c r="E125" s="360" t="e">
        <f t="shared" ref="E125:AQ125" si="53">IF(E102="",NA(),IF(E98&lt;=$B113,E102*$D116/100,IF(E98&lt;=$C113,E102*$E116/100,IF(E98&lt;=$D113,E102*$F116/100,IF(E98&lt;=$E113,E102*$G116/100,IF(E98&lt;=$F113,E102*$H116/100,IF(E98&lt;=$G113,E102*$I116/100,IF(E98&lt;=$H113,E102*$J116/100,IF(E98&lt;=$I113,E102*$K116/100,IF(E98&lt;=$J113,E102*$L116/100,IF(E98&lt;=$K113,E102*$M116/100,IF(E98&lt;=$L113,E102*$N116/100,IF(E98&lt;=$M113,E102*$O116/100,IF(E98&lt;=$N113,E102*$P116/100,IF(E98&lt;=$O113,E102*$Q116/100,IF(E98&lt;=$P113,E102*$R116/100,IF(E98&lt;=$Q113,E102*$S116/100,IF(E98&lt;=$R113,E102*$T116/100,IF(E98&lt;=$S113,E102*$U116/100,IF(E98&lt;=$T113,E102*$V116/100,IF(E98&lt;=$U113,E102*$W116/100,E102*$X116/100)))))))))))))))))))))</f>
        <v>#N/A</v>
      </c>
      <c r="F125" s="360" t="e">
        <f t="shared" si="53"/>
        <v>#N/A</v>
      </c>
      <c r="G125" s="360" t="e">
        <f t="shared" si="53"/>
        <v>#N/A</v>
      </c>
      <c r="H125" s="360" t="e">
        <f t="shared" si="53"/>
        <v>#N/A</v>
      </c>
      <c r="I125" s="360" t="e">
        <f t="shared" si="53"/>
        <v>#N/A</v>
      </c>
      <c r="J125" s="360" t="e">
        <f t="shared" si="53"/>
        <v>#N/A</v>
      </c>
      <c r="K125" s="360" t="e">
        <f t="shared" si="53"/>
        <v>#N/A</v>
      </c>
      <c r="L125" s="360" t="e">
        <f t="shared" si="53"/>
        <v>#N/A</v>
      </c>
      <c r="M125" s="360" t="e">
        <f t="shared" si="53"/>
        <v>#N/A</v>
      </c>
      <c r="N125" s="360" t="e">
        <f t="shared" si="53"/>
        <v>#N/A</v>
      </c>
      <c r="O125" s="360" t="e">
        <f t="shared" si="53"/>
        <v>#N/A</v>
      </c>
      <c r="P125" s="360" t="e">
        <f t="shared" si="53"/>
        <v>#N/A</v>
      </c>
      <c r="Q125" s="360" t="e">
        <f t="shared" si="53"/>
        <v>#N/A</v>
      </c>
      <c r="R125" s="360" t="e">
        <f t="shared" si="53"/>
        <v>#N/A</v>
      </c>
      <c r="S125" s="360" t="e">
        <f t="shared" si="53"/>
        <v>#N/A</v>
      </c>
      <c r="T125" s="360" t="e">
        <f t="shared" si="53"/>
        <v>#N/A</v>
      </c>
      <c r="U125" s="360" t="e">
        <f t="shared" si="53"/>
        <v>#N/A</v>
      </c>
      <c r="V125" s="360" t="e">
        <f t="shared" si="53"/>
        <v>#N/A</v>
      </c>
      <c r="W125" s="360" t="e">
        <f t="shared" si="53"/>
        <v>#N/A</v>
      </c>
      <c r="X125" s="360" t="e">
        <f t="shared" si="53"/>
        <v>#N/A</v>
      </c>
      <c r="Y125" s="360" t="e">
        <f t="shared" si="53"/>
        <v>#N/A</v>
      </c>
      <c r="Z125" s="360" t="e">
        <f t="shared" si="53"/>
        <v>#N/A</v>
      </c>
      <c r="AA125" s="360" t="e">
        <f t="shared" si="53"/>
        <v>#N/A</v>
      </c>
      <c r="AB125" s="360" t="e">
        <f t="shared" si="53"/>
        <v>#N/A</v>
      </c>
      <c r="AC125" s="360" t="e">
        <f t="shared" si="53"/>
        <v>#N/A</v>
      </c>
      <c r="AD125" s="360" t="e">
        <f t="shared" si="53"/>
        <v>#N/A</v>
      </c>
      <c r="AE125" s="360" t="e">
        <f t="shared" si="53"/>
        <v>#N/A</v>
      </c>
      <c r="AF125" s="360" t="e">
        <f t="shared" si="53"/>
        <v>#N/A</v>
      </c>
      <c r="AG125" s="360" t="e">
        <f t="shared" si="53"/>
        <v>#N/A</v>
      </c>
      <c r="AH125" s="360" t="e">
        <f t="shared" si="53"/>
        <v>#N/A</v>
      </c>
      <c r="AI125" s="360" t="e">
        <f t="shared" si="53"/>
        <v>#N/A</v>
      </c>
      <c r="AJ125" s="360" t="e">
        <f t="shared" si="53"/>
        <v>#N/A</v>
      </c>
      <c r="AK125" s="360" t="e">
        <f t="shared" si="53"/>
        <v>#N/A</v>
      </c>
      <c r="AL125" s="360" t="e">
        <f t="shared" si="53"/>
        <v>#N/A</v>
      </c>
      <c r="AM125" s="360" t="e">
        <f t="shared" si="53"/>
        <v>#N/A</v>
      </c>
      <c r="AN125" s="360" t="e">
        <f t="shared" si="53"/>
        <v>#N/A</v>
      </c>
      <c r="AO125" s="360" t="e">
        <f t="shared" si="53"/>
        <v>#N/A</v>
      </c>
      <c r="AP125" s="360" t="e">
        <f t="shared" si="53"/>
        <v>#N/A</v>
      </c>
      <c r="AQ125" s="360" t="e">
        <f t="shared" si="53"/>
        <v>#N/A</v>
      </c>
    </row>
    <row r="126" spans="1:43" s="317" customFormat="1" ht="14.25" hidden="1">
      <c r="A126" s="1011" t="s">
        <v>327</v>
      </c>
      <c r="B126" s="1012"/>
      <c r="C126" s="1050"/>
      <c r="E126" s="361" t="e">
        <f>IF(E125="",NA(),ROUND(E125*1.5848,1))</f>
        <v>#N/A</v>
      </c>
      <c r="F126" s="361" t="e">
        <f t="shared" ref="F126:AQ126" si="54">IF(F125="",NA(),ROUND(F125*1.5848,1))</f>
        <v>#N/A</v>
      </c>
      <c r="G126" s="361" t="e">
        <f t="shared" si="54"/>
        <v>#N/A</v>
      </c>
      <c r="H126" s="361" t="e">
        <f t="shared" si="54"/>
        <v>#N/A</v>
      </c>
      <c r="I126" s="361" t="e">
        <f t="shared" si="54"/>
        <v>#N/A</v>
      </c>
      <c r="J126" s="361" t="e">
        <f t="shared" si="54"/>
        <v>#N/A</v>
      </c>
      <c r="K126" s="361" t="e">
        <f t="shared" si="54"/>
        <v>#N/A</v>
      </c>
      <c r="L126" s="361" t="e">
        <f t="shared" si="54"/>
        <v>#N/A</v>
      </c>
      <c r="M126" s="361" t="e">
        <f t="shared" si="54"/>
        <v>#N/A</v>
      </c>
      <c r="N126" s="361" t="e">
        <f t="shared" si="54"/>
        <v>#N/A</v>
      </c>
      <c r="O126" s="361" t="e">
        <f t="shared" si="54"/>
        <v>#N/A</v>
      </c>
      <c r="P126" s="361" t="e">
        <f t="shared" si="54"/>
        <v>#N/A</v>
      </c>
      <c r="Q126" s="361" t="e">
        <f t="shared" si="54"/>
        <v>#N/A</v>
      </c>
      <c r="R126" s="361" t="e">
        <f t="shared" si="54"/>
        <v>#N/A</v>
      </c>
      <c r="S126" s="361" t="e">
        <f t="shared" si="54"/>
        <v>#N/A</v>
      </c>
      <c r="T126" s="361" t="e">
        <f t="shared" si="54"/>
        <v>#N/A</v>
      </c>
      <c r="U126" s="361" t="e">
        <f t="shared" si="54"/>
        <v>#N/A</v>
      </c>
      <c r="V126" s="361" t="e">
        <f t="shared" si="54"/>
        <v>#N/A</v>
      </c>
      <c r="W126" s="361" t="e">
        <f t="shared" si="54"/>
        <v>#N/A</v>
      </c>
      <c r="X126" s="361" t="e">
        <f t="shared" si="54"/>
        <v>#N/A</v>
      </c>
      <c r="Y126" s="361" t="e">
        <f t="shared" si="54"/>
        <v>#N/A</v>
      </c>
      <c r="Z126" s="361" t="e">
        <f t="shared" si="54"/>
        <v>#N/A</v>
      </c>
      <c r="AA126" s="361" t="e">
        <f t="shared" si="54"/>
        <v>#N/A</v>
      </c>
      <c r="AB126" s="361" t="e">
        <f t="shared" si="54"/>
        <v>#N/A</v>
      </c>
      <c r="AC126" s="361" t="e">
        <f t="shared" si="54"/>
        <v>#N/A</v>
      </c>
      <c r="AD126" s="361" t="e">
        <f t="shared" si="54"/>
        <v>#N/A</v>
      </c>
      <c r="AE126" s="361" t="e">
        <f t="shared" si="54"/>
        <v>#N/A</v>
      </c>
      <c r="AF126" s="361" t="e">
        <f t="shared" si="54"/>
        <v>#N/A</v>
      </c>
      <c r="AG126" s="361" t="e">
        <f t="shared" si="54"/>
        <v>#N/A</v>
      </c>
      <c r="AH126" s="361" t="e">
        <f t="shared" si="54"/>
        <v>#N/A</v>
      </c>
      <c r="AI126" s="361" t="e">
        <f t="shared" si="54"/>
        <v>#N/A</v>
      </c>
      <c r="AJ126" s="361" t="e">
        <f t="shared" si="54"/>
        <v>#N/A</v>
      </c>
      <c r="AK126" s="361" t="e">
        <f t="shared" si="54"/>
        <v>#N/A</v>
      </c>
      <c r="AL126" s="361" t="e">
        <f t="shared" si="54"/>
        <v>#N/A</v>
      </c>
      <c r="AM126" s="361" t="e">
        <f t="shared" si="54"/>
        <v>#N/A</v>
      </c>
      <c r="AN126" s="361" t="e">
        <f t="shared" si="54"/>
        <v>#N/A</v>
      </c>
      <c r="AO126" s="361" t="e">
        <f t="shared" si="54"/>
        <v>#N/A</v>
      </c>
      <c r="AP126" s="361" t="e">
        <f t="shared" si="54"/>
        <v>#N/A</v>
      </c>
      <c r="AQ126" s="361" t="e">
        <f t="shared" si="54"/>
        <v>#N/A</v>
      </c>
    </row>
    <row r="127" spans="1:43" s="317" customFormat="1" ht="14.25" hidden="1">
      <c r="A127" s="1011" t="s">
        <v>328</v>
      </c>
      <c r="B127" s="1012"/>
      <c r="C127" s="1050"/>
      <c r="E127" s="361" t="e">
        <f>IF(E128="",NA(),ROUND(E128-E126,1))</f>
        <v>#N/A</v>
      </c>
      <c r="F127" s="361" t="e">
        <f t="shared" ref="F127:AQ127" si="55">IF(F128="",NA(),ROUND(F128-F126,1))</f>
        <v>#N/A</v>
      </c>
      <c r="G127" s="361" t="e">
        <f t="shared" si="55"/>
        <v>#N/A</v>
      </c>
      <c r="H127" s="361" t="e">
        <f t="shared" si="55"/>
        <v>#N/A</v>
      </c>
      <c r="I127" s="361" t="e">
        <f t="shared" si="55"/>
        <v>#N/A</v>
      </c>
      <c r="J127" s="361" t="e">
        <f t="shared" si="55"/>
        <v>#N/A</v>
      </c>
      <c r="K127" s="361" t="e">
        <f t="shared" si="55"/>
        <v>#N/A</v>
      </c>
      <c r="L127" s="361" t="e">
        <f t="shared" si="55"/>
        <v>#N/A</v>
      </c>
      <c r="M127" s="361" t="e">
        <f t="shared" si="55"/>
        <v>#N/A</v>
      </c>
      <c r="N127" s="361" t="e">
        <f t="shared" si="55"/>
        <v>#N/A</v>
      </c>
      <c r="O127" s="361" t="e">
        <f t="shared" si="55"/>
        <v>#N/A</v>
      </c>
      <c r="P127" s="361" t="e">
        <f t="shared" si="55"/>
        <v>#N/A</v>
      </c>
      <c r="Q127" s="361" t="e">
        <f t="shared" si="55"/>
        <v>#N/A</v>
      </c>
      <c r="R127" s="361" t="e">
        <f t="shared" si="55"/>
        <v>#N/A</v>
      </c>
      <c r="S127" s="361" t="e">
        <f t="shared" si="55"/>
        <v>#N/A</v>
      </c>
      <c r="T127" s="361" t="e">
        <f t="shared" si="55"/>
        <v>#N/A</v>
      </c>
      <c r="U127" s="361" t="e">
        <f t="shared" si="55"/>
        <v>#N/A</v>
      </c>
      <c r="V127" s="361" t="e">
        <f t="shared" si="55"/>
        <v>#N/A</v>
      </c>
      <c r="W127" s="361" t="e">
        <f t="shared" si="55"/>
        <v>#N/A</v>
      </c>
      <c r="X127" s="361" t="e">
        <f t="shared" si="55"/>
        <v>#N/A</v>
      </c>
      <c r="Y127" s="361" t="e">
        <f t="shared" si="55"/>
        <v>#N/A</v>
      </c>
      <c r="Z127" s="361" t="e">
        <f t="shared" si="55"/>
        <v>#N/A</v>
      </c>
      <c r="AA127" s="361" t="e">
        <f t="shared" si="55"/>
        <v>#N/A</v>
      </c>
      <c r="AB127" s="361" t="e">
        <f t="shared" si="55"/>
        <v>#N/A</v>
      </c>
      <c r="AC127" s="361" t="e">
        <f t="shared" si="55"/>
        <v>#N/A</v>
      </c>
      <c r="AD127" s="361" t="e">
        <f t="shared" si="55"/>
        <v>#N/A</v>
      </c>
      <c r="AE127" s="361" t="e">
        <f t="shared" si="55"/>
        <v>#N/A</v>
      </c>
      <c r="AF127" s="361" t="e">
        <f t="shared" si="55"/>
        <v>#N/A</v>
      </c>
      <c r="AG127" s="361" t="e">
        <f t="shared" si="55"/>
        <v>#N/A</v>
      </c>
      <c r="AH127" s="361" t="e">
        <f t="shared" si="55"/>
        <v>#N/A</v>
      </c>
      <c r="AI127" s="361" t="e">
        <f t="shared" si="55"/>
        <v>#N/A</v>
      </c>
      <c r="AJ127" s="361" t="e">
        <f t="shared" si="55"/>
        <v>#N/A</v>
      </c>
      <c r="AK127" s="361" t="e">
        <f t="shared" si="55"/>
        <v>#N/A</v>
      </c>
      <c r="AL127" s="361" t="e">
        <f t="shared" si="55"/>
        <v>#N/A</v>
      </c>
      <c r="AM127" s="361" t="e">
        <f t="shared" si="55"/>
        <v>#N/A</v>
      </c>
      <c r="AN127" s="361" t="e">
        <f t="shared" si="55"/>
        <v>#N/A</v>
      </c>
      <c r="AO127" s="361" t="e">
        <f t="shared" si="55"/>
        <v>#N/A</v>
      </c>
      <c r="AP127" s="361" t="e">
        <f t="shared" si="55"/>
        <v>#N/A</v>
      </c>
      <c r="AQ127" s="361" t="e">
        <f t="shared" si="55"/>
        <v>#N/A</v>
      </c>
    </row>
    <row r="128" spans="1:43" s="317" customFormat="1" ht="14.25" hidden="1">
      <c r="A128" s="1011" t="s">
        <v>329</v>
      </c>
      <c r="B128" s="1012"/>
      <c r="C128" s="1050"/>
      <c r="E128" s="360" t="e">
        <f t="shared" ref="E128:AQ128" si="56">IF(E124="",NA(),IF(E98&lt;=$B113,E124*$D116/100,IF(E98&lt;=$C113,E124*$E116/100,IF(E98&lt;=$D113,E124*$F116/100,IF(E98&lt;=$E113,E124*$G116/100,IF(E98&lt;=$F113,E124*$H116/100,IF(E98&lt;=$G113,E124*$I116/100,IF(E98&lt;=$H113,E124*$J116/100,IF(E98&lt;=$I113,E124*$K116/100,IF(E98&lt;=$J113,E124*$L116/100,IF(E98&lt;=$K113,E124*$M116/100,IF(E98&lt;=$L113,E124*$N116/100,IF(E98&lt;=$M113,E124*$O116/100,IF(E98&lt;=$N113,E124*$P116/100,IF(E98&lt;=$O113,E124*$Q116/100,IF(E98&lt;=$P113,E124*$R116/100,IF(E98&lt;=$Q113,E124*$S116/100,IF(E98&lt;=$R113,E124*$T116/100,IF(E98&lt;=$S113,E124*$U116/100,IF(E98&lt;=$T113,E124*$V116/100,IF(E98&lt;=$U113,E124*$W116/100,E124*$X116/100)))))))))))))))))))))</f>
        <v>#N/A</v>
      </c>
      <c r="F128" s="360" t="e">
        <f t="shared" si="56"/>
        <v>#N/A</v>
      </c>
      <c r="G128" s="360" t="e">
        <f t="shared" si="56"/>
        <v>#N/A</v>
      </c>
      <c r="H128" s="360" t="e">
        <f t="shared" si="56"/>
        <v>#N/A</v>
      </c>
      <c r="I128" s="360" t="e">
        <f t="shared" si="56"/>
        <v>#N/A</v>
      </c>
      <c r="J128" s="360" t="e">
        <f t="shared" si="56"/>
        <v>#N/A</v>
      </c>
      <c r="K128" s="360" t="e">
        <f t="shared" si="56"/>
        <v>#N/A</v>
      </c>
      <c r="L128" s="360" t="e">
        <f t="shared" si="56"/>
        <v>#N/A</v>
      </c>
      <c r="M128" s="360" t="e">
        <f t="shared" si="56"/>
        <v>#N/A</v>
      </c>
      <c r="N128" s="360" t="e">
        <f t="shared" si="56"/>
        <v>#N/A</v>
      </c>
      <c r="O128" s="360" t="e">
        <f t="shared" si="56"/>
        <v>#N/A</v>
      </c>
      <c r="P128" s="360" t="e">
        <f t="shared" si="56"/>
        <v>#N/A</v>
      </c>
      <c r="Q128" s="360" t="e">
        <f t="shared" si="56"/>
        <v>#N/A</v>
      </c>
      <c r="R128" s="360" t="e">
        <f t="shared" si="56"/>
        <v>#N/A</v>
      </c>
      <c r="S128" s="360" t="e">
        <f t="shared" si="56"/>
        <v>#N/A</v>
      </c>
      <c r="T128" s="360" t="e">
        <f t="shared" si="56"/>
        <v>#N/A</v>
      </c>
      <c r="U128" s="360" t="e">
        <f t="shared" si="56"/>
        <v>#N/A</v>
      </c>
      <c r="V128" s="360" t="e">
        <f t="shared" si="56"/>
        <v>#N/A</v>
      </c>
      <c r="W128" s="360" t="e">
        <f t="shared" si="56"/>
        <v>#N/A</v>
      </c>
      <c r="X128" s="360" t="e">
        <f t="shared" si="56"/>
        <v>#N/A</v>
      </c>
      <c r="Y128" s="360" t="e">
        <f t="shared" si="56"/>
        <v>#N/A</v>
      </c>
      <c r="Z128" s="360" t="e">
        <f t="shared" si="56"/>
        <v>#N/A</v>
      </c>
      <c r="AA128" s="360" t="e">
        <f t="shared" si="56"/>
        <v>#N/A</v>
      </c>
      <c r="AB128" s="360" t="e">
        <f t="shared" si="56"/>
        <v>#N/A</v>
      </c>
      <c r="AC128" s="360" t="e">
        <f t="shared" si="56"/>
        <v>#N/A</v>
      </c>
      <c r="AD128" s="360" t="e">
        <f t="shared" si="56"/>
        <v>#N/A</v>
      </c>
      <c r="AE128" s="360" t="e">
        <f t="shared" si="56"/>
        <v>#N/A</v>
      </c>
      <c r="AF128" s="360" t="e">
        <f t="shared" si="56"/>
        <v>#N/A</v>
      </c>
      <c r="AG128" s="360" t="e">
        <f t="shared" si="56"/>
        <v>#N/A</v>
      </c>
      <c r="AH128" s="360" t="e">
        <f t="shared" si="56"/>
        <v>#N/A</v>
      </c>
      <c r="AI128" s="360" t="e">
        <f t="shared" si="56"/>
        <v>#N/A</v>
      </c>
      <c r="AJ128" s="360" t="e">
        <f t="shared" si="56"/>
        <v>#N/A</v>
      </c>
      <c r="AK128" s="360" t="e">
        <f t="shared" si="56"/>
        <v>#N/A</v>
      </c>
      <c r="AL128" s="360" t="e">
        <f t="shared" si="56"/>
        <v>#N/A</v>
      </c>
      <c r="AM128" s="360" t="e">
        <f t="shared" si="56"/>
        <v>#N/A</v>
      </c>
      <c r="AN128" s="360" t="e">
        <f t="shared" si="56"/>
        <v>#N/A</v>
      </c>
      <c r="AO128" s="360" t="e">
        <f t="shared" si="56"/>
        <v>#N/A</v>
      </c>
      <c r="AP128" s="360" t="e">
        <f t="shared" si="56"/>
        <v>#N/A</v>
      </c>
      <c r="AQ128" s="360" t="e">
        <f t="shared" si="56"/>
        <v>#N/A</v>
      </c>
    </row>
    <row r="129" spans="1:44" s="317" customFormat="1" ht="15" hidden="1" thickBot="1">
      <c r="A129" s="1014" t="s">
        <v>330</v>
      </c>
      <c r="B129" s="1015"/>
      <c r="C129" s="1015"/>
      <c r="E129" s="362" t="e">
        <f>IF(E128="",NA(),ROUND(E126/E128*100,1))</f>
        <v>#N/A</v>
      </c>
      <c r="F129" s="362" t="e">
        <f t="shared" ref="F129:AQ129" si="57">IF(F128="",NA(),ROUND(F126/F128*100,1))</f>
        <v>#N/A</v>
      </c>
      <c r="G129" s="362" t="e">
        <f t="shared" si="57"/>
        <v>#N/A</v>
      </c>
      <c r="H129" s="362" t="e">
        <f t="shared" si="57"/>
        <v>#N/A</v>
      </c>
      <c r="I129" s="362" t="e">
        <f t="shared" si="57"/>
        <v>#N/A</v>
      </c>
      <c r="J129" s="362" t="e">
        <f t="shared" si="57"/>
        <v>#N/A</v>
      </c>
      <c r="K129" s="362" t="e">
        <f t="shared" si="57"/>
        <v>#N/A</v>
      </c>
      <c r="L129" s="362" t="e">
        <f t="shared" si="57"/>
        <v>#N/A</v>
      </c>
      <c r="M129" s="362" t="e">
        <f t="shared" si="57"/>
        <v>#N/A</v>
      </c>
      <c r="N129" s="362" t="e">
        <f t="shared" si="57"/>
        <v>#N/A</v>
      </c>
      <c r="O129" s="362" t="e">
        <f t="shared" si="57"/>
        <v>#N/A</v>
      </c>
      <c r="P129" s="362" t="e">
        <f t="shared" si="57"/>
        <v>#N/A</v>
      </c>
      <c r="Q129" s="362" t="e">
        <f t="shared" si="57"/>
        <v>#N/A</v>
      </c>
      <c r="R129" s="362" t="e">
        <f t="shared" si="57"/>
        <v>#N/A</v>
      </c>
      <c r="S129" s="362" t="e">
        <f t="shared" si="57"/>
        <v>#N/A</v>
      </c>
      <c r="T129" s="362" t="e">
        <f t="shared" si="57"/>
        <v>#N/A</v>
      </c>
      <c r="U129" s="362" t="e">
        <f t="shared" si="57"/>
        <v>#N/A</v>
      </c>
      <c r="V129" s="362" t="e">
        <f t="shared" si="57"/>
        <v>#N/A</v>
      </c>
      <c r="W129" s="362" t="e">
        <f t="shared" si="57"/>
        <v>#N/A</v>
      </c>
      <c r="X129" s="362" t="e">
        <f t="shared" si="57"/>
        <v>#N/A</v>
      </c>
      <c r="Y129" s="362" t="e">
        <f t="shared" si="57"/>
        <v>#N/A</v>
      </c>
      <c r="Z129" s="362" t="e">
        <f t="shared" si="57"/>
        <v>#N/A</v>
      </c>
      <c r="AA129" s="362" t="e">
        <f t="shared" si="57"/>
        <v>#N/A</v>
      </c>
      <c r="AB129" s="362" t="e">
        <f t="shared" si="57"/>
        <v>#N/A</v>
      </c>
      <c r="AC129" s="362" t="e">
        <f t="shared" si="57"/>
        <v>#N/A</v>
      </c>
      <c r="AD129" s="362" t="e">
        <f t="shared" si="57"/>
        <v>#N/A</v>
      </c>
      <c r="AE129" s="362" t="e">
        <f t="shared" si="57"/>
        <v>#N/A</v>
      </c>
      <c r="AF129" s="362" t="e">
        <f t="shared" si="57"/>
        <v>#N/A</v>
      </c>
      <c r="AG129" s="362" t="e">
        <f t="shared" si="57"/>
        <v>#N/A</v>
      </c>
      <c r="AH129" s="362" t="e">
        <f t="shared" si="57"/>
        <v>#N/A</v>
      </c>
      <c r="AI129" s="362" t="e">
        <f t="shared" si="57"/>
        <v>#N/A</v>
      </c>
      <c r="AJ129" s="362" t="e">
        <f t="shared" si="57"/>
        <v>#N/A</v>
      </c>
      <c r="AK129" s="362" t="e">
        <f t="shared" si="57"/>
        <v>#N/A</v>
      </c>
      <c r="AL129" s="362" t="e">
        <f t="shared" si="57"/>
        <v>#N/A</v>
      </c>
      <c r="AM129" s="362" t="e">
        <f t="shared" si="57"/>
        <v>#N/A</v>
      </c>
      <c r="AN129" s="362" t="e">
        <f t="shared" si="57"/>
        <v>#N/A</v>
      </c>
      <c r="AO129" s="362" t="e">
        <f t="shared" si="57"/>
        <v>#N/A</v>
      </c>
      <c r="AP129" s="362" t="e">
        <f t="shared" si="57"/>
        <v>#N/A</v>
      </c>
      <c r="AQ129" s="362" t="e">
        <f t="shared" si="57"/>
        <v>#N/A</v>
      </c>
      <c r="AR129" s="362"/>
    </row>
    <row r="130" spans="1:44" s="317" customFormat="1" ht="14.25" hidden="1"/>
    <row r="131" spans="1:44" s="317" customFormat="1" ht="21" customHeight="1" thickBot="1">
      <c r="A131" s="316" t="s">
        <v>337</v>
      </c>
    </row>
    <row r="132" spans="1:44" s="317" customFormat="1" ht="12.95" customHeight="1" thickBot="1">
      <c r="A132" s="1016" t="s">
        <v>286</v>
      </c>
      <c r="B132" s="1017"/>
      <c r="C132" s="1017"/>
      <c r="D132" s="1022"/>
      <c r="E132" s="1022"/>
      <c r="F132" s="1023"/>
      <c r="H132" s="318" t="s">
        <v>294</v>
      </c>
      <c r="I132" s="1022"/>
      <c r="J132" s="1023"/>
      <c r="L132" s="363" t="s">
        <v>295</v>
      </c>
      <c r="M132" s="1057"/>
      <c r="N132" s="1058"/>
      <c r="O132" s="364"/>
      <c r="P132" s="1059" t="s">
        <v>297</v>
      </c>
      <c r="Q132" s="1060"/>
      <c r="R132" s="365"/>
      <c r="S132" s="365"/>
      <c r="T132" s="365"/>
    </row>
    <row r="133" spans="1:44" s="317" customFormat="1" ht="12.95" customHeight="1" thickBot="1">
      <c r="L133" s="366" t="s">
        <v>296</v>
      </c>
      <c r="M133" s="1061"/>
      <c r="N133" s="1062"/>
      <c r="P133" s="1028"/>
      <c r="Q133" s="1029"/>
      <c r="R133" s="1029"/>
      <c r="S133" s="1029"/>
      <c r="T133" s="1029"/>
      <c r="U133" s="1029"/>
      <c r="V133" s="1029"/>
      <c r="W133" s="1029"/>
      <c r="X133" s="1030"/>
    </row>
    <row r="134" spans="1:44" s="317" customFormat="1" ht="14.25">
      <c r="A134" s="1037" t="s">
        <v>63</v>
      </c>
      <c r="B134" s="1038"/>
      <c r="C134" s="1038"/>
      <c r="D134" s="388" t="s">
        <v>49</v>
      </c>
      <c r="E134" s="388" t="s">
        <v>14</v>
      </c>
      <c r="F134" s="388" t="s">
        <v>16</v>
      </c>
      <c r="G134" s="388" t="s">
        <v>50</v>
      </c>
      <c r="H134" s="388" t="s">
        <v>51</v>
      </c>
      <c r="I134" s="322" t="s">
        <v>54</v>
      </c>
      <c r="J134" s="323" t="s">
        <v>53</v>
      </c>
      <c r="K134" s="324"/>
      <c r="P134" s="1031"/>
      <c r="Q134" s="1032"/>
      <c r="R134" s="1032"/>
      <c r="S134" s="1032"/>
      <c r="T134" s="1032"/>
      <c r="U134" s="1032"/>
      <c r="V134" s="1032"/>
      <c r="W134" s="1032"/>
      <c r="X134" s="1033"/>
      <c r="Z134" s="326"/>
      <c r="AA134" s="326"/>
    </row>
    <row r="135" spans="1:44" s="317" customFormat="1" ht="14.25">
      <c r="A135" s="1011" t="s">
        <v>166</v>
      </c>
      <c r="B135" s="1012"/>
      <c r="C135" s="1012"/>
      <c r="D135" s="373" t="str">
        <f>IF(D136+D137=0,"",D136+D137)</f>
        <v/>
      </c>
      <c r="E135" s="373" t="str">
        <f>IF(E136+E137=0,"",E136+E137)</f>
        <v/>
      </c>
      <c r="F135" s="373" t="str">
        <f>IF(F136+F137=0,"",F136+F137)</f>
        <v/>
      </c>
      <c r="G135" s="373" t="str">
        <f>IF(G136+G137=0,"",G136+G137)</f>
        <v/>
      </c>
      <c r="H135" s="373" t="str">
        <f>IF(H136+H137=0,"",H136+H137)</f>
        <v/>
      </c>
      <c r="I135" s="327"/>
      <c r="J135" s="390" t="str">
        <f>IF(SUM(D135:I135)=0,"",SUM(D135:I135))</f>
        <v/>
      </c>
      <c r="K135" s="324"/>
      <c r="P135" s="1031"/>
      <c r="Q135" s="1032"/>
      <c r="R135" s="1032"/>
      <c r="S135" s="1032"/>
      <c r="T135" s="1032"/>
      <c r="U135" s="1032"/>
      <c r="V135" s="1032"/>
      <c r="W135" s="1032"/>
      <c r="X135" s="1033"/>
      <c r="Z135" s="326"/>
      <c r="AA135" s="326"/>
    </row>
    <row r="136" spans="1:44" s="317" customFormat="1" ht="14.25">
      <c r="A136" s="1011" t="s">
        <v>95</v>
      </c>
      <c r="B136" s="1012"/>
      <c r="C136" s="1012"/>
      <c r="D136" s="393"/>
      <c r="E136" s="393"/>
      <c r="F136" s="393"/>
      <c r="G136" s="393"/>
      <c r="H136" s="393"/>
      <c r="I136" s="327"/>
      <c r="J136" s="390" t="str">
        <f>IF(SUM(D136:I136)=0,"",SUM(D136:I136))</f>
        <v/>
      </c>
      <c r="K136" s="330"/>
      <c r="P136" s="1031"/>
      <c r="Q136" s="1032"/>
      <c r="R136" s="1032"/>
      <c r="S136" s="1032"/>
      <c r="T136" s="1032"/>
      <c r="U136" s="1032"/>
      <c r="V136" s="1032"/>
      <c r="W136" s="1032"/>
      <c r="X136" s="1033"/>
      <c r="Y136" s="1013"/>
      <c r="Z136" s="1013"/>
      <c r="AA136" s="1013"/>
    </row>
    <row r="137" spans="1:44" s="317" customFormat="1" ht="14.25">
      <c r="A137" s="1011" t="s">
        <v>52</v>
      </c>
      <c r="B137" s="1012"/>
      <c r="C137" s="1012"/>
      <c r="D137" s="393"/>
      <c r="E137" s="393"/>
      <c r="F137" s="393"/>
      <c r="G137" s="393"/>
      <c r="H137" s="393"/>
      <c r="I137" s="327"/>
      <c r="J137" s="390" t="str">
        <f>IF(SUM(D137:I137)=0,"",SUM(D137:I137))</f>
        <v/>
      </c>
      <c r="K137" s="330"/>
      <c r="P137" s="1031"/>
      <c r="Q137" s="1032"/>
      <c r="R137" s="1032"/>
      <c r="S137" s="1032"/>
      <c r="T137" s="1032"/>
      <c r="U137" s="1032"/>
      <c r="V137" s="1032"/>
      <c r="W137" s="1032"/>
      <c r="X137" s="1033"/>
      <c r="Y137" s="1013"/>
      <c r="Z137" s="1013"/>
      <c r="AA137" s="1013"/>
    </row>
    <row r="138" spans="1:44" s="317" customFormat="1" ht="15" thickBot="1">
      <c r="A138" s="1014" t="s">
        <v>165</v>
      </c>
      <c r="B138" s="1015"/>
      <c r="C138" s="1015"/>
      <c r="D138" s="394"/>
      <c r="E138" s="394"/>
      <c r="F138" s="394"/>
      <c r="G138" s="394"/>
      <c r="H138" s="394"/>
      <c r="I138" s="391" t="str">
        <f>IF(SUM(E141:AQ141)=0,"",SUM(E141:AQ141))</f>
        <v/>
      </c>
      <c r="J138" s="392" t="str">
        <f>IF(SUM(D138:I138)=0,"",SUM(D138:I138))</f>
        <v/>
      </c>
      <c r="K138" s="330"/>
      <c r="O138" s="364"/>
      <c r="P138" s="1034"/>
      <c r="Q138" s="1035"/>
      <c r="R138" s="1035"/>
      <c r="S138" s="1035"/>
      <c r="T138" s="1035"/>
      <c r="U138" s="1035"/>
      <c r="V138" s="1035"/>
      <c r="W138" s="1035"/>
      <c r="X138" s="1036"/>
      <c r="Y138" s="1013"/>
      <c r="Z138" s="1013"/>
      <c r="AA138" s="1013"/>
    </row>
    <row r="139" spans="1:44" s="317" customFormat="1" ht="10.5" customHeight="1" thickBot="1"/>
    <row r="140" spans="1:44" s="317" customFormat="1" ht="14.25">
      <c r="A140" s="1056" t="s">
        <v>17</v>
      </c>
      <c r="B140" s="1038"/>
      <c r="C140" s="1038"/>
      <c r="D140" s="388">
        <v>1</v>
      </c>
      <c r="E140" s="388">
        <v>2</v>
      </c>
      <c r="F140" s="388">
        <v>3</v>
      </c>
      <c r="G140" s="388">
        <v>4</v>
      </c>
      <c r="H140" s="388">
        <v>5</v>
      </c>
      <c r="I140" s="388">
        <v>6</v>
      </c>
      <c r="J140" s="388">
        <v>7</v>
      </c>
      <c r="K140" s="388">
        <v>8</v>
      </c>
      <c r="L140" s="388">
        <v>9</v>
      </c>
      <c r="M140" s="388">
        <v>10</v>
      </c>
      <c r="N140" s="388">
        <v>11</v>
      </c>
      <c r="O140" s="388">
        <v>12</v>
      </c>
      <c r="P140" s="388">
        <v>13</v>
      </c>
      <c r="Q140" s="388">
        <v>14</v>
      </c>
      <c r="R140" s="388">
        <v>15</v>
      </c>
      <c r="S140" s="388">
        <v>16</v>
      </c>
      <c r="T140" s="388">
        <v>17</v>
      </c>
      <c r="U140" s="388">
        <v>18</v>
      </c>
      <c r="V140" s="388">
        <v>19</v>
      </c>
      <c r="W140" s="388">
        <v>20</v>
      </c>
      <c r="X140" s="388">
        <v>21</v>
      </c>
      <c r="Y140" s="388">
        <v>22</v>
      </c>
      <c r="Z140" s="388">
        <v>23</v>
      </c>
      <c r="AA140" s="388">
        <v>24</v>
      </c>
      <c r="AB140" s="388">
        <v>25</v>
      </c>
      <c r="AC140" s="388">
        <v>26</v>
      </c>
      <c r="AD140" s="388">
        <v>27</v>
      </c>
      <c r="AE140" s="388">
        <v>28</v>
      </c>
      <c r="AF140" s="388">
        <v>29</v>
      </c>
      <c r="AG140" s="388">
        <v>30</v>
      </c>
      <c r="AH140" s="388">
        <v>31</v>
      </c>
      <c r="AI140" s="388">
        <v>32</v>
      </c>
      <c r="AJ140" s="388">
        <v>33</v>
      </c>
      <c r="AK140" s="388">
        <v>34</v>
      </c>
      <c r="AL140" s="388">
        <v>35</v>
      </c>
      <c r="AM140" s="388">
        <v>36</v>
      </c>
      <c r="AN140" s="388">
        <v>37</v>
      </c>
      <c r="AO140" s="388">
        <v>38</v>
      </c>
      <c r="AP140" s="388">
        <v>39</v>
      </c>
      <c r="AQ140" s="323">
        <v>40</v>
      </c>
    </row>
    <row r="141" spans="1:44" s="317" customFormat="1" ht="14.25">
      <c r="A141" s="1011" t="s">
        <v>209</v>
      </c>
      <c r="B141" s="1012"/>
      <c r="C141" s="1012"/>
      <c r="D141" s="387"/>
      <c r="E141" s="329"/>
      <c r="F141" s="329"/>
      <c r="G141" s="329"/>
      <c r="H141" s="329"/>
      <c r="I141" s="329"/>
      <c r="J141" s="329"/>
      <c r="K141" s="329"/>
      <c r="L141" s="329"/>
      <c r="M141" s="329"/>
      <c r="N141" s="329"/>
      <c r="O141" s="329"/>
      <c r="P141" s="329"/>
      <c r="Q141" s="329"/>
      <c r="R141" s="329"/>
      <c r="S141" s="329"/>
      <c r="T141" s="329"/>
      <c r="U141" s="329"/>
      <c r="V141" s="329"/>
      <c r="W141" s="329"/>
      <c r="X141" s="329"/>
      <c r="Y141" s="329"/>
      <c r="Z141" s="329"/>
      <c r="AA141" s="329"/>
      <c r="AB141" s="329"/>
      <c r="AC141" s="329"/>
      <c r="AD141" s="329"/>
      <c r="AE141" s="329"/>
      <c r="AF141" s="329"/>
      <c r="AG141" s="329"/>
      <c r="AH141" s="329"/>
      <c r="AI141" s="329"/>
      <c r="AJ141" s="329"/>
      <c r="AK141" s="329"/>
      <c r="AL141" s="329"/>
      <c r="AM141" s="329"/>
      <c r="AN141" s="329"/>
      <c r="AO141" s="329"/>
      <c r="AP141" s="329"/>
      <c r="AQ141" s="333"/>
    </row>
    <row r="142" spans="1:44" s="317" customFormat="1" ht="14.25">
      <c r="A142" s="1063" t="s">
        <v>1</v>
      </c>
      <c r="B142" s="1064"/>
      <c r="C142" s="1065" t="s">
        <v>65</v>
      </c>
      <c r="D142" s="334"/>
      <c r="E142" s="335"/>
      <c r="F142" s="335"/>
      <c r="G142" s="335"/>
      <c r="H142" s="335"/>
      <c r="I142" s="335"/>
      <c r="J142" s="335"/>
      <c r="K142" s="335"/>
      <c r="L142" s="335"/>
      <c r="M142" s="335"/>
      <c r="N142" s="335"/>
      <c r="O142" s="335"/>
      <c r="P142" s="335"/>
      <c r="Q142" s="335"/>
      <c r="R142" s="335"/>
      <c r="S142" s="335"/>
      <c r="T142" s="335"/>
      <c r="U142" s="335"/>
      <c r="V142" s="335"/>
      <c r="W142" s="335"/>
      <c r="X142" s="335"/>
      <c r="Y142" s="335"/>
      <c r="Z142" s="335"/>
      <c r="AA142" s="335"/>
      <c r="AB142" s="335"/>
      <c r="AC142" s="335"/>
      <c r="AD142" s="335"/>
      <c r="AE142" s="335"/>
      <c r="AF142" s="335"/>
      <c r="AG142" s="335"/>
      <c r="AH142" s="335"/>
      <c r="AI142" s="335"/>
      <c r="AJ142" s="335"/>
      <c r="AK142" s="335"/>
      <c r="AL142" s="336"/>
      <c r="AM142" s="336"/>
      <c r="AN142" s="336"/>
      <c r="AO142" s="335"/>
      <c r="AP142" s="335"/>
      <c r="AQ142" s="337"/>
      <c r="AR142" s="372"/>
    </row>
    <row r="143" spans="1:44" s="317" customFormat="1" ht="14.25">
      <c r="A143" s="1063" t="s">
        <v>2</v>
      </c>
      <c r="B143" s="1064"/>
      <c r="C143" s="1065"/>
      <c r="D143" s="334"/>
      <c r="E143" s="335"/>
      <c r="F143" s="335"/>
      <c r="G143" s="335"/>
      <c r="H143" s="335"/>
      <c r="I143" s="335"/>
      <c r="J143" s="335"/>
      <c r="K143" s="335"/>
      <c r="L143" s="335"/>
      <c r="M143" s="335"/>
      <c r="N143" s="335"/>
      <c r="O143" s="335"/>
      <c r="P143" s="335"/>
      <c r="Q143" s="335"/>
      <c r="R143" s="335"/>
      <c r="S143" s="335"/>
      <c r="T143" s="335"/>
      <c r="U143" s="335"/>
      <c r="V143" s="335"/>
      <c r="W143" s="335"/>
      <c r="X143" s="335"/>
      <c r="Y143" s="335"/>
      <c r="Z143" s="335"/>
      <c r="AA143" s="335"/>
      <c r="AB143" s="335"/>
      <c r="AC143" s="335"/>
      <c r="AD143" s="335"/>
      <c r="AE143" s="335"/>
      <c r="AF143" s="335"/>
      <c r="AG143" s="335"/>
      <c r="AH143" s="335"/>
      <c r="AI143" s="335"/>
      <c r="AJ143" s="335"/>
      <c r="AK143" s="335"/>
      <c r="AL143" s="335"/>
      <c r="AM143" s="335"/>
      <c r="AN143" s="335"/>
      <c r="AO143" s="335"/>
      <c r="AP143" s="338"/>
      <c r="AQ143" s="339"/>
      <c r="AR143" s="372"/>
    </row>
    <row r="144" spans="1:44" s="317" customFormat="1" ht="14.25">
      <c r="A144" s="1011" t="s">
        <v>265</v>
      </c>
      <c r="B144" s="1012"/>
      <c r="C144" s="1012"/>
      <c r="D144" s="340"/>
      <c r="E144" s="341"/>
      <c r="F144" s="341"/>
      <c r="G144" s="341"/>
      <c r="H144" s="341"/>
      <c r="I144" s="341"/>
      <c r="J144" s="341"/>
      <c r="K144" s="341"/>
      <c r="L144" s="341"/>
      <c r="M144" s="341"/>
      <c r="N144" s="341"/>
      <c r="O144" s="341"/>
      <c r="P144" s="341"/>
      <c r="Q144" s="341"/>
      <c r="R144" s="341"/>
      <c r="S144" s="341"/>
      <c r="T144" s="341"/>
      <c r="U144" s="341"/>
      <c r="V144" s="341"/>
      <c r="W144" s="341"/>
      <c r="X144" s="341"/>
      <c r="Y144" s="341"/>
      <c r="Z144" s="341"/>
      <c r="AA144" s="341"/>
      <c r="AB144" s="341"/>
      <c r="AC144" s="341"/>
      <c r="AD144" s="341"/>
      <c r="AE144" s="341"/>
      <c r="AF144" s="341"/>
      <c r="AG144" s="341"/>
      <c r="AH144" s="341"/>
      <c r="AI144" s="341"/>
      <c r="AJ144" s="341"/>
      <c r="AK144" s="341"/>
      <c r="AL144" s="336"/>
      <c r="AM144" s="336"/>
      <c r="AN144" s="336"/>
      <c r="AO144" s="341"/>
      <c r="AP144" s="341"/>
      <c r="AQ144" s="342"/>
    </row>
    <row r="145" spans="1:44" s="317" customFormat="1" ht="14.25">
      <c r="A145" s="1011" t="s">
        <v>302</v>
      </c>
      <c r="B145" s="1012"/>
      <c r="C145" s="1012"/>
      <c r="D145" s="395"/>
      <c r="E145" s="396" t="str">
        <f>IFERROR(E168,"")</f>
        <v/>
      </c>
      <c r="F145" s="396" t="str">
        <f t="shared" ref="F145:AQ145" si="58">IFERROR(F168,"")</f>
        <v/>
      </c>
      <c r="G145" s="396" t="str">
        <f t="shared" si="58"/>
        <v/>
      </c>
      <c r="H145" s="396" t="str">
        <f t="shared" si="58"/>
        <v/>
      </c>
      <c r="I145" s="396" t="str">
        <f t="shared" si="58"/>
        <v/>
      </c>
      <c r="J145" s="396" t="str">
        <f t="shared" si="58"/>
        <v/>
      </c>
      <c r="K145" s="396" t="str">
        <f t="shared" si="58"/>
        <v/>
      </c>
      <c r="L145" s="396" t="str">
        <f t="shared" si="58"/>
        <v/>
      </c>
      <c r="M145" s="396" t="str">
        <f t="shared" si="58"/>
        <v/>
      </c>
      <c r="N145" s="396" t="str">
        <f t="shared" si="58"/>
        <v/>
      </c>
      <c r="O145" s="396" t="str">
        <f t="shared" si="58"/>
        <v/>
      </c>
      <c r="P145" s="396" t="str">
        <f t="shared" si="58"/>
        <v/>
      </c>
      <c r="Q145" s="396" t="str">
        <f t="shared" si="58"/>
        <v/>
      </c>
      <c r="R145" s="396" t="str">
        <f t="shared" si="58"/>
        <v/>
      </c>
      <c r="S145" s="396" t="str">
        <f t="shared" si="58"/>
        <v/>
      </c>
      <c r="T145" s="396" t="str">
        <f t="shared" si="58"/>
        <v/>
      </c>
      <c r="U145" s="396" t="str">
        <f t="shared" si="58"/>
        <v/>
      </c>
      <c r="V145" s="396" t="str">
        <f t="shared" si="58"/>
        <v/>
      </c>
      <c r="W145" s="396" t="str">
        <f t="shared" si="58"/>
        <v/>
      </c>
      <c r="X145" s="396" t="str">
        <f t="shared" si="58"/>
        <v/>
      </c>
      <c r="Y145" s="396" t="str">
        <f t="shared" si="58"/>
        <v/>
      </c>
      <c r="Z145" s="396" t="str">
        <f t="shared" si="58"/>
        <v/>
      </c>
      <c r="AA145" s="396" t="str">
        <f t="shared" si="58"/>
        <v/>
      </c>
      <c r="AB145" s="396" t="str">
        <f t="shared" si="58"/>
        <v/>
      </c>
      <c r="AC145" s="396" t="str">
        <f t="shared" si="58"/>
        <v/>
      </c>
      <c r="AD145" s="396" t="str">
        <f t="shared" si="58"/>
        <v/>
      </c>
      <c r="AE145" s="396" t="str">
        <f t="shared" si="58"/>
        <v/>
      </c>
      <c r="AF145" s="396" t="str">
        <f t="shared" si="58"/>
        <v/>
      </c>
      <c r="AG145" s="396" t="str">
        <f t="shared" si="58"/>
        <v/>
      </c>
      <c r="AH145" s="396" t="str">
        <f t="shared" si="58"/>
        <v/>
      </c>
      <c r="AI145" s="396" t="str">
        <f t="shared" si="58"/>
        <v/>
      </c>
      <c r="AJ145" s="396" t="str">
        <f t="shared" si="58"/>
        <v/>
      </c>
      <c r="AK145" s="396" t="str">
        <f t="shared" si="58"/>
        <v/>
      </c>
      <c r="AL145" s="396" t="str">
        <f t="shared" si="58"/>
        <v/>
      </c>
      <c r="AM145" s="396" t="str">
        <f t="shared" si="58"/>
        <v/>
      </c>
      <c r="AN145" s="396" t="str">
        <f t="shared" si="58"/>
        <v/>
      </c>
      <c r="AO145" s="396" t="str">
        <f t="shared" si="58"/>
        <v/>
      </c>
      <c r="AP145" s="396" t="str">
        <f t="shared" si="58"/>
        <v/>
      </c>
      <c r="AQ145" s="397" t="str">
        <f t="shared" si="58"/>
        <v/>
      </c>
      <c r="AR145" s="372"/>
    </row>
    <row r="146" spans="1:44" s="317" customFormat="1" ht="14.25" customHeight="1">
      <c r="A146" s="1011" t="s">
        <v>303</v>
      </c>
      <c r="B146" s="1012"/>
      <c r="C146" s="1012"/>
      <c r="D146" s="395"/>
      <c r="E146" s="396" t="str">
        <f t="shared" ref="E146:AQ146" si="59">IFERROR(E169,"")</f>
        <v/>
      </c>
      <c r="F146" s="396" t="str">
        <f t="shared" si="59"/>
        <v/>
      </c>
      <c r="G146" s="396" t="str">
        <f t="shared" si="59"/>
        <v/>
      </c>
      <c r="H146" s="396" t="str">
        <f t="shared" si="59"/>
        <v/>
      </c>
      <c r="I146" s="396" t="str">
        <f t="shared" si="59"/>
        <v/>
      </c>
      <c r="J146" s="396" t="str">
        <f t="shared" si="59"/>
        <v/>
      </c>
      <c r="K146" s="396" t="str">
        <f t="shared" si="59"/>
        <v/>
      </c>
      <c r="L146" s="396" t="str">
        <f t="shared" si="59"/>
        <v/>
      </c>
      <c r="M146" s="396" t="str">
        <f t="shared" si="59"/>
        <v/>
      </c>
      <c r="N146" s="396" t="str">
        <f t="shared" si="59"/>
        <v/>
      </c>
      <c r="O146" s="396" t="str">
        <f t="shared" si="59"/>
        <v/>
      </c>
      <c r="P146" s="396" t="str">
        <f t="shared" si="59"/>
        <v/>
      </c>
      <c r="Q146" s="396" t="str">
        <f t="shared" si="59"/>
        <v/>
      </c>
      <c r="R146" s="396" t="str">
        <f t="shared" si="59"/>
        <v/>
      </c>
      <c r="S146" s="396" t="str">
        <f t="shared" si="59"/>
        <v/>
      </c>
      <c r="T146" s="396" t="str">
        <f t="shared" si="59"/>
        <v/>
      </c>
      <c r="U146" s="396" t="str">
        <f t="shared" si="59"/>
        <v/>
      </c>
      <c r="V146" s="396" t="str">
        <f t="shared" si="59"/>
        <v/>
      </c>
      <c r="W146" s="396" t="str">
        <f t="shared" si="59"/>
        <v/>
      </c>
      <c r="X146" s="396" t="str">
        <f t="shared" si="59"/>
        <v/>
      </c>
      <c r="Y146" s="396" t="str">
        <f t="shared" si="59"/>
        <v/>
      </c>
      <c r="Z146" s="396" t="str">
        <f t="shared" si="59"/>
        <v/>
      </c>
      <c r="AA146" s="396" t="str">
        <f t="shared" si="59"/>
        <v/>
      </c>
      <c r="AB146" s="396" t="str">
        <f t="shared" si="59"/>
        <v/>
      </c>
      <c r="AC146" s="396" t="str">
        <f t="shared" si="59"/>
        <v/>
      </c>
      <c r="AD146" s="396" t="str">
        <f t="shared" si="59"/>
        <v/>
      </c>
      <c r="AE146" s="396" t="str">
        <f t="shared" si="59"/>
        <v/>
      </c>
      <c r="AF146" s="396" t="str">
        <f t="shared" si="59"/>
        <v/>
      </c>
      <c r="AG146" s="396" t="str">
        <f t="shared" si="59"/>
        <v/>
      </c>
      <c r="AH146" s="396" t="str">
        <f t="shared" si="59"/>
        <v/>
      </c>
      <c r="AI146" s="396" t="str">
        <f t="shared" si="59"/>
        <v/>
      </c>
      <c r="AJ146" s="396" t="str">
        <f t="shared" si="59"/>
        <v/>
      </c>
      <c r="AK146" s="396" t="str">
        <f t="shared" si="59"/>
        <v/>
      </c>
      <c r="AL146" s="396" t="str">
        <f t="shared" si="59"/>
        <v/>
      </c>
      <c r="AM146" s="396" t="str">
        <f t="shared" si="59"/>
        <v/>
      </c>
      <c r="AN146" s="396" t="str">
        <f t="shared" si="59"/>
        <v/>
      </c>
      <c r="AO146" s="396" t="str">
        <f t="shared" si="59"/>
        <v/>
      </c>
      <c r="AP146" s="396" t="str">
        <f t="shared" si="59"/>
        <v/>
      </c>
      <c r="AQ146" s="397" t="str">
        <f t="shared" si="59"/>
        <v/>
      </c>
      <c r="AR146" s="372"/>
    </row>
    <row r="147" spans="1:44" s="317" customFormat="1" ht="14.25">
      <c r="A147" s="1011" t="s">
        <v>304</v>
      </c>
      <c r="B147" s="1012"/>
      <c r="C147" s="1012"/>
      <c r="D147" s="395"/>
      <c r="E147" s="396" t="str">
        <f t="shared" ref="E147:AQ147" si="60">IFERROR(E170,"")</f>
        <v/>
      </c>
      <c r="F147" s="396" t="str">
        <f t="shared" si="60"/>
        <v/>
      </c>
      <c r="G147" s="396" t="str">
        <f t="shared" si="60"/>
        <v/>
      </c>
      <c r="H147" s="396" t="str">
        <f t="shared" si="60"/>
        <v/>
      </c>
      <c r="I147" s="396" t="str">
        <f t="shared" si="60"/>
        <v/>
      </c>
      <c r="J147" s="396" t="str">
        <f t="shared" si="60"/>
        <v/>
      </c>
      <c r="K147" s="396" t="str">
        <f t="shared" si="60"/>
        <v/>
      </c>
      <c r="L147" s="396" t="str">
        <f t="shared" si="60"/>
        <v/>
      </c>
      <c r="M147" s="396" t="str">
        <f t="shared" si="60"/>
        <v/>
      </c>
      <c r="N147" s="396" t="str">
        <f t="shared" si="60"/>
        <v/>
      </c>
      <c r="O147" s="396" t="str">
        <f t="shared" si="60"/>
        <v/>
      </c>
      <c r="P147" s="396" t="str">
        <f t="shared" si="60"/>
        <v/>
      </c>
      <c r="Q147" s="396" t="str">
        <f t="shared" si="60"/>
        <v/>
      </c>
      <c r="R147" s="396" t="str">
        <f t="shared" si="60"/>
        <v/>
      </c>
      <c r="S147" s="396" t="str">
        <f t="shared" si="60"/>
        <v/>
      </c>
      <c r="T147" s="396" t="str">
        <f t="shared" si="60"/>
        <v/>
      </c>
      <c r="U147" s="396" t="str">
        <f t="shared" si="60"/>
        <v/>
      </c>
      <c r="V147" s="396" t="str">
        <f t="shared" si="60"/>
        <v/>
      </c>
      <c r="W147" s="396" t="str">
        <f t="shared" si="60"/>
        <v/>
      </c>
      <c r="X147" s="396" t="str">
        <f t="shared" si="60"/>
        <v/>
      </c>
      <c r="Y147" s="396" t="str">
        <f t="shared" si="60"/>
        <v/>
      </c>
      <c r="Z147" s="396" t="str">
        <f t="shared" si="60"/>
        <v/>
      </c>
      <c r="AA147" s="396" t="str">
        <f t="shared" si="60"/>
        <v/>
      </c>
      <c r="AB147" s="396" t="str">
        <f t="shared" si="60"/>
        <v/>
      </c>
      <c r="AC147" s="396" t="str">
        <f t="shared" si="60"/>
        <v/>
      </c>
      <c r="AD147" s="396" t="str">
        <f t="shared" si="60"/>
        <v/>
      </c>
      <c r="AE147" s="396" t="str">
        <f t="shared" si="60"/>
        <v/>
      </c>
      <c r="AF147" s="396" t="str">
        <f t="shared" si="60"/>
        <v/>
      </c>
      <c r="AG147" s="396" t="str">
        <f t="shared" si="60"/>
        <v/>
      </c>
      <c r="AH147" s="396" t="str">
        <f t="shared" si="60"/>
        <v/>
      </c>
      <c r="AI147" s="396" t="str">
        <f t="shared" si="60"/>
        <v/>
      </c>
      <c r="AJ147" s="396" t="str">
        <f t="shared" si="60"/>
        <v/>
      </c>
      <c r="AK147" s="396" t="str">
        <f t="shared" si="60"/>
        <v/>
      </c>
      <c r="AL147" s="396" t="str">
        <f t="shared" si="60"/>
        <v/>
      </c>
      <c r="AM147" s="396" t="str">
        <f t="shared" si="60"/>
        <v/>
      </c>
      <c r="AN147" s="396" t="str">
        <f t="shared" si="60"/>
        <v/>
      </c>
      <c r="AO147" s="396" t="str">
        <f t="shared" si="60"/>
        <v/>
      </c>
      <c r="AP147" s="396" t="str">
        <f t="shared" si="60"/>
        <v/>
      </c>
      <c r="AQ147" s="397" t="str">
        <f t="shared" si="60"/>
        <v/>
      </c>
      <c r="AR147" s="372"/>
    </row>
    <row r="148" spans="1:44" s="317" customFormat="1" ht="14.25">
      <c r="A148" s="1067" t="s">
        <v>305</v>
      </c>
      <c r="B148" s="1068"/>
      <c r="C148" s="1068"/>
      <c r="D148" s="395"/>
      <c r="E148" s="396" t="str">
        <f t="shared" ref="E148:AQ148" si="61">IFERROR(E171,"")</f>
        <v/>
      </c>
      <c r="F148" s="396" t="str">
        <f t="shared" si="61"/>
        <v/>
      </c>
      <c r="G148" s="396" t="str">
        <f t="shared" si="61"/>
        <v/>
      </c>
      <c r="H148" s="396" t="str">
        <f t="shared" si="61"/>
        <v/>
      </c>
      <c r="I148" s="396" t="str">
        <f t="shared" si="61"/>
        <v/>
      </c>
      <c r="J148" s="396" t="str">
        <f t="shared" si="61"/>
        <v/>
      </c>
      <c r="K148" s="396" t="str">
        <f t="shared" si="61"/>
        <v/>
      </c>
      <c r="L148" s="396" t="str">
        <f t="shared" si="61"/>
        <v/>
      </c>
      <c r="M148" s="396" t="str">
        <f t="shared" si="61"/>
        <v/>
      </c>
      <c r="N148" s="396" t="str">
        <f t="shared" si="61"/>
        <v/>
      </c>
      <c r="O148" s="396" t="str">
        <f t="shared" si="61"/>
        <v/>
      </c>
      <c r="P148" s="396" t="str">
        <f t="shared" si="61"/>
        <v/>
      </c>
      <c r="Q148" s="396" t="str">
        <f t="shared" si="61"/>
        <v/>
      </c>
      <c r="R148" s="396" t="str">
        <f t="shared" si="61"/>
        <v/>
      </c>
      <c r="S148" s="396" t="str">
        <f t="shared" si="61"/>
        <v/>
      </c>
      <c r="T148" s="396" t="str">
        <f t="shared" si="61"/>
        <v/>
      </c>
      <c r="U148" s="396" t="str">
        <f t="shared" si="61"/>
        <v/>
      </c>
      <c r="V148" s="396" t="str">
        <f t="shared" si="61"/>
        <v/>
      </c>
      <c r="W148" s="396" t="str">
        <f t="shared" si="61"/>
        <v/>
      </c>
      <c r="X148" s="396" t="str">
        <f t="shared" si="61"/>
        <v/>
      </c>
      <c r="Y148" s="396" t="str">
        <f t="shared" si="61"/>
        <v/>
      </c>
      <c r="Z148" s="396" t="str">
        <f t="shared" si="61"/>
        <v/>
      </c>
      <c r="AA148" s="396" t="str">
        <f t="shared" si="61"/>
        <v/>
      </c>
      <c r="AB148" s="396" t="str">
        <f t="shared" si="61"/>
        <v/>
      </c>
      <c r="AC148" s="396" t="str">
        <f t="shared" si="61"/>
        <v/>
      </c>
      <c r="AD148" s="396" t="str">
        <f t="shared" si="61"/>
        <v/>
      </c>
      <c r="AE148" s="396" t="str">
        <f t="shared" si="61"/>
        <v/>
      </c>
      <c r="AF148" s="396" t="str">
        <f t="shared" si="61"/>
        <v/>
      </c>
      <c r="AG148" s="396" t="str">
        <f t="shared" si="61"/>
        <v/>
      </c>
      <c r="AH148" s="396" t="str">
        <f t="shared" si="61"/>
        <v/>
      </c>
      <c r="AI148" s="396" t="str">
        <f t="shared" si="61"/>
        <v/>
      </c>
      <c r="AJ148" s="396" t="str">
        <f t="shared" si="61"/>
        <v/>
      </c>
      <c r="AK148" s="396" t="str">
        <f t="shared" si="61"/>
        <v/>
      </c>
      <c r="AL148" s="396" t="str">
        <f t="shared" si="61"/>
        <v/>
      </c>
      <c r="AM148" s="396" t="str">
        <f t="shared" si="61"/>
        <v/>
      </c>
      <c r="AN148" s="396" t="str">
        <f t="shared" si="61"/>
        <v/>
      </c>
      <c r="AO148" s="396" t="str">
        <f t="shared" si="61"/>
        <v/>
      </c>
      <c r="AP148" s="396" t="str">
        <f t="shared" si="61"/>
        <v/>
      </c>
      <c r="AQ148" s="397" t="str">
        <f t="shared" si="61"/>
        <v/>
      </c>
      <c r="AR148" s="372"/>
    </row>
    <row r="149" spans="1:44" s="317" customFormat="1" ht="14.25" hidden="1">
      <c r="A149" s="1011" t="s">
        <v>352</v>
      </c>
      <c r="B149" s="1012"/>
      <c r="C149" s="1012"/>
      <c r="D149" s="400"/>
      <c r="E149" s="401">
        <f t="shared" ref="E149:AQ149" si="62">IF(E141="",0,E141)</f>
        <v>0</v>
      </c>
      <c r="F149" s="401">
        <f t="shared" si="62"/>
        <v>0</v>
      </c>
      <c r="G149" s="401">
        <f t="shared" si="62"/>
        <v>0</v>
      </c>
      <c r="H149" s="401">
        <f t="shared" si="62"/>
        <v>0</v>
      </c>
      <c r="I149" s="401">
        <f t="shared" si="62"/>
        <v>0</v>
      </c>
      <c r="J149" s="401">
        <f t="shared" si="62"/>
        <v>0</v>
      </c>
      <c r="K149" s="401">
        <f t="shared" si="62"/>
        <v>0</v>
      </c>
      <c r="L149" s="401">
        <f t="shared" si="62"/>
        <v>0</v>
      </c>
      <c r="M149" s="401">
        <f t="shared" si="62"/>
        <v>0</v>
      </c>
      <c r="N149" s="401">
        <f t="shared" si="62"/>
        <v>0</v>
      </c>
      <c r="O149" s="401">
        <f t="shared" si="62"/>
        <v>0</v>
      </c>
      <c r="P149" s="401">
        <f t="shared" si="62"/>
        <v>0</v>
      </c>
      <c r="Q149" s="401">
        <f t="shared" si="62"/>
        <v>0</v>
      </c>
      <c r="R149" s="401">
        <f t="shared" si="62"/>
        <v>0</v>
      </c>
      <c r="S149" s="401">
        <f t="shared" si="62"/>
        <v>0</v>
      </c>
      <c r="T149" s="401">
        <f t="shared" si="62"/>
        <v>0</v>
      </c>
      <c r="U149" s="401">
        <f t="shared" si="62"/>
        <v>0</v>
      </c>
      <c r="V149" s="401">
        <f t="shared" si="62"/>
        <v>0</v>
      </c>
      <c r="W149" s="401">
        <f t="shared" si="62"/>
        <v>0</v>
      </c>
      <c r="X149" s="401">
        <f t="shared" si="62"/>
        <v>0</v>
      </c>
      <c r="Y149" s="401">
        <f t="shared" si="62"/>
        <v>0</v>
      </c>
      <c r="Z149" s="401">
        <f t="shared" si="62"/>
        <v>0</v>
      </c>
      <c r="AA149" s="401">
        <f t="shared" si="62"/>
        <v>0</v>
      </c>
      <c r="AB149" s="401">
        <f t="shared" si="62"/>
        <v>0</v>
      </c>
      <c r="AC149" s="401">
        <f t="shared" si="62"/>
        <v>0</v>
      </c>
      <c r="AD149" s="401">
        <f t="shared" si="62"/>
        <v>0</v>
      </c>
      <c r="AE149" s="401">
        <f t="shared" si="62"/>
        <v>0</v>
      </c>
      <c r="AF149" s="401">
        <f t="shared" si="62"/>
        <v>0</v>
      </c>
      <c r="AG149" s="401">
        <f t="shared" si="62"/>
        <v>0</v>
      </c>
      <c r="AH149" s="401">
        <f t="shared" si="62"/>
        <v>0</v>
      </c>
      <c r="AI149" s="401">
        <f t="shared" si="62"/>
        <v>0</v>
      </c>
      <c r="AJ149" s="401">
        <f t="shared" si="62"/>
        <v>0</v>
      </c>
      <c r="AK149" s="401">
        <f t="shared" si="62"/>
        <v>0</v>
      </c>
      <c r="AL149" s="401">
        <f t="shared" si="62"/>
        <v>0</v>
      </c>
      <c r="AM149" s="401">
        <f t="shared" si="62"/>
        <v>0</v>
      </c>
      <c r="AN149" s="401">
        <f t="shared" si="62"/>
        <v>0</v>
      </c>
      <c r="AO149" s="401">
        <f t="shared" si="62"/>
        <v>0</v>
      </c>
      <c r="AP149" s="401">
        <f t="shared" si="62"/>
        <v>0</v>
      </c>
      <c r="AQ149" s="402">
        <f t="shared" si="62"/>
        <v>0</v>
      </c>
      <c r="AR149" s="86"/>
    </row>
    <row r="150" spans="1:44" s="317" customFormat="1" ht="14.25" hidden="1">
      <c r="A150" s="594" t="s">
        <v>343</v>
      </c>
      <c r="B150" s="521"/>
      <c r="C150" s="723"/>
      <c r="D150" s="403">
        <f>SUM(D138:G138)</f>
        <v>0</v>
      </c>
      <c r="E150" s="404">
        <f t="shared" ref="E150:AQ150" si="63">D150+D149</f>
        <v>0</v>
      </c>
      <c r="F150" s="404">
        <f t="shared" si="63"/>
        <v>0</v>
      </c>
      <c r="G150" s="404">
        <f t="shared" si="63"/>
        <v>0</v>
      </c>
      <c r="H150" s="404">
        <f t="shared" si="63"/>
        <v>0</v>
      </c>
      <c r="I150" s="404">
        <f t="shared" si="63"/>
        <v>0</v>
      </c>
      <c r="J150" s="404">
        <f t="shared" si="63"/>
        <v>0</v>
      </c>
      <c r="K150" s="404">
        <f t="shared" si="63"/>
        <v>0</v>
      </c>
      <c r="L150" s="404">
        <f t="shared" si="63"/>
        <v>0</v>
      </c>
      <c r="M150" s="404">
        <f t="shared" si="63"/>
        <v>0</v>
      </c>
      <c r="N150" s="404">
        <f t="shared" si="63"/>
        <v>0</v>
      </c>
      <c r="O150" s="404">
        <f t="shared" si="63"/>
        <v>0</v>
      </c>
      <c r="P150" s="404">
        <f t="shared" si="63"/>
        <v>0</v>
      </c>
      <c r="Q150" s="404">
        <f t="shared" si="63"/>
        <v>0</v>
      </c>
      <c r="R150" s="404">
        <f t="shared" si="63"/>
        <v>0</v>
      </c>
      <c r="S150" s="404">
        <f t="shared" si="63"/>
        <v>0</v>
      </c>
      <c r="T150" s="404">
        <f t="shared" si="63"/>
        <v>0</v>
      </c>
      <c r="U150" s="404">
        <f t="shared" si="63"/>
        <v>0</v>
      </c>
      <c r="V150" s="404">
        <f t="shared" si="63"/>
        <v>0</v>
      </c>
      <c r="W150" s="404">
        <f t="shared" si="63"/>
        <v>0</v>
      </c>
      <c r="X150" s="404">
        <f t="shared" si="63"/>
        <v>0</v>
      </c>
      <c r="Y150" s="404">
        <f t="shared" si="63"/>
        <v>0</v>
      </c>
      <c r="Z150" s="404">
        <f t="shared" si="63"/>
        <v>0</v>
      </c>
      <c r="AA150" s="404">
        <f t="shared" si="63"/>
        <v>0</v>
      </c>
      <c r="AB150" s="404">
        <f t="shared" si="63"/>
        <v>0</v>
      </c>
      <c r="AC150" s="404">
        <f t="shared" si="63"/>
        <v>0</v>
      </c>
      <c r="AD150" s="404">
        <f t="shared" si="63"/>
        <v>0</v>
      </c>
      <c r="AE150" s="404">
        <f t="shared" si="63"/>
        <v>0</v>
      </c>
      <c r="AF150" s="404">
        <f t="shared" si="63"/>
        <v>0</v>
      </c>
      <c r="AG150" s="404">
        <f t="shared" si="63"/>
        <v>0</v>
      </c>
      <c r="AH150" s="404">
        <f t="shared" si="63"/>
        <v>0</v>
      </c>
      <c r="AI150" s="404">
        <f t="shared" si="63"/>
        <v>0</v>
      </c>
      <c r="AJ150" s="404">
        <f t="shared" si="63"/>
        <v>0</v>
      </c>
      <c r="AK150" s="404">
        <f t="shared" si="63"/>
        <v>0</v>
      </c>
      <c r="AL150" s="404">
        <f t="shared" si="63"/>
        <v>0</v>
      </c>
      <c r="AM150" s="404">
        <f t="shared" si="63"/>
        <v>0</v>
      </c>
      <c r="AN150" s="404">
        <f t="shared" si="63"/>
        <v>0</v>
      </c>
      <c r="AO150" s="404">
        <f t="shared" si="63"/>
        <v>0</v>
      </c>
      <c r="AP150" s="404">
        <f t="shared" si="63"/>
        <v>0</v>
      </c>
      <c r="AQ150" s="405">
        <f t="shared" si="63"/>
        <v>0</v>
      </c>
      <c r="AR150"/>
    </row>
    <row r="151" spans="1:44" s="317" customFormat="1" ht="14.25" hidden="1">
      <c r="A151" s="594" t="s">
        <v>344</v>
      </c>
      <c r="B151" s="521"/>
      <c r="C151" s="723"/>
      <c r="D151" s="406" t="e">
        <f t="shared" ref="D151:AQ151" si="64">(D150)/SUM($D135:$G135)*100</f>
        <v>#DIV/0!</v>
      </c>
      <c r="E151" s="406" t="e">
        <f t="shared" si="64"/>
        <v>#DIV/0!</v>
      </c>
      <c r="F151" s="406" t="e">
        <f t="shared" si="64"/>
        <v>#DIV/0!</v>
      </c>
      <c r="G151" s="406" t="e">
        <f t="shared" si="64"/>
        <v>#DIV/0!</v>
      </c>
      <c r="H151" s="406" t="e">
        <f t="shared" si="64"/>
        <v>#DIV/0!</v>
      </c>
      <c r="I151" s="406" t="e">
        <f t="shared" si="64"/>
        <v>#DIV/0!</v>
      </c>
      <c r="J151" s="406" t="e">
        <f t="shared" si="64"/>
        <v>#DIV/0!</v>
      </c>
      <c r="K151" s="406" t="e">
        <f t="shared" si="64"/>
        <v>#DIV/0!</v>
      </c>
      <c r="L151" s="406" t="e">
        <f t="shared" si="64"/>
        <v>#DIV/0!</v>
      </c>
      <c r="M151" s="406" t="e">
        <f t="shared" si="64"/>
        <v>#DIV/0!</v>
      </c>
      <c r="N151" s="406" t="e">
        <f t="shared" si="64"/>
        <v>#DIV/0!</v>
      </c>
      <c r="O151" s="406" t="e">
        <f t="shared" si="64"/>
        <v>#DIV/0!</v>
      </c>
      <c r="P151" s="406" t="e">
        <f t="shared" si="64"/>
        <v>#DIV/0!</v>
      </c>
      <c r="Q151" s="406" t="e">
        <f t="shared" si="64"/>
        <v>#DIV/0!</v>
      </c>
      <c r="R151" s="406" t="e">
        <f t="shared" si="64"/>
        <v>#DIV/0!</v>
      </c>
      <c r="S151" s="406" t="e">
        <f t="shared" si="64"/>
        <v>#DIV/0!</v>
      </c>
      <c r="T151" s="406" t="e">
        <f t="shared" si="64"/>
        <v>#DIV/0!</v>
      </c>
      <c r="U151" s="406" t="e">
        <f t="shared" si="64"/>
        <v>#DIV/0!</v>
      </c>
      <c r="V151" s="406" t="e">
        <f t="shared" si="64"/>
        <v>#DIV/0!</v>
      </c>
      <c r="W151" s="406" t="e">
        <f t="shared" si="64"/>
        <v>#DIV/0!</v>
      </c>
      <c r="X151" s="406" t="e">
        <f t="shared" si="64"/>
        <v>#DIV/0!</v>
      </c>
      <c r="Y151" s="406" t="e">
        <f t="shared" si="64"/>
        <v>#DIV/0!</v>
      </c>
      <c r="Z151" s="406" t="e">
        <f t="shared" si="64"/>
        <v>#DIV/0!</v>
      </c>
      <c r="AA151" s="406" t="e">
        <f t="shared" si="64"/>
        <v>#DIV/0!</v>
      </c>
      <c r="AB151" s="406" t="e">
        <f t="shared" si="64"/>
        <v>#DIV/0!</v>
      </c>
      <c r="AC151" s="406" t="e">
        <f t="shared" si="64"/>
        <v>#DIV/0!</v>
      </c>
      <c r="AD151" s="406" t="e">
        <f t="shared" si="64"/>
        <v>#DIV/0!</v>
      </c>
      <c r="AE151" s="406" t="e">
        <f t="shared" si="64"/>
        <v>#DIV/0!</v>
      </c>
      <c r="AF151" s="406" t="e">
        <f t="shared" si="64"/>
        <v>#DIV/0!</v>
      </c>
      <c r="AG151" s="406" t="e">
        <f t="shared" si="64"/>
        <v>#DIV/0!</v>
      </c>
      <c r="AH151" s="406" t="e">
        <f t="shared" si="64"/>
        <v>#DIV/0!</v>
      </c>
      <c r="AI151" s="406" t="e">
        <f t="shared" si="64"/>
        <v>#DIV/0!</v>
      </c>
      <c r="AJ151" s="406" t="e">
        <f t="shared" si="64"/>
        <v>#DIV/0!</v>
      </c>
      <c r="AK151" s="406" t="e">
        <f t="shared" si="64"/>
        <v>#DIV/0!</v>
      </c>
      <c r="AL151" s="406" t="e">
        <f t="shared" si="64"/>
        <v>#DIV/0!</v>
      </c>
      <c r="AM151" s="406" t="e">
        <f t="shared" si="64"/>
        <v>#DIV/0!</v>
      </c>
      <c r="AN151" s="406" t="e">
        <f t="shared" si="64"/>
        <v>#DIV/0!</v>
      </c>
      <c r="AO151" s="406" t="e">
        <f t="shared" si="64"/>
        <v>#DIV/0!</v>
      </c>
      <c r="AP151" s="406" t="e">
        <f t="shared" si="64"/>
        <v>#DIV/0!</v>
      </c>
      <c r="AQ151" s="407" t="e">
        <f t="shared" si="64"/>
        <v>#DIV/0!</v>
      </c>
      <c r="AR151"/>
    </row>
    <row r="152" spans="1:44" s="317" customFormat="1" ht="15" thickBot="1">
      <c r="A152" s="1066" t="s">
        <v>344</v>
      </c>
      <c r="B152" s="765"/>
      <c r="C152" s="766"/>
      <c r="D152" s="411" t="str">
        <f t="shared" ref="D152:AQ152" si="65">IFERROR(D151,"")</f>
        <v/>
      </c>
      <c r="E152" s="409" t="str">
        <f t="shared" si="65"/>
        <v/>
      </c>
      <c r="F152" s="409" t="str">
        <f t="shared" si="65"/>
        <v/>
      </c>
      <c r="G152" s="409" t="str">
        <f t="shared" si="65"/>
        <v/>
      </c>
      <c r="H152" s="409" t="str">
        <f t="shared" si="65"/>
        <v/>
      </c>
      <c r="I152" s="409" t="str">
        <f t="shared" si="65"/>
        <v/>
      </c>
      <c r="J152" s="409" t="str">
        <f t="shared" si="65"/>
        <v/>
      </c>
      <c r="K152" s="409" t="str">
        <f t="shared" si="65"/>
        <v/>
      </c>
      <c r="L152" s="409" t="str">
        <f t="shared" si="65"/>
        <v/>
      </c>
      <c r="M152" s="409" t="str">
        <f t="shared" si="65"/>
        <v/>
      </c>
      <c r="N152" s="409" t="str">
        <f t="shared" si="65"/>
        <v/>
      </c>
      <c r="O152" s="409" t="str">
        <f t="shared" si="65"/>
        <v/>
      </c>
      <c r="P152" s="409" t="str">
        <f t="shared" si="65"/>
        <v/>
      </c>
      <c r="Q152" s="409" t="str">
        <f t="shared" si="65"/>
        <v/>
      </c>
      <c r="R152" s="409" t="str">
        <f t="shared" si="65"/>
        <v/>
      </c>
      <c r="S152" s="409" t="str">
        <f t="shared" si="65"/>
        <v/>
      </c>
      <c r="T152" s="409" t="str">
        <f t="shared" si="65"/>
        <v/>
      </c>
      <c r="U152" s="409" t="str">
        <f t="shared" si="65"/>
        <v/>
      </c>
      <c r="V152" s="409" t="str">
        <f t="shared" si="65"/>
        <v/>
      </c>
      <c r="W152" s="409" t="str">
        <f t="shared" si="65"/>
        <v/>
      </c>
      <c r="X152" s="409" t="str">
        <f t="shared" si="65"/>
        <v/>
      </c>
      <c r="Y152" s="409" t="str">
        <f t="shared" si="65"/>
        <v/>
      </c>
      <c r="Z152" s="409" t="str">
        <f t="shared" si="65"/>
        <v/>
      </c>
      <c r="AA152" s="409" t="str">
        <f t="shared" si="65"/>
        <v/>
      </c>
      <c r="AB152" s="409" t="str">
        <f t="shared" si="65"/>
        <v/>
      </c>
      <c r="AC152" s="409" t="str">
        <f t="shared" si="65"/>
        <v/>
      </c>
      <c r="AD152" s="409" t="str">
        <f t="shared" si="65"/>
        <v/>
      </c>
      <c r="AE152" s="409" t="str">
        <f t="shared" si="65"/>
        <v/>
      </c>
      <c r="AF152" s="409" t="str">
        <f t="shared" si="65"/>
        <v/>
      </c>
      <c r="AG152" s="409" t="str">
        <f t="shared" si="65"/>
        <v/>
      </c>
      <c r="AH152" s="409" t="str">
        <f t="shared" si="65"/>
        <v/>
      </c>
      <c r="AI152" s="409" t="str">
        <f t="shared" si="65"/>
        <v/>
      </c>
      <c r="AJ152" s="409" t="str">
        <f t="shared" si="65"/>
        <v/>
      </c>
      <c r="AK152" s="409" t="str">
        <f t="shared" si="65"/>
        <v/>
      </c>
      <c r="AL152" s="409" t="str">
        <f t="shared" si="65"/>
        <v/>
      </c>
      <c r="AM152" s="409" t="str">
        <f t="shared" si="65"/>
        <v/>
      </c>
      <c r="AN152" s="409" t="str">
        <f t="shared" si="65"/>
        <v/>
      </c>
      <c r="AO152" s="409" t="str">
        <f t="shared" si="65"/>
        <v/>
      </c>
      <c r="AP152" s="409" t="str">
        <f t="shared" si="65"/>
        <v/>
      </c>
      <c r="AQ152" s="410" t="str">
        <f t="shared" si="65"/>
        <v/>
      </c>
      <c r="AR152" s="86"/>
    </row>
    <row r="153" spans="1:44">
      <c r="A153" s="86"/>
      <c r="B153" s="86"/>
      <c r="C153" s="86"/>
      <c r="D153" s="86"/>
    </row>
    <row r="154" spans="1:44" s="317" customFormat="1" ht="14.25" hidden="1">
      <c r="A154" s="386"/>
      <c r="B154" s="386" t="s">
        <v>175</v>
      </c>
      <c r="C154" s="386" t="s">
        <v>176</v>
      </c>
      <c r="D154" s="349" t="s">
        <v>177</v>
      </c>
      <c r="E154" s="346" t="s">
        <v>178</v>
      </c>
      <c r="F154" s="346" t="s">
        <v>179</v>
      </c>
      <c r="G154" s="346" t="s">
        <v>180</v>
      </c>
      <c r="H154" s="346" t="s">
        <v>181</v>
      </c>
      <c r="I154" s="346" t="s">
        <v>182</v>
      </c>
      <c r="J154" s="346" t="s">
        <v>183</v>
      </c>
      <c r="K154" s="346" t="s">
        <v>184</v>
      </c>
      <c r="L154" s="346" t="s">
        <v>306</v>
      </c>
      <c r="M154" s="346" t="s">
        <v>307</v>
      </c>
      <c r="N154" s="346" t="s">
        <v>308</v>
      </c>
      <c r="O154" s="346" t="s">
        <v>309</v>
      </c>
      <c r="P154" s="346" t="s">
        <v>310</v>
      </c>
      <c r="Q154" s="346" t="s">
        <v>311</v>
      </c>
      <c r="R154" s="346" t="s">
        <v>312</v>
      </c>
      <c r="S154" s="346" t="s">
        <v>313</v>
      </c>
      <c r="T154" s="346" t="s">
        <v>314</v>
      </c>
      <c r="U154" s="346" t="s">
        <v>315</v>
      </c>
    </row>
    <row r="155" spans="1:44" s="317" customFormat="1" ht="14.25" hidden="1">
      <c r="A155" s="348" t="s">
        <v>185</v>
      </c>
      <c r="B155" s="348" t="str">
        <f t="array" aca="1" ref="B155" ca="1">IFERROR(OFFSET(INDEX(141:141,SMALL(IF(141:141&lt;&gt;"",COLUMN(141:141)),COLUMN())),-1,0),"")</f>
        <v/>
      </c>
      <c r="C155" s="348" t="str">
        <f t="array" aca="1" ref="C155" ca="1">IFERROR(OFFSET(INDEX(141:141,SMALL(IF(141:141&lt;&gt;"",COLUMN(141:141)),COLUMN())),-1,0),"")</f>
        <v/>
      </c>
      <c r="D155" s="348" t="str">
        <f t="array" aca="1" ref="D155" ca="1">IFERROR(OFFSET(INDEX(141:141,SMALL(IF(141:141&lt;&gt;"",COLUMN(141:141)),COLUMN())),-1,0),"")</f>
        <v/>
      </c>
      <c r="E155" s="348" t="str">
        <f t="array" aca="1" ref="E155" ca="1">IFERROR(OFFSET(INDEX(141:141,SMALL(IF(141:141&lt;&gt;"",COLUMN(141:141)),COLUMN())),-1,0),"")</f>
        <v/>
      </c>
      <c r="F155" s="348" t="str">
        <f t="array" aca="1" ref="F155" ca="1">IFERROR(OFFSET(INDEX(141:141,SMALL(IF(141:141&lt;&gt;"",COLUMN(141:141)),COLUMN())),-1,0),"")</f>
        <v/>
      </c>
      <c r="G155" s="348" t="str">
        <f t="array" aca="1" ref="G155" ca="1">IFERROR(OFFSET(INDEX(141:141,SMALL(IF(141:141&lt;&gt;"",COLUMN(141:141)),COLUMN())),-1,0),"")</f>
        <v/>
      </c>
      <c r="H155" s="348" t="str">
        <f t="array" aca="1" ref="H155" ca="1">IFERROR(OFFSET(INDEX(141:141,SMALL(IF(141:141&lt;&gt;"",COLUMN(141:141)),COLUMN())),-1,0),"")</f>
        <v/>
      </c>
      <c r="I155" s="348" t="str">
        <f t="array" aca="1" ref="I155" ca="1">IFERROR(OFFSET(INDEX(141:141,SMALL(IF(141:141&lt;&gt;"",COLUMN(141:141)),COLUMN())),-1,0),"")</f>
        <v/>
      </c>
      <c r="J155" s="348" t="str">
        <f t="array" aca="1" ref="J155" ca="1">IFERROR(OFFSET(INDEX(141:141,SMALL(IF(141:141&lt;&gt;"",COLUMN(141:141)),COLUMN())),-1,0),"")</f>
        <v/>
      </c>
      <c r="K155" s="348" t="str">
        <f t="array" aca="1" ref="K155" ca="1">IFERROR(OFFSET(INDEX(141:141,SMALL(IF(141:141&lt;&gt;"",COLUMN(141:141)),COLUMN())),-1,0),"")</f>
        <v/>
      </c>
      <c r="L155" s="348" t="str">
        <f t="array" aca="1" ref="L155" ca="1">IFERROR(OFFSET(INDEX(141:141,SMALL(IF(141:141&lt;&gt;"",COLUMN(141:141)),COLUMN())),-1,0),"")</f>
        <v/>
      </c>
      <c r="M155" s="348" t="str">
        <f t="array" aca="1" ref="M155" ca="1">IFERROR(OFFSET(INDEX(141:141,SMALL(IF(141:141&lt;&gt;"",COLUMN(141:141)),COLUMN())),-1,0),"")</f>
        <v/>
      </c>
      <c r="N155" s="348" t="str">
        <f t="array" aca="1" ref="N155" ca="1">IFERROR(OFFSET(INDEX(141:141,SMALL(IF(141:141&lt;&gt;"",COLUMN(141:141)),COLUMN())),-1,0),"")</f>
        <v/>
      </c>
      <c r="O155" s="348" t="str">
        <f t="array" aca="1" ref="O155" ca="1">IFERROR(OFFSET(INDEX(141:141,SMALL(IF(141:141&lt;&gt;"",COLUMN(141:141)),COLUMN())),-1,0),"")</f>
        <v/>
      </c>
      <c r="P155" s="348" t="str">
        <f t="array" aca="1" ref="P155" ca="1">IFERROR(OFFSET(INDEX(141:141,SMALL(IF(141:141&lt;&gt;"",COLUMN(141:141)),COLUMN())),-1,0),"")</f>
        <v/>
      </c>
      <c r="Q155" s="348" t="str">
        <f t="array" aca="1" ref="Q155" ca="1">IFERROR(OFFSET(INDEX(141:141,SMALL(IF(141:141&lt;&gt;"",COLUMN(141:141)),COLUMN())),-1,0),"")</f>
        <v/>
      </c>
      <c r="R155" s="348" t="str">
        <f t="array" aca="1" ref="R155" ca="1">IFERROR(OFFSET(INDEX(141:141,SMALL(IF(141:141&lt;&gt;"",COLUMN(141:141)),COLUMN())),-1,0),"")</f>
        <v/>
      </c>
      <c r="S155" s="348" t="str">
        <f t="array" aca="1" ref="S155" ca="1">IFERROR(OFFSET(INDEX(141:141,SMALL(IF(141:141&lt;&gt;"",COLUMN(141:141)),COLUMN())),-1,0),"")</f>
        <v/>
      </c>
      <c r="T155" s="348" t="str">
        <f t="array" aca="1" ref="T155" ca="1">IFERROR(OFFSET(INDEX(141:141,SMALL(IF(141:141&lt;&gt;"",COLUMN(141:141)),COLUMN())),-1,0),"")</f>
        <v/>
      </c>
      <c r="U155" s="348" t="str">
        <f t="array" aca="1" ref="U155" ca="1">IFERROR(OFFSET(INDEX(141:141,SMALL(IF(141:141&lt;&gt;"",COLUMN(141:141)),COLUMN())),-1,0),"")</f>
        <v/>
      </c>
    </row>
    <row r="156" spans="1:44" s="317" customFormat="1" ht="14.25" hidden="1">
      <c r="A156" s="348" t="str">
        <f t="array" ref="A156">IFERROR(INDEX(141:141,SMALL(IF(141:141&lt;&gt;"",COLUMN(141:141)),COLUMN())),"")</f>
        <v>追水量（L)</v>
      </c>
      <c r="B156" s="348" t="str">
        <f t="array" ref="B156">IFERROR(INDEX(141:141,SMALL(IF(141:141&lt;&gt;"",COLUMN(141:141)),COLUMN())),"")</f>
        <v/>
      </c>
      <c r="C156" s="348" t="str">
        <f t="array" ref="C156">IFERROR(INDEX(141:141,SMALL(IF(141:141&lt;&gt;"",COLUMN(141:141)),COLUMN())),"")</f>
        <v/>
      </c>
      <c r="D156" s="348" t="str">
        <f t="array" ref="D156">IFERROR(INDEX(141:141,SMALL(IF(141:141&lt;&gt;"",COLUMN(141:141)),COLUMN())),"")</f>
        <v/>
      </c>
      <c r="E156" s="348" t="str">
        <f t="array" ref="E156">IFERROR(INDEX(141:141,SMALL(IF(141:141&lt;&gt;"",COLUMN(141:141)),COLUMN())),"")</f>
        <v/>
      </c>
      <c r="F156" s="348" t="str">
        <f t="array" ref="F156">IFERROR(INDEX(141:141,SMALL(IF(141:141&lt;&gt;"",COLUMN(141:141)),COLUMN())),"")</f>
        <v/>
      </c>
      <c r="G156" s="348" t="str">
        <f t="array" ref="G156">IFERROR(INDEX(141:141,SMALL(IF(141:141&lt;&gt;"",COLUMN(141:141)),COLUMN())),"")</f>
        <v/>
      </c>
      <c r="H156" s="348" t="str">
        <f t="array" ref="H156">IFERROR(INDEX(141:141,SMALL(IF(141:141&lt;&gt;"",COLUMN(141:141)),COLUMN())),"")</f>
        <v/>
      </c>
      <c r="I156" s="348" t="str">
        <f t="array" ref="I156">IFERROR(INDEX(141:141,SMALL(IF(141:141&lt;&gt;"",COLUMN(141:141)),COLUMN())),"")</f>
        <v/>
      </c>
      <c r="J156" s="348" t="str">
        <f t="array" ref="J156">IFERROR(INDEX(141:141,SMALL(IF(141:141&lt;&gt;"",COLUMN(141:141)),COLUMN())),"")</f>
        <v/>
      </c>
      <c r="K156" s="348" t="str">
        <f t="array" ref="K156">IFERROR(INDEX(141:141,SMALL(IF(141:141&lt;&gt;"",COLUMN(141:141)),COLUMN())),"")</f>
        <v/>
      </c>
      <c r="L156" s="348" t="str">
        <f t="array" ref="L156">IFERROR(INDEX(141:141,SMALL(IF(141:141&lt;&gt;"",COLUMN(141:141)),COLUMN())),"")</f>
        <v/>
      </c>
      <c r="M156" s="348" t="str">
        <f t="array" ref="M156">IFERROR(INDEX(141:141,SMALL(IF(141:141&lt;&gt;"",COLUMN(141:141)),COLUMN())),"")</f>
        <v/>
      </c>
      <c r="N156" s="348" t="str">
        <f t="array" ref="N156">IFERROR(INDEX(141:141,SMALL(IF(141:141&lt;&gt;"",COLUMN(141:141)),COLUMN())),"")</f>
        <v/>
      </c>
      <c r="O156" s="348" t="str">
        <f t="array" ref="O156">IFERROR(INDEX(141:141,SMALL(IF(141:141&lt;&gt;"",COLUMN(141:141)),COLUMN())),"")</f>
        <v/>
      </c>
      <c r="P156" s="348" t="str">
        <f t="array" ref="P156">IFERROR(INDEX(141:141,SMALL(IF(141:141&lt;&gt;"",COLUMN(141:141)),COLUMN())),"")</f>
        <v/>
      </c>
      <c r="Q156" s="348" t="str">
        <f t="array" ref="Q156">IFERROR(INDEX(141:141,SMALL(IF(141:141&lt;&gt;"",COLUMN(141:141)),COLUMN())),"")</f>
        <v/>
      </c>
      <c r="R156" s="348" t="str">
        <f t="array" ref="R156">IFERROR(INDEX(141:141,SMALL(IF(141:141&lt;&gt;"",COLUMN(141:141)),COLUMN())),"")</f>
        <v/>
      </c>
      <c r="S156" s="348" t="str">
        <f t="array" ref="S156">IFERROR(INDEX(141:141,SMALL(IF(141:141&lt;&gt;"",COLUMN(141:141)),COLUMN())),"")</f>
        <v/>
      </c>
      <c r="T156" s="348" t="str">
        <f t="array" ref="T156">IFERROR(INDEX(141:141,SMALL(IF(141:141&lt;&gt;"",COLUMN(141:141)),COLUMN())),"")</f>
        <v/>
      </c>
      <c r="U156" s="348" t="str">
        <f t="array" ref="U156">IFERROR(INDEX(141:141,SMALL(IF(141:141&lt;&gt;"",COLUMN(141:141)),COLUMN())),"")</f>
        <v/>
      </c>
    </row>
    <row r="157" spans="1:44" s="317" customFormat="1" ht="14.25" hidden="1">
      <c r="A157" s="1053" t="s">
        <v>186</v>
      </c>
      <c r="B157" s="1053"/>
      <c r="C157" s="1053"/>
      <c r="D157" s="349" t="s">
        <v>187</v>
      </c>
      <c r="E157" s="349" t="s">
        <v>188</v>
      </c>
      <c r="F157" s="349" t="s">
        <v>189</v>
      </c>
      <c r="G157" s="349" t="s">
        <v>190</v>
      </c>
      <c r="H157" s="349" t="s">
        <v>191</v>
      </c>
      <c r="I157" s="349" t="s">
        <v>192</v>
      </c>
      <c r="J157" s="349" t="s">
        <v>193</v>
      </c>
      <c r="K157" s="349" t="s">
        <v>194</v>
      </c>
      <c r="L157" s="347" t="s">
        <v>195</v>
      </c>
      <c r="M157" s="347" t="s">
        <v>196</v>
      </c>
      <c r="N157" s="347" t="s">
        <v>197</v>
      </c>
      <c r="O157" s="347" t="s">
        <v>316</v>
      </c>
      <c r="P157" s="347" t="s">
        <v>317</v>
      </c>
      <c r="Q157" s="347" t="s">
        <v>318</v>
      </c>
      <c r="R157" s="347" t="s">
        <v>319</v>
      </c>
      <c r="S157" s="347" t="s">
        <v>320</v>
      </c>
      <c r="T157" s="347" t="s">
        <v>321</v>
      </c>
      <c r="U157" s="347" t="s">
        <v>322</v>
      </c>
      <c r="V157" s="347" t="s">
        <v>323</v>
      </c>
      <c r="W157" s="347" t="s">
        <v>324</v>
      </c>
      <c r="X157" s="347" t="s">
        <v>325</v>
      </c>
    </row>
    <row r="158" spans="1:44" s="317" customFormat="1" ht="14.25" hidden="1">
      <c r="A158" s="1054"/>
      <c r="B158" s="1054"/>
      <c r="C158" s="1054"/>
      <c r="D158" s="350" t="e">
        <f>SUM(D138:G138)/SUM(D135:G135)*100</f>
        <v>#DIV/0!</v>
      </c>
      <c r="E158" s="350" t="e">
        <f>(SUM(D138:G138)+SUM(B156:B156))/SUM(D135:G135)*100</f>
        <v>#DIV/0!</v>
      </c>
      <c r="F158" s="350" t="e">
        <f>(SUM(D138:G138)+SUM(B156:C156))/SUM(D135:G135)*100</f>
        <v>#DIV/0!</v>
      </c>
      <c r="G158" s="350" t="e">
        <f>(SUM(D138:G138)+SUM(B156:D156))/SUM(D135:G135)*100</f>
        <v>#DIV/0!</v>
      </c>
      <c r="H158" s="350" t="e">
        <f>(SUM(D138:G138)+SUM(B156:E156))/SUM(D135:G135)*100</f>
        <v>#DIV/0!</v>
      </c>
      <c r="I158" s="351" t="e">
        <f>(SUM(D138:G138)+SUM(B156:F156))/SUM(D135:G135)*100</f>
        <v>#DIV/0!</v>
      </c>
      <c r="J158" s="350" t="e">
        <f>(SUM(D138:G138)+SUM(B156:G156))/SUM(D135:G135)*100</f>
        <v>#DIV/0!</v>
      </c>
      <c r="K158" s="350" t="e">
        <f>(SUM(D138:G138)+SUM(B156:H156))/SUM(D135:G135)*100</f>
        <v>#DIV/0!</v>
      </c>
      <c r="L158" s="350" t="e">
        <f>(SUM(D138:G138)+SUM(B156:I156))/SUM(D135:G135)*100</f>
        <v>#DIV/0!</v>
      </c>
      <c r="M158" s="350" t="e">
        <f>(SUM(D138:G138)+SUM(B156:J156))/SUM(D135:G135)*100</f>
        <v>#DIV/0!</v>
      </c>
      <c r="N158" s="350" t="e">
        <f>(SUM(D138:G138)+SUM(B156:K156))/SUM(D135:G135)*100</f>
        <v>#DIV/0!</v>
      </c>
      <c r="O158" s="352" t="e">
        <f>(SUM(D138:G138)+SUM(B156:L156))/SUM(D135:G135)*100</f>
        <v>#DIV/0!</v>
      </c>
      <c r="P158" s="353" t="e">
        <f>(SUM(D138:G138)+SUM(B156:M156))/SUM(D135:G135)*100</f>
        <v>#DIV/0!</v>
      </c>
      <c r="Q158" s="353" t="e">
        <f>(SUM(D138:G138)+SUM(B156:N156))/SUM(D135:G135)*100</f>
        <v>#DIV/0!</v>
      </c>
      <c r="R158" s="353" t="e">
        <f>(SUM(D138:G138)+SUM(B156:O156))/SUM(D135:G135)*100</f>
        <v>#DIV/0!</v>
      </c>
      <c r="S158" s="353" t="e">
        <f>(SUM(D138:G138)+SUM(B156:P156))/SUM(D135:G135)*100</f>
        <v>#DIV/0!</v>
      </c>
      <c r="T158" s="353" t="e">
        <f>(SUM(D138:G138)+SUM(B156:Q156))/SUM(D135:G135)*100</f>
        <v>#DIV/0!</v>
      </c>
      <c r="U158" s="353" t="e">
        <f>(SUM(D138:G138)+SUM(B156:R156))/SUM(D135:G135)*100</f>
        <v>#DIV/0!</v>
      </c>
      <c r="V158" s="353" t="e">
        <f>(SUM(D138:G138)+SUM(B156:S156))/SUM(D135:G135)*100</f>
        <v>#DIV/0!</v>
      </c>
      <c r="W158" s="353" t="e">
        <f>(SUM(D138:G138)+SUM(B156:T156))/SUM(D135:G135)*100</f>
        <v>#DIV/0!</v>
      </c>
      <c r="X158" s="353" t="e">
        <f>(SUM(D138:G138)+SUM(B156:U156))/SUM(D135:G135)*100</f>
        <v>#DIV/0!</v>
      </c>
    </row>
    <row r="159" spans="1:44" s="317" customFormat="1" ht="14.25" hidden="1"/>
    <row r="160" spans="1:44" s="317" customFormat="1" ht="14.25" hidden="1">
      <c r="A160" s="1046" t="s">
        <v>129</v>
      </c>
      <c r="B160" s="1047"/>
      <c r="C160" s="1047"/>
      <c r="E160" s="354" t="e">
        <f t="shared" ref="E160:AQ160" si="66">IF(E142="",IF(E143="",NA(),E143/-10),E142)</f>
        <v>#N/A</v>
      </c>
      <c r="F160" s="354" t="e">
        <f t="shared" si="66"/>
        <v>#N/A</v>
      </c>
      <c r="G160" s="354" t="e">
        <f t="shared" si="66"/>
        <v>#N/A</v>
      </c>
      <c r="H160" s="354" t="e">
        <f t="shared" si="66"/>
        <v>#N/A</v>
      </c>
      <c r="I160" s="354" t="e">
        <f t="shared" si="66"/>
        <v>#N/A</v>
      </c>
      <c r="J160" s="354" t="e">
        <f t="shared" si="66"/>
        <v>#N/A</v>
      </c>
      <c r="K160" s="354" t="e">
        <f t="shared" si="66"/>
        <v>#N/A</v>
      </c>
      <c r="L160" s="354" t="e">
        <f t="shared" si="66"/>
        <v>#N/A</v>
      </c>
      <c r="M160" s="354" t="e">
        <f t="shared" si="66"/>
        <v>#N/A</v>
      </c>
      <c r="N160" s="354" t="e">
        <f t="shared" si="66"/>
        <v>#N/A</v>
      </c>
      <c r="O160" s="354" t="e">
        <f t="shared" si="66"/>
        <v>#N/A</v>
      </c>
      <c r="P160" s="354" t="e">
        <f t="shared" si="66"/>
        <v>#N/A</v>
      </c>
      <c r="Q160" s="354" t="e">
        <f t="shared" si="66"/>
        <v>#N/A</v>
      </c>
      <c r="R160" s="354" t="e">
        <f t="shared" si="66"/>
        <v>#N/A</v>
      </c>
      <c r="S160" s="354" t="e">
        <f t="shared" si="66"/>
        <v>#N/A</v>
      </c>
      <c r="T160" s="354" t="e">
        <f t="shared" si="66"/>
        <v>#N/A</v>
      </c>
      <c r="U160" s="354" t="e">
        <f t="shared" si="66"/>
        <v>#N/A</v>
      </c>
      <c r="V160" s="354" t="e">
        <f t="shared" si="66"/>
        <v>#N/A</v>
      </c>
      <c r="W160" s="354" t="e">
        <f t="shared" si="66"/>
        <v>#N/A</v>
      </c>
      <c r="X160" s="354" t="e">
        <f t="shared" si="66"/>
        <v>#N/A</v>
      </c>
      <c r="Y160" s="354" t="e">
        <f t="shared" si="66"/>
        <v>#N/A</v>
      </c>
      <c r="Z160" s="354" t="e">
        <f t="shared" si="66"/>
        <v>#N/A</v>
      </c>
      <c r="AA160" s="354" t="e">
        <f t="shared" si="66"/>
        <v>#N/A</v>
      </c>
      <c r="AB160" s="354" t="e">
        <f t="shared" si="66"/>
        <v>#N/A</v>
      </c>
      <c r="AC160" s="354" t="e">
        <f t="shared" si="66"/>
        <v>#N/A</v>
      </c>
      <c r="AD160" s="354" t="e">
        <f t="shared" si="66"/>
        <v>#N/A</v>
      </c>
      <c r="AE160" s="354" t="e">
        <f t="shared" si="66"/>
        <v>#N/A</v>
      </c>
      <c r="AF160" s="354" t="e">
        <f t="shared" si="66"/>
        <v>#N/A</v>
      </c>
      <c r="AG160" s="354" t="e">
        <f t="shared" si="66"/>
        <v>#N/A</v>
      </c>
      <c r="AH160" s="354" t="e">
        <f t="shared" si="66"/>
        <v>#N/A</v>
      </c>
      <c r="AI160" s="354" t="e">
        <f t="shared" si="66"/>
        <v>#N/A</v>
      </c>
      <c r="AJ160" s="354" t="e">
        <f t="shared" si="66"/>
        <v>#N/A</v>
      </c>
      <c r="AK160" s="354" t="e">
        <f t="shared" si="66"/>
        <v>#N/A</v>
      </c>
      <c r="AL160" s="354" t="e">
        <f t="shared" si="66"/>
        <v>#N/A</v>
      </c>
      <c r="AM160" s="354" t="e">
        <f t="shared" si="66"/>
        <v>#N/A</v>
      </c>
      <c r="AN160" s="354" t="e">
        <f t="shared" si="66"/>
        <v>#N/A</v>
      </c>
      <c r="AO160" s="354" t="e">
        <f t="shared" si="66"/>
        <v>#N/A</v>
      </c>
      <c r="AP160" s="354" t="e">
        <f t="shared" si="66"/>
        <v>#N/A</v>
      </c>
      <c r="AQ160" s="354" t="e">
        <f t="shared" si="66"/>
        <v>#N/A</v>
      </c>
    </row>
    <row r="161" spans="1:44" s="317" customFormat="1" ht="14.25" hidden="1">
      <c r="A161" s="1048" t="s">
        <v>44</v>
      </c>
      <c r="B161" s="1048"/>
      <c r="C161" s="1049"/>
      <c r="E161" s="355" t="e">
        <f>IF(E160="",NA(),E160*(-10))</f>
        <v>#N/A</v>
      </c>
      <c r="F161" s="355" t="e">
        <f t="shared" ref="F161:AQ161" si="67">IF(F160="",NA(),F160*(-10))</f>
        <v>#N/A</v>
      </c>
      <c r="G161" s="355" t="e">
        <f t="shared" si="67"/>
        <v>#N/A</v>
      </c>
      <c r="H161" s="355" t="e">
        <f t="shared" si="67"/>
        <v>#N/A</v>
      </c>
      <c r="I161" s="355" t="e">
        <f t="shared" si="67"/>
        <v>#N/A</v>
      </c>
      <c r="J161" s="355" t="e">
        <f t="shared" si="67"/>
        <v>#N/A</v>
      </c>
      <c r="K161" s="355" t="e">
        <f t="shared" si="67"/>
        <v>#N/A</v>
      </c>
      <c r="L161" s="355" t="e">
        <f t="shared" si="67"/>
        <v>#N/A</v>
      </c>
      <c r="M161" s="355" t="e">
        <f t="shared" si="67"/>
        <v>#N/A</v>
      </c>
      <c r="N161" s="355" t="e">
        <f t="shared" si="67"/>
        <v>#N/A</v>
      </c>
      <c r="O161" s="355" t="e">
        <f t="shared" si="67"/>
        <v>#N/A</v>
      </c>
      <c r="P161" s="355" t="e">
        <f t="shared" si="67"/>
        <v>#N/A</v>
      </c>
      <c r="Q161" s="355" t="e">
        <f t="shared" si="67"/>
        <v>#N/A</v>
      </c>
      <c r="R161" s="355" t="e">
        <f t="shared" si="67"/>
        <v>#N/A</v>
      </c>
      <c r="S161" s="355" t="e">
        <f t="shared" si="67"/>
        <v>#N/A</v>
      </c>
      <c r="T161" s="355" t="e">
        <f t="shared" si="67"/>
        <v>#N/A</v>
      </c>
      <c r="U161" s="355" t="e">
        <f t="shared" si="67"/>
        <v>#N/A</v>
      </c>
      <c r="V161" s="355" t="e">
        <f t="shared" si="67"/>
        <v>#N/A</v>
      </c>
      <c r="W161" s="355" t="e">
        <f t="shared" si="67"/>
        <v>#N/A</v>
      </c>
      <c r="X161" s="355" t="e">
        <f t="shared" si="67"/>
        <v>#N/A</v>
      </c>
      <c r="Y161" s="355" t="e">
        <f t="shared" si="67"/>
        <v>#N/A</v>
      </c>
      <c r="Z161" s="355" t="e">
        <f t="shared" si="67"/>
        <v>#N/A</v>
      </c>
      <c r="AA161" s="355" t="e">
        <f t="shared" si="67"/>
        <v>#N/A</v>
      </c>
      <c r="AB161" s="355" t="e">
        <f t="shared" si="67"/>
        <v>#N/A</v>
      </c>
      <c r="AC161" s="355" t="e">
        <f t="shared" si="67"/>
        <v>#N/A</v>
      </c>
      <c r="AD161" s="355" t="e">
        <f t="shared" si="67"/>
        <v>#N/A</v>
      </c>
      <c r="AE161" s="355" t="e">
        <f t="shared" si="67"/>
        <v>#N/A</v>
      </c>
      <c r="AF161" s="355" t="e">
        <f t="shared" si="67"/>
        <v>#N/A</v>
      </c>
      <c r="AG161" s="355" t="e">
        <f t="shared" si="67"/>
        <v>#N/A</v>
      </c>
      <c r="AH161" s="355" t="e">
        <f t="shared" si="67"/>
        <v>#N/A</v>
      </c>
      <c r="AI161" s="355" t="e">
        <f t="shared" si="67"/>
        <v>#N/A</v>
      </c>
      <c r="AJ161" s="355" t="e">
        <f t="shared" si="67"/>
        <v>#N/A</v>
      </c>
      <c r="AK161" s="355" t="e">
        <f t="shared" si="67"/>
        <v>#N/A</v>
      </c>
      <c r="AL161" s="355" t="e">
        <f t="shared" si="67"/>
        <v>#N/A</v>
      </c>
      <c r="AM161" s="355" t="e">
        <f t="shared" si="67"/>
        <v>#N/A</v>
      </c>
      <c r="AN161" s="355" t="e">
        <f t="shared" si="67"/>
        <v>#N/A</v>
      </c>
      <c r="AO161" s="355" t="e">
        <f t="shared" si="67"/>
        <v>#N/A</v>
      </c>
      <c r="AP161" s="355" t="e">
        <f t="shared" si="67"/>
        <v>#N/A</v>
      </c>
      <c r="AQ161" s="355" t="e">
        <f t="shared" si="67"/>
        <v>#N/A</v>
      </c>
    </row>
    <row r="162" spans="1:44" s="317" customFormat="1" ht="14.25" hidden="1">
      <c r="A162" s="356"/>
      <c r="B162" s="1012" t="s">
        <v>35</v>
      </c>
      <c r="C162" s="1050"/>
      <c r="E162" s="357" t="e">
        <f>IF(E160="",NA(),ROUND(1443/(1443+E161),4))</f>
        <v>#N/A</v>
      </c>
      <c r="F162" s="357" t="e">
        <f t="shared" ref="F162:AQ162" si="68">IF(F160="",NA(),ROUND(1443/(1443+F161),4))</f>
        <v>#N/A</v>
      </c>
      <c r="G162" s="357" t="e">
        <f t="shared" si="68"/>
        <v>#N/A</v>
      </c>
      <c r="H162" s="357" t="e">
        <f t="shared" si="68"/>
        <v>#N/A</v>
      </c>
      <c r="I162" s="357" t="e">
        <f t="shared" si="68"/>
        <v>#N/A</v>
      </c>
      <c r="J162" s="357" t="e">
        <f t="shared" si="68"/>
        <v>#N/A</v>
      </c>
      <c r="K162" s="357" t="e">
        <f t="shared" si="68"/>
        <v>#N/A</v>
      </c>
      <c r="L162" s="357" t="e">
        <f t="shared" si="68"/>
        <v>#N/A</v>
      </c>
      <c r="M162" s="357" t="e">
        <f t="shared" si="68"/>
        <v>#N/A</v>
      </c>
      <c r="N162" s="357" t="e">
        <f t="shared" si="68"/>
        <v>#N/A</v>
      </c>
      <c r="O162" s="357" t="e">
        <f t="shared" si="68"/>
        <v>#N/A</v>
      </c>
      <c r="P162" s="357" t="e">
        <f t="shared" si="68"/>
        <v>#N/A</v>
      </c>
      <c r="Q162" s="357" t="e">
        <f t="shared" si="68"/>
        <v>#N/A</v>
      </c>
      <c r="R162" s="357" t="e">
        <f t="shared" si="68"/>
        <v>#N/A</v>
      </c>
      <c r="S162" s="357" t="e">
        <f t="shared" si="68"/>
        <v>#N/A</v>
      </c>
      <c r="T162" s="357" t="e">
        <f t="shared" si="68"/>
        <v>#N/A</v>
      </c>
      <c r="U162" s="357" t="e">
        <f t="shared" si="68"/>
        <v>#N/A</v>
      </c>
      <c r="V162" s="357" t="e">
        <f t="shared" si="68"/>
        <v>#N/A</v>
      </c>
      <c r="W162" s="357" t="e">
        <f t="shared" si="68"/>
        <v>#N/A</v>
      </c>
      <c r="X162" s="357" t="e">
        <f t="shared" si="68"/>
        <v>#N/A</v>
      </c>
      <c r="Y162" s="357" t="e">
        <f t="shared" si="68"/>
        <v>#N/A</v>
      </c>
      <c r="Z162" s="357" t="e">
        <f t="shared" si="68"/>
        <v>#N/A</v>
      </c>
      <c r="AA162" s="357" t="e">
        <f t="shared" si="68"/>
        <v>#N/A</v>
      </c>
      <c r="AB162" s="357" t="e">
        <f t="shared" si="68"/>
        <v>#N/A</v>
      </c>
      <c r="AC162" s="357" t="e">
        <f t="shared" si="68"/>
        <v>#N/A</v>
      </c>
      <c r="AD162" s="357" t="e">
        <f t="shared" si="68"/>
        <v>#N/A</v>
      </c>
      <c r="AE162" s="357" t="e">
        <f t="shared" si="68"/>
        <v>#N/A</v>
      </c>
      <c r="AF162" s="357" t="e">
        <f t="shared" si="68"/>
        <v>#N/A</v>
      </c>
      <c r="AG162" s="357" t="e">
        <f t="shared" si="68"/>
        <v>#N/A</v>
      </c>
      <c r="AH162" s="357" t="e">
        <f t="shared" si="68"/>
        <v>#N/A</v>
      </c>
      <c r="AI162" s="357" t="e">
        <f t="shared" si="68"/>
        <v>#N/A</v>
      </c>
      <c r="AJ162" s="357" t="e">
        <f t="shared" si="68"/>
        <v>#N/A</v>
      </c>
      <c r="AK162" s="357" t="e">
        <f t="shared" si="68"/>
        <v>#N/A</v>
      </c>
      <c r="AL162" s="357" t="e">
        <f t="shared" si="68"/>
        <v>#N/A</v>
      </c>
      <c r="AM162" s="357" t="e">
        <f t="shared" si="68"/>
        <v>#N/A</v>
      </c>
      <c r="AN162" s="357" t="e">
        <f t="shared" si="68"/>
        <v>#N/A</v>
      </c>
      <c r="AO162" s="357" t="e">
        <f t="shared" si="68"/>
        <v>#N/A</v>
      </c>
      <c r="AP162" s="357" t="e">
        <f t="shared" si="68"/>
        <v>#N/A</v>
      </c>
      <c r="AQ162" s="357" t="e">
        <f t="shared" si="68"/>
        <v>#N/A</v>
      </c>
    </row>
    <row r="163" spans="1:44" s="317" customFormat="1" ht="14.25" hidden="1">
      <c r="A163" s="356"/>
      <c r="B163" s="1012" t="s">
        <v>36</v>
      </c>
      <c r="C163" s="1050"/>
      <c r="E163" s="357" t="e">
        <f>IF(E144="",NA(),IFERROR(E144*VLOOKUP(E144,'各種計算式等（配付時非表示）'!$E$3:$H$1003,3,TRUE)+VLOOKUP(E144,'各種計算式等（配付時非表示）'!$E$3:$H$1003,4,TRUE)+0.0000000001,"-"))</f>
        <v>#N/A</v>
      </c>
      <c r="F163" s="357" t="e">
        <f>IF(F144="",NA(),IFERROR(F144*VLOOKUP(F144,'各種計算式等（配付時非表示）'!$E$3:$H$1003,3,TRUE)+VLOOKUP(F144,'各種計算式等（配付時非表示）'!$E$3:$H$1003,4,TRUE)+0.0000000001,"-"))</f>
        <v>#N/A</v>
      </c>
      <c r="G163" s="357" t="e">
        <f>IF(G144="",NA(),IFERROR(G144*VLOOKUP(G144,'各種計算式等（配付時非表示）'!$E$3:$H$1003,3,TRUE)+VLOOKUP(G144,'各種計算式等（配付時非表示）'!$E$3:$H$1003,4,TRUE)+0.0000000001,"-"))</f>
        <v>#N/A</v>
      </c>
      <c r="H163" s="357" t="e">
        <f>IF(H144="",NA(),IFERROR(H144*VLOOKUP(H144,'各種計算式等（配付時非表示）'!$E$3:$H$1003,3,TRUE)+VLOOKUP(H144,'各種計算式等（配付時非表示）'!$E$3:$H$1003,4,TRUE)+0.0000000001,"-"))</f>
        <v>#N/A</v>
      </c>
      <c r="I163" s="357" t="e">
        <f>IF(I144="",NA(),IFERROR(I144*VLOOKUP(I144,'各種計算式等（配付時非表示）'!$E$3:$H$1003,3,TRUE)+VLOOKUP(I144,'各種計算式等（配付時非表示）'!$E$3:$H$1003,4,TRUE)+0.0000000001,"-"))</f>
        <v>#N/A</v>
      </c>
      <c r="J163" s="357" t="e">
        <f>IF(J144="",NA(),IFERROR(J144*VLOOKUP(J144,'各種計算式等（配付時非表示）'!$E$3:$H$1003,3,TRUE)+VLOOKUP(J144,'各種計算式等（配付時非表示）'!$E$3:$H$1003,4,TRUE)+0.0000000001,"-"))</f>
        <v>#N/A</v>
      </c>
      <c r="K163" s="357" t="e">
        <f>IF(K144="",NA(),IFERROR(K144*VLOOKUP(K144,'各種計算式等（配付時非表示）'!$E$3:$H$1003,3,TRUE)+VLOOKUP(K144,'各種計算式等（配付時非表示）'!$E$3:$H$1003,4,TRUE)+0.0000000001,"-"))</f>
        <v>#N/A</v>
      </c>
      <c r="L163" s="357" t="e">
        <f>IF(L144="",NA(),IFERROR(L144*VLOOKUP(L144,'各種計算式等（配付時非表示）'!$E$3:$H$1003,3,TRUE)+VLOOKUP(L144,'各種計算式等（配付時非表示）'!$E$3:$H$1003,4,TRUE)+0.0000000001,"-"))</f>
        <v>#N/A</v>
      </c>
      <c r="M163" s="357" t="e">
        <f>IF(M144="",NA(),IFERROR(M144*VLOOKUP(M144,'各種計算式等（配付時非表示）'!$E$3:$H$1003,3,TRUE)+VLOOKUP(M144,'各種計算式等（配付時非表示）'!$E$3:$H$1003,4,TRUE)+0.0000000001,"-"))</f>
        <v>#N/A</v>
      </c>
      <c r="N163" s="357" t="e">
        <f>IF(N144="",NA(),IFERROR(N144*VLOOKUP(N144,'各種計算式等（配付時非表示）'!$E$3:$H$1003,3,TRUE)+VLOOKUP(N144,'各種計算式等（配付時非表示）'!$E$3:$H$1003,4,TRUE)+0.0000000001,"-"))</f>
        <v>#N/A</v>
      </c>
      <c r="O163" s="357" t="e">
        <f>IF(O144="",NA(),IFERROR(O144*VLOOKUP(O144,'各種計算式等（配付時非表示）'!$E$3:$H$1003,3,TRUE)+VLOOKUP(O144,'各種計算式等（配付時非表示）'!$E$3:$H$1003,4,TRUE)+0.0000000001,"-"))</f>
        <v>#N/A</v>
      </c>
      <c r="P163" s="357" t="e">
        <f>IF(P144="",NA(),IFERROR(P144*VLOOKUP(P144,'各種計算式等（配付時非表示）'!$E$3:$H$1003,3,TRUE)+VLOOKUP(P144,'各種計算式等（配付時非表示）'!$E$3:$H$1003,4,TRUE)+0.0000000001,"-"))</f>
        <v>#N/A</v>
      </c>
      <c r="Q163" s="357" t="e">
        <f>IF(Q144="",NA(),IFERROR(Q144*VLOOKUP(Q144,'各種計算式等（配付時非表示）'!$E$3:$H$1003,3,TRUE)+VLOOKUP(Q144,'各種計算式等（配付時非表示）'!$E$3:$H$1003,4,TRUE)+0.0000000001,"-"))</f>
        <v>#N/A</v>
      </c>
      <c r="R163" s="357" t="e">
        <f>IF(R144="",NA(),IFERROR(R144*VLOOKUP(R144,'各種計算式等（配付時非表示）'!$E$3:$H$1003,3,TRUE)+VLOOKUP(R144,'各種計算式等（配付時非表示）'!$E$3:$H$1003,4,TRUE)+0.0000000001,"-"))</f>
        <v>#N/A</v>
      </c>
      <c r="S163" s="357" t="e">
        <f>IF(S144="",NA(),IFERROR(S144*VLOOKUP(S144,'各種計算式等（配付時非表示）'!$E$3:$H$1003,3,TRUE)+VLOOKUP(S144,'各種計算式等（配付時非表示）'!$E$3:$H$1003,4,TRUE)+0.0000000001,"-"))</f>
        <v>#N/A</v>
      </c>
      <c r="T163" s="357" t="e">
        <f>IF(T144="",NA(),IFERROR(T144*VLOOKUP(T144,'各種計算式等（配付時非表示）'!$E$3:$H$1003,3,TRUE)+VLOOKUP(T144,'各種計算式等（配付時非表示）'!$E$3:$H$1003,4,TRUE)+0.0000000001,"-"))</f>
        <v>#N/A</v>
      </c>
      <c r="U163" s="357" t="e">
        <f>IF(U144="",NA(),IFERROR(U144*VLOOKUP(U144,'各種計算式等（配付時非表示）'!$E$3:$H$1003,3,TRUE)+VLOOKUP(U144,'各種計算式等（配付時非表示）'!$E$3:$H$1003,4,TRUE)+0.0000000001,"-"))</f>
        <v>#N/A</v>
      </c>
      <c r="V163" s="357" t="e">
        <f>IF(V144="",NA(),IFERROR(V144*VLOOKUP(V144,'各種計算式等（配付時非表示）'!$E$3:$H$1003,3,TRUE)+VLOOKUP(V144,'各種計算式等（配付時非表示）'!$E$3:$H$1003,4,TRUE)+0.0000000001,"-"))</f>
        <v>#N/A</v>
      </c>
      <c r="W163" s="357" t="e">
        <f>IF(W144="",NA(),IFERROR(W144*VLOOKUP(W144,'各種計算式等（配付時非表示）'!$E$3:$H$1003,3,TRUE)+VLOOKUP(W144,'各種計算式等（配付時非表示）'!$E$3:$H$1003,4,TRUE)+0.0000000001,"-"))</f>
        <v>#N/A</v>
      </c>
      <c r="X163" s="357" t="e">
        <f>IF(X144="",NA(),IFERROR(X144*VLOOKUP(X144,'各種計算式等（配付時非表示）'!$E$3:$H$1003,3,TRUE)+VLOOKUP(X144,'各種計算式等（配付時非表示）'!$E$3:$H$1003,4,TRUE)+0.0000000001,"-"))</f>
        <v>#N/A</v>
      </c>
      <c r="Y163" s="357" t="e">
        <f>IF(Y144="",NA(),IFERROR(Y144*VLOOKUP(Y144,'各種計算式等（配付時非表示）'!$E$3:$H$1003,3,TRUE)+VLOOKUP(Y144,'各種計算式等（配付時非表示）'!$E$3:$H$1003,4,TRUE)+0.0000000001,"-"))</f>
        <v>#N/A</v>
      </c>
      <c r="Z163" s="357" t="e">
        <f>IF(Z144="",NA(),IFERROR(Z144*VLOOKUP(Z144,'各種計算式等（配付時非表示）'!$E$3:$H$1003,3,TRUE)+VLOOKUP(Z144,'各種計算式等（配付時非表示）'!$E$3:$H$1003,4,TRUE)+0.0000000001,"-"))</f>
        <v>#N/A</v>
      </c>
      <c r="AA163" s="357" t="e">
        <f>IF(AA144="",NA(),IFERROR(AA144*VLOOKUP(AA144,'各種計算式等（配付時非表示）'!$E$3:$H$1003,3,TRUE)+VLOOKUP(AA144,'各種計算式等（配付時非表示）'!$E$3:$H$1003,4,TRUE)+0.0000000001,"-"))</f>
        <v>#N/A</v>
      </c>
      <c r="AB163" s="357" t="e">
        <f>IF(AB144="",NA(),IFERROR(AB144*VLOOKUP(AB144,'各種計算式等（配付時非表示）'!$E$3:$H$1003,3,TRUE)+VLOOKUP(AB144,'各種計算式等（配付時非表示）'!$E$3:$H$1003,4,TRUE)+0.0000000001,"-"))</f>
        <v>#N/A</v>
      </c>
      <c r="AC163" s="357" t="e">
        <f>IF(AC144="",NA(),IFERROR(AC144*VLOOKUP(AC144,'各種計算式等（配付時非表示）'!$E$3:$H$1003,3,TRUE)+VLOOKUP(AC144,'各種計算式等（配付時非表示）'!$E$3:$H$1003,4,TRUE)+0.0000000001,"-"))</f>
        <v>#N/A</v>
      </c>
      <c r="AD163" s="357" t="e">
        <f>IF(AD144="",NA(),IFERROR(AD144*VLOOKUP(AD144,'各種計算式等（配付時非表示）'!$E$3:$H$1003,3,TRUE)+VLOOKUP(AD144,'各種計算式等（配付時非表示）'!$E$3:$H$1003,4,TRUE)+0.0000000001,"-"))</f>
        <v>#N/A</v>
      </c>
      <c r="AE163" s="357" t="e">
        <f>IF(AE144="",NA(),IFERROR(AE144*VLOOKUP(AE144,'各種計算式等（配付時非表示）'!$E$3:$H$1003,3,TRUE)+VLOOKUP(AE144,'各種計算式等（配付時非表示）'!$E$3:$H$1003,4,TRUE)+0.0000000001,"-"))</f>
        <v>#N/A</v>
      </c>
      <c r="AF163" s="357" t="e">
        <f>IF(AF144="",NA(),IFERROR(AF144*VLOOKUP(AF144,'各種計算式等（配付時非表示）'!$E$3:$H$1003,3,TRUE)+VLOOKUP(AF144,'各種計算式等（配付時非表示）'!$E$3:$H$1003,4,TRUE)+0.0000000001,"-"))</f>
        <v>#N/A</v>
      </c>
      <c r="AG163" s="357" t="e">
        <f>IF(AG144="",NA(),IFERROR(AG144*VLOOKUP(AG144,'各種計算式等（配付時非表示）'!$E$3:$H$1003,3,TRUE)+VLOOKUP(AG144,'各種計算式等（配付時非表示）'!$E$3:$H$1003,4,TRUE)+0.0000000001,"-"))</f>
        <v>#N/A</v>
      </c>
      <c r="AH163" s="357" t="e">
        <f>IF(AH144="",NA(),IFERROR(AH144*VLOOKUP(AH144,'各種計算式等（配付時非表示）'!$E$3:$H$1003,3,TRUE)+VLOOKUP(AH144,'各種計算式等（配付時非表示）'!$E$3:$H$1003,4,TRUE)+0.0000000001,"-"))</f>
        <v>#N/A</v>
      </c>
      <c r="AI163" s="357" t="e">
        <f>IF(AI144="",NA(),IFERROR(AI144*VLOOKUP(AI144,'各種計算式等（配付時非表示）'!$E$3:$H$1003,3,TRUE)+VLOOKUP(AI144,'各種計算式等（配付時非表示）'!$E$3:$H$1003,4,TRUE)+0.0000000001,"-"))</f>
        <v>#N/A</v>
      </c>
      <c r="AJ163" s="357" t="e">
        <f>IF(AJ144="",NA(),IFERROR(AJ144*VLOOKUP(AJ144,'各種計算式等（配付時非表示）'!$E$3:$H$1003,3,TRUE)+VLOOKUP(AJ144,'各種計算式等（配付時非表示）'!$E$3:$H$1003,4,TRUE)+0.0000000001,"-"))</f>
        <v>#N/A</v>
      </c>
      <c r="AK163" s="357" t="e">
        <f>IF(AK144="",NA(),IFERROR(AK144*VLOOKUP(AK144,'各種計算式等（配付時非表示）'!$E$3:$H$1003,3,TRUE)+VLOOKUP(AK144,'各種計算式等（配付時非表示）'!$E$3:$H$1003,4,TRUE)+0.0000000001,"-"))</f>
        <v>#N/A</v>
      </c>
      <c r="AL163" s="357" t="e">
        <f>IF(AL144="",NA(),IFERROR(AL144*VLOOKUP(AL144,'各種計算式等（配付時非表示）'!$E$3:$H$1003,3,TRUE)+VLOOKUP(AL144,'各種計算式等（配付時非表示）'!$E$3:$H$1003,4,TRUE)+0.0000000001,"-"))</f>
        <v>#N/A</v>
      </c>
      <c r="AM163" s="357" t="e">
        <f>IF(AM144="",NA(),IFERROR(AM144*VLOOKUP(AM144,'各種計算式等（配付時非表示）'!$E$3:$H$1003,3,TRUE)+VLOOKUP(AM144,'各種計算式等（配付時非表示）'!$E$3:$H$1003,4,TRUE)+0.0000000001,"-"))</f>
        <v>#N/A</v>
      </c>
      <c r="AN163" s="357" t="e">
        <f>IF(AN144="",NA(),IFERROR(AN144*VLOOKUP(AN144,'各種計算式等（配付時非表示）'!$E$3:$H$1003,3,TRUE)+VLOOKUP(AN144,'各種計算式等（配付時非表示）'!$E$3:$H$1003,4,TRUE)+0.0000000001,"-"))</f>
        <v>#N/A</v>
      </c>
      <c r="AO163" s="357" t="e">
        <f>IF(AO144="",NA(),IFERROR(AO144*VLOOKUP(AO144,'各種計算式等（配付時非表示）'!$E$3:$H$1003,3,TRUE)+VLOOKUP(AO144,'各種計算式等（配付時非表示）'!$E$3:$H$1003,4,TRUE)+0.0000000001,"-"))</f>
        <v>#N/A</v>
      </c>
      <c r="AP163" s="357" t="e">
        <f>IF(AP144="",NA(),IFERROR(AP144*VLOOKUP(AP144,'各種計算式等（配付時非表示）'!$E$3:$H$1003,3,TRUE)+VLOOKUP(AP144,'各種計算式等（配付時非表示）'!$E$3:$H$1003,4,TRUE)+0.0000000001,"-"))</f>
        <v>#N/A</v>
      </c>
      <c r="AQ163" s="357" t="e">
        <f>IF(AQ144="",NA(),IFERROR(AQ144*VLOOKUP(AQ144,'各種計算式等（配付時非表示）'!$E$3:$H$1003,3,TRUE)+VLOOKUP(AQ144,'各種計算式等（配付時非表示）'!$E$3:$H$1003,4,TRUE)+0.0000000001,"-"))</f>
        <v>#N/A</v>
      </c>
    </row>
    <row r="164" spans="1:44" s="317" customFormat="1" ht="14.25" hidden="1">
      <c r="A164" s="1012" t="s">
        <v>3</v>
      </c>
      <c r="B164" s="1012"/>
      <c r="C164" s="1012"/>
      <c r="E164" s="358" t="e">
        <f>IFERROR(ROUNDDOWN((E162-E163)*260+0.21,1),NA())</f>
        <v>#N/A</v>
      </c>
      <c r="F164" s="358" t="e">
        <f t="shared" ref="F164:AQ164" si="69">IFERROR(ROUNDDOWN((F162-F163)*260+0.21,1),NA())</f>
        <v>#N/A</v>
      </c>
      <c r="G164" s="358" t="e">
        <f t="shared" si="69"/>
        <v>#N/A</v>
      </c>
      <c r="H164" s="358" t="e">
        <f t="shared" si="69"/>
        <v>#N/A</v>
      </c>
      <c r="I164" s="358" t="e">
        <f t="shared" si="69"/>
        <v>#N/A</v>
      </c>
      <c r="J164" s="358" t="e">
        <f t="shared" si="69"/>
        <v>#N/A</v>
      </c>
      <c r="K164" s="358" t="e">
        <f t="shared" si="69"/>
        <v>#N/A</v>
      </c>
      <c r="L164" s="358" t="e">
        <f t="shared" si="69"/>
        <v>#N/A</v>
      </c>
      <c r="M164" s="358" t="e">
        <f t="shared" si="69"/>
        <v>#N/A</v>
      </c>
      <c r="N164" s="358" t="e">
        <f t="shared" si="69"/>
        <v>#N/A</v>
      </c>
      <c r="O164" s="358" t="e">
        <f t="shared" si="69"/>
        <v>#N/A</v>
      </c>
      <c r="P164" s="358" t="e">
        <f t="shared" si="69"/>
        <v>#N/A</v>
      </c>
      <c r="Q164" s="358" t="e">
        <f t="shared" si="69"/>
        <v>#N/A</v>
      </c>
      <c r="R164" s="358" t="e">
        <f t="shared" si="69"/>
        <v>#N/A</v>
      </c>
      <c r="S164" s="358" t="e">
        <f t="shared" si="69"/>
        <v>#N/A</v>
      </c>
      <c r="T164" s="358" t="e">
        <f t="shared" si="69"/>
        <v>#N/A</v>
      </c>
      <c r="U164" s="358" t="e">
        <f t="shared" si="69"/>
        <v>#N/A</v>
      </c>
      <c r="V164" s="358" t="e">
        <f t="shared" si="69"/>
        <v>#N/A</v>
      </c>
      <c r="W164" s="358" t="e">
        <f t="shared" si="69"/>
        <v>#N/A</v>
      </c>
      <c r="X164" s="358" t="e">
        <f t="shared" si="69"/>
        <v>#N/A</v>
      </c>
      <c r="Y164" s="358" t="e">
        <f t="shared" si="69"/>
        <v>#N/A</v>
      </c>
      <c r="Z164" s="358" t="e">
        <f t="shared" si="69"/>
        <v>#N/A</v>
      </c>
      <c r="AA164" s="358" t="e">
        <f t="shared" si="69"/>
        <v>#N/A</v>
      </c>
      <c r="AB164" s="358" t="e">
        <f t="shared" si="69"/>
        <v>#N/A</v>
      </c>
      <c r="AC164" s="358" t="e">
        <f t="shared" si="69"/>
        <v>#N/A</v>
      </c>
      <c r="AD164" s="358" t="e">
        <f t="shared" si="69"/>
        <v>#N/A</v>
      </c>
      <c r="AE164" s="358" t="e">
        <f t="shared" si="69"/>
        <v>#N/A</v>
      </c>
      <c r="AF164" s="358" t="e">
        <f t="shared" si="69"/>
        <v>#N/A</v>
      </c>
      <c r="AG164" s="358" t="e">
        <f t="shared" si="69"/>
        <v>#N/A</v>
      </c>
      <c r="AH164" s="358" t="e">
        <f t="shared" si="69"/>
        <v>#N/A</v>
      </c>
      <c r="AI164" s="358" t="e">
        <f t="shared" si="69"/>
        <v>#N/A</v>
      </c>
      <c r="AJ164" s="358" t="e">
        <f t="shared" si="69"/>
        <v>#N/A</v>
      </c>
      <c r="AK164" s="358" t="e">
        <f t="shared" si="69"/>
        <v>#N/A</v>
      </c>
      <c r="AL164" s="358" t="e">
        <f t="shared" si="69"/>
        <v>#N/A</v>
      </c>
      <c r="AM164" s="358" t="e">
        <f t="shared" si="69"/>
        <v>#N/A</v>
      </c>
      <c r="AN164" s="358" t="e">
        <f t="shared" si="69"/>
        <v>#N/A</v>
      </c>
      <c r="AO164" s="358" t="e">
        <f t="shared" si="69"/>
        <v>#N/A</v>
      </c>
      <c r="AP164" s="358" t="e">
        <f t="shared" si="69"/>
        <v>#N/A</v>
      </c>
      <c r="AQ164" s="358" t="e">
        <f t="shared" si="69"/>
        <v>#N/A</v>
      </c>
    </row>
    <row r="165" spans="1:44" s="317" customFormat="1" ht="14.25" hidden="1">
      <c r="A165" s="1012" t="s">
        <v>326</v>
      </c>
      <c r="B165" s="1012"/>
      <c r="C165" s="1012"/>
      <c r="E165" s="359" t="e">
        <f t="shared" ref="E165:AQ165" si="70">IF(E144="",NA(),ROUNDDOWN(E144*1.5848,1))</f>
        <v>#N/A</v>
      </c>
      <c r="F165" s="359" t="e">
        <f t="shared" si="70"/>
        <v>#N/A</v>
      </c>
      <c r="G165" s="359" t="e">
        <f t="shared" si="70"/>
        <v>#N/A</v>
      </c>
      <c r="H165" s="359" t="e">
        <f t="shared" si="70"/>
        <v>#N/A</v>
      </c>
      <c r="I165" s="359" t="e">
        <f t="shared" si="70"/>
        <v>#N/A</v>
      </c>
      <c r="J165" s="359" t="e">
        <f t="shared" si="70"/>
        <v>#N/A</v>
      </c>
      <c r="K165" s="359" t="e">
        <f t="shared" si="70"/>
        <v>#N/A</v>
      </c>
      <c r="L165" s="359" t="e">
        <f t="shared" si="70"/>
        <v>#N/A</v>
      </c>
      <c r="M165" s="359" t="e">
        <f t="shared" si="70"/>
        <v>#N/A</v>
      </c>
      <c r="N165" s="359" t="e">
        <f t="shared" si="70"/>
        <v>#N/A</v>
      </c>
      <c r="O165" s="359" t="e">
        <f t="shared" si="70"/>
        <v>#N/A</v>
      </c>
      <c r="P165" s="359" t="e">
        <f t="shared" si="70"/>
        <v>#N/A</v>
      </c>
      <c r="Q165" s="359" t="e">
        <f t="shared" si="70"/>
        <v>#N/A</v>
      </c>
      <c r="R165" s="359" t="e">
        <f t="shared" si="70"/>
        <v>#N/A</v>
      </c>
      <c r="S165" s="359" t="e">
        <f t="shared" si="70"/>
        <v>#N/A</v>
      </c>
      <c r="T165" s="359" t="e">
        <f t="shared" si="70"/>
        <v>#N/A</v>
      </c>
      <c r="U165" s="359" t="e">
        <f t="shared" si="70"/>
        <v>#N/A</v>
      </c>
      <c r="V165" s="359" t="e">
        <f t="shared" si="70"/>
        <v>#N/A</v>
      </c>
      <c r="W165" s="359" t="e">
        <f t="shared" si="70"/>
        <v>#N/A</v>
      </c>
      <c r="X165" s="359" t="e">
        <f t="shared" si="70"/>
        <v>#N/A</v>
      </c>
      <c r="Y165" s="359" t="e">
        <f t="shared" si="70"/>
        <v>#N/A</v>
      </c>
      <c r="Z165" s="359" t="e">
        <f t="shared" si="70"/>
        <v>#N/A</v>
      </c>
      <c r="AA165" s="359" t="e">
        <f t="shared" si="70"/>
        <v>#N/A</v>
      </c>
      <c r="AB165" s="359" t="e">
        <f t="shared" si="70"/>
        <v>#N/A</v>
      </c>
      <c r="AC165" s="359" t="e">
        <f t="shared" si="70"/>
        <v>#N/A</v>
      </c>
      <c r="AD165" s="359" t="e">
        <f t="shared" si="70"/>
        <v>#N/A</v>
      </c>
      <c r="AE165" s="359" t="e">
        <f t="shared" si="70"/>
        <v>#N/A</v>
      </c>
      <c r="AF165" s="359" t="e">
        <f t="shared" si="70"/>
        <v>#N/A</v>
      </c>
      <c r="AG165" s="359" t="e">
        <f t="shared" si="70"/>
        <v>#N/A</v>
      </c>
      <c r="AH165" s="359" t="e">
        <f t="shared" si="70"/>
        <v>#N/A</v>
      </c>
      <c r="AI165" s="359" t="e">
        <f t="shared" si="70"/>
        <v>#N/A</v>
      </c>
      <c r="AJ165" s="359" t="e">
        <f t="shared" si="70"/>
        <v>#N/A</v>
      </c>
      <c r="AK165" s="359" t="e">
        <f t="shared" si="70"/>
        <v>#N/A</v>
      </c>
      <c r="AL165" s="359" t="e">
        <f t="shared" si="70"/>
        <v>#N/A</v>
      </c>
      <c r="AM165" s="359" t="e">
        <f t="shared" si="70"/>
        <v>#N/A</v>
      </c>
      <c r="AN165" s="359" t="e">
        <f t="shared" si="70"/>
        <v>#N/A</v>
      </c>
      <c r="AO165" s="359" t="e">
        <f t="shared" si="70"/>
        <v>#N/A</v>
      </c>
      <c r="AP165" s="359" t="e">
        <f t="shared" si="70"/>
        <v>#N/A</v>
      </c>
      <c r="AQ165" s="359" t="e">
        <f t="shared" si="70"/>
        <v>#N/A</v>
      </c>
    </row>
    <row r="166" spans="1:44" s="317" customFormat="1" ht="14.25" hidden="1">
      <c r="A166" s="1012" t="s">
        <v>162</v>
      </c>
      <c r="B166" s="1012"/>
      <c r="C166" s="1012"/>
      <c r="E166" s="359" t="e">
        <f>IF(E164="",NA(),ROUNDDOWN(E164+E165,1))</f>
        <v>#N/A</v>
      </c>
      <c r="F166" s="359" t="e">
        <f t="shared" ref="F166:AQ166" si="71">IF(F164="",NA(),ROUNDDOWN(F164+F165,1))</f>
        <v>#N/A</v>
      </c>
      <c r="G166" s="359" t="e">
        <f t="shared" si="71"/>
        <v>#N/A</v>
      </c>
      <c r="H166" s="359" t="e">
        <f t="shared" si="71"/>
        <v>#N/A</v>
      </c>
      <c r="I166" s="359" t="e">
        <f t="shared" si="71"/>
        <v>#N/A</v>
      </c>
      <c r="J166" s="359" t="e">
        <f t="shared" si="71"/>
        <v>#N/A</v>
      </c>
      <c r="K166" s="359" t="e">
        <f t="shared" si="71"/>
        <v>#N/A</v>
      </c>
      <c r="L166" s="359" t="e">
        <f t="shared" si="71"/>
        <v>#N/A</v>
      </c>
      <c r="M166" s="359" t="e">
        <f t="shared" si="71"/>
        <v>#N/A</v>
      </c>
      <c r="N166" s="359" t="e">
        <f t="shared" si="71"/>
        <v>#N/A</v>
      </c>
      <c r="O166" s="359" t="e">
        <f t="shared" si="71"/>
        <v>#N/A</v>
      </c>
      <c r="P166" s="359" t="e">
        <f t="shared" si="71"/>
        <v>#N/A</v>
      </c>
      <c r="Q166" s="359" t="e">
        <f t="shared" si="71"/>
        <v>#N/A</v>
      </c>
      <c r="R166" s="359" t="e">
        <f t="shared" si="71"/>
        <v>#N/A</v>
      </c>
      <c r="S166" s="359" t="e">
        <f t="shared" si="71"/>
        <v>#N/A</v>
      </c>
      <c r="T166" s="359" t="e">
        <f t="shared" si="71"/>
        <v>#N/A</v>
      </c>
      <c r="U166" s="359" t="e">
        <f t="shared" si="71"/>
        <v>#N/A</v>
      </c>
      <c r="V166" s="359" t="e">
        <f t="shared" si="71"/>
        <v>#N/A</v>
      </c>
      <c r="W166" s="359" t="e">
        <f t="shared" si="71"/>
        <v>#N/A</v>
      </c>
      <c r="X166" s="359" t="e">
        <f t="shared" si="71"/>
        <v>#N/A</v>
      </c>
      <c r="Y166" s="359" t="e">
        <f t="shared" si="71"/>
        <v>#N/A</v>
      </c>
      <c r="Z166" s="359" t="e">
        <f t="shared" si="71"/>
        <v>#N/A</v>
      </c>
      <c r="AA166" s="359" t="e">
        <f t="shared" si="71"/>
        <v>#N/A</v>
      </c>
      <c r="AB166" s="359" t="e">
        <f t="shared" si="71"/>
        <v>#N/A</v>
      </c>
      <c r="AC166" s="359" t="e">
        <f t="shared" si="71"/>
        <v>#N/A</v>
      </c>
      <c r="AD166" s="359" t="e">
        <f t="shared" si="71"/>
        <v>#N/A</v>
      </c>
      <c r="AE166" s="359" t="e">
        <f t="shared" si="71"/>
        <v>#N/A</v>
      </c>
      <c r="AF166" s="359" t="e">
        <f t="shared" si="71"/>
        <v>#N/A</v>
      </c>
      <c r="AG166" s="359" t="e">
        <f t="shared" si="71"/>
        <v>#N/A</v>
      </c>
      <c r="AH166" s="359" t="e">
        <f t="shared" si="71"/>
        <v>#N/A</v>
      </c>
      <c r="AI166" s="359" t="e">
        <f t="shared" si="71"/>
        <v>#N/A</v>
      </c>
      <c r="AJ166" s="359" t="e">
        <f t="shared" si="71"/>
        <v>#N/A</v>
      </c>
      <c r="AK166" s="359" t="e">
        <f t="shared" si="71"/>
        <v>#N/A</v>
      </c>
      <c r="AL166" s="359" t="e">
        <f t="shared" si="71"/>
        <v>#N/A</v>
      </c>
      <c r="AM166" s="359" t="e">
        <f t="shared" si="71"/>
        <v>#N/A</v>
      </c>
      <c r="AN166" s="359" t="e">
        <f t="shared" si="71"/>
        <v>#N/A</v>
      </c>
      <c r="AO166" s="359" t="e">
        <f t="shared" si="71"/>
        <v>#N/A</v>
      </c>
      <c r="AP166" s="359" t="e">
        <f t="shared" si="71"/>
        <v>#N/A</v>
      </c>
      <c r="AQ166" s="359" t="e">
        <f t="shared" si="71"/>
        <v>#N/A</v>
      </c>
    </row>
    <row r="167" spans="1:44" s="317" customFormat="1" ht="14.25" hidden="1">
      <c r="A167" s="1012" t="s">
        <v>198</v>
      </c>
      <c r="B167" s="1012"/>
      <c r="C167" s="1012"/>
      <c r="E167" s="360" t="e">
        <f t="shared" ref="E167:AQ167" si="72">IF(E144="",NA(),IF(E140&lt;=$B155,E144*$D158/100,IF(E140&lt;=$C155,E144*$E158/100,IF(E140&lt;=$D155,E144*$F158/100,IF(E140&lt;=$E155,E144*$G158/100,IF(E140&lt;=$F155,E144*$H158/100,IF(E140&lt;=$G155,E144*$I158/100,IF(E140&lt;=$H155,E144*$J158/100,IF(E140&lt;=$I155,E144*$K158/100,IF(E140&lt;=$J155,E144*$L158/100,IF(E140&lt;=$K155,E144*$M158/100,IF(E140&lt;=$L155,E144*$N158/100,IF(E140&lt;=$M155,E144*$O158/100,IF(E140&lt;=$N155,E144*$P158/100,IF(E140&lt;=$O155,E144*$Q158/100,IF(E140&lt;=$P155,E144*$R158/100,IF(E140&lt;=$Q155,E144*$S158/100,IF(E140&lt;=$R155,E144*$T158/100,IF(E140&lt;=$S155,E144*$U158/100,IF(E140&lt;=$T155,E144*$V158/100,IF(E140&lt;=$U155,E144*$W158/100,E144*$X158/100)))))))))))))))))))))</f>
        <v>#N/A</v>
      </c>
      <c r="F167" s="360" t="e">
        <f t="shared" si="72"/>
        <v>#N/A</v>
      </c>
      <c r="G167" s="360" t="e">
        <f t="shared" si="72"/>
        <v>#N/A</v>
      </c>
      <c r="H167" s="360" t="e">
        <f t="shared" si="72"/>
        <v>#N/A</v>
      </c>
      <c r="I167" s="360" t="e">
        <f t="shared" si="72"/>
        <v>#N/A</v>
      </c>
      <c r="J167" s="360" t="e">
        <f t="shared" si="72"/>
        <v>#N/A</v>
      </c>
      <c r="K167" s="360" t="e">
        <f t="shared" si="72"/>
        <v>#N/A</v>
      </c>
      <c r="L167" s="360" t="e">
        <f t="shared" si="72"/>
        <v>#N/A</v>
      </c>
      <c r="M167" s="360" t="e">
        <f t="shared" si="72"/>
        <v>#N/A</v>
      </c>
      <c r="N167" s="360" t="e">
        <f t="shared" si="72"/>
        <v>#N/A</v>
      </c>
      <c r="O167" s="360" t="e">
        <f t="shared" si="72"/>
        <v>#N/A</v>
      </c>
      <c r="P167" s="360" t="e">
        <f t="shared" si="72"/>
        <v>#N/A</v>
      </c>
      <c r="Q167" s="360" t="e">
        <f t="shared" si="72"/>
        <v>#N/A</v>
      </c>
      <c r="R167" s="360" t="e">
        <f t="shared" si="72"/>
        <v>#N/A</v>
      </c>
      <c r="S167" s="360" t="e">
        <f t="shared" si="72"/>
        <v>#N/A</v>
      </c>
      <c r="T167" s="360" t="e">
        <f t="shared" si="72"/>
        <v>#N/A</v>
      </c>
      <c r="U167" s="360" t="e">
        <f t="shared" si="72"/>
        <v>#N/A</v>
      </c>
      <c r="V167" s="360" t="e">
        <f t="shared" si="72"/>
        <v>#N/A</v>
      </c>
      <c r="W167" s="360" t="e">
        <f t="shared" si="72"/>
        <v>#N/A</v>
      </c>
      <c r="X167" s="360" t="e">
        <f t="shared" si="72"/>
        <v>#N/A</v>
      </c>
      <c r="Y167" s="360" t="e">
        <f t="shared" si="72"/>
        <v>#N/A</v>
      </c>
      <c r="Z167" s="360" t="e">
        <f t="shared" si="72"/>
        <v>#N/A</v>
      </c>
      <c r="AA167" s="360" t="e">
        <f t="shared" si="72"/>
        <v>#N/A</v>
      </c>
      <c r="AB167" s="360" t="e">
        <f t="shared" si="72"/>
        <v>#N/A</v>
      </c>
      <c r="AC167" s="360" t="e">
        <f t="shared" si="72"/>
        <v>#N/A</v>
      </c>
      <c r="AD167" s="360" t="e">
        <f t="shared" si="72"/>
        <v>#N/A</v>
      </c>
      <c r="AE167" s="360" t="e">
        <f t="shared" si="72"/>
        <v>#N/A</v>
      </c>
      <c r="AF167" s="360" t="e">
        <f t="shared" si="72"/>
        <v>#N/A</v>
      </c>
      <c r="AG167" s="360" t="e">
        <f t="shared" si="72"/>
        <v>#N/A</v>
      </c>
      <c r="AH167" s="360" t="e">
        <f t="shared" si="72"/>
        <v>#N/A</v>
      </c>
      <c r="AI167" s="360" t="e">
        <f t="shared" si="72"/>
        <v>#N/A</v>
      </c>
      <c r="AJ167" s="360" t="e">
        <f t="shared" si="72"/>
        <v>#N/A</v>
      </c>
      <c r="AK167" s="360" t="e">
        <f t="shared" si="72"/>
        <v>#N/A</v>
      </c>
      <c r="AL167" s="360" t="e">
        <f t="shared" si="72"/>
        <v>#N/A</v>
      </c>
      <c r="AM167" s="360" t="e">
        <f t="shared" si="72"/>
        <v>#N/A</v>
      </c>
      <c r="AN167" s="360" t="e">
        <f t="shared" si="72"/>
        <v>#N/A</v>
      </c>
      <c r="AO167" s="360" t="e">
        <f t="shared" si="72"/>
        <v>#N/A</v>
      </c>
      <c r="AP167" s="360" t="e">
        <f t="shared" si="72"/>
        <v>#N/A</v>
      </c>
      <c r="AQ167" s="360" t="e">
        <f t="shared" si="72"/>
        <v>#N/A</v>
      </c>
    </row>
    <row r="168" spans="1:44" s="317" customFormat="1" ht="14.25" hidden="1">
      <c r="A168" s="1011" t="s">
        <v>327</v>
      </c>
      <c r="B168" s="1012"/>
      <c r="C168" s="1050"/>
      <c r="E168" s="361" t="e">
        <f>IF(E167="",NA(),ROUND(E167*1.5848,1))</f>
        <v>#N/A</v>
      </c>
      <c r="F168" s="361" t="e">
        <f t="shared" ref="F168:AQ168" si="73">IF(F167="",NA(),ROUND(F167*1.5848,1))</f>
        <v>#N/A</v>
      </c>
      <c r="G168" s="361" t="e">
        <f t="shared" si="73"/>
        <v>#N/A</v>
      </c>
      <c r="H168" s="361" t="e">
        <f t="shared" si="73"/>
        <v>#N/A</v>
      </c>
      <c r="I168" s="361" t="e">
        <f t="shared" si="73"/>
        <v>#N/A</v>
      </c>
      <c r="J168" s="361" t="e">
        <f t="shared" si="73"/>
        <v>#N/A</v>
      </c>
      <c r="K168" s="361" t="e">
        <f t="shared" si="73"/>
        <v>#N/A</v>
      </c>
      <c r="L168" s="361" t="e">
        <f t="shared" si="73"/>
        <v>#N/A</v>
      </c>
      <c r="M168" s="361" t="e">
        <f t="shared" si="73"/>
        <v>#N/A</v>
      </c>
      <c r="N168" s="361" t="e">
        <f t="shared" si="73"/>
        <v>#N/A</v>
      </c>
      <c r="O168" s="361" t="e">
        <f t="shared" si="73"/>
        <v>#N/A</v>
      </c>
      <c r="P168" s="361" t="e">
        <f t="shared" si="73"/>
        <v>#N/A</v>
      </c>
      <c r="Q168" s="361" t="e">
        <f t="shared" si="73"/>
        <v>#N/A</v>
      </c>
      <c r="R168" s="361" t="e">
        <f t="shared" si="73"/>
        <v>#N/A</v>
      </c>
      <c r="S168" s="361" t="e">
        <f t="shared" si="73"/>
        <v>#N/A</v>
      </c>
      <c r="T168" s="361" t="e">
        <f t="shared" si="73"/>
        <v>#N/A</v>
      </c>
      <c r="U168" s="361" t="e">
        <f t="shared" si="73"/>
        <v>#N/A</v>
      </c>
      <c r="V168" s="361" t="e">
        <f t="shared" si="73"/>
        <v>#N/A</v>
      </c>
      <c r="W168" s="361" t="e">
        <f t="shared" si="73"/>
        <v>#N/A</v>
      </c>
      <c r="X168" s="361" t="e">
        <f t="shared" si="73"/>
        <v>#N/A</v>
      </c>
      <c r="Y168" s="361" t="e">
        <f t="shared" si="73"/>
        <v>#N/A</v>
      </c>
      <c r="Z168" s="361" t="e">
        <f t="shared" si="73"/>
        <v>#N/A</v>
      </c>
      <c r="AA168" s="361" t="e">
        <f t="shared" si="73"/>
        <v>#N/A</v>
      </c>
      <c r="AB168" s="361" t="e">
        <f t="shared" si="73"/>
        <v>#N/A</v>
      </c>
      <c r="AC168" s="361" t="e">
        <f t="shared" si="73"/>
        <v>#N/A</v>
      </c>
      <c r="AD168" s="361" t="e">
        <f t="shared" si="73"/>
        <v>#N/A</v>
      </c>
      <c r="AE168" s="361" t="e">
        <f t="shared" si="73"/>
        <v>#N/A</v>
      </c>
      <c r="AF168" s="361" t="e">
        <f t="shared" si="73"/>
        <v>#N/A</v>
      </c>
      <c r="AG168" s="361" t="e">
        <f t="shared" si="73"/>
        <v>#N/A</v>
      </c>
      <c r="AH168" s="361" t="e">
        <f t="shared" si="73"/>
        <v>#N/A</v>
      </c>
      <c r="AI168" s="361" t="e">
        <f t="shared" si="73"/>
        <v>#N/A</v>
      </c>
      <c r="AJ168" s="361" t="e">
        <f t="shared" si="73"/>
        <v>#N/A</v>
      </c>
      <c r="AK168" s="361" t="e">
        <f t="shared" si="73"/>
        <v>#N/A</v>
      </c>
      <c r="AL168" s="361" t="e">
        <f t="shared" si="73"/>
        <v>#N/A</v>
      </c>
      <c r="AM168" s="361" t="e">
        <f t="shared" si="73"/>
        <v>#N/A</v>
      </c>
      <c r="AN168" s="361" t="e">
        <f t="shared" si="73"/>
        <v>#N/A</v>
      </c>
      <c r="AO168" s="361" t="e">
        <f t="shared" si="73"/>
        <v>#N/A</v>
      </c>
      <c r="AP168" s="361" t="e">
        <f t="shared" si="73"/>
        <v>#N/A</v>
      </c>
      <c r="AQ168" s="361" t="e">
        <f t="shared" si="73"/>
        <v>#N/A</v>
      </c>
    </row>
    <row r="169" spans="1:44" s="317" customFormat="1" ht="14.25" hidden="1">
      <c r="A169" s="1011" t="s">
        <v>328</v>
      </c>
      <c r="B169" s="1012"/>
      <c r="C169" s="1050"/>
      <c r="E169" s="361" t="e">
        <f>IF(E170="",NA(),ROUND(E170-E168,1))</f>
        <v>#N/A</v>
      </c>
      <c r="F169" s="361" t="e">
        <f t="shared" ref="F169:AQ169" si="74">IF(F170="",NA(),ROUND(F170-F168,1))</f>
        <v>#N/A</v>
      </c>
      <c r="G169" s="361" t="e">
        <f t="shared" si="74"/>
        <v>#N/A</v>
      </c>
      <c r="H169" s="361" t="e">
        <f t="shared" si="74"/>
        <v>#N/A</v>
      </c>
      <c r="I169" s="361" t="e">
        <f t="shared" si="74"/>
        <v>#N/A</v>
      </c>
      <c r="J169" s="361" t="e">
        <f t="shared" si="74"/>
        <v>#N/A</v>
      </c>
      <c r="K169" s="361" t="e">
        <f t="shared" si="74"/>
        <v>#N/A</v>
      </c>
      <c r="L169" s="361" t="e">
        <f t="shared" si="74"/>
        <v>#N/A</v>
      </c>
      <c r="M169" s="361" t="e">
        <f t="shared" si="74"/>
        <v>#N/A</v>
      </c>
      <c r="N169" s="361" t="e">
        <f t="shared" si="74"/>
        <v>#N/A</v>
      </c>
      <c r="O169" s="361" t="e">
        <f t="shared" si="74"/>
        <v>#N/A</v>
      </c>
      <c r="P169" s="361" t="e">
        <f t="shared" si="74"/>
        <v>#N/A</v>
      </c>
      <c r="Q169" s="361" t="e">
        <f t="shared" si="74"/>
        <v>#N/A</v>
      </c>
      <c r="R169" s="361" t="e">
        <f t="shared" si="74"/>
        <v>#N/A</v>
      </c>
      <c r="S169" s="361" t="e">
        <f t="shared" si="74"/>
        <v>#N/A</v>
      </c>
      <c r="T169" s="361" t="e">
        <f t="shared" si="74"/>
        <v>#N/A</v>
      </c>
      <c r="U169" s="361" t="e">
        <f t="shared" si="74"/>
        <v>#N/A</v>
      </c>
      <c r="V169" s="361" t="e">
        <f t="shared" si="74"/>
        <v>#N/A</v>
      </c>
      <c r="W169" s="361" t="e">
        <f t="shared" si="74"/>
        <v>#N/A</v>
      </c>
      <c r="X169" s="361" t="e">
        <f t="shared" si="74"/>
        <v>#N/A</v>
      </c>
      <c r="Y169" s="361" t="e">
        <f t="shared" si="74"/>
        <v>#N/A</v>
      </c>
      <c r="Z169" s="361" t="e">
        <f t="shared" si="74"/>
        <v>#N/A</v>
      </c>
      <c r="AA169" s="361" t="e">
        <f t="shared" si="74"/>
        <v>#N/A</v>
      </c>
      <c r="AB169" s="361" t="e">
        <f t="shared" si="74"/>
        <v>#N/A</v>
      </c>
      <c r="AC169" s="361" t="e">
        <f t="shared" si="74"/>
        <v>#N/A</v>
      </c>
      <c r="AD169" s="361" t="e">
        <f t="shared" si="74"/>
        <v>#N/A</v>
      </c>
      <c r="AE169" s="361" t="e">
        <f t="shared" si="74"/>
        <v>#N/A</v>
      </c>
      <c r="AF169" s="361" t="e">
        <f t="shared" si="74"/>
        <v>#N/A</v>
      </c>
      <c r="AG169" s="361" t="e">
        <f t="shared" si="74"/>
        <v>#N/A</v>
      </c>
      <c r="AH169" s="361" t="e">
        <f t="shared" si="74"/>
        <v>#N/A</v>
      </c>
      <c r="AI169" s="361" t="e">
        <f t="shared" si="74"/>
        <v>#N/A</v>
      </c>
      <c r="AJ169" s="361" t="e">
        <f t="shared" si="74"/>
        <v>#N/A</v>
      </c>
      <c r="AK169" s="361" t="e">
        <f t="shared" si="74"/>
        <v>#N/A</v>
      </c>
      <c r="AL169" s="361" t="e">
        <f t="shared" si="74"/>
        <v>#N/A</v>
      </c>
      <c r="AM169" s="361" t="e">
        <f t="shared" si="74"/>
        <v>#N/A</v>
      </c>
      <c r="AN169" s="361" t="e">
        <f t="shared" si="74"/>
        <v>#N/A</v>
      </c>
      <c r="AO169" s="361" t="e">
        <f t="shared" si="74"/>
        <v>#N/A</v>
      </c>
      <c r="AP169" s="361" t="e">
        <f t="shared" si="74"/>
        <v>#N/A</v>
      </c>
      <c r="AQ169" s="361" t="e">
        <f t="shared" si="74"/>
        <v>#N/A</v>
      </c>
    </row>
    <row r="170" spans="1:44" s="317" customFormat="1" ht="14.25" hidden="1">
      <c r="A170" s="1011" t="s">
        <v>329</v>
      </c>
      <c r="B170" s="1012"/>
      <c r="C170" s="1050"/>
      <c r="E170" s="360" t="e">
        <f t="shared" ref="E170:AQ170" si="75">IF(E166="",NA(),IF(E140&lt;=$B155,E166*$D158/100,IF(E140&lt;=$C155,E166*$E158/100,IF(E140&lt;=$D155,E166*$F158/100,IF(E140&lt;=$E155,E166*$G158/100,IF(E140&lt;=$F155,E166*$H158/100,IF(E140&lt;=$G155,E166*$I158/100,IF(E140&lt;=$H155,E166*$J158/100,IF(E140&lt;=$I155,E166*$K158/100,IF(E140&lt;=$J155,E166*$L158/100,IF(E140&lt;=$K155,E166*$M158/100,IF(E140&lt;=$L155,E166*$N158/100,IF(E140&lt;=$M155,E166*$O158/100,IF(E140&lt;=$N155,E166*$P158/100,IF(E140&lt;=$O155,E166*$Q158/100,IF(E140&lt;=$P155,E166*$R158/100,IF(E140&lt;=$Q155,E166*$S158/100,IF(E140&lt;=$R155,E166*$T158/100,IF(E140&lt;=$S155,E166*$U158/100,IF(E140&lt;=$T155,E166*$V158/100,IF(E140&lt;=$U155,E166*$W158/100,E166*$X158/100)))))))))))))))))))))</f>
        <v>#N/A</v>
      </c>
      <c r="F170" s="360" t="e">
        <f t="shared" si="75"/>
        <v>#N/A</v>
      </c>
      <c r="G170" s="360" t="e">
        <f t="shared" si="75"/>
        <v>#N/A</v>
      </c>
      <c r="H170" s="360" t="e">
        <f t="shared" si="75"/>
        <v>#N/A</v>
      </c>
      <c r="I170" s="360" t="e">
        <f t="shared" si="75"/>
        <v>#N/A</v>
      </c>
      <c r="J170" s="360" t="e">
        <f t="shared" si="75"/>
        <v>#N/A</v>
      </c>
      <c r="K170" s="360" t="e">
        <f t="shared" si="75"/>
        <v>#N/A</v>
      </c>
      <c r="L170" s="360" t="e">
        <f t="shared" si="75"/>
        <v>#N/A</v>
      </c>
      <c r="M170" s="360" t="e">
        <f t="shared" si="75"/>
        <v>#N/A</v>
      </c>
      <c r="N170" s="360" t="e">
        <f t="shared" si="75"/>
        <v>#N/A</v>
      </c>
      <c r="O170" s="360" t="e">
        <f t="shared" si="75"/>
        <v>#N/A</v>
      </c>
      <c r="P170" s="360" t="e">
        <f t="shared" si="75"/>
        <v>#N/A</v>
      </c>
      <c r="Q170" s="360" t="e">
        <f t="shared" si="75"/>
        <v>#N/A</v>
      </c>
      <c r="R170" s="360" t="e">
        <f t="shared" si="75"/>
        <v>#N/A</v>
      </c>
      <c r="S170" s="360" t="e">
        <f t="shared" si="75"/>
        <v>#N/A</v>
      </c>
      <c r="T170" s="360" t="e">
        <f t="shared" si="75"/>
        <v>#N/A</v>
      </c>
      <c r="U170" s="360" t="e">
        <f t="shared" si="75"/>
        <v>#N/A</v>
      </c>
      <c r="V170" s="360" t="e">
        <f t="shared" si="75"/>
        <v>#N/A</v>
      </c>
      <c r="W170" s="360" t="e">
        <f t="shared" si="75"/>
        <v>#N/A</v>
      </c>
      <c r="X170" s="360" t="e">
        <f t="shared" si="75"/>
        <v>#N/A</v>
      </c>
      <c r="Y170" s="360" t="e">
        <f t="shared" si="75"/>
        <v>#N/A</v>
      </c>
      <c r="Z170" s="360" t="e">
        <f t="shared" si="75"/>
        <v>#N/A</v>
      </c>
      <c r="AA170" s="360" t="e">
        <f t="shared" si="75"/>
        <v>#N/A</v>
      </c>
      <c r="AB170" s="360" t="e">
        <f t="shared" si="75"/>
        <v>#N/A</v>
      </c>
      <c r="AC170" s="360" t="e">
        <f t="shared" si="75"/>
        <v>#N/A</v>
      </c>
      <c r="AD170" s="360" t="e">
        <f t="shared" si="75"/>
        <v>#N/A</v>
      </c>
      <c r="AE170" s="360" t="e">
        <f t="shared" si="75"/>
        <v>#N/A</v>
      </c>
      <c r="AF170" s="360" t="e">
        <f t="shared" si="75"/>
        <v>#N/A</v>
      </c>
      <c r="AG170" s="360" t="e">
        <f t="shared" si="75"/>
        <v>#N/A</v>
      </c>
      <c r="AH170" s="360" t="e">
        <f t="shared" si="75"/>
        <v>#N/A</v>
      </c>
      <c r="AI170" s="360" t="e">
        <f t="shared" si="75"/>
        <v>#N/A</v>
      </c>
      <c r="AJ170" s="360" t="e">
        <f t="shared" si="75"/>
        <v>#N/A</v>
      </c>
      <c r="AK170" s="360" t="e">
        <f t="shared" si="75"/>
        <v>#N/A</v>
      </c>
      <c r="AL170" s="360" t="e">
        <f t="shared" si="75"/>
        <v>#N/A</v>
      </c>
      <c r="AM170" s="360" t="e">
        <f t="shared" si="75"/>
        <v>#N/A</v>
      </c>
      <c r="AN170" s="360" t="e">
        <f t="shared" si="75"/>
        <v>#N/A</v>
      </c>
      <c r="AO170" s="360" t="e">
        <f t="shared" si="75"/>
        <v>#N/A</v>
      </c>
      <c r="AP170" s="360" t="e">
        <f t="shared" si="75"/>
        <v>#N/A</v>
      </c>
      <c r="AQ170" s="360" t="e">
        <f t="shared" si="75"/>
        <v>#N/A</v>
      </c>
    </row>
    <row r="171" spans="1:44" s="317" customFormat="1" ht="15" hidden="1" thickBot="1">
      <c r="A171" s="1014" t="s">
        <v>330</v>
      </c>
      <c r="B171" s="1015"/>
      <c r="C171" s="1015"/>
      <c r="E171" s="362" t="e">
        <f>IF(E170="",NA(),ROUND(E168/E170*100,1))</f>
        <v>#N/A</v>
      </c>
      <c r="F171" s="362" t="e">
        <f t="shared" ref="F171:AQ171" si="76">IF(F170="",NA(),ROUND(F168/F170*100,1))</f>
        <v>#N/A</v>
      </c>
      <c r="G171" s="362" t="e">
        <f t="shared" si="76"/>
        <v>#N/A</v>
      </c>
      <c r="H171" s="362" t="e">
        <f t="shared" si="76"/>
        <v>#N/A</v>
      </c>
      <c r="I171" s="362" t="e">
        <f t="shared" si="76"/>
        <v>#N/A</v>
      </c>
      <c r="J171" s="362" t="e">
        <f t="shared" si="76"/>
        <v>#N/A</v>
      </c>
      <c r="K171" s="362" t="e">
        <f t="shared" si="76"/>
        <v>#N/A</v>
      </c>
      <c r="L171" s="362" t="e">
        <f t="shared" si="76"/>
        <v>#N/A</v>
      </c>
      <c r="M171" s="362" t="e">
        <f t="shared" si="76"/>
        <v>#N/A</v>
      </c>
      <c r="N171" s="362" t="e">
        <f t="shared" si="76"/>
        <v>#N/A</v>
      </c>
      <c r="O171" s="362" t="e">
        <f t="shared" si="76"/>
        <v>#N/A</v>
      </c>
      <c r="P171" s="362" t="e">
        <f t="shared" si="76"/>
        <v>#N/A</v>
      </c>
      <c r="Q171" s="362" t="e">
        <f t="shared" si="76"/>
        <v>#N/A</v>
      </c>
      <c r="R171" s="362" t="e">
        <f t="shared" si="76"/>
        <v>#N/A</v>
      </c>
      <c r="S171" s="362" t="e">
        <f t="shared" si="76"/>
        <v>#N/A</v>
      </c>
      <c r="T171" s="362" t="e">
        <f t="shared" si="76"/>
        <v>#N/A</v>
      </c>
      <c r="U171" s="362" t="e">
        <f t="shared" si="76"/>
        <v>#N/A</v>
      </c>
      <c r="V171" s="362" t="e">
        <f t="shared" si="76"/>
        <v>#N/A</v>
      </c>
      <c r="W171" s="362" t="e">
        <f t="shared" si="76"/>
        <v>#N/A</v>
      </c>
      <c r="X171" s="362" t="e">
        <f t="shared" si="76"/>
        <v>#N/A</v>
      </c>
      <c r="Y171" s="362" t="e">
        <f t="shared" si="76"/>
        <v>#N/A</v>
      </c>
      <c r="Z171" s="362" t="e">
        <f t="shared" si="76"/>
        <v>#N/A</v>
      </c>
      <c r="AA171" s="362" t="e">
        <f t="shared" si="76"/>
        <v>#N/A</v>
      </c>
      <c r="AB171" s="362" t="e">
        <f t="shared" si="76"/>
        <v>#N/A</v>
      </c>
      <c r="AC171" s="362" t="e">
        <f t="shared" si="76"/>
        <v>#N/A</v>
      </c>
      <c r="AD171" s="362" t="e">
        <f t="shared" si="76"/>
        <v>#N/A</v>
      </c>
      <c r="AE171" s="362" t="e">
        <f t="shared" si="76"/>
        <v>#N/A</v>
      </c>
      <c r="AF171" s="362" t="e">
        <f t="shared" si="76"/>
        <v>#N/A</v>
      </c>
      <c r="AG171" s="362" t="e">
        <f t="shared" si="76"/>
        <v>#N/A</v>
      </c>
      <c r="AH171" s="362" t="e">
        <f t="shared" si="76"/>
        <v>#N/A</v>
      </c>
      <c r="AI171" s="362" t="e">
        <f t="shared" si="76"/>
        <v>#N/A</v>
      </c>
      <c r="AJ171" s="362" t="e">
        <f t="shared" si="76"/>
        <v>#N/A</v>
      </c>
      <c r="AK171" s="362" t="e">
        <f t="shared" si="76"/>
        <v>#N/A</v>
      </c>
      <c r="AL171" s="362" t="e">
        <f t="shared" si="76"/>
        <v>#N/A</v>
      </c>
      <c r="AM171" s="362" t="e">
        <f t="shared" si="76"/>
        <v>#N/A</v>
      </c>
      <c r="AN171" s="362" t="e">
        <f t="shared" si="76"/>
        <v>#N/A</v>
      </c>
      <c r="AO171" s="362" t="e">
        <f t="shared" si="76"/>
        <v>#N/A</v>
      </c>
      <c r="AP171" s="362" t="e">
        <f t="shared" si="76"/>
        <v>#N/A</v>
      </c>
      <c r="AQ171" s="362" t="e">
        <f t="shared" si="76"/>
        <v>#N/A</v>
      </c>
      <c r="AR171" s="362"/>
    </row>
    <row r="172" spans="1:44" s="317" customFormat="1" ht="14.25" hidden="1"/>
    <row r="173" spans="1:44" s="317" customFormat="1" ht="21" customHeight="1" thickBot="1">
      <c r="A173" s="316" t="s">
        <v>338</v>
      </c>
    </row>
    <row r="174" spans="1:44" s="317" customFormat="1" ht="12.95" customHeight="1" thickBot="1">
      <c r="A174" s="1016" t="s">
        <v>286</v>
      </c>
      <c r="B174" s="1017"/>
      <c r="C174" s="1017"/>
      <c r="D174" s="1022"/>
      <c r="E174" s="1022"/>
      <c r="F174" s="1023"/>
      <c r="H174" s="318" t="s">
        <v>294</v>
      </c>
      <c r="I174" s="1022"/>
      <c r="J174" s="1023"/>
      <c r="L174" s="363" t="s">
        <v>295</v>
      </c>
      <c r="M174" s="1057"/>
      <c r="N174" s="1058"/>
      <c r="O174" s="364"/>
      <c r="P174" s="1059" t="s">
        <v>297</v>
      </c>
      <c r="Q174" s="1060"/>
      <c r="R174" s="365"/>
      <c r="S174" s="365"/>
      <c r="T174" s="365"/>
    </row>
    <row r="175" spans="1:44" s="317" customFormat="1" ht="12.95" customHeight="1" thickBot="1">
      <c r="L175" s="366" t="s">
        <v>296</v>
      </c>
      <c r="M175" s="1061"/>
      <c r="N175" s="1062"/>
      <c r="P175" s="1028"/>
      <c r="Q175" s="1029"/>
      <c r="R175" s="1029"/>
      <c r="S175" s="1029"/>
      <c r="T175" s="1029"/>
      <c r="U175" s="1029"/>
      <c r="V175" s="1029"/>
      <c r="W175" s="1029"/>
      <c r="X175" s="1030"/>
    </row>
    <row r="176" spans="1:44" s="317" customFormat="1" ht="14.25">
      <c r="A176" s="1037" t="s">
        <v>63</v>
      </c>
      <c r="B176" s="1038"/>
      <c r="C176" s="1038"/>
      <c r="D176" s="388" t="s">
        <v>49</v>
      </c>
      <c r="E176" s="388" t="s">
        <v>14</v>
      </c>
      <c r="F176" s="388" t="s">
        <v>16</v>
      </c>
      <c r="G176" s="388" t="s">
        <v>50</v>
      </c>
      <c r="H176" s="388" t="s">
        <v>51</v>
      </c>
      <c r="I176" s="322" t="s">
        <v>54</v>
      </c>
      <c r="J176" s="323" t="s">
        <v>53</v>
      </c>
      <c r="K176" s="324"/>
      <c r="P176" s="1031"/>
      <c r="Q176" s="1032"/>
      <c r="R176" s="1032"/>
      <c r="S176" s="1032"/>
      <c r="T176" s="1032"/>
      <c r="U176" s="1032"/>
      <c r="V176" s="1032"/>
      <c r="W176" s="1032"/>
      <c r="X176" s="1033"/>
      <c r="Z176" s="326"/>
      <c r="AA176" s="326"/>
    </row>
    <row r="177" spans="1:44" s="317" customFormat="1" ht="14.25">
      <c r="A177" s="1011" t="s">
        <v>166</v>
      </c>
      <c r="B177" s="1012"/>
      <c r="C177" s="1012"/>
      <c r="D177" s="373" t="str">
        <f>IF(D178+D179=0,"",D178+D179)</f>
        <v/>
      </c>
      <c r="E177" s="373" t="str">
        <f>IF(E178+E179=0,"",E178+E179)</f>
        <v/>
      </c>
      <c r="F177" s="373" t="str">
        <f>IF(F178+F179=0,"",F178+F179)</f>
        <v/>
      </c>
      <c r="G177" s="373" t="str">
        <f>IF(G178+G179=0,"",G178+G179)</f>
        <v/>
      </c>
      <c r="H177" s="373" t="str">
        <f>IF(H178+H179=0,"",H178+H179)</f>
        <v/>
      </c>
      <c r="I177" s="327"/>
      <c r="J177" s="390" t="str">
        <f>IF(SUM(D177:I177)=0,"",SUM(D177:I177))</f>
        <v/>
      </c>
      <c r="K177" s="324"/>
      <c r="P177" s="1031"/>
      <c r="Q177" s="1032"/>
      <c r="R177" s="1032"/>
      <c r="S177" s="1032"/>
      <c r="T177" s="1032"/>
      <c r="U177" s="1032"/>
      <c r="V177" s="1032"/>
      <c r="W177" s="1032"/>
      <c r="X177" s="1033"/>
      <c r="Z177" s="326"/>
      <c r="AA177" s="326"/>
    </row>
    <row r="178" spans="1:44" s="317" customFormat="1" ht="14.25">
      <c r="A178" s="1011" t="s">
        <v>95</v>
      </c>
      <c r="B178" s="1012"/>
      <c r="C178" s="1012"/>
      <c r="D178" s="393"/>
      <c r="E178" s="393"/>
      <c r="F178" s="393"/>
      <c r="G178" s="393"/>
      <c r="H178" s="393"/>
      <c r="I178" s="327"/>
      <c r="J178" s="390" t="str">
        <f>IF(SUM(D178:I178)=0,"",SUM(D178:I178))</f>
        <v/>
      </c>
      <c r="K178" s="330"/>
      <c r="P178" s="1031"/>
      <c r="Q178" s="1032"/>
      <c r="R178" s="1032"/>
      <c r="S178" s="1032"/>
      <c r="T178" s="1032"/>
      <c r="U178" s="1032"/>
      <c r="V178" s="1032"/>
      <c r="W178" s="1032"/>
      <c r="X178" s="1033"/>
      <c r="Y178" s="1013"/>
      <c r="Z178" s="1013"/>
      <c r="AA178" s="1013"/>
    </row>
    <row r="179" spans="1:44" s="317" customFormat="1" ht="14.25">
      <c r="A179" s="1011" t="s">
        <v>52</v>
      </c>
      <c r="B179" s="1012"/>
      <c r="C179" s="1012"/>
      <c r="D179" s="393"/>
      <c r="E179" s="393"/>
      <c r="F179" s="393"/>
      <c r="G179" s="393"/>
      <c r="H179" s="393"/>
      <c r="I179" s="327"/>
      <c r="J179" s="390" t="str">
        <f>IF(SUM(D179:I179)=0,"",SUM(D179:I179))</f>
        <v/>
      </c>
      <c r="K179" s="330"/>
      <c r="P179" s="1031"/>
      <c r="Q179" s="1032"/>
      <c r="R179" s="1032"/>
      <c r="S179" s="1032"/>
      <c r="T179" s="1032"/>
      <c r="U179" s="1032"/>
      <c r="V179" s="1032"/>
      <c r="W179" s="1032"/>
      <c r="X179" s="1033"/>
      <c r="Y179" s="1013"/>
      <c r="Z179" s="1013"/>
      <c r="AA179" s="1013"/>
    </row>
    <row r="180" spans="1:44" s="317" customFormat="1" ht="15" thickBot="1">
      <c r="A180" s="1014" t="s">
        <v>165</v>
      </c>
      <c r="B180" s="1015"/>
      <c r="C180" s="1015"/>
      <c r="D180" s="394"/>
      <c r="E180" s="394"/>
      <c r="F180" s="394"/>
      <c r="G180" s="394"/>
      <c r="H180" s="394"/>
      <c r="I180" s="391" t="str">
        <f>IF(SUM(E183:AQ183)=0,"",SUM(E183:AQ183))</f>
        <v/>
      </c>
      <c r="J180" s="392" t="str">
        <f>IF(SUM(D180:I180)=0,"",SUM(D180:I180))</f>
        <v/>
      </c>
      <c r="K180" s="330"/>
      <c r="O180" s="364"/>
      <c r="P180" s="1034"/>
      <c r="Q180" s="1035"/>
      <c r="R180" s="1035"/>
      <c r="S180" s="1035"/>
      <c r="T180" s="1035"/>
      <c r="U180" s="1035"/>
      <c r="V180" s="1035"/>
      <c r="W180" s="1035"/>
      <c r="X180" s="1036"/>
      <c r="Y180" s="1013"/>
      <c r="Z180" s="1013"/>
      <c r="AA180" s="1013"/>
    </row>
    <row r="181" spans="1:44" s="317" customFormat="1" ht="10.5" customHeight="1" thickBot="1"/>
    <row r="182" spans="1:44" s="317" customFormat="1" ht="14.25">
      <c r="A182" s="1056" t="s">
        <v>17</v>
      </c>
      <c r="B182" s="1038"/>
      <c r="C182" s="1038"/>
      <c r="D182" s="388">
        <v>1</v>
      </c>
      <c r="E182" s="388">
        <v>2</v>
      </c>
      <c r="F182" s="388">
        <v>3</v>
      </c>
      <c r="G182" s="388">
        <v>4</v>
      </c>
      <c r="H182" s="388">
        <v>5</v>
      </c>
      <c r="I182" s="388">
        <v>6</v>
      </c>
      <c r="J182" s="388">
        <v>7</v>
      </c>
      <c r="K182" s="388">
        <v>8</v>
      </c>
      <c r="L182" s="388">
        <v>9</v>
      </c>
      <c r="M182" s="388">
        <v>10</v>
      </c>
      <c r="N182" s="388">
        <v>11</v>
      </c>
      <c r="O182" s="388">
        <v>12</v>
      </c>
      <c r="P182" s="388">
        <v>13</v>
      </c>
      <c r="Q182" s="388">
        <v>14</v>
      </c>
      <c r="R182" s="388">
        <v>15</v>
      </c>
      <c r="S182" s="388">
        <v>16</v>
      </c>
      <c r="T182" s="388">
        <v>17</v>
      </c>
      <c r="U182" s="388">
        <v>18</v>
      </c>
      <c r="V182" s="388">
        <v>19</v>
      </c>
      <c r="W182" s="388">
        <v>20</v>
      </c>
      <c r="X182" s="388">
        <v>21</v>
      </c>
      <c r="Y182" s="388">
        <v>22</v>
      </c>
      <c r="Z182" s="388">
        <v>23</v>
      </c>
      <c r="AA182" s="388">
        <v>24</v>
      </c>
      <c r="AB182" s="388">
        <v>25</v>
      </c>
      <c r="AC182" s="388">
        <v>26</v>
      </c>
      <c r="AD182" s="388">
        <v>27</v>
      </c>
      <c r="AE182" s="388">
        <v>28</v>
      </c>
      <c r="AF182" s="388">
        <v>29</v>
      </c>
      <c r="AG182" s="388">
        <v>30</v>
      </c>
      <c r="AH182" s="388">
        <v>31</v>
      </c>
      <c r="AI182" s="388">
        <v>32</v>
      </c>
      <c r="AJ182" s="388">
        <v>33</v>
      </c>
      <c r="AK182" s="388">
        <v>34</v>
      </c>
      <c r="AL182" s="388">
        <v>35</v>
      </c>
      <c r="AM182" s="388">
        <v>36</v>
      </c>
      <c r="AN182" s="388">
        <v>37</v>
      </c>
      <c r="AO182" s="388">
        <v>38</v>
      </c>
      <c r="AP182" s="388">
        <v>39</v>
      </c>
      <c r="AQ182" s="323">
        <v>40</v>
      </c>
    </row>
    <row r="183" spans="1:44" s="317" customFormat="1" ht="14.25">
      <c r="A183" s="1011" t="s">
        <v>209</v>
      </c>
      <c r="B183" s="1012"/>
      <c r="C183" s="1012"/>
      <c r="D183" s="387"/>
      <c r="E183" s="329"/>
      <c r="F183" s="329"/>
      <c r="G183" s="329"/>
      <c r="H183" s="329"/>
      <c r="I183" s="329"/>
      <c r="J183" s="329"/>
      <c r="K183" s="329"/>
      <c r="L183" s="329"/>
      <c r="M183" s="329"/>
      <c r="N183" s="329"/>
      <c r="O183" s="329"/>
      <c r="P183" s="329"/>
      <c r="Q183" s="329"/>
      <c r="R183" s="329"/>
      <c r="S183" s="329"/>
      <c r="T183" s="329"/>
      <c r="U183" s="329"/>
      <c r="V183" s="329"/>
      <c r="W183" s="329"/>
      <c r="X183" s="329"/>
      <c r="Y183" s="329"/>
      <c r="Z183" s="329"/>
      <c r="AA183" s="329"/>
      <c r="AB183" s="329"/>
      <c r="AC183" s="329"/>
      <c r="AD183" s="329"/>
      <c r="AE183" s="329"/>
      <c r="AF183" s="329"/>
      <c r="AG183" s="329"/>
      <c r="AH183" s="329"/>
      <c r="AI183" s="329"/>
      <c r="AJ183" s="329"/>
      <c r="AK183" s="329"/>
      <c r="AL183" s="329"/>
      <c r="AM183" s="329"/>
      <c r="AN183" s="329"/>
      <c r="AO183" s="329"/>
      <c r="AP183" s="329"/>
      <c r="AQ183" s="333"/>
    </row>
    <row r="184" spans="1:44" s="317" customFormat="1" ht="14.25">
      <c r="A184" s="1063" t="s">
        <v>1</v>
      </c>
      <c r="B184" s="1064"/>
      <c r="C184" s="1065" t="s">
        <v>65</v>
      </c>
      <c r="D184" s="334"/>
      <c r="E184" s="335"/>
      <c r="F184" s="335"/>
      <c r="G184" s="335"/>
      <c r="H184" s="335"/>
      <c r="I184" s="335"/>
      <c r="J184" s="335"/>
      <c r="K184" s="335"/>
      <c r="L184" s="335"/>
      <c r="M184" s="335"/>
      <c r="N184" s="335"/>
      <c r="O184" s="335"/>
      <c r="P184" s="335"/>
      <c r="Q184" s="335"/>
      <c r="R184" s="335"/>
      <c r="S184" s="335"/>
      <c r="T184" s="335"/>
      <c r="U184" s="335"/>
      <c r="V184" s="335"/>
      <c r="W184" s="335"/>
      <c r="X184" s="335"/>
      <c r="Y184" s="335"/>
      <c r="Z184" s="335"/>
      <c r="AA184" s="335"/>
      <c r="AB184" s="335"/>
      <c r="AC184" s="335"/>
      <c r="AD184" s="335"/>
      <c r="AE184" s="335"/>
      <c r="AF184" s="335"/>
      <c r="AG184" s="335"/>
      <c r="AH184" s="335"/>
      <c r="AI184" s="335"/>
      <c r="AJ184" s="335"/>
      <c r="AK184" s="335"/>
      <c r="AL184" s="336"/>
      <c r="AM184" s="336"/>
      <c r="AN184" s="336"/>
      <c r="AO184" s="335"/>
      <c r="AP184" s="335"/>
      <c r="AQ184" s="337"/>
      <c r="AR184" s="372"/>
    </row>
    <row r="185" spans="1:44" s="317" customFormat="1" ht="14.25">
      <c r="A185" s="1063" t="s">
        <v>2</v>
      </c>
      <c r="B185" s="1064"/>
      <c r="C185" s="1065"/>
      <c r="D185" s="334"/>
      <c r="E185" s="335"/>
      <c r="F185" s="335"/>
      <c r="G185" s="335"/>
      <c r="H185" s="335"/>
      <c r="I185" s="335"/>
      <c r="J185" s="335"/>
      <c r="K185" s="335"/>
      <c r="L185" s="335"/>
      <c r="M185" s="335"/>
      <c r="N185" s="335"/>
      <c r="O185" s="335"/>
      <c r="P185" s="335"/>
      <c r="Q185" s="335"/>
      <c r="R185" s="335"/>
      <c r="S185" s="335"/>
      <c r="T185" s="335"/>
      <c r="U185" s="335"/>
      <c r="V185" s="335"/>
      <c r="W185" s="335"/>
      <c r="X185" s="335"/>
      <c r="Y185" s="335"/>
      <c r="Z185" s="335"/>
      <c r="AA185" s="335"/>
      <c r="AB185" s="335"/>
      <c r="AC185" s="335"/>
      <c r="AD185" s="335"/>
      <c r="AE185" s="335"/>
      <c r="AF185" s="335"/>
      <c r="AG185" s="335"/>
      <c r="AH185" s="335"/>
      <c r="AI185" s="335"/>
      <c r="AJ185" s="335"/>
      <c r="AK185" s="335"/>
      <c r="AL185" s="335"/>
      <c r="AM185" s="335"/>
      <c r="AN185" s="335"/>
      <c r="AO185" s="335"/>
      <c r="AP185" s="338"/>
      <c r="AQ185" s="339"/>
      <c r="AR185" s="372"/>
    </row>
    <row r="186" spans="1:44" s="317" customFormat="1" ht="14.25">
      <c r="A186" s="1011" t="s">
        <v>265</v>
      </c>
      <c r="B186" s="1012"/>
      <c r="C186" s="1012"/>
      <c r="D186" s="340"/>
      <c r="E186" s="341"/>
      <c r="F186" s="341"/>
      <c r="G186" s="341"/>
      <c r="H186" s="341"/>
      <c r="I186" s="341"/>
      <c r="J186" s="341"/>
      <c r="K186" s="341"/>
      <c r="L186" s="341"/>
      <c r="M186" s="341"/>
      <c r="N186" s="341"/>
      <c r="O186" s="341"/>
      <c r="P186" s="341"/>
      <c r="Q186" s="341"/>
      <c r="R186" s="341"/>
      <c r="S186" s="341"/>
      <c r="T186" s="341"/>
      <c r="U186" s="341"/>
      <c r="V186" s="341"/>
      <c r="W186" s="341"/>
      <c r="X186" s="341"/>
      <c r="Y186" s="341"/>
      <c r="Z186" s="341"/>
      <c r="AA186" s="341"/>
      <c r="AB186" s="341"/>
      <c r="AC186" s="341"/>
      <c r="AD186" s="341"/>
      <c r="AE186" s="341"/>
      <c r="AF186" s="341"/>
      <c r="AG186" s="341"/>
      <c r="AH186" s="341"/>
      <c r="AI186" s="341"/>
      <c r="AJ186" s="341"/>
      <c r="AK186" s="341"/>
      <c r="AL186" s="336"/>
      <c r="AM186" s="336"/>
      <c r="AN186" s="336"/>
      <c r="AO186" s="341"/>
      <c r="AP186" s="341"/>
      <c r="AQ186" s="342"/>
    </row>
    <row r="187" spans="1:44" s="317" customFormat="1" ht="14.25">
      <c r="A187" s="1011" t="s">
        <v>302</v>
      </c>
      <c r="B187" s="1012"/>
      <c r="C187" s="1012"/>
      <c r="D187" s="395"/>
      <c r="E187" s="396" t="str">
        <f>IFERROR(E210,"")</f>
        <v/>
      </c>
      <c r="F187" s="396" t="str">
        <f t="shared" ref="F187:AQ187" si="77">IFERROR(F210,"")</f>
        <v/>
      </c>
      <c r="G187" s="396" t="str">
        <f t="shared" si="77"/>
        <v/>
      </c>
      <c r="H187" s="396" t="str">
        <f t="shared" si="77"/>
        <v/>
      </c>
      <c r="I187" s="396" t="str">
        <f t="shared" si="77"/>
        <v/>
      </c>
      <c r="J187" s="396" t="str">
        <f t="shared" si="77"/>
        <v/>
      </c>
      <c r="K187" s="396" t="str">
        <f t="shared" si="77"/>
        <v/>
      </c>
      <c r="L187" s="396" t="str">
        <f t="shared" si="77"/>
        <v/>
      </c>
      <c r="M187" s="396" t="str">
        <f t="shared" si="77"/>
        <v/>
      </c>
      <c r="N187" s="396" t="str">
        <f t="shared" si="77"/>
        <v/>
      </c>
      <c r="O187" s="396" t="str">
        <f t="shared" si="77"/>
        <v/>
      </c>
      <c r="P187" s="396" t="str">
        <f t="shared" si="77"/>
        <v/>
      </c>
      <c r="Q187" s="396" t="str">
        <f t="shared" si="77"/>
        <v/>
      </c>
      <c r="R187" s="396" t="str">
        <f t="shared" si="77"/>
        <v/>
      </c>
      <c r="S187" s="396" t="str">
        <f t="shared" si="77"/>
        <v/>
      </c>
      <c r="T187" s="396" t="str">
        <f t="shared" si="77"/>
        <v/>
      </c>
      <c r="U187" s="396" t="str">
        <f t="shared" si="77"/>
        <v/>
      </c>
      <c r="V187" s="396" t="str">
        <f t="shared" si="77"/>
        <v/>
      </c>
      <c r="W187" s="396" t="str">
        <f t="shared" si="77"/>
        <v/>
      </c>
      <c r="X187" s="396" t="str">
        <f t="shared" si="77"/>
        <v/>
      </c>
      <c r="Y187" s="396" t="str">
        <f t="shared" si="77"/>
        <v/>
      </c>
      <c r="Z187" s="396" t="str">
        <f t="shared" si="77"/>
        <v/>
      </c>
      <c r="AA187" s="396" t="str">
        <f t="shared" si="77"/>
        <v/>
      </c>
      <c r="AB187" s="396" t="str">
        <f t="shared" si="77"/>
        <v/>
      </c>
      <c r="AC187" s="396" t="str">
        <f t="shared" si="77"/>
        <v/>
      </c>
      <c r="AD187" s="396" t="str">
        <f t="shared" si="77"/>
        <v/>
      </c>
      <c r="AE187" s="396" t="str">
        <f t="shared" si="77"/>
        <v/>
      </c>
      <c r="AF187" s="396" t="str">
        <f t="shared" si="77"/>
        <v/>
      </c>
      <c r="AG187" s="396" t="str">
        <f t="shared" si="77"/>
        <v/>
      </c>
      <c r="AH187" s="396" t="str">
        <f t="shared" si="77"/>
        <v/>
      </c>
      <c r="AI187" s="396" t="str">
        <f t="shared" si="77"/>
        <v/>
      </c>
      <c r="AJ187" s="396" t="str">
        <f t="shared" si="77"/>
        <v/>
      </c>
      <c r="AK187" s="396" t="str">
        <f t="shared" si="77"/>
        <v/>
      </c>
      <c r="AL187" s="396" t="str">
        <f t="shared" si="77"/>
        <v/>
      </c>
      <c r="AM187" s="396" t="str">
        <f t="shared" si="77"/>
        <v/>
      </c>
      <c r="AN187" s="396" t="str">
        <f t="shared" si="77"/>
        <v/>
      </c>
      <c r="AO187" s="396" t="str">
        <f t="shared" si="77"/>
        <v/>
      </c>
      <c r="AP187" s="396" t="str">
        <f t="shared" si="77"/>
        <v/>
      </c>
      <c r="AQ187" s="397" t="str">
        <f t="shared" si="77"/>
        <v/>
      </c>
      <c r="AR187" s="372"/>
    </row>
    <row r="188" spans="1:44" s="317" customFormat="1" ht="14.25" customHeight="1">
      <c r="A188" s="1011" t="s">
        <v>303</v>
      </c>
      <c r="B188" s="1012"/>
      <c r="C188" s="1012"/>
      <c r="D188" s="395"/>
      <c r="E188" s="396" t="str">
        <f t="shared" ref="E188:AQ188" si="78">IFERROR(E211,"")</f>
        <v/>
      </c>
      <c r="F188" s="396" t="str">
        <f t="shared" si="78"/>
        <v/>
      </c>
      <c r="G188" s="396" t="str">
        <f t="shared" si="78"/>
        <v/>
      </c>
      <c r="H188" s="396" t="str">
        <f t="shared" si="78"/>
        <v/>
      </c>
      <c r="I188" s="396" t="str">
        <f t="shared" si="78"/>
        <v/>
      </c>
      <c r="J188" s="396" t="str">
        <f t="shared" si="78"/>
        <v/>
      </c>
      <c r="K188" s="396" t="str">
        <f t="shared" si="78"/>
        <v/>
      </c>
      <c r="L188" s="396" t="str">
        <f t="shared" si="78"/>
        <v/>
      </c>
      <c r="M188" s="396" t="str">
        <f t="shared" si="78"/>
        <v/>
      </c>
      <c r="N188" s="396" t="str">
        <f t="shared" si="78"/>
        <v/>
      </c>
      <c r="O188" s="396" t="str">
        <f t="shared" si="78"/>
        <v/>
      </c>
      <c r="P188" s="396" t="str">
        <f t="shared" si="78"/>
        <v/>
      </c>
      <c r="Q188" s="396" t="str">
        <f t="shared" si="78"/>
        <v/>
      </c>
      <c r="R188" s="396" t="str">
        <f t="shared" si="78"/>
        <v/>
      </c>
      <c r="S188" s="396" t="str">
        <f t="shared" si="78"/>
        <v/>
      </c>
      <c r="T188" s="396" t="str">
        <f t="shared" si="78"/>
        <v/>
      </c>
      <c r="U188" s="396" t="str">
        <f t="shared" si="78"/>
        <v/>
      </c>
      <c r="V188" s="396" t="str">
        <f t="shared" si="78"/>
        <v/>
      </c>
      <c r="W188" s="396" t="str">
        <f t="shared" si="78"/>
        <v/>
      </c>
      <c r="X188" s="396" t="str">
        <f t="shared" si="78"/>
        <v/>
      </c>
      <c r="Y188" s="396" t="str">
        <f t="shared" si="78"/>
        <v/>
      </c>
      <c r="Z188" s="396" t="str">
        <f t="shared" si="78"/>
        <v/>
      </c>
      <c r="AA188" s="396" t="str">
        <f t="shared" si="78"/>
        <v/>
      </c>
      <c r="AB188" s="396" t="str">
        <f t="shared" si="78"/>
        <v/>
      </c>
      <c r="AC188" s="396" t="str">
        <f t="shared" si="78"/>
        <v/>
      </c>
      <c r="AD188" s="396" t="str">
        <f t="shared" si="78"/>
        <v/>
      </c>
      <c r="AE188" s="396" t="str">
        <f t="shared" si="78"/>
        <v/>
      </c>
      <c r="AF188" s="396" t="str">
        <f t="shared" si="78"/>
        <v/>
      </c>
      <c r="AG188" s="396" t="str">
        <f t="shared" si="78"/>
        <v/>
      </c>
      <c r="AH188" s="396" t="str">
        <f t="shared" si="78"/>
        <v/>
      </c>
      <c r="AI188" s="396" t="str">
        <f t="shared" si="78"/>
        <v/>
      </c>
      <c r="AJ188" s="396" t="str">
        <f t="shared" si="78"/>
        <v/>
      </c>
      <c r="AK188" s="396" t="str">
        <f t="shared" si="78"/>
        <v/>
      </c>
      <c r="AL188" s="396" t="str">
        <f t="shared" si="78"/>
        <v/>
      </c>
      <c r="AM188" s="396" t="str">
        <f t="shared" si="78"/>
        <v/>
      </c>
      <c r="AN188" s="396" t="str">
        <f t="shared" si="78"/>
        <v/>
      </c>
      <c r="AO188" s="396" t="str">
        <f t="shared" si="78"/>
        <v/>
      </c>
      <c r="AP188" s="396" t="str">
        <f t="shared" si="78"/>
        <v/>
      </c>
      <c r="AQ188" s="397" t="str">
        <f t="shared" si="78"/>
        <v/>
      </c>
      <c r="AR188" s="372"/>
    </row>
    <row r="189" spans="1:44" s="317" customFormat="1" ht="14.25">
      <c r="A189" s="1011" t="s">
        <v>304</v>
      </c>
      <c r="B189" s="1012"/>
      <c r="C189" s="1012"/>
      <c r="D189" s="395"/>
      <c r="E189" s="396" t="str">
        <f t="shared" ref="E189:AQ189" si="79">IFERROR(E212,"")</f>
        <v/>
      </c>
      <c r="F189" s="396" t="str">
        <f t="shared" si="79"/>
        <v/>
      </c>
      <c r="G189" s="396" t="str">
        <f t="shared" si="79"/>
        <v/>
      </c>
      <c r="H189" s="396" t="str">
        <f t="shared" si="79"/>
        <v/>
      </c>
      <c r="I189" s="396" t="str">
        <f t="shared" si="79"/>
        <v/>
      </c>
      <c r="J189" s="396" t="str">
        <f t="shared" si="79"/>
        <v/>
      </c>
      <c r="K189" s="396" t="str">
        <f t="shared" si="79"/>
        <v/>
      </c>
      <c r="L189" s="396" t="str">
        <f t="shared" si="79"/>
        <v/>
      </c>
      <c r="M189" s="396" t="str">
        <f t="shared" si="79"/>
        <v/>
      </c>
      <c r="N189" s="396" t="str">
        <f t="shared" si="79"/>
        <v/>
      </c>
      <c r="O189" s="396" t="str">
        <f t="shared" si="79"/>
        <v/>
      </c>
      <c r="P189" s="396" t="str">
        <f t="shared" si="79"/>
        <v/>
      </c>
      <c r="Q189" s="396" t="str">
        <f t="shared" si="79"/>
        <v/>
      </c>
      <c r="R189" s="396" t="str">
        <f t="shared" si="79"/>
        <v/>
      </c>
      <c r="S189" s="396" t="str">
        <f t="shared" si="79"/>
        <v/>
      </c>
      <c r="T189" s="396" t="str">
        <f t="shared" si="79"/>
        <v/>
      </c>
      <c r="U189" s="396" t="str">
        <f t="shared" si="79"/>
        <v/>
      </c>
      <c r="V189" s="396" t="str">
        <f t="shared" si="79"/>
        <v/>
      </c>
      <c r="W189" s="396" t="str">
        <f t="shared" si="79"/>
        <v/>
      </c>
      <c r="X189" s="396" t="str">
        <f t="shared" si="79"/>
        <v/>
      </c>
      <c r="Y189" s="396" t="str">
        <f t="shared" si="79"/>
        <v/>
      </c>
      <c r="Z189" s="396" t="str">
        <f t="shared" si="79"/>
        <v/>
      </c>
      <c r="AA189" s="396" t="str">
        <f t="shared" si="79"/>
        <v/>
      </c>
      <c r="AB189" s="396" t="str">
        <f t="shared" si="79"/>
        <v/>
      </c>
      <c r="AC189" s="396" t="str">
        <f t="shared" si="79"/>
        <v/>
      </c>
      <c r="AD189" s="396" t="str">
        <f t="shared" si="79"/>
        <v/>
      </c>
      <c r="AE189" s="396" t="str">
        <f t="shared" si="79"/>
        <v/>
      </c>
      <c r="AF189" s="396" t="str">
        <f t="shared" si="79"/>
        <v/>
      </c>
      <c r="AG189" s="396" t="str">
        <f t="shared" si="79"/>
        <v/>
      </c>
      <c r="AH189" s="396" t="str">
        <f t="shared" si="79"/>
        <v/>
      </c>
      <c r="AI189" s="396" t="str">
        <f t="shared" si="79"/>
        <v/>
      </c>
      <c r="AJ189" s="396" t="str">
        <f t="shared" si="79"/>
        <v/>
      </c>
      <c r="AK189" s="396" t="str">
        <f t="shared" si="79"/>
        <v/>
      </c>
      <c r="AL189" s="396" t="str">
        <f t="shared" si="79"/>
        <v/>
      </c>
      <c r="AM189" s="396" t="str">
        <f t="shared" si="79"/>
        <v/>
      </c>
      <c r="AN189" s="396" t="str">
        <f t="shared" si="79"/>
        <v/>
      </c>
      <c r="AO189" s="396" t="str">
        <f t="shared" si="79"/>
        <v/>
      </c>
      <c r="AP189" s="396" t="str">
        <f t="shared" si="79"/>
        <v/>
      </c>
      <c r="AQ189" s="398" t="str">
        <f t="shared" si="79"/>
        <v/>
      </c>
    </row>
    <row r="190" spans="1:44" s="317" customFormat="1" ht="14.25">
      <c r="A190" s="1067" t="s">
        <v>305</v>
      </c>
      <c r="B190" s="1068"/>
      <c r="C190" s="1068"/>
      <c r="D190" s="399"/>
      <c r="E190" s="396" t="str">
        <f t="shared" ref="E190:AQ190" si="80">IFERROR(E213,"")</f>
        <v/>
      </c>
      <c r="F190" s="396" t="str">
        <f t="shared" si="80"/>
        <v/>
      </c>
      <c r="G190" s="396" t="str">
        <f t="shared" si="80"/>
        <v/>
      </c>
      <c r="H190" s="396" t="str">
        <f t="shared" si="80"/>
        <v/>
      </c>
      <c r="I190" s="396" t="str">
        <f t="shared" si="80"/>
        <v/>
      </c>
      <c r="J190" s="396" t="str">
        <f t="shared" si="80"/>
        <v/>
      </c>
      <c r="K190" s="396" t="str">
        <f t="shared" si="80"/>
        <v/>
      </c>
      <c r="L190" s="396" t="str">
        <f t="shared" si="80"/>
        <v/>
      </c>
      <c r="M190" s="396" t="str">
        <f t="shared" si="80"/>
        <v/>
      </c>
      <c r="N190" s="396" t="str">
        <f t="shared" si="80"/>
        <v/>
      </c>
      <c r="O190" s="396" t="str">
        <f t="shared" si="80"/>
        <v/>
      </c>
      <c r="P190" s="396" t="str">
        <f t="shared" si="80"/>
        <v/>
      </c>
      <c r="Q190" s="396" t="str">
        <f t="shared" si="80"/>
        <v/>
      </c>
      <c r="R190" s="396" t="str">
        <f t="shared" si="80"/>
        <v/>
      </c>
      <c r="S190" s="396" t="str">
        <f t="shared" si="80"/>
        <v/>
      </c>
      <c r="T190" s="396" t="str">
        <f t="shared" si="80"/>
        <v/>
      </c>
      <c r="U190" s="396" t="str">
        <f t="shared" si="80"/>
        <v/>
      </c>
      <c r="V190" s="396" t="str">
        <f t="shared" si="80"/>
        <v/>
      </c>
      <c r="W190" s="396" t="str">
        <f t="shared" si="80"/>
        <v/>
      </c>
      <c r="X190" s="396" t="str">
        <f t="shared" si="80"/>
        <v/>
      </c>
      <c r="Y190" s="396" t="str">
        <f t="shared" si="80"/>
        <v/>
      </c>
      <c r="Z190" s="396" t="str">
        <f t="shared" si="80"/>
        <v/>
      </c>
      <c r="AA190" s="396" t="str">
        <f t="shared" si="80"/>
        <v/>
      </c>
      <c r="AB190" s="396" t="str">
        <f t="shared" si="80"/>
        <v/>
      </c>
      <c r="AC190" s="396" t="str">
        <f t="shared" si="80"/>
        <v/>
      </c>
      <c r="AD190" s="396" t="str">
        <f t="shared" si="80"/>
        <v/>
      </c>
      <c r="AE190" s="396" t="str">
        <f t="shared" si="80"/>
        <v/>
      </c>
      <c r="AF190" s="396" t="str">
        <f t="shared" si="80"/>
        <v/>
      </c>
      <c r="AG190" s="396" t="str">
        <f t="shared" si="80"/>
        <v/>
      </c>
      <c r="AH190" s="396" t="str">
        <f t="shared" si="80"/>
        <v/>
      </c>
      <c r="AI190" s="396" t="str">
        <f t="shared" si="80"/>
        <v/>
      </c>
      <c r="AJ190" s="396" t="str">
        <f t="shared" si="80"/>
        <v/>
      </c>
      <c r="AK190" s="396" t="str">
        <f t="shared" si="80"/>
        <v/>
      </c>
      <c r="AL190" s="396" t="str">
        <f t="shared" si="80"/>
        <v/>
      </c>
      <c r="AM190" s="396" t="str">
        <f t="shared" si="80"/>
        <v/>
      </c>
      <c r="AN190" s="396" t="str">
        <f t="shared" si="80"/>
        <v/>
      </c>
      <c r="AO190" s="396" t="str">
        <f t="shared" si="80"/>
        <v/>
      </c>
      <c r="AP190" s="396" t="str">
        <f t="shared" si="80"/>
        <v/>
      </c>
      <c r="AQ190" s="397" t="str">
        <f t="shared" si="80"/>
        <v/>
      </c>
      <c r="AR190" s="372"/>
    </row>
    <row r="191" spans="1:44" s="317" customFormat="1" ht="14.25" hidden="1">
      <c r="A191" s="1011" t="s">
        <v>352</v>
      </c>
      <c r="B191" s="1012"/>
      <c r="C191" s="1012"/>
      <c r="D191" s="400"/>
      <c r="E191" s="401">
        <f t="shared" ref="E191:AQ191" si="81">IF(E183="",0,E183)</f>
        <v>0</v>
      </c>
      <c r="F191" s="401">
        <f t="shared" si="81"/>
        <v>0</v>
      </c>
      <c r="G191" s="401">
        <f t="shared" si="81"/>
        <v>0</v>
      </c>
      <c r="H191" s="401">
        <f t="shared" si="81"/>
        <v>0</v>
      </c>
      <c r="I191" s="401">
        <f t="shared" si="81"/>
        <v>0</v>
      </c>
      <c r="J191" s="401">
        <f t="shared" si="81"/>
        <v>0</v>
      </c>
      <c r="K191" s="401">
        <f t="shared" si="81"/>
        <v>0</v>
      </c>
      <c r="L191" s="401">
        <f t="shared" si="81"/>
        <v>0</v>
      </c>
      <c r="M191" s="401">
        <f t="shared" si="81"/>
        <v>0</v>
      </c>
      <c r="N191" s="401">
        <f t="shared" si="81"/>
        <v>0</v>
      </c>
      <c r="O191" s="401">
        <f t="shared" si="81"/>
        <v>0</v>
      </c>
      <c r="P191" s="401">
        <f t="shared" si="81"/>
        <v>0</v>
      </c>
      <c r="Q191" s="401">
        <f t="shared" si="81"/>
        <v>0</v>
      </c>
      <c r="R191" s="401">
        <f t="shared" si="81"/>
        <v>0</v>
      </c>
      <c r="S191" s="401">
        <f t="shared" si="81"/>
        <v>0</v>
      </c>
      <c r="T191" s="401">
        <f t="shared" si="81"/>
        <v>0</v>
      </c>
      <c r="U191" s="401">
        <f t="shared" si="81"/>
        <v>0</v>
      </c>
      <c r="V191" s="401">
        <f t="shared" si="81"/>
        <v>0</v>
      </c>
      <c r="W191" s="401">
        <f t="shared" si="81"/>
        <v>0</v>
      </c>
      <c r="X191" s="401">
        <f t="shared" si="81"/>
        <v>0</v>
      </c>
      <c r="Y191" s="401">
        <f t="shared" si="81"/>
        <v>0</v>
      </c>
      <c r="Z191" s="401">
        <f t="shared" si="81"/>
        <v>0</v>
      </c>
      <c r="AA191" s="401">
        <f t="shared" si="81"/>
        <v>0</v>
      </c>
      <c r="AB191" s="401">
        <f t="shared" si="81"/>
        <v>0</v>
      </c>
      <c r="AC191" s="401">
        <f t="shared" si="81"/>
        <v>0</v>
      </c>
      <c r="AD191" s="401">
        <f t="shared" si="81"/>
        <v>0</v>
      </c>
      <c r="AE191" s="401">
        <f t="shared" si="81"/>
        <v>0</v>
      </c>
      <c r="AF191" s="401">
        <f t="shared" si="81"/>
        <v>0</v>
      </c>
      <c r="AG191" s="401">
        <f t="shared" si="81"/>
        <v>0</v>
      </c>
      <c r="AH191" s="401">
        <f t="shared" si="81"/>
        <v>0</v>
      </c>
      <c r="AI191" s="401">
        <f t="shared" si="81"/>
        <v>0</v>
      </c>
      <c r="AJ191" s="401">
        <f t="shared" si="81"/>
        <v>0</v>
      </c>
      <c r="AK191" s="401">
        <f t="shared" si="81"/>
        <v>0</v>
      </c>
      <c r="AL191" s="401">
        <f t="shared" si="81"/>
        <v>0</v>
      </c>
      <c r="AM191" s="401">
        <f t="shared" si="81"/>
        <v>0</v>
      </c>
      <c r="AN191" s="401">
        <f t="shared" si="81"/>
        <v>0</v>
      </c>
      <c r="AO191" s="401">
        <f t="shared" si="81"/>
        <v>0</v>
      </c>
      <c r="AP191" s="401">
        <f t="shared" si="81"/>
        <v>0</v>
      </c>
      <c r="AQ191" s="402">
        <f t="shared" si="81"/>
        <v>0</v>
      </c>
      <c r="AR191" s="86"/>
    </row>
    <row r="192" spans="1:44" s="317" customFormat="1" ht="14.25" hidden="1">
      <c r="A192" s="594" t="s">
        <v>343</v>
      </c>
      <c r="B192" s="521"/>
      <c r="C192" s="723"/>
      <c r="D192" s="403">
        <f>SUM(D180:G180)</f>
        <v>0</v>
      </c>
      <c r="E192" s="404">
        <f t="shared" ref="E192:AQ192" si="82">D192+D191</f>
        <v>0</v>
      </c>
      <c r="F192" s="404">
        <f t="shared" si="82"/>
        <v>0</v>
      </c>
      <c r="G192" s="404">
        <f t="shared" si="82"/>
        <v>0</v>
      </c>
      <c r="H192" s="404">
        <f t="shared" si="82"/>
        <v>0</v>
      </c>
      <c r="I192" s="404">
        <f t="shared" si="82"/>
        <v>0</v>
      </c>
      <c r="J192" s="404">
        <f t="shared" si="82"/>
        <v>0</v>
      </c>
      <c r="K192" s="404">
        <f t="shared" si="82"/>
        <v>0</v>
      </c>
      <c r="L192" s="404">
        <f t="shared" si="82"/>
        <v>0</v>
      </c>
      <c r="M192" s="404">
        <f t="shared" si="82"/>
        <v>0</v>
      </c>
      <c r="N192" s="404">
        <f t="shared" si="82"/>
        <v>0</v>
      </c>
      <c r="O192" s="404">
        <f t="shared" si="82"/>
        <v>0</v>
      </c>
      <c r="P192" s="404">
        <f t="shared" si="82"/>
        <v>0</v>
      </c>
      <c r="Q192" s="404">
        <f t="shared" si="82"/>
        <v>0</v>
      </c>
      <c r="R192" s="404">
        <f t="shared" si="82"/>
        <v>0</v>
      </c>
      <c r="S192" s="404">
        <f t="shared" si="82"/>
        <v>0</v>
      </c>
      <c r="T192" s="404">
        <f t="shared" si="82"/>
        <v>0</v>
      </c>
      <c r="U192" s="404">
        <f t="shared" si="82"/>
        <v>0</v>
      </c>
      <c r="V192" s="404">
        <f t="shared" si="82"/>
        <v>0</v>
      </c>
      <c r="W192" s="404">
        <f t="shared" si="82"/>
        <v>0</v>
      </c>
      <c r="X192" s="404">
        <f t="shared" si="82"/>
        <v>0</v>
      </c>
      <c r="Y192" s="404">
        <f t="shared" si="82"/>
        <v>0</v>
      </c>
      <c r="Z192" s="404">
        <f t="shared" si="82"/>
        <v>0</v>
      </c>
      <c r="AA192" s="404">
        <f t="shared" si="82"/>
        <v>0</v>
      </c>
      <c r="AB192" s="404">
        <f t="shared" si="82"/>
        <v>0</v>
      </c>
      <c r="AC192" s="404">
        <f t="shared" si="82"/>
        <v>0</v>
      </c>
      <c r="AD192" s="404">
        <f t="shared" si="82"/>
        <v>0</v>
      </c>
      <c r="AE192" s="404">
        <f t="shared" si="82"/>
        <v>0</v>
      </c>
      <c r="AF192" s="404">
        <f t="shared" si="82"/>
        <v>0</v>
      </c>
      <c r="AG192" s="404">
        <f t="shared" si="82"/>
        <v>0</v>
      </c>
      <c r="AH192" s="404">
        <f t="shared" si="82"/>
        <v>0</v>
      </c>
      <c r="AI192" s="404">
        <f t="shared" si="82"/>
        <v>0</v>
      </c>
      <c r="AJ192" s="404">
        <f t="shared" si="82"/>
        <v>0</v>
      </c>
      <c r="AK192" s="404">
        <f t="shared" si="82"/>
        <v>0</v>
      </c>
      <c r="AL192" s="404">
        <f t="shared" si="82"/>
        <v>0</v>
      </c>
      <c r="AM192" s="404">
        <f t="shared" si="82"/>
        <v>0</v>
      </c>
      <c r="AN192" s="404">
        <f t="shared" si="82"/>
        <v>0</v>
      </c>
      <c r="AO192" s="404">
        <f t="shared" si="82"/>
        <v>0</v>
      </c>
      <c r="AP192" s="404">
        <f t="shared" si="82"/>
        <v>0</v>
      </c>
      <c r="AQ192" s="405">
        <f t="shared" si="82"/>
        <v>0</v>
      </c>
      <c r="AR192"/>
    </row>
    <row r="193" spans="1:44" s="317" customFormat="1" ht="14.25" hidden="1">
      <c r="A193" s="594" t="s">
        <v>344</v>
      </c>
      <c r="B193" s="521"/>
      <c r="C193" s="723"/>
      <c r="D193" s="406" t="e">
        <f t="shared" ref="D193:AQ193" si="83">(D192)/SUM($D177:$G177)*100</f>
        <v>#DIV/0!</v>
      </c>
      <c r="E193" s="406" t="e">
        <f t="shared" si="83"/>
        <v>#DIV/0!</v>
      </c>
      <c r="F193" s="406" t="e">
        <f t="shared" si="83"/>
        <v>#DIV/0!</v>
      </c>
      <c r="G193" s="406" t="e">
        <f t="shared" si="83"/>
        <v>#DIV/0!</v>
      </c>
      <c r="H193" s="406" t="e">
        <f t="shared" si="83"/>
        <v>#DIV/0!</v>
      </c>
      <c r="I193" s="406" t="e">
        <f t="shared" si="83"/>
        <v>#DIV/0!</v>
      </c>
      <c r="J193" s="406" t="e">
        <f t="shared" si="83"/>
        <v>#DIV/0!</v>
      </c>
      <c r="K193" s="406" t="e">
        <f t="shared" si="83"/>
        <v>#DIV/0!</v>
      </c>
      <c r="L193" s="406" t="e">
        <f t="shared" si="83"/>
        <v>#DIV/0!</v>
      </c>
      <c r="M193" s="406" t="e">
        <f t="shared" si="83"/>
        <v>#DIV/0!</v>
      </c>
      <c r="N193" s="406" t="e">
        <f t="shared" si="83"/>
        <v>#DIV/0!</v>
      </c>
      <c r="O193" s="406" t="e">
        <f t="shared" si="83"/>
        <v>#DIV/0!</v>
      </c>
      <c r="P193" s="406" t="e">
        <f t="shared" si="83"/>
        <v>#DIV/0!</v>
      </c>
      <c r="Q193" s="406" t="e">
        <f t="shared" si="83"/>
        <v>#DIV/0!</v>
      </c>
      <c r="R193" s="406" t="e">
        <f t="shared" si="83"/>
        <v>#DIV/0!</v>
      </c>
      <c r="S193" s="406" t="e">
        <f t="shared" si="83"/>
        <v>#DIV/0!</v>
      </c>
      <c r="T193" s="406" t="e">
        <f t="shared" si="83"/>
        <v>#DIV/0!</v>
      </c>
      <c r="U193" s="406" t="e">
        <f t="shared" si="83"/>
        <v>#DIV/0!</v>
      </c>
      <c r="V193" s="406" t="e">
        <f t="shared" si="83"/>
        <v>#DIV/0!</v>
      </c>
      <c r="W193" s="406" t="e">
        <f t="shared" si="83"/>
        <v>#DIV/0!</v>
      </c>
      <c r="X193" s="406" t="e">
        <f t="shared" si="83"/>
        <v>#DIV/0!</v>
      </c>
      <c r="Y193" s="406" t="e">
        <f t="shared" si="83"/>
        <v>#DIV/0!</v>
      </c>
      <c r="Z193" s="406" t="e">
        <f t="shared" si="83"/>
        <v>#DIV/0!</v>
      </c>
      <c r="AA193" s="406" t="e">
        <f t="shared" si="83"/>
        <v>#DIV/0!</v>
      </c>
      <c r="AB193" s="406" t="e">
        <f t="shared" si="83"/>
        <v>#DIV/0!</v>
      </c>
      <c r="AC193" s="406" t="e">
        <f t="shared" si="83"/>
        <v>#DIV/0!</v>
      </c>
      <c r="AD193" s="406" t="e">
        <f t="shared" si="83"/>
        <v>#DIV/0!</v>
      </c>
      <c r="AE193" s="406" t="e">
        <f t="shared" si="83"/>
        <v>#DIV/0!</v>
      </c>
      <c r="AF193" s="406" t="e">
        <f t="shared" si="83"/>
        <v>#DIV/0!</v>
      </c>
      <c r="AG193" s="406" t="e">
        <f t="shared" si="83"/>
        <v>#DIV/0!</v>
      </c>
      <c r="AH193" s="406" t="e">
        <f t="shared" si="83"/>
        <v>#DIV/0!</v>
      </c>
      <c r="AI193" s="406" t="e">
        <f t="shared" si="83"/>
        <v>#DIV/0!</v>
      </c>
      <c r="AJ193" s="406" t="e">
        <f t="shared" si="83"/>
        <v>#DIV/0!</v>
      </c>
      <c r="AK193" s="406" t="e">
        <f t="shared" si="83"/>
        <v>#DIV/0!</v>
      </c>
      <c r="AL193" s="406" t="e">
        <f t="shared" si="83"/>
        <v>#DIV/0!</v>
      </c>
      <c r="AM193" s="406" t="e">
        <f t="shared" si="83"/>
        <v>#DIV/0!</v>
      </c>
      <c r="AN193" s="406" t="e">
        <f t="shared" si="83"/>
        <v>#DIV/0!</v>
      </c>
      <c r="AO193" s="406" t="e">
        <f t="shared" si="83"/>
        <v>#DIV/0!</v>
      </c>
      <c r="AP193" s="406" t="e">
        <f t="shared" si="83"/>
        <v>#DIV/0!</v>
      </c>
      <c r="AQ193" s="407" t="e">
        <f t="shared" si="83"/>
        <v>#DIV/0!</v>
      </c>
      <c r="AR193"/>
    </row>
    <row r="194" spans="1:44" s="317" customFormat="1" ht="15" thickBot="1">
      <c r="A194" s="1066" t="s">
        <v>344</v>
      </c>
      <c r="B194" s="765"/>
      <c r="C194" s="766"/>
      <c r="D194" s="408" t="str">
        <f t="shared" ref="D194:AQ194" si="84">IFERROR(D193,"")</f>
        <v/>
      </c>
      <c r="E194" s="409" t="str">
        <f t="shared" si="84"/>
        <v/>
      </c>
      <c r="F194" s="409" t="str">
        <f t="shared" si="84"/>
        <v/>
      </c>
      <c r="G194" s="409" t="str">
        <f t="shared" si="84"/>
        <v/>
      </c>
      <c r="H194" s="409" t="str">
        <f t="shared" si="84"/>
        <v/>
      </c>
      <c r="I194" s="409" t="str">
        <f t="shared" si="84"/>
        <v/>
      </c>
      <c r="J194" s="409" t="str">
        <f t="shared" si="84"/>
        <v/>
      </c>
      <c r="K194" s="409" t="str">
        <f t="shared" si="84"/>
        <v/>
      </c>
      <c r="L194" s="409" t="str">
        <f t="shared" si="84"/>
        <v/>
      </c>
      <c r="M194" s="409" t="str">
        <f t="shared" si="84"/>
        <v/>
      </c>
      <c r="N194" s="409" t="str">
        <f t="shared" si="84"/>
        <v/>
      </c>
      <c r="O194" s="409" t="str">
        <f t="shared" si="84"/>
        <v/>
      </c>
      <c r="P194" s="409" t="str">
        <f t="shared" si="84"/>
        <v/>
      </c>
      <c r="Q194" s="409" t="str">
        <f t="shared" si="84"/>
        <v/>
      </c>
      <c r="R194" s="409" t="str">
        <f t="shared" si="84"/>
        <v/>
      </c>
      <c r="S194" s="409" t="str">
        <f t="shared" si="84"/>
        <v/>
      </c>
      <c r="T194" s="409" t="str">
        <f t="shared" si="84"/>
        <v/>
      </c>
      <c r="U194" s="409" t="str">
        <f t="shared" si="84"/>
        <v/>
      </c>
      <c r="V194" s="409" t="str">
        <f t="shared" si="84"/>
        <v/>
      </c>
      <c r="W194" s="409" t="str">
        <f t="shared" si="84"/>
        <v/>
      </c>
      <c r="X194" s="409" t="str">
        <f t="shared" si="84"/>
        <v/>
      </c>
      <c r="Y194" s="409" t="str">
        <f t="shared" si="84"/>
        <v/>
      </c>
      <c r="Z194" s="409" t="str">
        <f t="shared" si="84"/>
        <v/>
      </c>
      <c r="AA194" s="409" t="str">
        <f t="shared" si="84"/>
        <v/>
      </c>
      <c r="AB194" s="409" t="str">
        <f t="shared" si="84"/>
        <v/>
      </c>
      <c r="AC194" s="409" t="str">
        <f t="shared" si="84"/>
        <v/>
      </c>
      <c r="AD194" s="409" t="str">
        <f t="shared" si="84"/>
        <v/>
      </c>
      <c r="AE194" s="409" t="str">
        <f t="shared" si="84"/>
        <v/>
      </c>
      <c r="AF194" s="409" t="str">
        <f t="shared" si="84"/>
        <v/>
      </c>
      <c r="AG194" s="409" t="str">
        <f t="shared" si="84"/>
        <v/>
      </c>
      <c r="AH194" s="409" t="str">
        <f t="shared" si="84"/>
        <v/>
      </c>
      <c r="AI194" s="409" t="str">
        <f t="shared" si="84"/>
        <v/>
      </c>
      <c r="AJ194" s="409" t="str">
        <f t="shared" si="84"/>
        <v/>
      </c>
      <c r="AK194" s="409" t="str">
        <f t="shared" si="84"/>
        <v/>
      </c>
      <c r="AL194" s="409" t="str">
        <f t="shared" si="84"/>
        <v/>
      </c>
      <c r="AM194" s="409" t="str">
        <f t="shared" si="84"/>
        <v/>
      </c>
      <c r="AN194" s="409" t="str">
        <f t="shared" si="84"/>
        <v/>
      </c>
      <c r="AO194" s="409" t="str">
        <f t="shared" si="84"/>
        <v/>
      </c>
      <c r="AP194" s="409" t="str">
        <f t="shared" si="84"/>
        <v/>
      </c>
      <c r="AQ194" s="410" t="str">
        <f t="shared" si="84"/>
        <v/>
      </c>
      <c r="AR194" s="86"/>
    </row>
    <row r="196" spans="1:44" s="317" customFormat="1" ht="14.25" hidden="1">
      <c r="A196" s="346"/>
      <c r="B196" s="346" t="s">
        <v>175</v>
      </c>
      <c r="C196" s="346" t="s">
        <v>176</v>
      </c>
      <c r="D196" s="347" t="s">
        <v>177</v>
      </c>
      <c r="E196" s="346" t="s">
        <v>178</v>
      </c>
      <c r="F196" s="346" t="s">
        <v>179</v>
      </c>
      <c r="G196" s="346" t="s">
        <v>180</v>
      </c>
      <c r="H196" s="346" t="s">
        <v>181</v>
      </c>
      <c r="I196" s="346" t="s">
        <v>182</v>
      </c>
      <c r="J196" s="346" t="s">
        <v>183</v>
      </c>
      <c r="K196" s="346" t="s">
        <v>184</v>
      </c>
      <c r="L196" s="346" t="s">
        <v>306</v>
      </c>
      <c r="M196" s="346" t="s">
        <v>307</v>
      </c>
      <c r="N196" s="346" t="s">
        <v>308</v>
      </c>
      <c r="O196" s="346" t="s">
        <v>309</v>
      </c>
      <c r="P196" s="346" t="s">
        <v>310</v>
      </c>
      <c r="Q196" s="346" t="s">
        <v>311</v>
      </c>
      <c r="R196" s="346" t="s">
        <v>312</v>
      </c>
      <c r="S196" s="346" t="s">
        <v>313</v>
      </c>
      <c r="T196" s="346" t="s">
        <v>314</v>
      </c>
      <c r="U196" s="346" t="s">
        <v>315</v>
      </c>
    </row>
    <row r="197" spans="1:44" s="317" customFormat="1" ht="14.25" hidden="1">
      <c r="A197" s="348" t="s">
        <v>185</v>
      </c>
      <c r="B197" s="348" t="str">
        <f t="array" aca="1" ref="B197" ca="1">IFERROR(OFFSET(INDEX(183:183,SMALL(IF(183:183&lt;&gt;"",COLUMN(183:183)),COLUMN())),-1,0),"")</f>
        <v/>
      </c>
      <c r="C197" s="348" t="str">
        <f t="array" aca="1" ref="C197" ca="1">IFERROR(OFFSET(INDEX(183:183,SMALL(IF(183:183&lt;&gt;"",COLUMN(183:183)),COLUMN())),-1,0),"")</f>
        <v/>
      </c>
      <c r="D197" s="348" t="str">
        <f t="array" aca="1" ref="D197" ca="1">IFERROR(OFFSET(INDEX(183:183,SMALL(IF(183:183&lt;&gt;"",COLUMN(183:183)),COLUMN())),-1,0),"")</f>
        <v/>
      </c>
      <c r="E197" s="348" t="str">
        <f t="array" aca="1" ref="E197" ca="1">IFERROR(OFFSET(INDEX(183:183,SMALL(IF(183:183&lt;&gt;"",COLUMN(183:183)),COLUMN())),-1,0),"")</f>
        <v/>
      </c>
      <c r="F197" s="348" t="str">
        <f t="array" aca="1" ref="F197" ca="1">IFERROR(OFFSET(INDEX(183:183,SMALL(IF(183:183&lt;&gt;"",COLUMN(183:183)),COLUMN())),-1,0),"")</f>
        <v/>
      </c>
      <c r="G197" s="348" t="str">
        <f t="array" aca="1" ref="G197" ca="1">IFERROR(OFFSET(INDEX(183:183,SMALL(IF(183:183&lt;&gt;"",COLUMN(183:183)),COLUMN())),-1,0),"")</f>
        <v/>
      </c>
      <c r="H197" s="348" t="str">
        <f t="array" aca="1" ref="H197" ca="1">IFERROR(OFFSET(INDEX(183:183,SMALL(IF(183:183&lt;&gt;"",COLUMN(183:183)),COLUMN())),-1,0),"")</f>
        <v/>
      </c>
      <c r="I197" s="348" t="str">
        <f t="array" aca="1" ref="I197" ca="1">IFERROR(OFFSET(INDEX(183:183,SMALL(IF(183:183&lt;&gt;"",COLUMN(183:183)),COLUMN())),-1,0),"")</f>
        <v/>
      </c>
      <c r="J197" s="348" t="str">
        <f t="array" aca="1" ref="J197" ca="1">IFERROR(OFFSET(INDEX(183:183,SMALL(IF(183:183&lt;&gt;"",COLUMN(183:183)),COLUMN())),-1,0),"")</f>
        <v/>
      </c>
      <c r="K197" s="348" t="str">
        <f t="array" aca="1" ref="K197" ca="1">IFERROR(OFFSET(INDEX(183:183,SMALL(IF(183:183&lt;&gt;"",COLUMN(183:183)),COLUMN())),-1,0),"")</f>
        <v/>
      </c>
      <c r="L197" s="348" t="str">
        <f t="array" aca="1" ref="L197" ca="1">IFERROR(OFFSET(INDEX(183:183,SMALL(IF(183:183&lt;&gt;"",COLUMN(183:183)),COLUMN())),-1,0),"")</f>
        <v/>
      </c>
      <c r="M197" s="348" t="str">
        <f t="array" aca="1" ref="M197" ca="1">IFERROR(OFFSET(INDEX(183:183,SMALL(IF(183:183&lt;&gt;"",COLUMN(183:183)),COLUMN())),-1,0),"")</f>
        <v/>
      </c>
      <c r="N197" s="348" t="str">
        <f t="array" aca="1" ref="N197" ca="1">IFERROR(OFFSET(INDEX(183:183,SMALL(IF(183:183&lt;&gt;"",COLUMN(183:183)),COLUMN())),-1,0),"")</f>
        <v/>
      </c>
      <c r="O197" s="348" t="str">
        <f t="array" aca="1" ref="O197" ca="1">IFERROR(OFFSET(INDEX(183:183,SMALL(IF(183:183&lt;&gt;"",COLUMN(183:183)),COLUMN())),-1,0),"")</f>
        <v/>
      </c>
      <c r="P197" s="348" t="str">
        <f t="array" aca="1" ref="P197" ca="1">IFERROR(OFFSET(INDEX(183:183,SMALL(IF(183:183&lt;&gt;"",COLUMN(183:183)),COLUMN())),-1,0),"")</f>
        <v/>
      </c>
      <c r="Q197" s="348" t="str">
        <f t="array" aca="1" ref="Q197" ca="1">IFERROR(OFFSET(INDEX(183:183,SMALL(IF(183:183&lt;&gt;"",COLUMN(183:183)),COLUMN())),-1,0),"")</f>
        <v/>
      </c>
      <c r="R197" s="348" t="str">
        <f t="array" aca="1" ref="R197" ca="1">IFERROR(OFFSET(INDEX(183:183,SMALL(IF(183:183&lt;&gt;"",COLUMN(183:183)),COLUMN())),-1,0),"")</f>
        <v/>
      </c>
      <c r="S197" s="348" t="str">
        <f t="array" aca="1" ref="S197" ca="1">IFERROR(OFFSET(INDEX(183:183,SMALL(IF(183:183&lt;&gt;"",COLUMN(183:183)),COLUMN())),-1,0),"")</f>
        <v/>
      </c>
      <c r="T197" s="348" t="str">
        <f t="array" aca="1" ref="T197" ca="1">IFERROR(OFFSET(INDEX(183:183,SMALL(IF(183:183&lt;&gt;"",COLUMN(183:183)),COLUMN())),-1,0),"")</f>
        <v/>
      </c>
      <c r="U197" s="348" t="str">
        <f t="array" aca="1" ref="U197" ca="1">IFERROR(OFFSET(INDEX(183:183,SMALL(IF(183:183&lt;&gt;"",COLUMN(183:183)),COLUMN())),-1,0),"")</f>
        <v/>
      </c>
      <c r="AR197"/>
    </row>
    <row r="198" spans="1:44" s="317" customFormat="1" ht="14.25" hidden="1">
      <c r="A198" s="348" t="str">
        <f t="array" ref="A198">IFERROR(INDEX(183:183,SMALL(IF(183:183&lt;&gt;"",COLUMN(183:183)),COLUMN())),"")</f>
        <v>追水量（L)</v>
      </c>
      <c r="B198" s="348" t="str">
        <f t="array" ref="B198">IFERROR(INDEX(183:183,SMALL(IF(183:183&lt;&gt;"",COLUMN(183:183)),COLUMN())),"")</f>
        <v/>
      </c>
      <c r="C198" s="348" t="str">
        <f t="array" ref="C198">IFERROR(INDEX(183:183,SMALL(IF(183:183&lt;&gt;"",COLUMN(183:183)),COLUMN())),"")</f>
        <v/>
      </c>
      <c r="D198" s="348" t="str">
        <f t="array" ref="D198">IFERROR(INDEX(183:183,SMALL(IF(183:183&lt;&gt;"",COLUMN(183:183)),COLUMN())),"")</f>
        <v/>
      </c>
      <c r="E198" s="348" t="str">
        <f t="array" ref="E198">IFERROR(INDEX(183:183,SMALL(IF(183:183&lt;&gt;"",COLUMN(183:183)),COLUMN())),"")</f>
        <v/>
      </c>
      <c r="F198" s="348" t="str">
        <f t="array" ref="F198">IFERROR(INDEX(183:183,SMALL(IF(183:183&lt;&gt;"",COLUMN(183:183)),COLUMN())),"")</f>
        <v/>
      </c>
      <c r="G198" s="348" t="str">
        <f t="array" ref="G198">IFERROR(INDEX(183:183,SMALL(IF(183:183&lt;&gt;"",COLUMN(183:183)),COLUMN())),"")</f>
        <v/>
      </c>
      <c r="H198" s="348" t="str">
        <f t="array" ref="H198">IFERROR(INDEX(183:183,SMALL(IF(183:183&lt;&gt;"",COLUMN(183:183)),COLUMN())),"")</f>
        <v/>
      </c>
      <c r="I198" s="348" t="str">
        <f t="array" ref="I198">IFERROR(INDEX(183:183,SMALL(IF(183:183&lt;&gt;"",COLUMN(183:183)),COLUMN())),"")</f>
        <v/>
      </c>
      <c r="J198" s="348" t="str">
        <f t="array" ref="J198">IFERROR(INDEX(183:183,SMALL(IF(183:183&lt;&gt;"",COLUMN(183:183)),COLUMN())),"")</f>
        <v/>
      </c>
      <c r="K198" s="348" t="str">
        <f t="array" ref="K198">IFERROR(INDEX(183:183,SMALL(IF(183:183&lt;&gt;"",COLUMN(183:183)),COLUMN())),"")</f>
        <v/>
      </c>
      <c r="L198" s="348" t="str">
        <f t="array" ref="L198">IFERROR(INDEX(183:183,SMALL(IF(183:183&lt;&gt;"",COLUMN(183:183)),COLUMN())),"")</f>
        <v/>
      </c>
      <c r="M198" s="348" t="str">
        <f t="array" ref="M198">IFERROR(INDEX(183:183,SMALL(IF(183:183&lt;&gt;"",COLUMN(183:183)),COLUMN())),"")</f>
        <v/>
      </c>
      <c r="N198" s="348" t="str">
        <f t="array" ref="N198">IFERROR(INDEX(183:183,SMALL(IF(183:183&lt;&gt;"",COLUMN(183:183)),COLUMN())),"")</f>
        <v/>
      </c>
      <c r="O198" s="348" t="str">
        <f t="array" ref="O198">IFERROR(INDEX(183:183,SMALL(IF(183:183&lt;&gt;"",COLUMN(183:183)),COLUMN())),"")</f>
        <v/>
      </c>
      <c r="P198" s="348" t="str">
        <f t="array" ref="P198">IFERROR(INDEX(183:183,SMALL(IF(183:183&lt;&gt;"",COLUMN(183:183)),COLUMN())),"")</f>
        <v/>
      </c>
      <c r="Q198" s="348" t="str">
        <f t="array" ref="Q198">IFERROR(INDEX(183:183,SMALL(IF(183:183&lt;&gt;"",COLUMN(183:183)),COLUMN())),"")</f>
        <v/>
      </c>
      <c r="R198" s="348" t="str">
        <f t="array" ref="R198">IFERROR(INDEX(183:183,SMALL(IF(183:183&lt;&gt;"",COLUMN(183:183)),COLUMN())),"")</f>
        <v/>
      </c>
      <c r="S198" s="348" t="str">
        <f t="array" ref="S198">IFERROR(INDEX(183:183,SMALL(IF(183:183&lt;&gt;"",COLUMN(183:183)),COLUMN())),"")</f>
        <v/>
      </c>
      <c r="T198" s="348" t="str">
        <f t="array" ref="T198">IFERROR(INDEX(183:183,SMALL(IF(183:183&lt;&gt;"",COLUMN(183:183)),COLUMN())),"")</f>
        <v/>
      </c>
      <c r="U198" s="348" t="str">
        <f t="array" ref="U198">IFERROR(INDEX(183:183,SMALL(IF(183:183&lt;&gt;"",COLUMN(183:183)),COLUMN())),"")</f>
        <v/>
      </c>
      <c r="AR198"/>
    </row>
    <row r="199" spans="1:44" s="317" customFormat="1" ht="14.25" hidden="1">
      <c r="A199" s="1053" t="s">
        <v>186</v>
      </c>
      <c r="B199" s="1053"/>
      <c r="C199" s="1053"/>
      <c r="D199" s="349" t="s">
        <v>187</v>
      </c>
      <c r="E199" s="349" t="s">
        <v>188</v>
      </c>
      <c r="F199" s="349" t="s">
        <v>189</v>
      </c>
      <c r="G199" s="349" t="s">
        <v>190</v>
      </c>
      <c r="H199" s="349" t="s">
        <v>191</v>
      </c>
      <c r="I199" s="349" t="s">
        <v>192</v>
      </c>
      <c r="J199" s="349" t="s">
        <v>193</v>
      </c>
      <c r="K199" s="349" t="s">
        <v>194</v>
      </c>
      <c r="L199" s="347" t="s">
        <v>195</v>
      </c>
      <c r="M199" s="347" t="s">
        <v>196</v>
      </c>
      <c r="N199" s="347" t="s">
        <v>197</v>
      </c>
      <c r="O199" s="347" t="s">
        <v>316</v>
      </c>
      <c r="P199" s="347" t="s">
        <v>317</v>
      </c>
      <c r="Q199" s="347" t="s">
        <v>318</v>
      </c>
      <c r="R199" s="347" t="s">
        <v>319</v>
      </c>
      <c r="S199" s="347" t="s">
        <v>320</v>
      </c>
      <c r="T199" s="347" t="s">
        <v>321</v>
      </c>
      <c r="U199" s="347" t="s">
        <v>322</v>
      </c>
      <c r="V199" s="347" t="s">
        <v>323</v>
      </c>
      <c r="W199" s="347" t="s">
        <v>324</v>
      </c>
      <c r="X199" s="347" t="s">
        <v>325</v>
      </c>
      <c r="AR199"/>
    </row>
    <row r="200" spans="1:44" s="317" customFormat="1" ht="14.25" hidden="1">
      <c r="A200" s="1054"/>
      <c r="B200" s="1054"/>
      <c r="C200" s="1054"/>
      <c r="D200" s="350" t="e">
        <f>SUM(D180:G180)/SUM(D177:G177)*100</f>
        <v>#DIV/0!</v>
      </c>
      <c r="E200" s="350" t="e">
        <f>(SUM(D180:G180)+SUM(B198:B198))/SUM(D177:G177)*100</f>
        <v>#DIV/0!</v>
      </c>
      <c r="F200" s="350" t="e">
        <f>(SUM(D180:G180)+SUM(B198:C198))/SUM(D177:G177)*100</f>
        <v>#DIV/0!</v>
      </c>
      <c r="G200" s="350" t="e">
        <f>(SUM(D180:G180)+SUM(B198:D198))/SUM(D177:G177)*100</f>
        <v>#DIV/0!</v>
      </c>
      <c r="H200" s="350" t="e">
        <f>(SUM(D180:G180)+SUM(B198:E198))/SUM(D177:G177)*100</f>
        <v>#DIV/0!</v>
      </c>
      <c r="I200" s="351" t="e">
        <f>(SUM(D180:G180)+SUM(B198:F198))/SUM(D177:G177)*100</f>
        <v>#DIV/0!</v>
      </c>
      <c r="J200" s="350" t="e">
        <f>(SUM(D180:G180)+SUM(B198:G198))/SUM(D177:G177)*100</f>
        <v>#DIV/0!</v>
      </c>
      <c r="K200" s="350" t="e">
        <f>(SUM(D180:G180)+SUM(B198:H198))/SUM(D177:G177)*100</f>
        <v>#DIV/0!</v>
      </c>
      <c r="L200" s="350" t="e">
        <f>(SUM(D180:G180)+SUM(B198:I198))/SUM(D177:G177)*100</f>
        <v>#DIV/0!</v>
      </c>
      <c r="M200" s="350" t="e">
        <f>(SUM(D180:G180)+SUM(B198:J198))/SUM(D177:G177)*100</f>
        <v>#DIV/0!</v>
      </c>
      <c r="N200" s="350" t="e">
        <f>(SUM(D180:G180)+SUM(B198:K198))/SUM(D177:G177)*100</f>
        <v>#DIV/0!</v>
      </c>
      <c r="O200" s="352" t="e">
        <f>(SUM(D180:G180)+SUM(B198:L198))/SUM(D177:G177)*100</f>
        <v>#DIV/0!</v>
      </c>
      <c r="P200" s="353" t="e">
        <f>(SUM(D180:G180)+SUM(B198:M198))/SUM(D177:G177)*100</f>
        <v>#DIV/0!</v>
      </c>
      <c r="Q200" s="353" t="e">
        <f>(SUM(D180:G180)+SUM(B198:N198))/SUM(D177:G177)*100</f>
        <v>#DIV/0!</v>
      </c>
      <c r="R200" s="353" t="e">
        <f>(SUM(D180:G180)+SUM(B198:O198))/SUM(D177:G177)*100</f>
        <v>#DIV/0!</v>
      </c>
      <c r="S200" s="353" t="e">
        <f>(SUM(D180:G180)+SUM(B198:P198))/SUM(D177:G177)*100</f>
        <v>#DIV/0!</v>
      </c>
      <c r="T200" s="353" t="e">
        <f>(SUM(D180:G180)+SUM(B198:Q198))/SUM(D177:G177)*100</f>
        <v>#DIV/0!</v>
      </c>
      <c r="U200" s="353" t="e">
        <f>(SUM(D180:G180)+SUM(B198:R198))/SUM(D177:G177)*100</f>
        <v>#DIV/0!</v>
      </c>
      <c r="V200" s="353" t="e">
        <f>(SUM(D180:G180)+SUM(B198:S198))/SUM(D177:G177)*100</f>
        <v>#DIV/0!</v>
      </c>
      <c r="W200" s="353" t="e">
        <f>(SUM(D180:G180)+SUM(B198:T198))/SUM(D177:G177)*100</f>
        <v>#DIV/0!</v>
      </c>
      <c r="X200" s="353" t="e">
        <f>(SUM(D180:G180)+SUM(B198:U198))/SUM(D177:G177)*100</f>
        <v>#DIV/0!</v>
      </c>
      <c r="AR200"/>
    </row>
    <row r="201" spans="1:44" s="317" customFormat="1" ht="14.25" hidden="1">
      <c r="AR201"/>
    </row>
    <row r="202" spans="1:44" s="317" customFormat="1" ht="14.25" hidden="1">
      <c r="A202" s="1046" t="s">
        <v>129</v>
      </c>
      <c r="B202" s="1047"/>
      <c r="C202" s="1047"/>
      <c r="E202" s="354" t="e">
        <f t="shared" ref="E202:AQ202" si="85">IF(E184="",IF(E185="",NA(),E185/-10),E184)</f>
        <v>#N/A</v>
      </c>
      <c r="F202" s="354" t="e">
        <f t="shared" si="85"/>
        <v>#N/A</v>
      </c>
      <c r="G202" s="354" t="e">
        <f t="shared" si="85"/>
        <v>#N/A</v>
      </c>
      <c r="H202" s="354" t="e">
        <f t="shared" si="85"/>
        <v>#N/A</v>
      </c>
      <c r="I202" s="354" t="e">
        <f t="shared" si="85"/>
        <v>#N/A</v>
      </c>
      <c r="J202" s="354" t="e">
        <f t="shared" si="85"/>
        <v>#N/A</v>
      </c>
      <c r="K202" s="354" t="e">
        <f t="shared" si="85"/>
        <v>#N/A</v>
      </c>
      <c r="L202" s="354" t="e">
        <f t="shared" si="85"/>
        <v>#N/A</v>
      </c>
      <c r="M202" s="354" t="e">
        <f t="shared" si="85"/>
        <v>#N/A</v>
      </c>
      <c r="N202" s="354" t="e">
        <f t="shared" si="85"/>
        <v>#N/A</v>
      </c>
      <c r="O202" s="354" t="e">
        <f t="shared" si="85"/>
        <v>#N/A</v>
      </c>
      <c r="P202" s="354" t="e">
        <f t="shared" si="85"/>
        <v>#N/A</v>
      </c>
      <c r="Q202" s="354" t="e">
        <f t="shared" si="85"/>
        <v>#N/A</v>
      </c>
      <c r="R202" s="354" t="e">
        <f t="shared" si="85"/>
        <v>#N/A</v>
      </c>
      <c r="S202" s="354" t="e">
        <f t="shared" si="85"/>
        <v>#N/A</v>
      </c>
      <c r="T202" s="354" t="e">
        <f t="shared" si="85"/>
        <v>#N/A</v>
      </c>
      <c r="U202" s="354" t="e">
        <f t="shared" si="85"/>
        <v>#N/A</v>
      </c>
      <c r="V202" s="354" t="e">
        <f t="shared" si="85"/>
        <v>#N/A</v>
      </c>
      <c r="W202" s="354" t="e">
        <f t="shared" si="85"/>
        <v>#N/A</v>
      </c>
      <c r="X202" s="354" t="e">
        <f t="shared" si="85"/>
        <v>#N/A</v>
      </c>
      <c r="Y202" s="354" t="e">
        <f t="shared" si="85"/>
        <v>#N/A</v>
      </c>
      <c r="Z202" s="354" t="e">
        <f t="shared" si="85"/>
        <v>#N/A</v>
      </c>
      <c r="AA202" s="354" t="e">
        <f t="shared" si="85"/>
        <v>#N/A</v>
      </c>
      <c r="AB202" s="354" t="e">
        <f t="shared" si="85"/>
        <v>#N/A</v>
      </c>
      <c r="AC202" s="354" t="e">
        <f t="shared" si="85"/>
        <v>#N/A</v>
      </c>
      <c r="AD202" s="354" t="e">
        <f>IF(AD184="",IF(AD185="",NA(),AD185/-10),AD184)</f>
        <v>#N/A</v>
      </c>
      <c r="AE202" s="354" t="e">
        <f t="shared" si="85"/>
        <v>#N/A</v>
      </c>
      <c r="AF202" s="354" t="e">
        <f t="shared" si="85"/>
        <v>#N/A</v>
      </c>
      <c r="AG202" s="354" t="e">
        <f t="shared" si="85"/>
        <v>#N/A</v>
      </c>
      <c r="AH202" s="354" t="e">
        <f t="shared" si="85"/>
        <v>#N/A</v>
      </c>
      <c r="AI202" s="354" t="e">
        <f t="shared" si="85"/>
        <v>#N/A</v>
      </c>
      <c r="AJ202" s="354" t="e">
        <f t="shared" si="85"/>
        <v>#N/A</v>
      </c>
      <c r="AK202" s="354" t="e">
        <f t="shared" si="85"/>
        <v>#N/A</v>
      </c>
      <c r="AL202" s="354" t="e">
        <f t="shared" si="85"/>
        <v>#N/A</v>
      </c>
      <c r="AM202" s="354" t="e">
        <f t="shared" si="85"/>
        <v>#N/A</v>
      </c>
      <c r="AN202" s="354" t="e">
        <f t="shared" si="85"/>
        <v>#N/A</v>
      </c>
      <c r="AO202" s="354" t="e">
        <f t="shared" si="85"/>
        <v>#N/A</v>
      </c>
      <c r="AP202" s="354" t="e">
        <f t="shared" si="85"/>
        <v>#N/A</v>
      </c>
      <c r="AQ202" s="354" t="e">
        <f t="shared" si="85"/>
        <v>#N/A</v>
      </c>
      <c r="AR202"/>
    </row>
    <row r="203" spans="1:44" s="317" customFormat="1" ht="14.25" hidden="1">
      <c r="A203" s="1048" t="s">
        <v>44</v>
      </c>
      <c r="B203" s="1048"/>
      <c r="C203" s="1049"/>
      <c r="E203" s="355" t="e">
        <f>IF(E202="",NA(),E202*(-10))</f>
        <v>#N/A</v>
      </c>
      <c r="F203" s="355" t="e">
        <f t="shared" ref="F203:AQ203" si="86">IF(F202="",NA(),F202*(-10))</f>
        <v>#N/A</v>
      </c>
      <c r="G203" s="355" t="e">
        <f t="shared" si="86"/>
        <v>#N/A</v>
      </c>
      <c r="H203" s="355" t="e">
        <f t="shared" si="86"/>
        <v>#N/A</v>
      </c>
      <c r="I203" s="355" t="e">
        <f t="shared" si="86"/>
        <v>#N/A</v>
      </c>
      <c r="J203" s="355" t="e">
        <f t="shared" si="86"/>
        <v>#N/A</v>
      </c>
      <c r="K203" s="355" t="e">
        <f t="shared" si="86"/>
        <v>#N/A</v>
      </c>
      <c r="L203" s="355" t="e">
        <f t="shared" si="86"/>
        <v>#N/A</v>
      </c>
      <c r="M203" s="355" t="e">
        <f t="shared" si="86"/>
        <v>#N/A</v>
      </c>
      <c r="N203" s="355" t="e">
        <f t="shared" si="86"/>
        <v>#N/A</v>
      </c>
      <c r="O203" s="355" t="e">
        <f t="shared" si="86"/>
        <v>#N/A</v>
      </c>
      <c r="P203" s="355" t="e">
        <f t="shared" si="86"/>
        <v>#N/A</v>
      </c>
      <c r="Q203" s="355" t="e">
        <f t="shared" si="86"/>
        <v>#N/A</v>
      </c>
      <c r="R203" s="355" t="e">
        <f t="shared" si="86"/>
        <v>#N/A</v>
      </c>
      <c r="S203" s="355" t="e">
        <f t="shared" si="86"/>
        <v>#N/A</v>
      </c>
      <c r="T203" s="355" t="e">
        <f t="shared" si="86"/>
        <v>#N/A</v>
      </c>
      <c r="U203" s="355" t="e">
        <f t="shared" si="86"/>
        <v>#N/A</v>
      </c>
      <c r="V203" s="355" t="e">
        <f t="shared" si="86"/>
        <v>#N/A</v>
      </c>
      <c r="W203" s="355" t="e">
        <f t="shared" si="86"/>
        <v>#N/A</v>
      </c>
      <c r="X203" s="355" t="e">
        <f t="shared" si="86"/>
        <v>#N/A</v>
      </c>
      <c r="Y203" s="355" t="e">
        <f t="shared" si="86"/>
        <v>#N/A</v>
      </c>
      <c r="Z203" s="355" t="e">
        <f t="shared" si="86"/>
        <v>#N/A</v>
      </c>
      <c r="AA203" s="355" t="e">
        <f t="shared" si="86"/>
        <v>#N/A</v>
      </c>
      <c r="AB203" s="355" t="e">
        <f t="shared" si="86"/>
        <v>#N/A</v>
      </c>
      <c r="AC203" s="355" t="e">
        <f t="shared" si="86"/>
        <v>#N/A</v>
      </c>
      <c r="AD203" s="367" t="e">
        <f t="shared" si="86"/>
        <v>#N/A</v>
      </c>
      <c r="AE203" s="355" t="e">
        <f t="shared" si="86"/>
        <v>#N/A</v>
      </c>
      <c r="AF203" s="355" t="e">
        <f t="shared" si="86"/>
        <v>#N/A</v>
      </c>
      <c r="AG203" s="355" t="e">
        <f t="shared" si="86"/>
        <v>#N/A</v>
      </c>
      <c r="AH203" s="355" t="e">
        <f t="shared" si="86"/>
        <v>#N/A</v>
      </c>
      <c r="AI203" s="355" t="e">
        <f t="shared" si="86"/>
        <v>#N/A</v>
      </c>
      <c r="AJ203" s="355" t="e">
        <f t="shared" si="86"/>
        <v>#N/A</v>
      </c>
      <c r="AK203" s="355" t="e">
        <f t="shared" si="86"/>
        <v>#N/A</v>
      </c>
      <c r="AL203" s="355" t="e">
        <f t="shared" si="86"/>
        <v>#N/A</v>
      </c>
      <c r="AM203" s="355" t="e">
        <f t="shared" si="86"/>
        <v>#N/A</v>
      </c>
      <c r="AN203" s="355" t="e">
        <f t="shared" si="86"/>
        <v>#N/A</v>
      </c>
      <c r="AO203" s="355" t="e">
        <f t="shared" si="86"/>
        <v>#N/A</v>
      </c>
      <c r="AP203" s="355" t="e">
        <f t="shared" si="86"/>
        <v>#N/A</v>
      </c>
      <c r="AQ203" s="355" t="e">
        <f t="shared" si="86"/>
        <v>#N/A</v>
      </c>
      <c r="AR203"/>
    </row>
    <row r="204" spans="1:44" s="317" customFormat="1" ht="14.25" hidden="1">
      <c r="A204" s="356"/>
      <c r="B204" s="1012" t="s">
        <v>35</v>
      </c>
      <c r="C204" s="1050"/>
      <c r="E204" s="357" t="e">
        <f>IF(E202="",NA(),ROUND(1443/(1443+E203),4))</f>
        <v>#N/A</v>
      </c>
      <c r="F204" s="357" t="e">
        <f t="shared" ref="F204:AQ204" si="87">IF(F202="",NA(),ROUND(1443/(1443+F203),4))</f>
        <v>#N/A</v>
      </c>
      <c r="G204" s="357" t="e">
        <f t="shared" si="87"/>
        <v>#N/A</v>
      </c>
      <c r="H204" s="357" t="e">
        <f t="shared" si="87"/>
        <v>#N/A</v>
      </c>
      <c r="I204" s="357" t="e">
        <f t="shared" si="87"/>
        <v>#N/A</v>
      </c>
      <c r="J204" s="357" t="e">
        <f t="shared" si="87"/>
        <v>#N/A</v>
      </c>
      <c r="K204" s="357" t="e">
        <f t="shared" si="87"/>
        <v>#N/A</v>
      </c>
      <c r="L204" s="357" t="e">
        <f t="shared" si="87"/>
        <v>#N/A</v>
      </c>
      <c r="M204" s="357" t="e">
        <f t="shared" si="87"/>
        <v>#N/A</v>
      </c>
      <c r="N204" s="357" t="e">
        <f t="shared" si="87"/>
        <v>#N/A</v>
      </c>
      <c r="O204" s="357" t="e">
        <f t="shared" si="87"/>
        <v>#N/A</v>
      </c>
      <c r="P204" s="357" t="e">
        <f t="shared" si="87"/>
        <v>#N/A</v>
      </c>
      <c r="Q204" s="357" t="e">
        <f t="shared" si="87"/>
        <v>#N/A</v>
      </c>
      <c r="R204" s="357" t="e">
        <f t="shared" si="87"/>
        <v>#N/A</v>
      </c>
      <c r="S204" s="357" t="e">
        <f t="shared" si="87"/>
        <v>#N/A</v>
      </c>
      <c r="T204" s="357" t="e">
        <f t="shared" si="87"/>
        <v>#N/A</v>
      </c>
      <c r="U204" s="357" t="e">
        <f t="shared" si="87"/>
        <v>#N/A</v>
      </c>
      <c r="V204" s="357" t="e">
        <f t="shared" si="87"/>
        <v>#N/A</v>
      </c>
      <c r="W204" s="357" t="e">
        <f t="shared" si="87"/>
        <v>#N/A</v>
      </c>
      <c r="X204" s="357" t="e">
        <f t="shared" si="87"/>
        <v>#N/A</v>
      </c>
      <c r="Y204" s="357" t="e">
        <f t="shared" si="87"/>
        <v>#N/A</v>
      </c>
      <c r="Z204" s="357" t="e">
        <f t="shared" si="87"/>
        <v>#N/A</v>
      </c>
      <c r="AA204" s="357" t="e">
        <f t="shared" si="87"/>
        <v>#N/A</v>
      </c>
      <c r="AB204" s="357" t="e">
        <f t="shared" si="87"/>
        <v>#N/A</v>
      </c>
      <c r="AC204" s="357" t="e">
        <f t="shared" si="87"/>
        <v>#N/A</v>
      </c>
      <c r="AD204" s="357" t="e">
        <f>IF(AD202="",NA(),ROUND(1443/(1443+AD203),4))</f>
        <v>#N/A</v>
      </c>
      <c r="AE204" s="357" t="e">
        <f t="shared" si="87"/>
        <v>#N/A</v>
      </c>
      <c r="AF204" s="357" t="e">
        <f t="shared" si="87"/>
        <v>#N/A</v>
      </c>
      <c r="AG204" s="357" t="e">
        <f t="shared" si="87"/>
        <v>#N/A</v>
      </c>
      <c r="AH204" s="357" t="e">
        <f t="shared" si="87"/>
        <v>#N/A</v>
      </c>
      <c r="AI204" s="357" t="e">
        <f t="shared" si="87"/>
        <v>#N/A</v>
      </c>
      <c r="AJ204" s="357" t="e">
        <f t="shared" si="87"/>
        <v>#N/A</v>
      </c>
      <c r="AK204" s="357" t="e">
        <f t="shared" si="87"/>
        <v>#N/A</v>
      </c>
      <c r="AL204" s="357" t="e">
        <f t="shared" si="87"/>
        <v>#N/A</v>
      </c>
      <c r="AM204" s="357" t="e">
        <f t="shared" si="87"/>
        <v>#N/A</v>
      </c>
      <c r="AN204" s="357" t="e">
        <f t="shared" si="87"/>
        <v>#N/A</v>
      </c>
      <c r="AO204" s="357" t="e">
        <f t="shared" si="87"/>
        <v>#N/A</v>
      </c>
      <c r="AP204" s="357" t="e">
        <f t="shared" si="87"/>
        <v>#N/A</v>
      </c>
      <c r="AQ204" s="357" t="e">
        <f t="shared" si="87"/>
        <v>#N/A</v>
      </c>
      <c r="AR204"/>
    </row>
    <row r="205" spans="1:44" s="317" customFormat="1" ht="14.25" hidden="1">
      <c r="A205" s="356"/>
      <c r="B205" s="1012" t="s">
        <v>36</v>
      </c>
      <c r="C205" s="1050"/>
      <c r="E205" s="357" t="e">
        <f>IF(E186="",NA(),IFERROR(E186*VLOOKUP(E186,'各種計算式等（配付時非表示）'!$E$3:$H$1003,3,TRUE)+VLOOKUP(E186,'各種計算式等（配付時非表示）'!$E$3:$H$1003,4,TRUE)+0.0000000001,"-"))</f>
        <v>#N/A</v>
      </c>
      <c r="F205" s="357" t="e">
        <f>IF(F186="",NA(),IFERROR(F186*VLOOKUP(F186,'各種計算式等（配付時非表示）'!$E$3:$H$1003,3,TRUE)+VLOOKUP(F186,'各種計算式等（配付時非表示）'!$E$3:$H$1003,4,TRUE)+0.0000000001,"-"))</f>
        <v>#N/A</v>
      </c>
      <c r="G205" s="357" t="e">
        <f>IF(G186="",NA(),IFERROR(G186*VLOOKUP(G186,'各種計算式等（配付時非表示）'!$E$3:$H$1003,3,TRUE)+VLOOKUP(G186,'各種計算式等（配付時非表示）'!$E$3:$H$1003,4,TRUE)+0.0000000001,"-"))</f>
        <v>#N/A</v>
      </c>
      <c r="H205" s="357" t="e">
        <f>IF(H186="",NA(),IFERROR(H186*VLOOKUP(H186,'各種計算式等（配付時非表示）'!$E$3:$H$1003,3,TRUE)+VLOOKUP(H186,'各種計算式等（配付時非表示）'!$E$3:$H$1003,4,TRUE)+0.0000000001,"-"))</f>
        <v>#N/A</v>
      </c>
      <c r="I205" s="357" t="e">
        <f>IF(I186="",NA(),IFERROR(I186*VLOOKUP(I186,'各種計算式等（配付時非表示）'!$E$3:$H$1003,3,TRUE)+VLOOKUP(I186,'各種計算式等（配付時非表示）'!$E$3:$H$1003,4,TRUE)+0.0000000001,"-"))</f>
        <v>#N/A</v>
      </c>
      <c r="J205" s="357" t="e">
        <f>IF(J186="",NA(),IFERROR(J186*VLOOKUP(J186,'各種計算式等（配付時非表示）'!$E$3:$H$1003,3,TRUE)+VLOOKUP(J186,'各種計算式等（配付時非表示）'!$E$3:$H$1003,4,TRUE)+0.0000000001,"-"))</f>
        <v>#N/A</v>
      </c>
      <c r="K205" s="357" t="e">
        <f>IF(K186="",NA(),IFERROR(K186*VLOOKUP(K186,'各種計算式等（配付時非表示）'!$E$3:$H$1003,3,TRUE)+VLOOKUP(K186,'各種計算式等（配付時非表示）'!$E$3:$H$1003,4,TRUE)+0.0000000001,"-"))</f>
        <v>#N/A</v>
      </c>
      <c r="L205" s="357" t="e">
        <f>IF(L186="",NA(),IFERROR(L186*VLOOKUP(L186,'各種計算式等（配付時非表示）'!$E$3:$H$1003,3,TRUE)+VLOOKUP(L186,'各種計算式等（配付時非表示）'!$E$3:$H$1003,4,TRUE)+0.0000000001,"-"))</f>
        <v>#N/A</v>
      </c>
      <c r="M205" s="357" t="e">
        <f>IF(M186="",NA(),IFERROR(M186*VLOOKUP(M186,'各種計算式等（配付時非表示）'!$E$3:$H$1003,3,TRUE)+VLOOKUP(M186,'各種計算式等（配付時非表示）'!$E$3:$H$1003,4,TRUE)+0.0000000001,"-"))</f>
        <v>#N/A</v>
      </c>
      <c r="N205" s="357" t="e">
        <f>IF(N186="",NA(),IFERROR(N186*VLOOKUP(N186,'各種計算式等（配付時非表示）'!$E$3:$H$1003,3,TRUE)+VLOOKUP(N186,'各種計算式等（配付時非表示）'!$E$3:$H$1003,4,TRUE)+0.0000000001,"-"))</f>
        <v>#N/A</v>
      </c>
      <c r="O205" s="357" t="e">
        <f>IF(O186="",NA(),IFERROR(O186*VLOOKUP(O186,'各種計算式等（配付時非表示）'!$E$3:$H$1003,3,TRUE)+VLOOKUP(O186,'各種計算式等（配付時非表示）'!$E$3:$H$1003,4,TRUE)+0.0000000001,"-"))</f>
        <v>#N/A</v>
      </c>
      <c r="P205" s="357" t="e">
        <f>IF(P186="",NA(),IFERROR(P186*VLOOKUP(P186,'各種計算式等（配付時非表示）'!$E$3:$H$1003,3,TRUE)+VLOOKUP(P186,'各種計算式等（配付時非表示）'!$E$3:$H$1003,4,TRUE)+0.0000000001,"-"))</f>
        <v>#N/A</v>
      </c>
      <c r="Q205" s="357" t="e">
        <f>IF(Q186="",NA(),IFERROR(Q186*VLOOKUP(Q186,'各種計算式等（配付時非表示）'!$E$3:$H$1003,3,TRUE)+VLOOKUP(Q186,'各種計算式等（配付時非表示）'!$E$3:$H$1003,4,TRUE)+0.0000000001,"-"))</f>
        <v>#N/A</v>
      </c>
      <c r="R205" s="357" t="e">
        <f>IF(R186="",NA(),IFERROR(R186*VLOOKUP(R186,'各種計算式等（配付時非表示）'!$E$3:$H$1003,3,TRUE)+VLOOKUP(R186,'各種計算式等（配付時非表示）'!$E$3:$H$1003,4,TRUE)+0.0000000001,"-"))</f>
        <v>#N/A</v>
      </c>
      <c r="S205" s="357" t="e">
        <f>IF(S186="",NA(),IFERROR(S186*VLOOKUP(S186,'各種計算式等（配付時非表示）'!$E$3:$H$1003,3,TRUE)+VLOOKUP(S186,'各種計算式等（配付時非表示）'!$E$3:$H$1003,4,TRUE)+0.0000000001,"-"))</f>
        <v>#N/A</v>
      </c>
      <c r="T205" s="357" t="e">
        <f>IF(T186="",NA(),IFERROR(T186*VLOOKUP(T186,'各種計算式等（配付時非表示）'!$E$3:$H$1003,3,TRUE)+VLOOKUP(T186,'各種計算式等（配付時非表示）'!$E$3:$H$1003,4,TRUE)+0.0000000001,"-"))</f>
        <v>#N/A</v>
      </c>
      <c r="U205" s="357" t="e">
        <f>IF(U186="",NA(),IFERROR(U186*VLOOKUP(U186,'各種計算式等（配付時非表示）'!$E$3:$H$1003,3,TRUE)+VLOOKUP(U186,'各種計算式等（配付時非表示）'!$E$3:$H$1003,4,TRUE)+0.0000000001,"-"))</f>
        <v>#N/A</v>
      </c>
      <c r="V205" s="357" t="e">
        <f>IF(V186="",NA(),IFERROR(V186*VLOOKUP(V186,'各種計算式等（配付時非表示）'!$E$3:$H$1003,3,TRUE)+VLOOKUP(V186,'各種計算式等（配付時非表示）'!$E$3:$H$1003,4,TRUE)+0.0000000001,"-"))</f>
        <v>#N/A</v>
      </c>
      <c r="W205" s="357" t="e">
        <f>IF(W186="",NA(),IFERROR(W186*VLOOKUP(W186,'各種計算式等（配付時非表示）'!$E$3:$H$1003,3,TRUE)+VLOOKUP(W186,'各種計算式等（配付時非表示）'!$E$3:$H$1003,4,TRUE)+0.0000000001,"-"))</f>
        <v>#N/A</v>
      </c>
      <c r="X205" s="357" t="e">
        <f>IF(X186="",NA(),IFERROR(X186*VLOOKUP(X186,'各種計算式等（配付時非表示）'!$E$3:$H$1003,3,TRUE)+VLOOKUP(X186,'各種計算式等（配付時非表示）'!$E$3:$H$1003,4,TRUE)+0.0000000001,"-"))</f>
        <v>#N/A</v>
      </c>
      <c r="Y205" s="357" t="e">
        <f>IF(Y186="",NA(),IFERROR(Y186*VLOOKUP(Y186,'各種計算式等（配付時非表示）'!$E$3:$H$1003,3,TRUE)+VLOOKUP(Y186,'各種計算式等（配付時非表示）'!$E$3:$H$1003,4,TRUE)+0.0000000001,"-"))</f>
        <v>#N/A</v>
      </c>
      <c r="Z205" s="357" t="e">
        <f>IF(Z186="",NA(),IFERROR(Z186*VLOOKUP(Z186,'各種計算式等（配付時非表示）'!$E$3:$H$1003,3,TRUE)+VLOOKUP(Z186,'各種計算式等（配付時非表示）'!$E$3:$H$1003,4,TRUE)+0.0000000001,"-"))</f>
        <v>#N/A</v>
      </c>
      <c r="AA205" s="357" t="e">
        <f>IF(AA186="",NA(),IFERROR(AA186*VLOOKUP(AA186,'各種計算式等（配付時非表示）'!$E$3:$H$1003,3,TRUE)+VLOOKUP(AA186,'各種計算式等（配付時非表示）'!$E$3:$H$1003,4,TRUE)+0.0000000001,"-"))</f>
        <v>#N/A</v>
      </c>
      <c r="AB205" s="357" t="e">
        <f>IF(AB186="",NA(),IFERROR(AB186*VLOOKUP(AB186,'各種計算式等（配付時非表示）'!$E$3:$H$1003,3,TRUE)+VLOOKUP(AB186,'各種計算式等（配付時非表示）'!$E$3:$H$1003,4,TRUE)+0.0000000001,"-"))</f>
        <v>#N/A</v>
      </c>
      <c r="AC205" s="357" t="e">
        <f>IF(AC186="",NA(),IFERROR(AC186*VLOOKUP(AC186,'各種計算式等（配付時非表示）'!$E$3:$H$1003,3,TRUE)+VLOOKUP(AC186,'各種計算式等（配付時非表示）'!$E$3:$H$1003,4,TRUE)+0.0000000001,"-"))</f>
        <v>#N/A</v>
      </c>
      <c r="AD205" s="357" t="e">
        <f>IF(AD186="",NA(),IFERROR(AD186*VLOOKUP(AD186,'各種計算式等（配付時非表示）'!$E$3:$H$1003,3,TRUE)+VLOOKUP(AD186,'各種計算式等（配付時非表示）'!$E$3:$H$1003,4,TRUE)+0.0000000001,"-"))</f>
        <v>#N/A</v>
      </c>
      <c r="AE205" s="357" t="e">
        <f>IF(AE186="",NA(),IFERROR(AE186*VLOOKUP(AE186,'各種計算式等（配付時非表示）'!$E$3:$H$1003,3,TRUE)+VLOOKUP(AE186,'各種計算式等（配付時非表示）'!$E$3:$H$1003,4,TRUE)+0.0000000001,"-"))</f>
        <v>#N/A</v>
      </c>
      <c r="AF205" s="357" t="e">
        <f>IF(AF186="",NA(),IFERROR(AF186*VLOOKUP(AF186,'各種計算式等（配付時非表示）'!$E$3:$H$1003,3,TRUE)+VLOOKUP(AF186,'各種計算式等（配付時非表示）'!$E$3:$H$1003,4,TRUE)+0.0000000001,"-"))</f>
        <v>#N/A</v>
      </c>
      <c r="AG205" s="357" t="e">
        <f>IF(AG186="",NA(),IFERROR(AG186*VLOOKUP(AG186,'各種計算式等（配付時非表示）'!$E$3:$H$1003,3,TRUE)+VLOOKUP(AG186,'各種計算式等（配付時非表示）'!$E$3:$H$1003,4,TRUE)+0.0000000001,"-"))</f>
        <v>#N/A</v>
      </c>
      <c r="AH205" s="357" t="e">
        <f>IF(AH186="",NA(),IFERROR(AH186*VLOOKUP(AH186,'各種計算式等（配付時非表示）'!$E$3:$H$1003,3,TRUE)+VLOOKUP(AH186,'各種計算式等（配付時非表示）'!$E$3:$H$1003,4,TRUE)+0.0000000001,"-"))</f>
        <v>#N/A</v>
      </c>
      <c r="AI205" s="357" t="e">
        <f>IF(AI186="",NA(),IFERROR(AI186*VLOOKUP(AI186,'各種計算式等（配付時非表示）'!$E$3:$H$1003,3,TRUE)+VLOOKUP(AI186,'各種計算式等（配付時非表示）'!$E$3:$H$1003,4,TRUE)+0.0000000001,"-"))</f>
        <v>#N/A</v>
      </c>
      <c r="AJ205" s="357" t="e">
        <f>IF(AJ186="",NA(),IFERROR(AJ186*VLOOKUP(AJ186,'各種計算式等（配付時非表示）'!$E$3:$H$1003,3,TRUE)+VLOOKUP(AJ186,'各種計算式等（配付時非表示）'!$E$3:$H$1003,4,TRUE)+0.0000000001,"-"))</f>
        <v>#N/A</v>
      </c>
      <c r="AK205" s="357" t="e">
        <f>IF(AK186="",NA(),IFERROR(AK186*VLOOKUP(AK186,'各種計算式等（配付時非表示）'!$E$3:$H$1003,3,TRUE)+VLOOKUP(AK186,'各種計算式等（配付時非表示）'!$E$3:$H$1003,4,TRUE)+0.0000000001,"-"))</f>
        <v>#N/A</v>
      </c>
      <c r="AL205" s="357" t="e">
        <f>IF(AL186="",NA(),IFERROR(AL186*VLOOKUP(AL186,'各種計算式等（配付時非表示）'!$E$3:$H$1003,3,TRUE)+VLOOKUP(AL186,'各種計算式等（配付時非表示）'!$E$3:$H$1003,4,TRUE)+0.0000000001,"-"))</f>
        <v>#N/A</v>
      </c>
      <c r="AM205" s="357" t="e">
        <f>IF(AM186="",NA(),IFERROR(AM186*VLOOKUP(AM186,'各種計算式等（配付時非表示）'!$E$3:$H$1003,3,TRUE)+VLOOKUP(AM186,'各種計算式等（配付時非表示）'!$E$3:$H$1003,4,TRUE)+0.0000000001,"-"))</f>
        <v>#N/A</v>
      </c>
      <c r="AN205" s="357" t="e">
        <f>IF(AN186="",NA(),IFERROR(AN186*VLOOKUP(AN186,'各種計算式等（配付時非表示）'!$E$3:$H$1003,3,TRUE)+VLOOKUP(AN186,'各種計算式等（配付時非表示）'!$E$3:$H$1003,4,TRUE)+0.0000000001,"-"))</f>
        <v>#N/A</v>
      </c>
      <c r="AO205" s="357" t="e">
        <f>IF(AO186="",NA(),IFERROR(AO186*VLOOKUP(AO186,'各種計算式等（配付時非表示）'!$E$3:$H$1003,3,TRUE)+VLOOKUP(AO186,'各種計算式等（配付時非表示）'!$E$3:$H$1003,4,TRUE)+0.0000000001,"-"))</f>
        <v>#N/A</v>
      </c>
      <c r="AP205" s="357" t="e">
        <f>IF(AP186="",NA(),IFERROR(AP186*VLOOKUP(AP186,'各種計算式等（配付時非表示）'!$E$3:$H$1003,3,TRUE)+VLOOKUP(AP186,'各種計算式等（配付時非表示）'!$E$3:$H$1003,4,TRUE)+0.0000000001,"-"))</f>
        <v>#N/A</v>
      </c>
      <c r="AQ205" s="357" t="e">
        <f>IF(AQ186="",NA(),IFERROR(AQ186*VLOOKUP(AQ186,'各種計算式等（配付時非表示）'!$E$3:$H$1003,3,TRUE)+VLOOKUP(AQ186,'各種計算式等（配付時非表示）'!$E$3:$H$1003,4,TRUE)+0.0000000001,"-"))</f>
        <v>#N/A</v>
      </c>
      <c r="AR205"/>
    </row>
    <row r="206" spans="1:44" s="317" customFormat="1" ht="14.25" hidden="1">
      <c r="A206" s="1012" t="s">
        <v>3</v>
      </c>
      <c r="B206" s="1012"/>
      <c r="C206" s="1012"/>
      <c r="E206" s="358" t="e">
        <f>IFERROR(ROUNDDOWN((E204-E205)*260+0.21,1),NA())</f>
        <v>#N/A</v>
      </c>
      <c r="F206" s="358" t="e">
        <f t="shared" ref="F206:AQ206" si="88">IFERROR(ROUNDDOWN((F204-F205)*260+0.21,1),NA())</f>
        <v>#N/A</v>
      </c>
      <c r="G206" s="358" t="e">
        <f>IFERROR(ROUNDDOWN((G204-G205)*260+0.21,1),NA())</f>
        <v>#N/A</v>
      </c>
      <c r="H206" s="358" t="e">
        <f t="shared" si="88"/>
        <v>#N/A</v>
      </c>
      <c r="I206" s="358" t="e">
        <f t="shared" si="88"/>
        <v>#N/A</v>
      </c>
      <c r="J206" s="358" t="e">
        <f t="shared" si="88"/>
        <v>#N/A</v>
      </c>
      <c r="K206" s="358" t="e">
        <f t="shared" si="88"/>
        <v>#N/A</v>
      </c>
      <c r="L206" s="358" t="e">
        <f t="shared" si="88"/>
        <v>#N/A</v>
      </c>
      <c r="M206" s="358" t="e">
        <f t="shared" si="88"/>
        <v>#N/A</v>
      </c>
      <c r="N206" s="358" t="e">
        <f t="shared" si="88"/>
        <v>#N/A</v>
      </c>
      <c r="O206" s="358" t="e">
        <f t="shared" si="88"/>
        <v>#N/A</v>
      </c>
      <c r="P206" s="358" t="e">
        <f t="shared" si="88"/>
        <v>#N/A</v>
      </c>
      <c r="Q206" s="358" t="e">
        <f t="shared" si="88"/>
        <v>#N/A</v>
      </c>
      <c r="R206" s="358" t="e">
        <f t="shared" si="88"/>
        <v>#N/A</v>
      </c>
      <c r="S206" s="358" t="e">
        <f t="shared" si="88"/>
        <v>#N/A</v>
      </c>
      <c r="T206" s="358" t="e">
        <f t="shared" si="88"/>
        <v>#N/A</v>
      </c>
      <c r="U206" s="358" t="e">
        <f t="shared" si="88"/>
        <v>#N/A</v>
      </c>
      <c r="V206" s="358" t="e">
        <f t="shared" si="88"/>
        <v>#N/A</v>
      </c>
      <c r="W206" s="358" t="e">
        <f t="shared" si="88"/>
        <v>#N/A</v>
      </c>
      <c r="X206" s="358" t="e">
        <f t="shared" si="88"/>
        <v>#N/A</v>
      </c>
      <c r="Y206" s="358" t="e">
        <f t="shared" si="88"/>
        <v>#N/A</v>
      </c>
      <c r="Z206" s="358" t="e">
        <f t="shared" si="88"/>
        <v>#N/A</v>
      </c>
      <c r="AA206" s="358" t="e">
        <f t="shared" si="88"/>
        <v>#N/A</v>
      </c>
      <c r="AB206" s="358" t="e">
        <f t="shared" si="88"/>
        <v>#N/A</v>
      </c>
      <c r="AC206" s="358" t="e">
        <f t="shared" si="88"/>
        <v>#N/A</v>
      </c>
      <c r="AD206" s="358" t="e">
        <f>IFERROR(ROUNDDOWN((AD204-AD205)*260+0.21,1),NA())</f>
        <v>#N/A</v>
      </c>
      <c r="AE206" s="358" t="e">
        <f t="shared" si="88"/>
        <v>#N/A</v>
      </c>
      <c r="AF206" s="358" t="e">
        <f t="shared" si="88"/>
        <v>#N/A</v>
      </c>
      <c r="AG206" s="358" t="e">
        <f t="shared" si="88"/>
        <v>#N/A</v>
      </c>
      <c r="AH206" s="358" t="e">
        <f t="shared" si="88"/>
        <v>#N/A</v>
      </c>
      <c r="AI206" s="358" t="e">
        <f t="shared" si="88"/>
        <v>#N/A</v>
      </c>
      <c r="AJ206" s="358" t="e">
        <f t="shared" si="88"/>
        <v>#N/A</v>
      </c>
      <c r="AK206" s="358" t="e">
        <f t="shared" si="88"/>
        <v>#N/A</v>
      </c>
      <c r="AL206" s="358" t="e">
        <f t="shared" si="88"/>
        <v>#N/A</v>
      </c>
      <c r="AM206" s="358" t="e">
        <f t="shared" si="88"/>
        <v>#N/A</v>
      </c>
      <c r="AN206" s="358" t="e">
        <f t="shared" si="88"/>
        <v>#N/A</v>
      </c>
      <c r="AO206" s="358" t="e">
        <f t="shared" si="88"/>
        <v>#N/A</v>
      </c>
      <c r="AP206" s="358" t="e">
        <f t="shared" si="88"/>
        <v>#N/A</v>
      </c>
      <c r="AQ206" s="358" t="e">
        <f t="shared" si="88"/>
        <v>#N/A</v>
      </c>
      <c r="AR206"/>
    </row>
    <row r="207" spans="1:44" s="317" customFormat="1" ht="14.25" hidden="1">
      <c r="A207" s="1012" t="s">
        <v>326</v>
      </c>
      <c r="B207" s="1012"/>
      <c r="C207" s="1012"/>
      <c r="E207" s="359" t="e">
        <f t="shared" ref="E207:AQ207" si="89">IF(E186="",NA(),ROUNDDOWN(E186*1.5848,1))</f>
        <v>#N/A</v>
      </c>
      <c r="F207" s="359" t="e">
        <f t="shared" si="89"/>
        <v>#N/A</v>
      </c>
      <c r="G207" s="359" t="e">
        <f>IF(G186="",NA(),ROUNDDOWN(G186*1.5848,1))</f>
        <v>#N/A</v>
      </c>
      <c r="H207" s="359" t="e">
        <f t="shared" si="89"/>
        <v>#N/A</v>
      </c>
      <c r="I207" s="359" t="e">
        <f t="shared" si="89"/>
        <v>#N/A</v>
      </c>
      <c r="J207" s="359" t="e">
        <f t="shared" si="89"/>
        <v>#N/A</v>
      </c>
      <c r="K207" s="359" t="e">
        <f t="shared" si="89"/>
        <v>#N/A</v>
      </c>
      <c r="L207" s="359" t="e">
        <f t="shared" si="89"/>
        <v>#N/A</v>
      </c>
      <c r="M207" s="359" t="e">
        <f t="shared" si="89"/>
        <v>#N/A</v>
      </c>
      <c r="N207" s="359" t="e">
        <f t="shared" si="89"/>
        <v>#N/A</v>
      </c>
      <c r="O207" s="359" t="e">
        <f t="shared" si="89"/>
        <v>#N/A</v>
      </c>
      <c r="P207" s="359" t="e">
        <f t="shared" si="89"/>
        <v>#N/A</v>
      </c>
      <c r="Q207" s="359" t="e">
        <f t="shared" si="89"/>
        <v>#N/A</v>
      </c>
      <c r="R207" s="359" t="e">
        <f t="shared" si="89"/>
        <v>#N/A</v>
      </c>
      <c r="S207" s="359" t="e">
        <f t="shared" si="89"/>
        <v>#N/A</v>
      </c>
      <c r="T207" s="359" t="e">
        <f t="shared" si="89"/>
        <v>#N/A</v>
      </c>
      <c r="U207" s="359" t="e">
        <f t="shared" si="89"/>
        <v>#N/A</v>
      </c>
      <c r="V207" s="359" t="e">
        <f t="shared" si="89"/>
        <v>#N/A</v>
      </c>
      <c r="W207" s="359" t="e">
        <f t="shared" si="89"/>
        <v>#N/A</v>
      </c>
      <c r="X207" s="359" t="e">
        <f t="shared" si="89"/>
        <v>#N/A</v>
      </c>
      <c r="Y207" s="359" t="e">
        <f t="shared" si="89"/>
        <v>#N/A</v>
      </c>
      <c r="Z207" s="359" t="e">
        <f t="shared" si="89"/>
        <v>#N/A</v>
      </c>
      <c r="AA207" s="359" t="e">
        <f t="shared" si="89"/>
        <v>#N/A</v>
      </c>
      <c r="AB207" s="359" t="e">
        <f t="shared" si="89"/>
        <v>#N/A</v>
      </c>
      <c r="AC207" s="359" t="e">
        <f t="shared" si="89"/>
        <v>#N/A</v>
      </c>
      <c r="AD207" s="359" t="e">
        <f>IF(AD186="",NA(),ROUNDDOWN(AD186*1.5848,1))</f>
        <v>#N/A</v>
      </c>
      <c r="AE207" s="359" t="e">
        <f t="shared" si="89"/>
        <v>#N/A</v>
      </c>
      <c r="AF207" s="359" t="e">
        <f t="shared" si="89"/>
        <v>#N/A</v>
      </c>
      <c r="AG207" s="359" t="e">
        <f t="shared" si="89"/>
        <v>#N/A</v>
      </c>
      <c r="AH207" s="359" t="e">
        <f t="shared" si="89"/>
        <v>#N/A</v>
      </c>
      <c r="AI207" s="359" t="e">
        <f t="shared" si="89"/>
        <v>#N/A</v>
      </c>
      <c r="AJ207" s="359" t="e">
        <f t="shared" si="89"/>
        <v>#N/A</v>
      </c>
      <c r="AK207" s="359" t="e">
        <f t="shared" si="89"/>
        <v>#N/A</v>
      </c>
      <c r="AL207" s="359" t="e">
        <f t="shared" si="89"/>
        <v>#N/A</v>
      </c>
      <c r="AM207" s="359" t="e">
        <f t="shared" si="89"/>
        <v>#N/A</v>
      </c>
      <c r="AN207" s="359" t="e">
        <f t="shared" si="89"/>
        <v>#N/A</v>
      </c>
      <c r="AO207" s="359" t="e">
        <f t="shared" si="89"/>
        <v>#N/A</v>
      </c>
      <c r="AP207" s="359" t="e">
        <f t="shared" si="89"/>
        <v>#N/A</v>
      </c>
      <c r="AQ207" s="359" t="e">
        <f t="shared" si="89"/>
        <v>#N/A</v>
      </c>
      <c r="AR207"/>
    </row>
    <row r="208" spans="1:44" s="317" customFormat="1" ht="14.25" hidden="1">
      <c r="A208" s="1012" t="s">
        <v>162</v>
      </c>
      <c r="B208" s="1012"/>
      <c r="C208" s="1012"/>
      <c r="E208" s="359" t="e">
        <f>IF(E206="",NA(),ROUNDDOWN(E206+E207,1))</f>
        <v>#N/A</v>
      </c>
      <c r="F208" s="359" t="e">
        <f t="shared" ref="F208:AQ208" si="90">IF(F206="",NA(),ROUNDDOWN(F206+F207,1))</f>
        <v>#N/A</v>
      </c>
      <c r="G208" s="359" t="e">
        <f t="shared" si="90"/>
        <v>#N/A</v>
      </c>
      <c r="H208" s="359" t="e">
        <f>IF(H206="",NA(),ROUNDDOWN(H206+H207,1))</f>
        <v>#N/A</v>
      </c>
      <c r="I208" s="359" t="e">
        <f t="shared" si="90"/>
        <v>#N/A</v>
      </c>
      <c r="J208" s="359" t="e">
        <f t="shared" si="90"/>
        <v>#N/A</v>
      </c>
      <c r="K208" s="359" t="e">
        <f t="shared" si="90"/>
        <v>#N/A</v>
      </c>
      <c r="L208" s="359" t="e">
        <f t="shared" si="90"/>
        <v>#N/A</v>
      </c>
      <c r="M208" s="359" t="e">
        <f t="shared" si="90"/>
        <v>#N/A</v>
      </c>
      <c r="N208" s="359" t="e">
        <f t="shared" si="90"/>
        <v>#N/A</v>
      </c>
      <c r="O208" s="359" t="e">
        <f t="shared" si="90"/>
        <v>#N/A</v>
      </c>
      <c r="P208" s="359" t="e">
        <f t="shared" si="90"/>
        <v>#N/A</v>
      </c>
      <c r="Q208" s="359" t="e">
        <f t="shared" si="90"/>
        <v>#N/A</v>
      </c>
      <c r="R208" s="359" t="e">
        <f t="shared" si="90"/>
        <v>#N/A</v>
      </c>
      <c r="S208" s="359" t="e">
        <f t="shared" si="90"/>
        <v>#N/A</v>
      </c>
      <c r="T208" s="359" t="e">
        <f t="shared" si="90"/>
        <v>#N/A</v>
      </c>
      <c r="U208" s="359" t="e">
        <f t="shared" si="90"/>
        <v>#N/A</v>
      </c>
      <c r="V208" s="359" t="e">
        <f t="shared" si="90"/>
        <v>#N/A</v>
      </c>
      <c r="W208" s="359" t="e">
        <f t="shared" si="90"/>
        <v>#N/A</v>
      </c>
      <c r="X208" s="359" t="e">
        <f t="shared" si="90"/>
        <v>#N/A</v>
      </c>
      <c r="Y208" s="359" t="e">
        <f t="shared" si="90"/>
        <v>#N/A</v>
      </c>
      <c r="Z208" s="359" t="e">
        <f t="shared" si="90"/>
        <v>#N/A</v>
      </c>
      <c r="AA208" s="359" t="e">
        <f t="shared" si="90"/>
        <v>#N/A</v>
      </c>
      <c r="AB208" s="359" t="e">
        <f t="shared" si="90"/>
        <v>#N/A</v>
      </c>
      <c r="AC208" s="359" t="e">
        <f t="shared" si="90"/>
        <v>#N/A</v>
      </c>
      <c r="AD208" s="359" t="e">
        <f>IF(AD206="",NA(),ROUNDDOWN(AD206+AD207,1))</f>
        <v>#N/A</v>
      </c>
      <c r="AE208" s="359" t="e">
        <f t="shared" si="90"/>
        <v>#N/A</v>
      </c>
      <c r="AF208" s="359" t="e">
        <f t="shared" si="90"/>
        <v>#N/A</v>
      </c>
      <c r="AG208" s="359" t="e">
        <f t="shared" si="90"/>
        <v>#N/A</v>
      </c>
      <c r="AH208" s="359" t="e">
        <f t="shared" si="90"/>
        <v>#N/A</v>
      </c>
      <c r="AI208" s="359" t="e">
        <f t="shared" si="90"/>
        <v>#N/A</v>
      </c>
      <c r="AJ208" s="359" t="e">
        <f t="shared" si="90"/>
        <v>#N/A</v>
      </c>
      <c r="AK208" s="359" t="e">
        <f t="shared" si="90"/>
        <v>#N/A</v>
      </c>
      <c r="AL208" s="359" t="e">
        <f t="shared" si="90"/>
        <v>#N/A</v>
      </c>
      <c r="AM208" s="359" t="e">
        <f t="shared" si="90"/>
        <v>#N/A</v>
      </c>
      <c r="AN208" s="359" t="e">
        <f t="shared" si="90"/>
        <v>#N/A</v>
      </c>
      <c r="AO208" s="359" t="e">
        <f t="shared" si="90"/>
        <v>#N/A</v>
      </c>
      <c r="AP208" s="359" t="e">
        <f t="shared" si="90"/>
        <v>#N/A</v>
      </c>
      <c r="AQ208" s="359" t="e">
        <f t="shared" si="90"/>
        <v>#N/A</v>
      </c>
      <c r="AR208"/>
    </row>
    <row r="209" spans="1:44" s="317" customFormat="1" ht="14.25" hidden="1">
      <c r="A209" s="1012" t="s">
        <v>198</v>
      </c>
      <c r="B209" s="1012"/>
      <c r="C209" s="1012"/>
      <c r="E209" s="360" t="e">
        <f t="shared" ref="E209:AQ209" si="91">IF(E186="",NA(),IF(E182&lt;=$B197,E186*$D200/100,IF(E182&lt;=$C197,E186*$E200/100,IF(E182&lt;=$D197,E186*$F200/100,IF(E182&lt;=$E197,E186*$G200/100,IF(E182&lt;=$F197,E186*$H200/100,IF(E182&lt;=$G197,E186*$I200/100,IF(E182&lt;=$H197,E186*$J200/100,IF(E182&lt;=$I197,E186*$K200/100,IF(E182&lt;=$J197,E186*$L200/100,IF(E182&lt;=$K197,E186*$M200/100,IF(E182&lt;=$L197,E186*$N200/100,IF(E182&lt;=$M197,E186*$O200/100,IF(E182&lt;=$N197,E186*$P200/100,IF(E182&lt;=$O197,E186*$Q200/100,IF(E182&lt;=$P197,E186*$R200/100,IF(E182&lt;=$Q197,E186*$S200/100,IF(E182&lt;=$R197,E186*$T200/100,IF(E182&lt;=$S197,E186*$U200/100,IF(E182&lt;=$T197,E186*$V200/100,IF(E182&lt;=$U197,E186*$W200/100,E186*$X200/100)))))))))))))))))))))</f>
        <v>#N/A</v>
      </c>
      <c r="F209" s="360" t="e">
        <f t="shared" si="91"/>
        <v>#N/A</v>
      </c>
      <c r="G209" s="360" t="e">
        <f t="shared" si="91"/>
        <v>#N/A</v>
      </c>
      <c r="H209" s="360" t="e">
        <f t="shared" si="91"/>
        <v>#N/A</v>
      </c>
      <c r="I209" s="360" t="e">
        <f t="shared" si="91"/>
        <v>#N/A</v>
      </c>
      <c r="J209" s="360" t="e">
        <f t="shared" si="91"/>
        <v>#N/A</v>
      </c>
      <c r="K209" s="360" t="e">
        <f t="shared" si="91"/>
        <v>#N/A</v>
      </c>
      <c r="L209" s="360" t="e">
        <f t="shared" si="91"/>
        <v>#N/A</v>
      </c>
      <c r="M209" s="360" t="e">
        <f t="shared" si="91"/>
        <v>#N/A</v>
      </c>
      <c r="N209" s="360" t="e">
        <f t="shared" si="91"/>
        <v>#N/A</v>
      </c>
      <c r="O209" s="360" t="e">
        <f t="shared" si="91"/>
        <v>#N/A</v>
      </c>
      <c r="P209" s="360" t="e">
        <f t="shared" si="91"/>
        <v>#N/A</v>
      </c>
      <c r="Q209" s="360" t="e">
        <f t="shared" si="91"/>
        <v>#N/A</v>
      </c>
      <c r="R209" s="360" t="e">
        <f t="shared" si="91"/>
        <v>#N/A</v>
      </c>
      <c r="S209" s="360" t="e">
        <f t="shared" si="91"/>
        <v>#N/A</v>
      </c>
      <c r="T209" s="360" t="e">
        <f t="shared" si="91"/>
        <v>#N/A</v>
      </c>
      <c r="U209" s="360" t="e">
        <f t="shared" si="91"/>
        <v>#N/A</v>
      </c>
      <c r="V209" s="360" t="e">
        <f t="shared" si="91"/>
        <v>#N/A</v>
      </c>
      <c r="W209" s="360" t="e">
        <f t="shared" si="91"/>
        <v>#N/A</v>
      </c>
      <c r="X209" s="360" t="e">
        <f t="shared" si="91"/>
        <v>#N/A</v>
      </c>
      <c r="Y209" s="360" t="e">
        <f t="shared" si="91"/>
        <v>#N/A</v>
      </c>
      <c r="Z209" s="360" t="e">
        <f t="shared" si="91"/>
        <v>#N/A</v>
      </c>
      <c r="AA209" s="360" t="e">
        <f t="shared" si="91"/>
        <v>#N/A</v>
      </c>
      <c r="AB209" s="360" t="e">
        <f t="shared" si="91"/>
        <v>#N/A</v>
      </c>
      <c r="AC209" s="360" t="e">
        <f t="shared" si="91"/>
        <v>#N/A</v>
      </c>
      <c r="AD209" s="360" t="e">
        <f t="shared" si="91"/>
        <v>#N/A</v>
      </c>
      <c r="AE209" s="360" t="e">
        <f t="shared" si="91"/>
        <v>#N/A</v>
      </c>
      <c r="AF209" s="360" t="e">
        <f t="shared" si="91"/>
        <v>#N/A</v>
      </c>
      <c r="AG209" s="360" t="e">
        <f t="shared" si="91"/>
        <v>#N/A</v>
      </c>
      <c r="AH209" s="360" t="e">
        <f t="shared" si="91"/>
        <v>#N/A</v>
      </c>
      <c r="AI209" s="360" t="e">
        <f t="shared" si="91"/>
        <v>#N/A</v>
      </c>
      <c r="AJ209" s="360" t="e">
        <f t="shared" si="91"/>
        <v>#N/A</v>
      </c>
      <c r="AK209" s="360" t="e">
        <f t="shared" si="91"/>
        <v>#N/A</v>
      </c>
      <c r="AL209" s="360" t="e">
        <f t="shared" si="91"/>
        <v>#N/A</v>
      </c>
      <c r="AM209" s="360" t="e">
        <f t="shared" si="91"/>
        <v>#N/A</v>
      </c>
      <c r="AN209" s="360" t="e">
        <f t="shared" si="91"/>
        <v>#N/A</v>
      </c>
      <c r="AO209" s="360" t="e">
        <f t="shared" si="91"/>
        <v>#N/A</v>
      </c>
      <c r="AP209" s="360" t="e">
        <f t="shared" si="91"/>
        <v>#N/A</v>
      </c>
      <c r="AQ209" s="360" t="e">
        <f t="shared" si="91"/>
        <v>#N/A</v>
      </c>
      <c r="AR209"/>
    </row>
    <row r="210" spans="1:44" s="317" customFormat="1" ht="14.25" hidden="1">
      <c r="A210" s="1011" t="s">
        <v>327</v>
      </c>
      <c r="B210" s="1012"/>
      <c r="C210" s="1050"/>
      <c r="E210" s="361" t="e">
        <f>IF(E209="",NA(),ROUND(E209*1.5848,1))</f>
        <v>#N/A</v>
      </c>
      <c r="F210" s="361" t="e">
        <f t="shared" ref="F210:AQ210" si="92">IF(F209="",NA(),ROUND(F209*1.5848,1))</f>
        <v>#N/A</v>
      </c>
      <c r="G210" s="361" t="e">
        <f>IF(G209="",NA(),ROUND(G209*1.5848,1))</f>
        <v>#N/A</v>
      </c>
      <c r="H210" s="361" t="e">
        <f>IF(H209="",NA(),ROUND(H209*1.5848,1))</f>
        <v>#N/A</v>
      </c>
      <c r="I210" s="361" t="e">
        <f t="shared" si="92"/>
        <v>#N/A</v>
      </c>
      <c r="J210" s="361" t="e">
        <f t="shared" si="92"/>
        <v>#N/A</v>
      </c>
      <c r="K210" s="361" t="e">
        <f t="shared" si="92"/>
        <v>#N/A</v>
      </c>
      <c r="L210" s="361" t="e">
        <f t="shared" si="92"/>
        <v>#N/A</v>
      </c>
      <c r="M210" s="361" t="e">
        <f t="shared" si="92"/>
        <v>#N/A</v>
      </c>
      <c r="N210" s="361" t="e">
        <f t="shared" si="92"/>
        <v>#N/A</v>
      </c>
      <c r="O210" s="361" t="e">
        <f t="shared" si="92"/>
        <v>#N/A</v>
      </c>
      <c r="P210" s="361" t="e">
        <f t="shared" si="92"/>
        <v>#N/A</v>
      </c>
      <c r="Q210" s="361" t="e">
        <f t="shared" si="92"/>
        <v>#N/A</v>
      </c>
      <c r="R210" s="361" t="e">
        <f t="shared" si="92"/>
        <v>#N/A</v>
      </c>
      <c r="S210" s="361" t="e">
        <f t="shared" si="92"/>
        <v>#N/A</v>
      </c>
      <c r="T210" s="361" t="e">
        <f t="shared" si="92"/>
        <v>#N/A</v>
      </c>
      <c r="U210" s="361" t="e">
        <f t="shared" si="92"/>
        <v>#N/A</v>
      </c>
      <c r="V210" s="361" t="e">
        <f t="shared" si="92"/>
        <v>#N/A</v>
      </c>
      <c r="W210" s="361" t="e">
        <f t="shared" si="92"/>
        <v>#N/A</v>
      </c>
      <c r="X210" s="361" t="e">
        <f t="shared" si="92"/>
        <v>#N/A</v>
      </c>
      <c r="Y210" s="361" t="e">
        <f t="shared" si="92"/>
        <v>#N/A</v>
      </c>
      <c r="Z210" s="361" t="e">
        <f t="shared" si="92"/>
        <v>#N/A</v>
      </c>
      <c r="AA210" s="361" t="e">
        <f t="shared" si="92"/>
        <v>#N/A</v>
      </c>
      <c r="AB210" s="361" t="e">
        <f t="shared" si="92"/>
        <v>#N/A</v>
      </c>
      <c r="AC210" s="361" t="e">
        <f t="shared" si="92"/>
        <v>#N/A</v>
      </c>
      <c r="AD210" s="361" t="e">
        <f t="shared" si="92"/>
        <v>#N/A</v>
      </c>
      <c r="AE210" s="361" t="e">
        <f t="shared" si="92"/>
        <v>#N/A</v>
      </c>
      <c r="AF210" s="361" t="e">
        <f t="shared" si="92"/>
        <v>#N/A</v>
      </c>
      <c r="AG210" s="361" t="e">
        <f t="shared" si="92"/>
        <v>#N/A</v>
      </c>
      <c r="AH210" s="361" t="e">
        <f t="shared" si="92"/>
        <v>#N/A</v>
      </c>
      <c r="AI210" s="361" t="e">
        <f t="shared" si="92"/>
        <v>#N/A</v>
      </c>
      <c r="AJ210" s="361" t="e">
        <f t="shared" si="92"/>
        <v>#N/A</v>
      </c>
      <c r="AK210" s="361" t="e">
        <f t="shared" si="92"/>
        <v>#N/A</v>
      </c>
      <c r="AL210" s="361" t="e">
        <f t="shared" si="92"/>
        <v>#N/A</v>
      </c>
      <c r="AM210" s="361" t="e">
        <f t="shared" si="92"/>
        <v>#N/A</v>
      </c>
      <c r="AN210" s="361" t="e">
        <f t="shared" si="92"/>
        <v>#N/A</v>
      </c>
      <c r="AO210" s="361" t="e">
        <f t="shared" si="92"/>
        <v>#N/A</v>
      </c>
      <c r="AP210" s="361" t="e">
        <f t="shared" si="92"/>
        <v>#N/A</v>
      </c>
      <c r="AQ210" s="361" t="e">
        <f t="shared" si="92"/>
        <v>#N/A</v>
      </c>
      <c r="AR210"/>
    </row>
    <row r="211" spans="1:44" s="317" customFormat="1" ht="14.25" hidden="1">
      <c r="A211" s="1011" t="s">
        <v>328</v>
      </c>
      <c r="B211" s="1012"/>
      <c r="C211" s="1050"/>
      <c r="E211" s="361" t="e">
        <f>IF(E212="",NA(),ROUND(E212-E210,1))</f>
        <v>#N/A</v>
      </c>
      <c r="F211" s="361" t="e">
        <f t="shared" ref="F211:AQ211" si="93">IF(F212="",NA(),ROUND(F212-F210,1))</f>
        <v>#N/A</v>
      </c>
      <c r="G211" s="361" t="e">
        <f>IF(G212="",NA(),ROUND(G212-G210,1))</f>
        <v>#N/A</v>
      </c>
      <c r="H211" s="361" t="e">
        <f>IF(H212="",NA(),ROUND(H212-H210,1))</f>
        <v>#N/A</v>
      </c>
      <c r="I211" s="361" t="e">
        <f t="shared" si="93"/>
        <v>#N/A</v>
      </c>
      <c r="J211" s="361" t="e">
        <f t="shared" si="93"/>
        <v>#N/A</v>
      </c>
      <c r="K211" s="361" t="e">
        <f t="shared" si="93"/>
        <v>#N/A</v>
      </c>
      <c r="L211" s="361" t="e">
        <f t="shared" si="93"/>
        <v>#N/A</v>
      </c>
      <c r="M211" s="361" t="e">
        <f t="shared" si="93"/>
        <v>#N/A</v>
      </c>
      <c r="N211" s="361" t="e">
        <f t="shared" si="93"/>
        <v>#N/A</v>
      </c>
      <c r="O211" s="361" t="e">
        <f t="shared" si="93"/>
        <v>#N/A</v>
      </c>
      <c r="P211" s="361" t="e">
        <f t="shared" si="93"/>
        <v>#N/A</v>
      </c>
      <c r="Q211" s="361" t="e">
        <f t="shared" si="93"/>
        <v>#N/A</v>
      </c>
      <c r="R211" s="361" t="e">
        <f t="shared" si="93"/>
        <v>#N/A</v>
      </c>
      <c r="S211" s="361" t="e">
        <f t="shared" si="93"/>
        <v>#N/A</v>
      </c>
      <c r="T211" s="361" t="e">
        <f t="shared" si="93"/>
        <v>#N/A</v>
      </c>
      <c r="U211" s="361" t="e">
        <f t="shared" si="93"/>
        <v>#N/A</v>
      </c>
      <c r="V211" s="361" t="e">
        <f t="shared" si="93"/>
        <v>#N/A</v>
      </c>
      <c r="W211" s="361" t="e">
        <f t="shared" si="93"/>
        <v>#N/A</v>
      </c>
      <c r="X211" s="361" t="e">
        <f t="shared" si="93"/>
        <v>#N/A</v>
      </c>
      <c r="Y211" s="361" t="e">
        <f t="shared" si="93"/>
        <v>#N/A</v>
      </c>
      <c r="Z211" s="361" t="e">
        <f t="shared" si="93"/>
        <v>#N/A</v>
      </c>
      <c r="AA211" s="361" t="e">
        <f t="shared" si="93"/>
        <v>#N/A</v>
      </c>
      <c r="AB211" s="361" t="e">
        <f t="shared" si="93"/>
        <v>#N/A</v>
      </c>
      <c r="AC211" s="361" t="e">
        <f t="shared" si="93"/>
        <v>#N/A</v>
      </c>
      <c r="AD211" s="361" t="e">
        <f t="shared" si="93"/>
        <v>#N/A</v>
      </c>
      <c r="AE211" s="361" t="e">
        <f t="shared" si="93"/>
        <v>#N/A</v>
      </c>
      <c r="AF211" s="361" t="e">
        <f t="shared" si="93"/>
        <v>#N/A</v>
      </c>
      <c r="AG211" s="361" t="e">
        <f t="shared" si="93"/>
        <v>#N/A</v>
      </c>
      <c r="AH211" s="361" t="e">
        <f t="shared" si="93"/>
        <v>#N/A</v>
      </c>
      <c r="AI211" s="361" t="e">
        <f t="shared" si="93"/>
        <v>#N/A</v>
      </c>
      <c r="AJ211" s="361" t="e">
        <f t="shared" si="93"/>
        <v>#N/A</v>
      </c>
      <c r="AK211" s="361" t="e">
        <f t="shared" si="93"/>
        <v>#N/A</v>
      </c>
      <c r="AL211" s="361" t="e">
        <f t="shared" si="93"/>
        <v>#N/A</v>
      </c>
      <c r="AM211" s="361" t="e">
        <f t="shared" si="93"/>
        <v>#N/A</v>
      </c>
      <c r="AN211" s="361" t="e">
        <f t="shared" si="93"/>
        <v>#N/A</v>
      </c>
      <c r="AO211" s="361" t="e">
        <f t="shared" si="93"/>
        <v>#N/A</v>
      </c>
      <c r="AP211" s="361" t="e">
        <f t="shared" si="93"/>
        <v>#N/A</v>
      </c>
      <c r="AQ211" s="361" t="e">
        <f t="shared" si="93"/>
        <v>#N/A</v>
      </c>
      <c r="AR211"/>
    </row>
    <row r="212" spans="1:44" s="317" customFormat="1" ht="14.25" hidden="1">
      <c r="A212" s="1011" t="s">
        <v>329</v>
      </c>
      <c r="B212" s="1012"/>
      <c r="C212" s="1050"/>
      <c r="E212" s="360" t="e">
        <f t="shared" ref="E212:AQ212" si="94">IF(E208="",NA(),IF(E182&lt;=$B197,E208*$D200/100,IF(E182&lt;=$C197,E208*$E200/100,IF(E182&lt;=$D197,E208*$F200/100,IF(E182&lt;=$E197,E208*$G200/100,IF(E182&lt;=$F197,E208*$H200/100,IF(E182&lt;=$G197,E208*$I200/100,IF(E182&lt;=$H197,E208*$J200/100,IF(E182&lt;=$I197,E208*$K200/100,IF(E182&lt;=$J197,E208*$L200/100,IF(E182&lt;=$K197,E208*$M200/100,IF(E182&lt;=$L197,E208*$N200/100,IF(E182&lt;=$M197,E208*$O200/100,IF(E182&lt;=$N197,E208*$P200/100,IF(E182&lt;=$O197,E208*$Q200/100,IF(E182&lt;=$P197,E208*$R200/100,IF(E182&lt;=$Q197,E208*$S200/100,IF(E182&lt;=$R197,E208*$T200/100,IF(E182&lt;=$S197,E208*$U200/100,IF(E182&lt;=$T197,E208*$V200/100,IF(E182&lt;=$U197,E208*$W200/100,E208*$X200/100)))))))))))))))))))))</f>
        <v>#N/A</v>
      </c>
      <c r="F212" s="360" t="e">
        <f t="shared" si="94"/>
        <v>#N/A</v>
      </c>
      <c r="G212" s="360" t="e">
        <f t="shared" si="94"/>
        <v>#N/A</v>
      </c>
      <c r="H212" s="360" t="e">
        <f t="shared" si="94"/>
        <v>#N/A</v>
      </c>
      <c r="I212" s="360" t="e">
        <f t="shared" si="94"/>
        <v>#N/A</v>
      </c>
      <c r="J212" s="360" t="e">
        <f t="shared" si="94"/>
        <v>#N/A</v>
      </c>
      <c r="K212" s="360" t="e">
        <f t="shared" si="94"/>
        <v>#N/A</v>
      </c>
      <c r="L212" s="360" t="e">
        <f t="shared" si="94"/>
        <v>#N/A</v>
      </c>
      <c r="M212" s="360" t="e">
        <f t="shared" si="94"/>
        <v>#N/A</v>
      </c>
      <c r="N212" s="360" t="e">
        <f t="shared" si="94"/>
        <v>#N/A</v>
      </c>
      <c r="O212" s="360" t="e">
        <f t="shared" si="94"/>
        <v>#N/A</v>
      </c>
      <c r="P212" s="360" t="e">
        <f t="shared" si="94"/>
        <v>#N/A</v>
      </c>
      <c r="Q212" s="360" t="e">
        <f t="shared" si="94"/>
        <v>#N/A</v>
      </c>
      <c r="R212" s="360" t="e">
        <f t="shared" si="94"/>
        <v>#N/A</v>
      </c>
      <c r="S212" s="360" t="e">
        <f t="shared" si="94"/>
        <v>#N/A</v>
      </c>
      <c r="T212" s="360" t="e">
        <f t="shared" si="94"/>
        <v>#N/A</v>
      </c>
      <c r="U212" s="360" t="e">
        <f t="shared" si="94"/>
        <v>#N/A</v>
      </c>
      <c r="V212" s="360" t="e">
        <f t="shared" si="94"/>
        <v>#N/A</v>
      </c>
      <c r="W212" s="360" t="e">
        <f t="shared" si="94"/>
        <v>#N/A</v>
      </c>
      <c r="X212" s="360" t="e">
        <f t="shared" si="94"/>
        <v>#N/A</v>
      </c>
      <c r="Y212" s="360" t="e">
        <f t="shared" si="94"/>
        <v>#N/A</v>
      </c>
      <c r="Z212" s="360" t="e">
        <f t="shared" si="94"/>
        <v>#N/A</v>
      </c>
      <c r="AA212" s="360" t="e">
        <f t="shared" si="94"/>
        <v>#N/A</v>
      </c>
      <c r="AB212" s="360" t="e">
        <f t="shared" si="94"/>
        <v>#N/A</v>
      </c>
      <c r="AC212" s="360" t="e">
        <f t="shared" si="94"/>
        <v>#N/A</v>
      </c>
      <c r="AD212" s="360" t="e">
        <f t="shared" si="94"/>
        <v>#N/A</v>
      </c>
      <c r="AE212" s="360" t="e">
        <f t="shared" si="94"/>
        <v>#N/A</v>
      </c>
      <c r="AF212" s="360" t="e">
        <f t="shared" si="94"/>
        <v>#N/A</v>
      </c>
      <c r="AG212" s="360" t="e">
        <f t="shared" si="94"/>
        <v>#N/A</v>
      </c>
      <c r="AH212" s="360" t="e">
        <f t="shared" si="94"/>
        <v>#N/A</v>
      </c>
      <c r="AI212" s="360" t="e">
        <f t="shared" si="94"/>
        <v>#N/A</v>
      </c>
      <c r="AJ212" s="360" t="e">
        <f t="shared" si="94"/>
        <v>#N/A</v>
      </c>
      <c r="AK212" s="360" t="e">
        <f t="shared" si="94"/>
        <v>#N/A</v>
      </c>
      <c r="AL212" s="360" t="e">
        <f t="shared" si="94"/>
        <v>#N/A</v>
      </c>
      <c r="AM212" s="360" t="e">
        <f t="shared" si="94"/>
        <v>#N/A</v>
      </c>
      <c r="AN212" s="360" t="e">
        <f t="shared" si="94"/>
        <v>#N/A</v>
      </c>
      <c r="AO212" s="360" t="e">
        <f t="shared" si="94"/>
        <v>#N/A</v>
      </c>
      <c r="AP212" s="360" t="e">
        <f t="shared" si="94"/>
        <v>#N/A</v>
      </c>
      <c r="AQ212" s="360" t="e">
        <f t="shared" si="94"/>
        <v>#N/A</v>
      </c>
      <c r="AR212"/>
    </row>
    <row r="213" spans="1:44" s="317" customFormat="1" ht="15" hidden="1" thickBot="1">
      <c r="A213" s="1014" t="s">
        <v>330</v>
      </c>
      <c r="B213" s="1015"/>
      <c r="C213" s="1015"/>
      <c r="E213" s="362" t="e">
        <f>IF(E212="",NA(),ROUND(E210/E212*100,1))</f>
        <v>#N/A</v>
      </c>
      <c r="F213" s="362" t="e">
        <f t="shared" ref="F213:AQ213" si="95">IF(F212="",NA(),ROUND(F210/F212*100,1))</f>
        <v>#N/A</v>
      </c>
      <c r="G213" s="362" t="e">
        <f>IF(G212="",NA(),ROUND(G210/G212*100,1))</f>
        <v>#N/A</v>
      </c>
      <c r="H213" s="362" t="e">
        <f t="shared" si="95"/>
        <v>#N/A</v>
      </c>
      <c r="I213" s="362" t="e">
        <f t="shared" si="95"/>
        <v>#N/A</v>
      </c>
      <c r="J213" s="362" t="e">
        <f t="shared" si="95"/>
        <v>#N/A</v>
      </c>
      <c r="K213" s="362" t="e">
        <f t="shared" si="95"/>
        <v>#N/A</v>
      </c>
      <c r="L213" s="362" t="e">
        <f t="shared" si="95"/>
        <v>#N/A</v>
      </c>
      <c r="M213" s="362" t="e">
        <f t="shared" si="95"/>
        <v>#N/A</v>
      </c>
      <c r="N213" s="362" t="e">
        <f t="shared" si="95"/>
        <v>#N/A</v>
      </c>
      <c r="O213" s="362" t="e">
        <f t="shared" si="95"/>
        <v>#N/A</v>
      </c>
      <c r="P213" s="362" t="e">
        <f t="shared" si="95"/>
        <v>#N/A</v>
      </c>
      <c r="Q213" s="362" t="e">
        <f t="shared" si="95"/>
        <v>#N/A</v>
      </c>
      <c r="R213" s="362" t="e">
        <f t="shared" si="95"/>
        <v>#N/A</v>
      </c>
      <c r="S213" s="362" t="e">
        <f t="shared" si="95"/>
        <v>#N/A</v>
      </c>
      <c r="T213" s="362" t="e">
        <f t="shared" si="95"/>
        <v>#N/A</v>
      </c>
      <c r="U213" s="362" t="e">
        <f t="shared" si="95"/>
        <v>#N/A</v>
      </c>
      <c r="V213" s="362" t="e">
        <f t="shared" si="95"/>
        <v>#N/A</v>
      </c>
      <c r="W213" s="362" t="e">
        <f t="shared" si="95"/>
        <v>#N/A</v>
      </c>
      <c r="X213" s="362" t="e">
        <f t="shared" si="95"/>
        <v>#N/A</v>
      </c>
      <c r="Y213" s="362" t="e">
        <f t="shared" si="95"/>
        <v>#N/A</v>
      </c>
      <c r="Z213" s="362" t="e">
        <f t="shared" si="95"/>
        <v>#N/A</v>
      </c>
      <c r="AA213" s="362" t="e">
        <f t="shared" si="95"/>
        <v>#N/A</v>
      </c>
      <c r="AB213" s="362" t="e">
        <f t="shared" si="95"/>
        <v>#N/A</v>
      </c>
      <c r="AC213" s="362" t="e">
        <f t="shared" si="95"/>
        <v>#N/A</v>
      </c>
      <c r="AD213" s="362" t="e">
        <f t="shared" si="95"/>
        <v>#N/A</v>
      </c>
      <c r="AE213" s="362" t="e">
        <f t="shared" si="95"/>
        <v>#N/A</v>
      </c>
      <c r="AF213" s="362" t="e">
        <f t="shared" si="95"/>
        <v>#N/A</v>
      </c>
      <c r="AG213" s="362" t="e">
        <f t="shared" si="95"/>
        <v>#N/A</v>
      </c>
      <c r="AH213" s="362" t="e">
        <f t="shared" si="95"/>
        <v>#N/A</v>
      </c>
      <c r="AI213" s="362" t="e">
        <f t="shared" si="95"/>
        <v>#N/A</v>
      </c>
      <c r="AJ213" s="362" t="e">
        <f t="shared" si="95"/>
        <v>#N/A</v>
      </c>
      <c r="AK213" s="362" t="e">
        <f t="shared" si="95"/>
        <v>#N/A</v>
      </c>
      <c r="AL213" s="362" t="e">
        <f t="shared" si="95"/>
        <v>#N/A</v>
      </c>
      <c r="AM213" s="362" t="e">
        <f t="shared" si="95"/>
        <v>#N/A</v>
      </c>
      <c r="AN213" s="362" t="e">
        <f t="shared" si="95"/>
        <v>#N/A</v>
      </c>
      <c r="AO213" s="362" t="e">
        <f t="shared" si="95"/>
        <v>#N/A</v>
      </c>
      <c r="AP213" s="362" t="e">
        <f t="shared" si="95"/>
        <v>#N/A</v>
      </c>
      <c r="AQ213" s="362" t="e">
        <f t="shared" si="95"/>
        <v>#N/A</v>
      </c>
      <c r="AR213" s="362"/>
    </row>
    <row r="214" spans="1:44" s="317" customFormat="1" ht="14.25" hidden="1"/>
    <row r="215" spans="1:44" s="317" customFormat="1" ht="21" customHeight="1" thickBot="1">
      <c r="A215" s="316" t="s">
        <v>339</v>
      </c>
    </row>
    <row r="216" spans="1:44" s="317" customFormat="1" ht="12.95" customHeight="1" thickBot="1">
      <c r="A216" s="1016" t="s">
        <v>286</v>
      </c>
      <c r="B216" s="1017"/>
      <c r="C216" s="1017"/>
      <c r="D216" s="1022"/>
      <c r="E216" s="1022"/>
      <c r="F216" s="1023"/>
      <c r="H216" s="318" t="s">
        <v>294</v>
      </c>
      <c r="I216" s="1022"/>
      <c r="J216" s="1023"/>
      <c r="L216" s="363" t="s">
        <v>295</v>
      </c>
      <c r="M216" s="1057"/>
      <c r="N216" s="1058"/>
      <c r="O216" s="364"/>
      <c r="P216" s="1059" t="s">
        <v>297</v>
      </c>
      <c r="Q216" s="1060"/>
      <c r="R216" s="365"/>
      <c r="S216" s="365"/>
      <c r="T216" s="365"/>
    </row>
    <row r="217" spans="1:44" s="317" customFormat="1" ht="12.95" customHeight="1" thickBot="1">
      <c r="L217" s="366" t="s">
        <v>296</v>
      </c>
      <c r="M217" s="1061"/>
      <c r="N217" s="1062"/>
      <c r="P217" s="1028"/>
      <c r="Q217" s="1029"/>
      <c r="R217" s="1029"/>
      <c r="S217" s="1029"/>
      <c r="T217" s="1029"/>
      <c r="U217" s="1029"/>
      <c r="V217" s="1029"/>
      <c r="W217" s="1029"/>
      <c r="X217" s="1030"/>
    </row>
    <row r="218" spans="1:44" s="317" customFormat="1" ht="14.25">
      <c r="A218" s="1037" t="s">
        <v>63</v>
      </c>
      <c r="B218" s="1038"/>
      <c r="C218" s="1038"/>
      <c r="D218" s="388" t="s">
        <v>49</v>
      </c>
      <c r="E218" s="388" t="s">
        <v>14</v>
      </c>
      <c r="F218" s="388" t="s">
        <v>16</v>
      </c>
      <c r="G218" s="388" t="s">
        <v>50</v>
      </c>
      <c r="H218" s="388" t="s">
        <v>51</v>
      </c>
      <c r="I218" s="322" t="s">
        <v>54</v>
      </c>
      <c r="J218" s="323" t="s">
        <v>53</v>
      </c>
      <c r="K218" s="324"/>
      <c r="P218" s="1031"/>
      <c r="Q218" s="1032"/>
      <c r="R218" s="1032"/>
      <c r="S218" s="1032"/>
      <c r="T218" s="1032"/>
      <c r="U218" s="1032"/>
      <c r="V218" s="1032"/>
      <c r="W218" s="1032"/>
      <c r="X218" s="1033"/>
      <c r="Z218" s="326"/>
      <c r="AA218" s="326"/>
    </row>
    <row r="219" spans="1:44" s="317" customFormat="1" ht="14.25">
      <c r="A219" s="1011" t="s">
        <v>166</v>
      </c>
      <c r="B219" s="1012"/>
      <c r="C219" s="1012"/>
      <c r="D219" s="373" t="str">
        <f>IF(D220+D221=0,"",D220+D221)</f>
        <v/>
      </c>
      <c r="E219" s="373" t="str">
        <f>IF(E220+E221=0,"",E220+E221)</f>
        <v/>
      </c>
      <c r="F219" s="373" t="str">
        <f>IF(F220+F221=0,"",F220+F221)</f>
        <v/>
      </c>
      <c r="G219" s="373" t="str">
        <f>IF(G220+G221=0,"",G220+G221)</f>
        <v/>
      </c>
      <c r="H219" s="373" t="str">
        <f>IF(H220+H221=0,"",H220+H221)</f>
        <v/>
      </c>
      <c r="I219" s="327"/>
      <c r="J219" s="390" t="str">
        <f>IF(SUM(D219:I219)=0,"",SUM(D219:I219))</f>
        <v/>
      </c>
      <c r="K219" s="324"/>
      <c r="P219" s="1031"/>
      <c r="Q219" s="1032"/>
      <c r="R219" s="1032"/>
      <c r="S219" s="1032"/>
      <c r="T219" s="1032"/>
      <c r="U219" s="1032"/>
      <c r="V219" s="1032"/>
      <c r="W219" s="1032"/>
      <c r="X219" s="1033"/>
      <c r="Z219" s="326"/>
      <c r="AA219" s="326"/>
    </row>
    <row r="220" spans="1:44" s="317" customFormat="1" ht="14.25">
      <c r="A220" s="1011" t="s">
        <v>95</v>
      </c>
      <c r="B220" s="1012"/>
      <c r="C220" s="1012"/>
      <c r="D220" s="393"/>
      <c r="E220" s="393"/>
      <c r="F220" s="393"/>
      <c r="G220" s="393"/>
      <c r="H220" s="393"/>
      <c r="I220" s="327"/>
      <c r="J220" s="390" t="str">
        <f>IF(SUM(D220:I220)=0,"",SUM(D220:I220))</f>
        <v/>
      </c>
      <c r="K220" s="330"/>
      <c r="P220" s="1031"/>
      <c r="Q220" s="1032"/>
      <c r="R220" s="1032"/>
      <c r="S220" s="1032"/>
      <c r="T220" s="1032"/>
      <c r="U220" s="1032"/>
      <c r="V220" s="1032"/>
      <c r="W220" s="1032"/>
      <c r="X220" s="1033"/>
      <c r="Y220" s="1013"/>
      <c r="Z220" s="1013"/>
      <c r="AA220" s="1013"/>
    </row>
    <row r="221" spans="1:44" s="317" customFormat="1" ht="14.25">
      <c r="A221" s="1011" t="s">
        <v>52</v>
      </c>
      <c r="B221" s="1012"/>
      <c r="C221" s="1012"/>
      <c r="D221" s="393"/>
      <c r="E221" s="393"/>
      <c r="F221" s="393"/>
      <c r="G221" s="393"/>
      <c r="H221" s="393"/>
      <c r="I221" s="327"/>
      <c r="J221" s="390" t="str">
        <f>IF(SUM(D221:I221)=0,"",SUM(D221:I221))</f>
        <v/>
      </c>
      <c r="K221" s="330"/>
      <c r="P221" s="1031"/>
      <c r="Q221" s="1032"/>
      <c r="R221" s="1032"/>
      <c r="S221" s="1032"/>
      <c r="T221" s="1032"/>
      <c r="U221" s="1032"/>
      <c r="V221" s="1032"/>
      <c r="W221" s="1032"/>
      <c r="X221" s="1033"/>
      <c r="Y221" s="1013"/>
      <c r="Z221" s="1013"/>
      <c r="AA221" s="1013"/>
    </row>
    <row r="222" spans="1:44" s="317" customFormat="1" ht="15" thickBot="1">
      <c r="A222" s="1014" t="s">
        <v>165</v>
      </c>
      <c r="B222" s="1015"/>
      <c r="C222" s="1015"/>
      <c r="D222" s="394"/>
      <c r="E222" s="394"/>
      <c r="F222" s="394"/>
      <c r="G222" s="394"/>
      <c r="H222" s="394"/>
      <c r="I222" s="391" t="str">
        <f>IF(SUM(E225:AQ225)=0,"",SUM(E225:AQ225))</f>
        <v/>
      </c>
      <c r="J222" s="392" t="str">
        <f>IF(SUM(D222:I222)=0,"",SUM(D222:I222))</f>
        <v/>
      </c>
      <c r="K222" s="330"/>
      <c r="O222" s="364"/>
      <c r="P222" s="1034"/>
      <c r="Q222" s="1035"/>
      <c r="R222" s="1035"/>
      <c r="S222" s="1035"/>
      <c r="T222" s="1035"/>
      <c r="U222" s="1035"/>
      <c r="V222" s="1035"/>
      <c r="W222" s="1035"/>
      <c r="X222" s="1036"/>
      <c r="Y222" s="1013"/>
      <c r="Z222" s="1013"/>
      <c r="AA222" s="1013"/>
    </row>
    <row r="223" spans="1:44" s="317" customFormat="1" ht="10.5" customHeight="1" thickBot="1"/>
    <row r="224" spans="1:44" s="317" customFormat="1" ht="14.25">
      <c r="A224" s="1056" t="s">
        <v>17</v>
      </c>
      <c r="B224" s="1038"/>
      <c r="C224" s="1038"/>
      <c r="D224" s="388">
        <v>1</v>
      </c>
      <c r="E224" s="388">
        <v>2</v>
      </c>
      <c r="F224" s="388">
        <v>3</v>
      </c>
      <c r="G224" s="388">
        <v>4</v>
      </c>
      <c r="H224" s="388">
        <v>5</v>
      </c>
      <c r="I224" s="388">
        <v>6</v>
      </c>
      <c r="J224" s="388">
        <v>7</v>
      </c>
      <c r="K224" s="388">
        <v>8</v>
      </c>
      <c r="L224" s="388">
        <v>9</v>
      </c>
      <c r="M224" s="388">
        <v>10</v>
      </c>
      <c r="N224" s="388">
        <v>11</v>
      </c>
      <c r="O224" s="388">
        <v>12</v>
      </c>
      <c r="P224" s="388">
        <v>13</v>
      </c>
      <c r="Q224" s="388">
        <v>14</v>
      </c>
      <c r="R224" s="388">
        <v>15</v>
      </c>
      <c r="S224" s="388">
        <v>16</v>
      </c>
      <c r="T224" s="388">
        <v>17</v>
      </c>
      <c r="U224" s="388">
        <v>18</v>
      </c>
      <c r="V224" s="388">
        <v>19</v>
      </c>
      <c r="W224" s="388">
        <v>20</v>
      </c>
      <c r="X224" s="388">
        <v>21</v>
      </c>
      <c r="Y224" s="388">
        <v>22</v>
      </c>
      <c r="Z224" s="388">
        <v>23</v>
      </c>
      <c r="AA224" s="388">
        <v>24</v>
      </c>
      <c r="AB224" s="388">
        <v>25</v>
      </c>
      <c r="AC224" s="388">
        <v>26</v>
      </c>
      <c r="AD224" s="388">
        <v>27</v>
      </c>
      <c r="AE224" s="388">
        <v>28</v>
      </c>
      <c r="AF224" s="388">
        <v>29</v>
      </c>
      <c r="AG224" s="388">
        <v>30</v>
      </c>
      <c r="AH224" s="388">
        <v>31</v>
      </c>
      <c r="AI224" s="388">
        <v>32</v>
      </c>
      <c r="AJ224" s="388">
        <v>33</v>
      </c>
      <c r="AK224" s="388">
        <v>34</v>
      </c>
      <c r="AL224" s="388">
        <v>35</v>
      </c>
      <c r="AM224" s="388">
        <v>36</v>
      </c>
      <c r="AN224" s="388">
        <v>37</v>
      </c>
      <c r="AO224" s="388">
        <v>38</v>
      </c>
      <c r="AP224" s="388">
        <v>39</v>
      </c>
      <c r="AQ224" s="323">
        <v>40</v>
      </c>
    </row>
    <row r="225" spans="1:44" s="317" customFormat="1" ht="14.25">
      <c r="A225" s="1011" t="s">
        <v>209</v>
      </c>
      <c r="B225" s="1012"/>
      <c r="C225" s="1012"/>
      <c r="D225" s="387"/>
      <c r="E225" s="329"/>
      <c r="F225" s="329"/>
      <c r="G225" s="329"/>
      <c r="H225" s="329"/>
      <c r="I225" s="329"/>
      <c r="J225" s="329"/>
      <c r="K225" s="329"/>
      <c r="L225" s="329"/>
      <c r="M225" s="329"/>
      <c r="N225" s="329"/>
      <c r="O225" s="329"/>
      <c r="P225" s="329"/>
      <c r="Q225" s="329"/>
      <c r="R225" s="329"/>
      <c r="S225" s="329"/>
      <c r="T225" s="329"/>
      <c r="U225" s="329"/>
      <c r="V225" s="329"/>
      <c r="W225" s="329"/>
      <c r="X225" s="329"/>
      <c r="Y225" s="329"/>
      <c r="Z225" s="329"/>
      <c r="AA225" s="329"/>
      <c r="AB225" s="329"/>
      <c r="AC225" s="329"/>
      <c r="AD225" s="329"/>
      <c r="AE225" s="329"/>
      <c r="AF225" s="329"/>
      <c r="AG225" s="329"/>
      <c r="AH225" s="329"/>
      <c r="AI225" s="329"/>
      <c r="AJ225" s="329"/>
      <c r="AK225" s="329"/>
      <c r="AL225" s="329"/>
      <c r="AM225" s="329"/>
      <c r="AN225" s="329"/>
      <c r="AO225" s="329"/>
      <c r="AP225" s="329"/>
      <c r="AQ225" s="333"/>
    </row>
    <row r="226" spans="1:44" s="317" customFormat="1" ht="14.25">
      <c r="A226" s="1063" t="s">
        <v>1</v>
      </c>
      <c r="B226" s="1064"/>
      <c r="C226" s="1065" t="s">
        <v>65</v>
      </c>
      <c r="D226" s="334"/>
      <c r="E226" s="335"/>
      <c r="F226" s="335"/>
      <c r="G226" s="335"/>
      <c r="H226" s="335"/>
      <c r="I226" s="335"/>
      <c r="J226" s="335"/>
      <c r="K226" s="335"/>
      <c r="L226" s="335"/>
      <c r="M226" s="335"/>
      <c r="N226" s="335"/>
      <c r="O226" s="335"/>
      <c r="P226" s="335"/>
      <c r="Q226" s="335"/>
      <c r="R226" s="335"/>
      <c r="S226" s="335"/>
      <c r="T226" s="335"/>
      <c r="U226" s="335"/>
      <c r="V226" s="335"/>
      <c r="W226" s="335"/>
      <c r="X226" s="335"/>
      <c r="Y226" s="335"/>
      <c r="Z226" s="335"/>
      <c r="AA226" s="335"/>
      <c r="AB226" s="335"/>
      <c r="AC226" s="335"/>
      <c r="AD226" s="335"/>
      <c r="AE226" s="335"/>
      <c r="AF226" s="335"/>
      <c r="AG226" s="335"/>
      <c r="AH226" s="335"/>
      <c r="AI226" s="335"/>
      <c r="AJ226" s="335"/>
      <c r="AK226" s="335"/>
      <c r="AL226" s="336"/>
      <c r="AM226" s="336"/>
      <c r="AN226" s="336"/>
      <c r="AO226" s="335"/>
      <c r="AP226" s="335"/>
      <c r="AQ226" s="337"/>
      <c r="AR226" s="372"/>
    </row>
    <row r="227" spans="1:44" s="317" customFormat="1" ht="14.25">
      <c r="A227" s="1063" t="s">
        <v>2</v>
      </c>
      <c r="B227" s="1064"/>
      <c r="C227" s="1065"/>
      <c r="D227" s="334"/>
      <c r="E227" s="335"/>
      <c r="F227" s="335"/>
      <c r="G227" s="335"/>
      <c r="H227" s="335"/>
      <c r="I227" s="335"/>
      <c r="J227" s="335"/>
      <c r="K227" s="335"/>
      <c r="L227" s="335"/>
      <c r="M227" s="335"/>
      <c r="N227" s="335"/>
      <c r="O227" s="335"/>
      <c r="P227" s="335"/>
      <c r="Q227" s="335"/>
      <c r="R227" s="335"/>
      <c r="S227" s="335"/>
      <c r="T227" s="335"/>
      <c r="U227" s="335"/>
      <c r="V227" s="335"/>
      <c r="W227" s="335"/>
      <c r="X227" s="335"/>
      <c r="Y227" s="335"/>
      <c r="Z227" s="335"/>
      <c r="AA227" s="335"/>
      <c r="AB227" s="335"/>
      <c r="AC227" s="335"/>
      <c r="AD227" s="335"/>
      <c r="AE227" s="335"/>
      <c r="AF227" s="335"/>
      <c r="AG227" s="335"/>
      <c r="AH227" s="335"/>
      <c r="AI227" s="335"/>
      <c r="AJ227" s="335"/>
      <c r="AK227" s="335"/>
      <c r="AL227" s="335"/>
      <c r="AM227" s="335"/>
      <c r="AN227" s="335"/>
      <c r="AO227" s="335"/>
      <c r="AP227" s="338"/>
      <c r="AQ227" s="339"/>
      <c r="AR227" s="372"/>
    </row>
    <row r="228" spans="1:44" s="317" customFormat="1" ht="14.25">
      <c r="A228" s="1011" t="s">
        <v>265</v>
      </c>
      <c r="B228" s="1012"/>
      <c r="C228" s="1012"/>
      <c r="D228" s="340"/>
      <c r="E228" s="341"/>
      <c r="F228" s="341"/>
      <c r="G228" s="341"/>
      <c r="H228" s="341"/>
      <c r="I228" s="341"/>
      <c r="J228" s="341"/>
      <c r="K228" s="341"/>
      <c r="L228" s="341"/>
      <c r="M228" s="341"/>
      <c r="N228" s="341"/>
      <c r="O228" s="341"/>
      <c r="P228" s="341"/>
      <c r="Q228" s="341"/>
      <c r="R228" s="341"/>
      <c r="S228" s="341"/>
      <c r="T228" s="341"/>
      <c r="U228" s="341"/>
      <c r="V228" s="341"/>
      <c r="W228" s="341"/>
      <c r="X228" s="341"/>
      <c r="Y228" s="341"/>
      <c r="Z228" s="341"/>
      <c r="AA228" s="341"/>
      <c r="AB228" s="341"/>
      <c r="AC228" s="341"/>
      <c r="AD228" s="341"/>
      <c r="AE228" s="341"/>
      <c r="AF228" s="341"/>
      <c r="AG228" s="341"/>
      <c r="AH228" s="341"/>
      <c r="AI228" s="341"/>
      <c r="AJ228" s="341"/>
      <c r="AK228" s="341"/>
      <c r="AL228" s="336"/>
      <c r="AM228" s="336"/>
      <c r="AN228" s="336"/>
      <c r="AO228" s="341"/>
      <c r="AP228" s="341"/>
      <c r="AQ228" s="342"/>
    </row>
    <row r="229" spans="1:44" s="317" customFormat="1" ht="14.25">
      <c r="A229" s="1009" t="s">
        <v>302</v>
      </c>
      <c r="B229" s="1010"/>
      <c r="C229" s="1010"/>
      <c r="D229" s="395"/>
      <c r="E229" s="396" t="str">
        <f>IFERROR(E252,"")</f>
        <v/>
      </c>
      <c r="F229" s="396" t="str">
        <f t="shared" ref="F229:AQ229" si="96">IFERROR(F252,"")</f>
        <v/>
      </c>
      <c r="G229" s="396" t="str">
        <f t="shared" si="96"/>
        <v/>
      </c>
      <c r="H229" s="396" t="str">
        <f t="shared" si="96"/>
        <v/>
      </c>
      <c r="I229" s="396" t="str">
        <f t="shared" si="96"/>
        <v/>
      </c>
      <c r="J229" s="396" t="str">
        <f t="shared" si="96"/>
        <v/>
      </c>
      <c r="K229" s="396" t="str">
        <f t="shared" si="96"/>
        <v/>
      </c>
      <c r="L229" s="396" t="str">
        <f t="shared" si="96"/>
        <v/>
      </c>
      <c r="M229" s="396" t="str">
        <f t="shared" si="96"/>
        <v/>
      </c>
      <c r="N229" s="396" t="str">
        <f t="shared" si="96"/>
        <v/>
      </c>
      <c r="O229" s="396" t="str">
        <f t="shared" si="96"/>
        <v/>
      </c>
      <c r="P229" s="396" t="str">
        <f t="shared" si="96"/>
        <v/>
      </c>
      <c r="Q229" s="396" t="str">
        <f t="shared" si="96"/>
        <v/>
      </c>
      <c r="R229" s="396" t="str">
        <f t="shared" si="96"/>
        <v/>
      </c>
      <c r="S229" s="396" t="str">
        <f t="shared" si="96"/>
        <v/>
      </c>
      <c r="T229" s="396" t="str">
        <f t="shared" si="96"/>
        <v/>
      </c>
      <c r="U229" s="396" t="str">
        <f t="shared" si="96"/>
        <v/>
      </c>
      <c r="V229" s="396" t="str">
        <f t="shared" si="96"/>
        <v/>
      </c>
      <c r="W229" s="396" t="str">
        <f t="shared" si="96"/>
        <v/>
      </c>
      <c r="X229" s="396" t="str">
        <f t="shared" si="96"/>
        <v/>
      </c>
      <c r="Y229" s="396" t="str">
        <f t="shared" si="96"/>
        <v/>
      </c>
      <c r="Z229" s="396" t="str">
        <f t="shared" si="96"/>
        <v/>
      </c>
      <c r="AA229" s="396" t="str">
        <f t="shared" si="96"/>
        <v/>
      </c>
      <c r="AB229" s="396" t="str">
        <f t="shared" si="96"/>
        <v/>
      </c>
      <c r="AC229" s="396" t="str">
        <f t="shared" si="96"/>
        <v/>
      </c>
      <c r="AD229" s="396" t="str">
        <f t="shared" si="96"/>
        <v/>
      </c>
      <c r="AE229" s="396" t="str">
        <f t="shared" si="96"/>
        <v/>
      </c>
      <c r="AF229" s="396" t="str">
        <f t="shared" si="96"/>
        <v/>
      </c>
      <c r="AG229" s="396" t="str">
        <f t="shared" si="96"/>
        <v/>
      </c>
      <c r="AH229" s="396" t="str">
        <f t="shared" si="96"/>
        <v/>
      </c>
      <c r="AI229" s="396" t="str">
        <f t="shared" si="96"/>
        <v/>
      </c>
      <c r="AJ229" s="396" t="str">
        <f t="shared" si="96"/>
        <v/>
      </c>
      <c r="AK229" s="396" t="str">
        <f t="shared" si="96"/>
        <v/>
      </c>
      <c r="AL229" s="396" t="str">
        <f t="shared" si="96"/>
        <v/>
      </c>
      <c r="AM229" s="396" t="str">
        <f t="shared" si="96"/>
        <v/>
      </c>
      <c r="AN229" s="396" t="str">
        <f t="shared" si="96"/>
        <v/>
      </c>
      <c r="AO229" s="396" t="str">
        <f t="shared" si="96"/>
        <v/>
      </c>
      <c r="AP229" s="396" t="str">
        <f t="shared" si="96"/>
        <v/>
      </c>
      <c r="AQ229" s="397" t="str">
        <f t="shared" si="96"/>
        <v/>
      </c>
      <c r="AR229" s="372"/>
    </row>
    <row r="230" spans="1:44" s="317" customFormat="1" ht="14.25" customHeight="1">
      <c r="A230" s="1009" t="s">
        <v>303</v>
      </c>
      <c r="B230" s="1010"/>
      <c r="C230" s="1010"/>
      <c r="D230" s="395"/>
      <c r="E230" s="396" t="str">
        <f t="shared" ref="E230:AQ230" si="97">IFERROR(E253,"")</f>
        <v/>
      </c>
      <c r="F230" s="396" t="str">
        <f t="shared" si="97"/>
        <v/>
      </c>
      <c r="G230" s="396" t="str">
        <f t="shared" si="97"/>
        <v/>
      </c>
      <c r="H230" s="396" t="str">
        <f t="shared" si="97"/>
        <v/>
      </c>
      <c r="I230" s="396" t="str">
        <f t="shared" si="97"/>
        <v/>
      </c>
      <c r="J230" s="396" t="str">
        <f t="shared" si="97"/>
        <v/>
      </c>
      <c r="K230" s="396" t="str">
        <f t="shared" si="97"/>
        <v/>
      </c>
      <c r="L230" s="396" t="str">
        <f t="shared" si="97"/>
        <v/>
      </c>
      <c r="M230" s="396" t="str">
        <f t="shared" si="97"/>
        <v/>
      </c>
      <c r="N230" s="396" t="str">
        <f t="shared" si="97"/>
        <v/>
      </c>
      <c r="O230" s="396" t="str">
        <f t="shared" si="97"/>
        <v/>
      </c>
      <c r="P230" s="396" t="str">
        <f t="shared" si="97"/>
        <v/>
      </c>
      <c r="Q230" s="396" t="str">
        <f t="shared" si="97"/>
        <v/>
      </c>
      <c r="R230" s="396" t="str">
        <f t="shared" si="97"/>
        <v/>
      </c>
      <c r="S230" s="396" t="str">
        <f t="shared" si="97"/>
        <v/>
      </c>
      <c r="T230" s="396" t="str">
        <f t="shared" si="97"/>
        <v/>
      </c>
      <c r="U230" s="396" t="str">
        <f t="shared" si="97"/>
        <v/>
      </c>
      <c r="V230" s="396" t="str">
        <f t="shared" si="97"/>
        <v/>
      </c>
      <c r="W230" s="396" t="str">
        <f t="shared" si="97"/>
        <v/>
      </c>
      <c r="X230" s="396" t="str">
        <f t="shared" si="97"/>
        <v/>
      </c>
      <c r="Y230" s="396" t="str">
        <f t="shared" si="97"/>
        <v/>
      </c>
      <c r="Z230" s="396" t="str">
        <f t="shared" si="97"/>
        <v/>
      </c>
      <c r="AA230" s="396" t="str">
        <f t="shared" si="97"/>
        <v/>
      </c>
      <c r="AB230" s="396" t="str">
        <f t="shared" si="97"/>
        <v/>
      </c>
      <c r="AC230" s="396" t="str">
        <f t="shared" si="97"/>
        <v/>
      </c>
      <c r="AD230" s="396" t="str">
        <f t="shared" si="97"/>
        <v/>
      </c>
      <c r="AE230" s="396" t="str">
        <f t="shared" si="97"/>
        <v/>
      </c>
      <c r="AF230" s="396" t="str">
        <f t="shared" si="97"/>
        <v/>
      </c>
      <c r="AG230" s="396" t="str">
        <f t="shared" si="97"/>
        <v/>
      </c>
      <c r="AH230" s="396" t="str">
        <f t="shared" si="97"/>
        <v/>
      </c>
      <c r="AI230" s="396" t="str">
        <f t="shared" si="97"/>
        <v/>
      </c>
      <c r="AJ230" s="396" t="str">
        <f t="shared" si="97"/>
        <v/>
      </c>
      <c r="AK230" s="396" t="str">
        <f t="shared" si="97"/>
        <v/>
      </c>
      <c r="AL230" s="396" t="str">
        <f t="shared" si="97"/>
        <v/>
      </c>
      <c r="AM230" s="396" t="str">
        <f t="shared" si="97"/>
        <v/>
      </c>
      <c r="AN230" s="396" t="str">
        <f t="shared" si="97"/>
        <v/>
      </c>
      <c r="AO230" s="396" t="str">
        <f t="shared" si="97"/>
        <v/>
      </c>
      <c r="AP230" s="396" t="str">
        <f t="shared" si="97"/>
        <v/>
      </c>
      <c r="AQ230" s="397" t="str">
        <f t="shared" si="97"/>
        <v/>
      </c>
      <c r="AR230" s="372"/>
    </row>
    <row r="231" spans="1:44" s="317" customFormat="1" ht="14.25">
      <c r="A231" s="1009" t="s">
        <v>304</v>
      </c>
      <c r="B231" s="1010"/>
      <c r="C231" s="1010"/>
      <c r="D231" s="395"/>
      <c r="E231" s="396" t="str">
        <f t="shared" ref="E231:AQ231" si="98">IFERROR(E254,"")</f>
        <v/>
      </c>
      <c r="F231" s="396" t="str">
        <f t="shared" si="98"/>
        <v/>
      </c>
      <c r="G231" s="396" t="str">
        <f t="shared" si="98"/>
        <v/>
      </c>
      <c r="H231" s="396" t="str">
        <f t="shared" si="98"/>
        <v/>
      </c>
      <c r="I231" s="396" t="str">
        <f t="shared" si="98"/>
        <v/>
      </c>
      <c r="J231" s="396" t="str">
        <f t="shared" si="98"/>
        <v/>
      </c>
      <c r="K231" s="396" t="str">
        <f t="shared" si="98"/>
        <v/>
      </c>
      <c r="L231" s="396" t="str">
        <f t="shared" si="98"/>
        <v/>
      </c>
      <c r="M231" s="396" t="str">
        <f t="shared" si="98"/>
        <v/>
      </c>
      <c r="N231" s="396" t="str">
        <f t="shared" si="98"/>
        <v/>
      </c>
      <c r="O231" s="396" t="str">
        <f t="shared" si="98"/>
        <v/>
      </c>
      <c r="P231" s="396" t="str">
        <f t="shared" si="98"/>
        <v/>
      </c>
      <c r="Q231" s="396" t="str">
        <f t="shared" si="98"/>
        <v/>
      </c>
      <c r="R231" s="396" t="str">
        <f t="shared" si="98"/>
        <v/>
      </c>
      <c r="S231" s="396" t="str">
        <f t="shared" si="98"/>
        <v/>
      </c>
      <c r="T231" s="396" t="str">
        <f t="shared" si="98"/>
        <v/>
      </c>
      <c r="U231" s="396" t="str">
        <f t="shared" si="98"/>
        <v/>
      </c>
      <c r="V231" s="396" t="str">
        <f t="shared" si="98"/>
        <v/>
      </c>
      <c r="W231" s="396" t="str">
        <f t="shared" si="98"/>
        <v/>
      </c>
      <c r="X231" s="396" t="str">
        <f t="shared" si="98"/>
        <v/>
      </c>
      <c r="Y231" s="396" t="str">
        <f t="shared" si="98"/>
        <v/>
      </c>
      <c r="Z231" s="396" t="str">
        <f t="shared" si="98"/>
        <v/>
      </c>
      <c r="AA231" s="396" t="str">
        <f t="shared" si="98"/>
        <v/>
      </c>
      <c r="AB231" s="396" t="str">
        <f t="shared" si="98"/>
        <v/>
      </c>
      <c r="AC231" s="396" t="str">
        <f t="shared" si="98"/>
        <v/>
      </c>
      <c r="AD231" s="396" t="str">
        <f t="shared" si="98"/>
        <v/>
      </c>
      <c r="AE231" s="396" t="str">
        <f t="shared" si="98"/>
        <v/>
      </c>
      <c r="AF231" s="396" t="str">
        <f t="shared" si="98"/>
        <v/>
      </c>
      <c r="AG231" s="396" t="str">
        <f t="shared" si="98"/>
        <v/>
      </c>
      <c r="AH231" s="396" t="str">
        <f t="shared" si="98"/>
        <v/>
      </c>
      <c r="AI231" s="396" t="str">
        <f t="shared" si="98"/>
        <v/>
      </c>
      <c r="AJ231" s="396" t="str">
        <f t="shared" si="98"/>
        <v/>
      </c>
      <c r="AK231" s="396" t="str">
        <f t="shared" si="98"/>
        <v/>
      </c>
      <c r="AL231" s="396" t="str">
        <f t="shared" si="98"/>
        <v/>
      </c>
      <c r="AM231" s="396" t="str">
        <f t="shared" si="98"/>
        <v/>
      </c>
      <c r="AN231" s="396" t="str">
        <f t="shared" si="98"/>
        <v/>
      </c>
      <c r="AO231" s="396" t="str">
        <f t="shared" si="98"/>
        <v/>
      </c>
      <c r="AP231" s="396" t="str">
        <f t="shared" si="98"/>
        <v/>
      </c>
      <c r="AQ231" s="397" t="str">
        <f t="shared" si="98"/>
        <v/>
      </c>
      <c r="AR231" s="372"/>
    </row>
    <row r="232" spans="1:44" s="317" customFormat="1" ht="14.25">
      <c r="A232" s="1051" t="s">
        <v>305</v>
      </c>
      <c r="B232" s="1052"/>
      <c r="C232" s="1052"/>
      <c r="D232" s="399"/>
      <c r="E232" s="396" t="str">
        <f t="shared" ref="E232:AQ232" si="99">IFERROR(E255,"")</f>
        <v/>
      </c>
      <c r="F232" s="396" t="str">
        <f t="shared" si="99"/>
        <v/>
      </c>
      <c r="G232" s="396" t="str">
        <f t="shared" si="99"/>
        <v/>
      </c>
      <c r="H232" s="396" t="str">
        <f t="shared" si="99"/>
        <v/>
      </c>
      <c r="I232" s="396" t="str">
        <f t="shared" si="99"/>
        <v/>
      </c>
      <c r="J232" s="396" t="str">
        <f t="shared" si="99"/>
        <v/>
      </c>
      <c r="K232" s="396" t="str">
        <f t="shared" si="99"/>
        <v/>
      </c>
      <c r="L232" s="396" t="str">
        <f t="shared" si="99"/>
        <v/>
      </c>
      <c r="M232" s="396" t="str">
        <f t="shared" si="99"/>
        <v/>
      </c>
      <c r="N232" s="396" t="str">
        <f t="shared" si="99"/>
        <v/>
      </c>
      <c r="O232" s="396" t="str">
        <f t="shared" si="99"/>
        <v/>
      </c>
      <c r="P232" s="396" t="str">
        <f t="shared" si="99"/>
        <v/>
      </c>
      <c r="Q232" s="396" t="str">
        <f t="shared" si="99"/>
        <v/>
      </c>
      <c r="R232" s="396" t="str">
        <f t="shared" si="99"/>
        <v/>
      </c>
      <c r="S232" s="396" t="str">
        <f t="shared" si="99"/>
        <v/>
      </c>
      <c r="T232" s="396" t="str">
        <f t="shared" si="99"/>
        <v/>
      </c>
      <c r="U232" s="396" t="str">
        <f t="shared" si="99"/>
        <v/>
      </c>
      <c r="V232" s="396" t="str">
        <f t="shared" si="99"/>
        <v/>
      </c>
      <c r="W232" s="396" t="str">
        <f t="shared" si="99"/>
        <v/>
      </c>
      <c r="X232" s="396" t="str">
        <f t="shared" si="99"/>
        <v/>
      </c>
      <c r="Y232" s="396" t="str">
        <f t="shared" si="99"/>
        <v/>
      </c>
      <c r="Z232" s="396" t="str">
        <f t="shared" si="99"/>
        <v/>
      </c>
      <c r="AA232" s="396" t="str">
        <f t="shared" si="99"/>
        <v/>
      </c>
      <c r="AB232" s="396" t="str">
        <f t="shared" si="99"/>
        <v/>
      </c>
      <c r="AC232" s="396" t="str">
        <f t="shared" si="99"/>
        <v/>
      </c>
      <c r="AD232" s="396" t="str">
        <f t="shared" si="99"/>
        <v/>
      </c>
      <c r="AE232" s="396" t="str">
        <f t="shared" si="99"/>
        <v/>
      </c>
      <c r="AF232" s="396" t="str">
        <f t="shared" si="99"/>
        <v/>
      </c>
      <c r="AG232" s="396" t="str">
        <f t="shared" si="99"/>
        <v/>
      </c>
      <c r="AH232" s="396" t="str">
        <f t="shared" si="99"/>
        <v/>
      </c>
      <c r="AI232" s="396" t="str">
        <f t="shared" si="99"/>
        <v/>
      </c>
      <c r="AJ232" s="396" t="str">
        <f t="shared" si="99"/>
        <v/>
      </c>
      <c r="AK232" s="396" t="str">
        <f t="shared" si="99"/>
        <v/>
      </c>
      <c r="AL232" s="396" t="str">
        <f t="shared" si="99"/>
        <v/>
      </c>
      <c r="AM232" s="396" t="str">
        <f t="shared" si="99"/>
        <v/>
      </c>
      <c r="AN232" s="396" t="str">
        <f t="shared" si="99"/>
        <v/>
      </c>
      <c r="AO232" s="396" t="str">
        <f t="shared" si="99"/>
        <v/>
      </c>
      <c r="AP232" s="396" t="str">
        <f t="shared" si="99"/>
        <v/>
      </c>
      <c r="AQ232" s="397" t="str">
        <f t="shared" si="99"/>
        <v/>
      </c>
      <c r="AR232" s="372"/>
    </row>
    <row r="233" spans="1:44" s="317" customFormat="1" ht="14.25" hidden="1">
      <c r="A233" s="1009" t="s">
        <v>352</v>
      </c>
      <c r="B233" s="1010"/>
      <c r="C233" s="1010"/>
      <c r="D233" s="400"/>
      <c r="E233" s="401">
        <f t="shared" ref="E233:AQ233" si="100">IF(E225="",0,E225)</f>
        <v>0</v>
      </c>
      <c r="F233" s="401">
        <f t="shared" si="100"/>
        <v>0</v>
      </c>
      <c r="G233" s="401">
        <f t="shared" si="100"/>
        <v>0</v>
      </c>
      <c r="H233" s="401">
        <f t="shared" si="100"/>
        <v>0</v>
      </c>
      <c r="I233" s="401">
        <f t="shared" si="100"/>
        <v>0</v>
      </c>
      <c r="J233" s="401">
        <f t="shared" si="100"/>
        <v>0</v>
      </c>
      <c r="K233" s="401">
        <f t="shared" si="100"/>
        <v>0</v>
      </c>
      <c r="L233" s="401">
        <f t="shared" si="100"/>
        <v>0</v>
      </c>
      <c r="M233" s="401">
        <f t="shared" si="100"/>
        <v>0</v>
      </c>
      <c r="N233" s="401">
        <f t="shared" si="100"/>
        <v>0</v>
      </c>
      <c r="O233" s="401">
        <f t="shared" si="100"/>
        <v>0</v>
      </c>
      <c r="P233" s="401">
        <f t="shared" si="100"/>
        <v>0</v>
      </c>
      <c r="Q233" s="401">
        <f t="shared" si="100"/>
        <v>0</v>
      </c>
      <c r="R233" s="401">
        <f t="shared" si="100"/>
        <v>0</v>
      </c>
      <c r="S233" s="401">
        <f t="shared" si="100"/>
        <v>0</v>
      </c>
      <c r="T233" s="401">
        <f t="shared" si="100"/>
        <v>0</v>
      </c>
      <c r="U233" s="401">
        <f t="shared" si="100"/>
        <v>0</v>
      </c>
      <c r="V233" s="401">
        <f t="shared" si="100"/>
        <v>0</v>
      </c>
      <c r="W233" s="401">
        <f t="shared" si="100"/>
        <v>0</v>
      </c>
      <c r="X233" s="401">
        <f t="shared" si="100"/>
        <v>0</v>
      </c>
      <c r="Y233" s="401">
        <f t="shared" si="100"/>
        <v>0</v>
      </c>
      <c r="Z233" s="401">
        <f t="shared" si="100"/>
        <v>0</v>
      </c>
      <c r="AA233" s="401">
        <f t="shared" si="100"/>
        <v>0</v>
      </c>
      <c r="AB233" s="401">
        <f t="shared" si="100"/>
        <v>0</v>
      </c>
      <c r="AC233" s="401">
        <f t="shared" si="100"/>
        <v>0</v>
      </c>
      <c r="AD233" s="401">
        <f t="shared" si="100"/>
        <v>0</v>
      </c>
      <c r="AE233" s="401">
        <f t="shared" si="100"/>
        <v>0</v>
      </c>
      <c r="AF233" s="401">
        <f t="shared" si="100"/>
        <v>0</v>
      </c>
      <c r="AG233" s="401">
        <f t="shared" si="100"/>
        <v>0</v>
      </c>
      <c r="AH233" s="401">
        <f t="shared" si="100"/>
        <v>0</v>
      </c>
      <c r="AI233" s="401">
        <f t="shared" si="100"/>
        <v>0</v>
      </c>
      <c r="AJ233" s="401">
        <f t="shared" si="100"/>
        <v>0</v>
      </c>
      <c r="AK233" s="401">
        <f t="shared" si="100"/>
        <v>0</v>
      </c>
      <c r="AL233" s="401">
        <f t="shared" si="100"/>
        <v>0</v>
      </c>
      <c r="AM233" s="401">
        <f t="shared" si="100"/>
        <v>0</v>
      </c>
      <c r="AN233" s="401">
        <f t="shared" si="100"/>
        <v>0</v>
      </c>
      <c r="AO233" s="401">
        <f t="shared" si="100"/>
        <v>0</v>
      </c>
      <c r="AP233" s="401">
        <f t="shared" si="100"/>
        <v>0</v>
      </c>
      <c r="AQ233" s="402">
        <f t="shared" si="100"/>
        <v>0</v>
      </c>
      <c r="AR233" s="86"/>
    </row>
    <row r="234" spans="1:44" s="317" customFormat="1" ht="14.25" hidden="1">
      <c r="A234" s="1045" t="s">
        <v>343</v>
      </c>
      <c r="B234" s="728"/>
      <c r="C234" s="729"/>
      <c r="D234" s="403">
        <f>SUM(D222:G222)</f>
        <v>0</v>
      </c>
      <c r="E234" s="404">
        <f t="shared" ref="E234:AQ234" si="101">D234+D233</f>
        <v>0</v>
      </c>
      <c r="F234" s="404">
        <f t="shared" si="101"/>
        <v>0</v>
      </c>
      <c r="G234" s="404">
        <f t="shared" si="101"/>
        <v>0</v>
      </c>
      <c r="H234" s="404">
        <f t="shared" si="101"/>
        <v>0</v>
      </c>
      <c r="I234" s="404">
        <f t="shared" si="101"/>
        <v>0</v>
      </c>
      <c r="J234" s="404">
        <f t="shared" si="101"/>
        <v>0</v>
      </c>
      <c r="K234" s="404">
        <f t="shared" si="101"/>
        <v>0</v>
      </c>
      <c r="L234" s="404">
        <f t="shared" si="101"/>
        <v>0</v>
      </c>
      <c r="M234" s="404">
        <f t="shared" si="101"/>
        <v>0</v>
      </c>
      <c r="N234" s="404">
        <f t="shared" si="101"/>
        <v>0</v>
      </c>
      <c r="O234" s="404">
        <f t="shared" si="101"/>
        <v>0</v>
      </c>
      <c r="P234" s="404">
        <f t="shared" si="101"/>
        <v>0</v>
      </c>
      <c r="Q234" s="404">
        <f t="shared" si="101"/>
        <v>0</v>
      </c>
      <c r="R234" s="404">
        <f t="shared" si="101"/>
        <v>0</v>
      </c>
      <c r="S234" s="404">
        <f t="shared" si="101"/>
        <v>0</v>
      </c>
      <c r="T234" s="404">
        <f t="shared" si="101"/>
        <v>0</v>
      </c>
      <c r="U234" s="404">
        <f t="shared" si="101"/>
        <v>0</v>
      </c>
      <c r="V234" s="404">
        <f t="shared" si="101"/>
        <v>0</v>
      </c>
      <c r="W234" s="404">
        <f t="shared" si="101"/>
        <v>0</v>
      </c>
      <c r="X234" s="404">
        <f t="shared" si="101"/>
        <v>0</v>
      </c>
      <c r="Y234" s="404">
        <f t="shared" si="101"/>
        <v>0</v>
      </c>
      <c r="Z234" s="404">
        <f t="shared" si="101"/>
        <v>0</v>
      </c>
      <c r="AA234" s="404">
        <f t="shared" si="101"/>
        <v>0</v>
      </c>
      <c r="AB234" s="404">
        <f t="shared" si="101"/>
        <v>0</v>
      </c>
      <c r="AC234" s="404">
        <f t="shared" si="101"/>
        <v>0</v>
      </c>
      <c r="AD234" s="404">
        <f t="shared" si="101"/>
        <v>0</v>
      </c>
      <c r="AE234" s="404">
        <f t="shared" si="101"/>
        <v>0</v>
      </c>
      <c r="AF234" s="404">
        <f t="shared" si="101"/>
        <v>0</v>
      </c>
      <c r="AG234" s="404">
        <f t="shared" si="101"/>
        <v>0</v>
      </c>
      <c r="AH234" s="404">
        <f t="shared" si="101"/>
        <v>0</v>
      </c>
      <c r="AI234" s="404">
        <f t="shared" si="101"/>
        <v>0</v>
      </c>
      <c r="AJ234" s="404">
        <f t="shared" si="101"/>
        <v>0</v>
      </c>
      <c r="AK234" s="404">
        <f t="shared" si="101"/>
        <v>0</v>
      </c>
      <c r="AL234" s="404">
        <f t="shared" si="101"/>
        <v>0</v>
      </c>
      <c r="AM234" s="404">
        <f t="shared" si="101"/>
        <v>0</v>
      </c>
      <c r="AN234" s="404">
        <f t="shared" si="101"/>
        <v>0</v>
      </c>
      <c r="AO234" s="404">
        <f t="shared" si="101"/>
        <v>0</v>
      </c>
      <c r="AP234" s="404">
        <f t="shared" si="101"/>
        <v>0</v>
      </c>
      <c r="AQ234" s="405">
        <f t="shared" si="101"/>
        <v>0</v>
      </c>
      <c r="AR234"/>
    </row>
    <row r="235" spans="1:44" s="317" customFormat="1" ht="14.25" hidden="1">
      <c r="A235" s="1045" t="s">
        <v>344</v>
      </c>
      <c r="B235" s="728"/>
      <c r="C235" s="729"/>
      <c r="D235" s="406" t="e">
        <f t="shared" ref="D235:AQ235" si="102">(D234)/SUM($D219:$G219)*100</f>
        <v>#DIV/0!</v>
      </c>
      <c r="E235" s="406" t="e">
        <f t="shared" si="102"/>
        <v>#DIV/0!</v>
      </c>
      <c r="F235" s="406" t="e">
        <f t="shared" si="102"/>
        <v>#DIV/0!</v>
      </c>
      <c r="G235" s="406" t="e">
        <f t="shared" si="102"/>
        <v>#DIV/0!</v>
      </c>
      <c r="H235" s="406" t="e">
        <f t="shared" si="102"/>
        <v>#DIV/0!</v>
      </c>
      <c r="I235" s="406" t="e">
        <f t="shared" si="102"/>
        <v>#DIV/0!</v>
      </c>
      <c r="J235" s="406" t="e">
        <f t="shared" si="102"/>
        <v>#DIV/0!</v>
      </c>
      <c r="K235" s="406" t="e">
        <f t="shared" si="102"/>
        <v>#DIV/0!</v>
      </c>
      <c r="L235" s="406" t="e">
        <f t="shared" si="102"/>
        <v>#DIV/0!</v>
      </c>
      <c r="M235" s="406" t="e">
        <f t="shared" si="102"/>
        <v>#DIV/0!</v>
      </c>
      <c r="N235" s="406" t="e">
        <f t="shared" si="102"/>
        <v>#DIV/0!</v>
      </c>
      <c r="O235" s="406" t="e">
        <f t="shared" si="102"/>
        <v>#DIV/0!</v>
      </c>
      <c r="P235" s="406" t="e">
        <f t="shared" si="102"/>
        <v>#DIV/0!</v>
      </c>
      <c r="Q235" s="406" t="e">
        <f t="shared" si="102"/>
        <v>#DIV/0!</v>
      </c>
      <c r="R235" s="406" t="e">
        <f t="shared" si="102"/>
        <v>#DIV/0!</v>
      </c>
      <c r="S235" s="406" t="e">
        <f t="shared" si="102"/>
        <v>#DIV/0!</v>
      </c>
      <c r="T235" s="406" t="e">
        <f t="shared" si="102"/>
        <v>#DIV/0!</v>
      </c>
      <c r="U235" s="406" t="e">
        <f t="shared" si="102"/>
        <v>#DIV/0!</v>
      </c>
      <c r="V235" s="406" t="e">
        <f t="shared" si="102"/>
        <v>#DIV/0!</v>
      </c>
      <c r="W235" s="406" t="e">
        <f t="shared" si="102"/>
        <v>#DIV/0!</v>
      </c>
      <c r="X235" s="406" t="e">
        <f t="shared" si="102"/>
        <v>#DIV/0!</v>
      </c>
      <c r="Y235" s="406" t="e">
        <f t="shared" si="102"/>
        <v>#DIV/0!</v>
      </c>
      <c r="Z235" s="406" t="e">
        <f t="shared" si="102"/>
        <v>#DIV/0!</v>
      </c>
      <c r="AA235" s="406" t="e">
        <f t="shared" si="102"/>
        <v>#DIV/0!</v>
      </c>
      <c r="AB235" s="406" t="e">
        <f t="shared" si="102"/>
        <v>#DIV/0!</v>
      </c>
      <c r="AC235" s="406" t="e">
        <f t="shared" si="102"/>
        <v>#DIV/0!</v>
      </c>
      <c r="AD235" s="406" t="e">
        <f t="shared" si="102"/>
        <v>#DIV/0!</v>
      </c>
      <c r="AE235" s="406" t="e">
        <f t="shared" si="102"/>
        <v>#DIV/0!</v>
      </c>
      <c r="AF235" s="406" t="e">
        <f t="shared" si="102"/>
        <v>#DIV/0!</v>
      </c>
      <c r="AG235" s="406" t="e">
        <f t="shared" si="102"/>
        <v>#DIV/0!</v>
      </c>
      <c r="AH235" s="406" t="e">
        <f t="shared" si="102"/>
        <v>#DIV/0!</v>
      </c>
      <c r="AI235" s="406" t="e">
        <f t="shared" si="102"/>
        <v>#DIV/0!</v>
      </c>
      <c r="AJ235" s="406" t="e">
        <f t="shared" si="102"/>
        <v>#DIV/0!</v>
      </c>
      <c r="AK235" s="406" t="e">
        <f t="shared" si="102"/>
        <v>#DIV/0!</v>
      </c>
      <c r="AL235" s="406" t="e">
        <f t="shared" si="102"/>
        <v>#DIV/0!</v>
      </c>
      <c r="AM235" s="406" t="e">
        <f t="shared" si="102"/>
        <v>#DIV/0!</v>
      </c>
      <c r="AN235" s="406" t="e">
        <f t="shared" si="102"/>
        <v>#DIV/0!</v>
      </c>
      <c r="AO235" s="406" t="e">
        <f t="shared" si="102"/>
        <v>#DIV/0!</v>
      </c>
      <c r="AP235" s="406" t="e">
        <f t="shared" si="102"/>
        <v>#DIV/0!</v>
      </c>
      <c r="AQ235" s="407" t="e">
        <f t="shared" si="102"/>
        <v>#DIV/0!</v>
      </c>
      <c r="AR235"/>
    </row>
    <row r="236" spans="1:44" s="317" customFormat="1" ht="15" thickBot="1">
      <c r="A236" s="1055" t="s">
        <v>344</v>
      </c>
      <c r="B236" s="771"/>
      <c r="C236" s="772"/>
      <c r="D236" s="408" t="str">
        <f t="shared" ref="D236:AQ236" si="103">IFERROR(D235,"")</f>
        <v/>
      </c>
      <c r="E236" s="409" t="str">
        <f t="shared" si="103"/>
        <v/>
      </c>
      <c r="F236" s="409" t="str">
        <f t="shared" si="103"/>
        <v/>
      </c>
      <c r="G236" s="409" t="str">
        <f t="shared" si="103"/>
        <v/>
      </c>
      <c r="H236" s="409" t="str">
        <f t="shared" si="103"/>
        <v/>
      </c>
      <c r="I236" s="409" t="str">
        <f t="shared" si="103"/>
        <v/>
      </c>
      <c r="J236" s="409" t="str">
        <f t="shared" si="103"/>
        <v/>
      </c>
      <c r="K236" s="409" t="str">
        <f t="shared" si="103"/>
        <v/>
      </c>
      <c r="L236" s="409" t="str">
        <f t="shared" si="103"/>
        <v/>
      </c>
      <c r="M236" s="409" t="str">
        <f t="shared" si="103"/>
        <v/>
      </c>
      <c r="N236" s="409" t="str">
        <f t="shared" si="103"/>
        <v/>
      </c>
      <c r="O236" s="409" t="str">
        <f t="shared" si="103"/>
        <v/>
      </c>
      <c r="P236" s="409" t="str">
        <f t="shared" si="103"/>
        <v/>
      </c>
      <c r="Q236" s="409" t="str">
        <f t="shared" si="103"/>
        <v/>
      </c>
      <c r="R236" s="409" t="str">
        <f t="shared" si="103"/>
        <v/>
      </c>
      <c r="S236" s="409" t="str">
        <f t="shared" si="103"/>
        <v/>
      </c>
      <c r="T236" s="409" t="str">
        <f t="shared" si="103"/>
        <v/>
      </c>
      <c r="U236" s="409" t="str">
        <f t="shared" si="103"/>
        <v/>
      </c>
      <c r="V236" s="409" t="str">
        <f t="shared" si="103"/>
        <v/>
      </c>
      <c r="W236" s="409" t="str">
        <f t="shared" si="103"/>
        <v/>
      </c>
      <c r="X236" s="409" t="str">
        <f t="shared" si="103"/>
        <v/>
      </c>
      <c r="Y236" s="409" t="str">
        <f t="shared" si="103"/>
        <v/>
      </c>
      <c r="Z236" s="409" t="str">
        <f t="shared" si="103"/>
        <v/>
      </c>
      <c r="AA236" s="409" t="str">
        <f t="shared" si="103"/>
        <v/>
      </c>
      <c r="AB236" s="409" t="str">
        <f t="shared" si="103"/>
        <v/>
      </c>
      <c r="AC236" s="409" t="str">
        <f t="shared" si="103"/>
        <v/>
      </c>
      <c r="AD236" s="409" t="str">
        <f t="shared" si="103"/>
        <v/>
      </c>
      <c r="AE236" s="409" t="str">
        <f t="shared" si="103"/>
        <v/>
      </c>
      <c r="AF236" s="409" t="str">
        <f t="shared" si="103"/>
        <v/>
      </c>
      <c r="AG236" s="409" t="str">
        <f t="shared" si="103"/>
        <v/>
      </c>
      <c r="AH236" s="409" t="str">
        <f t="shared" si="103"/>
        <v/>
      </c>
      <c r="AI236" s="409" t="str">
        <f t="shared" si="103"/>
        <v/>
      </c>
      <c r="AJ236" s="409" t="str">
        <f t="shared" si="103"/>
        <v/>
      </c>
      <c r="AK236" s="409" t="str">
        <f t="shared" si="103"/>
        <v/>
      </c>
      <c r="AL236" s="409" t="str">
        <f t="shared" si="103"/>
        <v/>
      </c>
      <c r="AM236" s="409" t="str">
        <f t="shared" si="103"/>
        <v/>
      </c>
      <c r="AN236" s="409" t="str">
        <f t="shared" si="103"/>
        <v/>
      </c>
      <c r="AO236" s="409" t="str">
        <f t="shared" si="103"/>
        <v/>
      </c>
      <c r="AP236" s="409" t="str">
        <f t="shared" si="103"/>
        <v/>
      </c>
      <c r="AQ236" s="410" t="str">
        <f t="shared" si="103"/>
        <v/>
      </c>
      <c r="AR236" s="86"/>
    </row>
    <row r="238" spans="1:44" s="317" customFormat="1" ht="14.25" hidden="1">
      <c r="A238" s="346"/>
      <c r="B238" s="346" t="s">
        <v>175</v>
      </c>
      <c r="C238" s="346" t="s">
        <v>176</v>
      </c>
      <c r="D238" s="347" t="s">
        <v>177</v>
      </c>
      <c r="E238" s="346" t="s">
        <v>178</v>
      </c>
      <c r="F238" s="346" t="s">
        <v>179</v>
      </c>
      <c r="G238" s="346" t="s">
        <v>180</v>
      </c>
      <c r="H238" s="346" t="s">
        <v>181</v>
      </c>
      <c r="I238" s="346" t="s">
        <v>182</v>
      </c>
      <c r="J238" s="346" t="s">
        <v>183</v>
      </c>
      <c r="K238" s="346" t="s">
        <v>184</v>
      </c>
      <c r="L238" s="346" t="s">
        <v>306</v>
      </c>
      <c r="M238" s="346" t="s">
        <v>307</v>
      </c>
      <c r="N238" s="346" t="s">
        <v>308</v>
      </c>
      <c r="O238" s="346" t="s">
        <v>309</v>
      </c>
      <c r="P238" s="346" t="s">
        <v>310</v>
      </c>
      <c r="Q238" s="346" t="s">
        <v>311</v>
      </c>
      <c r="R238" s="346" t="s">
        <v>312</v>
      </c>
      <c r="S238" s="346" t="s">
        <v>313</v>
      </c>
      <c r="T238" s="346" t="s">
        <v>314</v>
      </c>
      <c r="U238" s="346" t="s">
        <v>315</v>
      </c>
    </row>
    <row r="239" spans="1:44" s="317" customFormat="1" ht="14.25" hidden="1">
      <c r="A239" s="348" t="s">
        <v>185</v>
      </c>
      <c r="B239" s="348" t="str">
        <f t="array" aca="1" ref="B239" ca="1">IFERROR(OFFSET(INDEX(225:225,SMALL(IF(225:225&lt;&gt;"",COLUMN(225:225)),COLUMN())),-1,0),"")</f>
        <v/>
      </c>
      <c r="C239" s="348" t="str">
        <f t="array" aca="1" ref="C239" ca="1">IFERROR(OFFSET(INDEX(225:225,SMALL(IF(225:225&lt;&gt;"",COLUMN(225:225)),COLUMN())),-1,0),"")</f>
        <v/>
      </c>
      <c r="D239" s="348" t="str">
        <f t="array" aca="1" ref="D239" ca="1">IFERROR(OFFSET(INDEX(225:225,SMALL(IF(225:225&lt;&gt;"",COLUMN(225:225)),COLUMN())),-1,0),"")</f>
        <v/>
      </c>
      <c r="E239" s="348" t="str">
        <f t="array" aca="1" ref="E239" ca="1">IFERROR(OFFSET(INDEX(225:225,SMALL(IF(225:225&lt;&gt;"",COLUMN(225:225)),COLUMN())),-1,0),"")</f>
        <v/>
      </c>
      <c r="F239" s="348" t="str">
        <f t="array" aca="1" ref="F239" ca="1">IFERROR(OFFSET(INDEX(225:225,SMALL(IF(225:225&lt;&gt;"",COLUMN(225:225)),COLUMN())),-1,0),"")</f>
        <v/>
      </c>
      <c r="G239" s="348" t="str">
        <f t="array" aca="1" ref="G239" ca="1">IFERROR(OFFSET(INDEX(225:225,SMALL(IF(225:225&lt;&gt;"",COLUMN(225:225)),COLUMN())),-1,0),"")</f>
        <v/>
      </c>
      <c r="H239" s="348" t="str">
        <f t="array" aca="1" ref="H239" ca="1">IFERROR(OFFSET(INDEX(225:225,SMALL(IF(225:225&lt;&gt;"",COLUMN(225:225)),COLUMN())),-1,0),"")</f>
        <v/>
      </c>
      <c r="I239" s="348" t="str">
        <f t="array" aca="1" ref="I239" ca="1">IFERROR(OFFSET(INDEX(225:225,SMALL(IF(225:225&lt;&gt;"",COLUMN(225:225)),COLUMN())),-1,0),"")</f>
        <v/>
      </c>
      <c r="J239" s="348" t="str">
        <f t="array" aca="1" ref="J239" ca="1">IFERROR(OFFSET(INDEX(225:225,SMALL(IF(225:225&lt;&gt;"",COLUMN(225:225)),COLUMN())),-1,0),"")</f>
        <v/>
      </c>
      <c r="K239" s="348" t="str">
        <f t="array" aca="1" ref="K239" ca="1">IFERROR(OFFSET(INDEX(225:225,SMALL(IF(225:225&lt;&gt;"",COLUMN(225:225)),COLUMN())),-1,0),"")</f>
        <v/>
      </c>
      <c r="L239" s="348" t="str">
        <f t="array" aca="1" ref="L239" ca="1">IFERROR(OFFSET(INDEX(225:225,SMALL(IF(225:225&lt;&gt;"",COLUMN(225:225)),COLUMN())),-1,0),"")</f>
        <v/>
      </c>
      <c r="M239" s="348" t="str">
        <f t="array" aca="1" ref="M239" ca="1">IFERROR(OFFSET(INDEX(225:225,SMALL(IF(225:225&lt;&gt;"",COLUMN(225:225)),COLUMN())),-1,0),"")</f>
        <v/>
      </c>
      <c r="N239" s="348" t="str">
        <f t="array" aca="1" ref="N239" ca="1">IFERROR(OFFSET(INDEX(225:225,SMALL(IF(225:225&lt;&gt;"",COLUMN(225:225)),COLUMN())),-1,0),"")</f>
        <v/>
      </c>
      <c r="O239" s="348" t="str">
        <f t="array" aca="1" ref="O239" ca="1">IFERROR(OFFSET(INDEX(225:225,SMALL(IF(225:225&lt;&gt;"",COLUMN(225:225)),COLUMN())),-1,0),"")</f>
        <v/>
      </c>
      <c r="P239" s="348" t="str">
        <f t="array" aca="1" ref="P239" ca="1">IFERROR(OFFSET(INDEX(225:225,SMALL(IF(225:225&lt;&gt;"",COLUMN(225:225)),COLUMN())),-1,0),"")</f>
        <v/>
      </c>
      <c r="Q239" s="348" t="str">
        <f t="array" aca="1" ref="Q239" ca="1">IFERROR(OFFSET(INDEX(225:225,SMALL(IF(225:225&lt;&gt;"",COLUMN(225:225)),COLUMN())),-1,0),"")</f>
        <v/>
      </c>
      <c r="R239" s="348" t="str">
        <f t="array" aca="1" ref="R239" ca="1">IFERROR(OFFSET(INDEX(225:225,SMALL(IF(225:225&lt;&gt;"",COLUMN(225:225)),COLUMN())),-1,0),"")</f>
        <v/>
      </c>
      <c r="S239" s="348" t="str">
        <f t="array" aca="1" ref="S239" ca="1">IFERROR(OFFSET(INDEX(225:225,SMALL(IF(225:225&lt;&gt;"",COLUMN(225:225)),COLUMN())),-1,0),"")</f>
        <v/>
      </c>
      <c r="T239" s="348" t="str">
        <f t="array" aca="1" ref="T239" ca="1">IFERROR(OFFSET(INDEX(225:225,SMALL(IF(225:225&lt;&gt;"",COLUMN(225:225)),COLUMN())),-1,0),"")</f>
        <v/>
      </c>
      <c r="U239" s="348" t="str">
        <f t="array" aca="1" ref="U239" ca="1">IFERROR(OFFSET(INDEX(225:225,SMALL(IF(225:225&lt;&gt;"",COLUMN(225:225)),COLUMN())),-1,0),"")</f>
        <v/>
      </c>
    </row>
    <row r="240" spans="1:44" s="317" customFormat="1" ht="14.25" hidden="1">
      <c r="A240" s="348" t="str">
        <f t="array" ref="A240">IFERROR(INDEX(225:225,SMALL(IF(225:225&lt;&gt;"",COLUMN(225:225)),COLUMN())),"")</f>
        <v>追水量（L)</v>
      </c>
      <c r="B240" s="348" t="str">
        <f t="array" ref="B240">IFERROR(INDEX(225:225,SMALL(IF(225:225&lt;&gt;"",COLUMN(225:225)),COLUMN())),"")</f>
        <v/>
      </c>
      <c r="C240" s="348" t="str">
        <f t="array" ref="C240">IFERROR(INDEX(225:225,SMALL(IF(225:225&lt;&gt;"",COLUMN(225:225)),COLUMN())),"")</f>
        <v/>
      </c>
      <c r="D240" s="348" t="str">
        <f t="array" ref="D240">IFERROR(INDEX(225:225,SMALL(IF(225:225&lt;&gt;"",COLUMN(225:225)),COLUMN())),"")</f>
        <v/>
      </c>
      <c r="E240" s="348" t="str">
        <f t="array" ref="E240">IFERROR(INDEX(225:225,SMALL(IF(225:225&lt;&gt;"",COLUMN(225:225)),COLUMN())),"")</f>
        <v/>
      </c>
      <c r="F240" s="348" t="str">
        <f t="array" ref="F240">IFERROR(INDEX(225:225,SMALL(IF(225:225&lt;&gt;"",COLUMN(225:225)),COLUMN())),"")</f>
        <v/>
      </c>
      <c r="G240" s="348" t="str">
        <f t="array" ref="G240">IFERROR(INDEX(225:225,SMALL(IF(225:225&lt;&gt;"",COLUMN(225:225)),COLUMN())),"")</f>
        <v/>
      </c>
      <c r="H240" s="348" t="str">
        <f t="array" ref="H240">IFERROR(INDEX(225:225,SMALL(IF(225:225&lt;&gt;"",COLUMN(225:225)),COLUMN())),"")</f>
        <v/>
      </c>
      <c r="I240" s="348" t="str">
        <f t="array" ref="I240">IFERROR(INDEX(225:225,SMALL(IF(225:225&lt;&gt;"",COLUMN(225:225)),COLUMN())),"")</f>
        <v/>
      </c>
      <c r="J240" s="348" t="str">
        <f t="array" ref="J240">IFERROR(INDEX(225:225,SMALL(IF(225:225&lt;&gt;"",COLUMN(225:225)),COLUMN())),"")</f>
        <v/>
      </c>
      <c r="K240" s="348" t="str">
        <f t="array" ref="K240">IFERROR(INDEX(225:225,SMALL(IF(225:225&lt;&gt;"",COLUMN(225:225)),COLUMN())),"")</f>
        <v/>
      </c>
      <c r="L240" s="348" t="str">
        <f t="array" ref="L240">IFERROR(INDEX(225:225,SMALL(IF(225:225&lt;&gt;"",COLUMN(225:225)),COLUMN())),"")</f>
        <v/>
      </c>
      <c r="M240" s="348" t="str">
        <f t="array" ref="M240">IFERROR(INDEX(225:225,SMALL(IF(225:225&lt;&gt;"",COLUMN(225:225)),COLUMN())),"")</f>
        <v/>
      </c>
      <c r="N240" s="348" t="str">
        <f t="array" ref="N240">IFERROR(INDEX(225:225,SMALL(IF(225:225&lt;&gt;"",COLUMN(225:225)),COLUMN())),"")</f>
        <v/>
      </c>
      <c r="O240" s="348" t="str">
        <f t="array" ref="O240">IFERROR(INDEX(225:225,SMALL(IF(225:225&lt;&gt;"",COLUMN(225:225)),COLUMN())),"")</f>
        <v/>
      </c>
      <c r="P240" s="348" t="str">
        <f t="array" ref="P240">IFERROR(INDEX(225:225,SMALL(IF(225:225&lt;&gt;"",COLUMN(225:225)),COLUMN())),"")</f>
        <v/>
      </c>
      <c r="Q240" s="348" t="str">
        <f t="array" ref="Q240">IFERROR(INDEX(225:225,SMALL(IF(225:225&lt;&gt;"",COLUMN(225:225)),COLUMN())),"")</f>
        <v/>
      </c>
      <c r="R240" s="348" t="str">
        <f t="array" ref="R240">IFERROR(INDEX(225:225,SMALL(IF(225:225&lt;&gt;"",COLUMN(225:225)),COLUMN())),"")</f>
        <v/>
      </c>
      <c r="S240" s="348" t="str">
        <f t="array" ref="S240">IFERROR(INDEX(225:225,SMALL(IF(225:225&lt;&gt;"",COLUMN(225:225)),COLUMN())),"")</f>
        <v/>
      </c>
      <c r="T240" s="348" t="str">
        <f t="array" ref="T240">IFERROR(INDEX(225:225,SMALL(IF(225:225&lt;&gt;"",COLUMN(225:225)),COLUMN())),"")</f>
        <v/>
      </c>
      <c r="U240" s="348" t="str">
        <f t="array" ref="U240">IFERROR(INDEX(225:225,SMALL(IF(225:225&lt;&gt;"",COLUMN(225:225)),COLUMN())),"")</f>
        <v/>
      </c>
    </row>
    <row r="241" spans="1:44" s="317" customFormat="1" ht="14.25" hidden="1">
      <c r="A241" s="1053" t="s">
        <v>186</v>
      </c>
      <c r="B241" s="1053"/>
      <c r="C241" s="1053"/>
      <c r="D241" s="349" t="s">
        <v>187</v>
      </c>
      <c r="E241" s="349" t="s">
        <v>188</v>
      </c>
      <c r="F241" s="349" t="s">
        <v>189</v>
      </c>
      <c r="G241" s="349" t="s">
        <v>190</v>
      </c>
      <c r="H241" s="349" t="s">
        <v>191</v>
      </c>
      <c r="I241" s="349" t="s">
        <v>192</v>
      </c>
      <c r="J241" s="349" t="s">
        <v>193</v>
      </c>
      <c r="K241" s="349" t="s">
        <v>194</v>
      </c>
      <c r="L241" s="347" t="s">
        <v>195</v>
      </c>
      <c r="M241" s="347" t="s">
        <v>196</v>
      </c>
      <c r="N241" s="347" t="s">
        <v>197</v>
      </c>
      <c r="O241" s="347" t="s">
        <v>316</v>
      </c>
      <c r="P241" s="347" t="s">
        <v>317</v>
      </c>
      <c r="Q241" s="347" t="s">
        <v>318</v>
      </c>
      <c r="R241" s="347" t="s">
        <v>319</v>
      </c>
      <c r="S241" s="347" t="s">
        <v>320</v>
      </c>
      <c r="T241" s="347" t="s">
        <v>321</v>
      </c>
      <c r="U241" s="347" t="s">
        <v>322</v>
      </c>
      <c r="V241" s="347" t="s">
        <v>323</v>
      </c>
      <c r="W241" s="347" t="s">
        <v>324</v>
      </c>
      <c r="X241" s="347" t="s">
        <v>325</v>
      </c>
    </row>
    <row r="242" spans="1:44" s="317" customFormat="1" ht="14.25" hidden="1">
      <c r="A242" s="1054"/>
      <c r="B242" s="1054"/>
      <c r="C242" s="1054"/>
      <c r="D242" s="350" t="e">
        <f>SUM(D222:G222)/SUM(D219:G219)*100</f>
        <v>#DIV/0!</v>
      </c>
      <c r="E242" s="350" t="e">
        <f>(SUM(D222:G222)+SUM(B240:B240))/SUM(D219:G219)*100</f>
        <v>#DIV/0!</v>
      </c>
      <c r="F242" s="350" t="e">
        <f>(SUM(D222:G222)+SUM(B240:C240))/SUM(D219:G219)*100</f>
        <v>#DIV/0!</v>
      </c>
      <c r="G242" s="350" t="e">
        <f>(SUM(D222:G222)+SUM(B240:D240))/SUM(D219:G219)*100</f>
        <v>#DIV/0!</v>
      </c>
      <c r="H242" s="350" t="e">
        <f>(SUM(D222:G222)+SUM(B240:E240))/SUM(D219:G219)*100</f>
        <v>#DIV/0!</v>
      </c>
      <c r="I242" s="351" t="e">
        <f>(SUM(D222:G222)+SUM(B240:F240))/SUM(D219:G219)*100</f>
        <v>#DIV/0!</v>
      </c>
      <c r="J242" s="350" t="e">
        <f>(SUM(D222:G222)+SUM(B240:G240))/SUM(D219:G219)*100</f>
        <v>#DIV/0!</v>
      </c>
      <c r="K242" s="350" t="e">
        <f>(SUM(D222:G222)+SUM(B240:H240))/SUM(D219:G219)*100</f>
        <v>#DIV/0!</v>
      </c>
      <c r="L242" s="350" t="e">
        <f>(SUM(D222:G222)+SUM(B240:I240))/SUM(D219:G219)*100</f>
        <v>#DIV/0!</v>
      </c>
      <c r="M242" s="350" t="e">
        <f>(SUM(D222:G222)+SUM(B240:J240))/SUM(D219:G219)*100</f>
        <v>#DIV/0!</v>
      </c>
      <c r="N242" s="350" t="e">
        <f>(SUM(D222:G222)+SUM(B240:K240))/SUM(D219:G219)*100</f>
        <v>#DIV/0!</v>
      </c>
      <c r="O242" s="352" t="e">
        <f>(SUM(D222:G222)+SUM(B240:L240))/SUM(D219:G219)*100</f>
        <v>#DIV/0!</v>
      </c>
      <c r="P242" s="353" t="e">
        <f>(SUM(D222:G222)+SUM(B240:M240))/SUM(D219:G219)*100</f>
        <v>#DIV/0!</v>
      </c>
      <c r="Q242" s="353" t="e">
        <f>(SUM(D222:G222)+SUM(B240:N240))/SUM(D219:G219)*100</f>
        <v>#DIV/0!</v>
      </c>
      <c r="R242" s="353" t="e">
        <f>(SUM(D222:G222)+SUM(B240:O240))/SUM(D219:G219)*100</f>
        <v>#DIV/0!</v>
      </c>
      <c r="S242" s="353" t="e">
        <f>(SUM(D222:G222)+SUM(B240:P240))/SUM(D219:G219)*100</f>
        <v>#DIV/0!</v>
      </c>
      <c r="T242" s="353" t="e">
        <f>(SUM(D222:G222)+SUM(B240:Q240))/SUM(D219:G219)*100</f>
        <v>#DIV/0!</v>
      </c>
      <c r="U242" s="353" t="e">
        <f>(SUM(D222:G222)+SUM(B240:R240))/SUM(D219:G219)*100</f>
        <v>#DIV/0!</v>
      </c>
      <c r="V242" s="353" t="e">
        <f>(SUM(D222:G222)+SUM(B240:S240))/SUM(D219:G219)*100</f>
        <v>#DIV/0!</v>
      </c>
      <c r="W242" s="353" t="e">
        <f>(SUM(D222:G222)+SUM(B240:T240))/SUM(D219:G219)*100</f>
        <v>#DIV/0!</v>
      </c>
      <c r="X242" s="353" t="e">
        <f>(SUM(D222:G222)+SUM(B240:U240))/SUM(D219:G219)*100</f>
        <v>#DIV/0!</v>
      </c>
    </row>
    <row r="243" spans="1:44" s="317" customFormat="1" ht="14.25" hidden="1"/>
    <row r="244" spans="1:44" s="317" customFormat="1" ht="14.25" hidden="1">
      <c r="A244" s="1046" t="s">
        <v>129</v>
      </c>
      <c r="B244" s="1047"/>
      <c r="C244" s="1047"/>
      <c r="E244" s="354" t="e">
        <f t="shared" ref="E244:AQ244" si="104">IF(E226="",IF(E227="",NA(),E227/-10),E226)</f>
        <v>#N/A</v>
      </c>
      <c r="F244" s="354" t="e">
        <f t="shared" si="104"/>
        <v>#N/A</v>
      </c>
      <c r="G244" s="354" t="e">
        <f t="shared" si="104"/>
        <v>#N/A</v>
      </c>
      <c r="H244" s="354" t="e">
        <f t="shared" si="104"/>
        <v>#N/A</v>
      </c>
      <c r="I244" s="354" t="e">
        <f t="shared" si="104"/>
        <v>#N/A</v>
      </c>
      <c r="J244" s="354" t="e">
        <f t="shared" si="104"/>
        <v>#N/A</v>
      </c>
      <c r="K244" s="354" t="e">
        <f t="shared" si="104"/>
        <v>#N/A</v>
      </c>
      <c r="L244" s="354" t="e">
        <f t="shared" si="104"/>
        <v>#N/A</v>
      </c>
      <c r="M244" s="354" t="e">
        <f t="shared" si="104"/>
        <v>#N/A</v>
      </c>
      <c r="N244" s="354" t="e">
        <f t="shared" si="104"/>
        <v>#N/A</v>
      </c>
      <c r="O244" s="354" t="e">
        <f t="shared" si="104"/>
        <v>#N/A</v>
      </c>
      <c r="P244" s="354" t="e">
        <f t="shared" si="104"/>
        <v>#N/A</v>
      </c>
      <c r="Q244" s="354" t="e">
        <f t="shared" si="104"/>
        <v>#N/A</v>
      </c>
      <c r="R244" s="354" t="e">
        <f t="shared" si="104"/>
        <v>#N/A</v>
      </c>
      <c r="S244" s="354" t="e">
        <f t="shared" si="104"/>
        <v>#N/A</v>
      </c>
      <c r="T244" s="354" t="e">
        <f t="shared" si="104"/>
        <v>#N/A</v>
      </c>
      <c r="U244" s="354" t="e">
        <f t="shared" si="104"/>
        <v>#N/A</v>
      </c>
      <c r="V244" s="354" t="e">
        <f t="shared" si="104"/>
        <v>#N/A</v>
      </c>
      <c r="W244" s="354" t="e">
        <f t="shared" si="104"/>
        <v>#N/A</v>
      </c>
      <c r="X244" s="354" t="e">
        <f t="shared" si="104"/>
        <v>#N/A</v>
      </c>
      <c r="Y244" s="354" t="e">
        <f t="shared" si="104"/>
        <v>#N/A</v>
      </c>
      <c r="Z244" s="354" t="e">
        <f t="shared" si="104"/>
        <v>#N/A</v>
      </c>
      <c r="AA244" s="354" t="e">
        <f t="shared" si="104"/>
        <v>#N/A</v>
      </c>
      <c r="AB244" s="354" t="e">
        <f t="shared" si="104"/>
        <v>#N/A</v>
      </c>
      <c r="AC244" s="354" t="e">
        <f t="shared" si="104"/>
        <v>#N/A</v>
      </c>
      <c r="AD244" s="354" t="e">
        <f t="shared" si="104"/>
        <v>#N/A</v>
      </c>
      <c r="AE244" s="354" t="e">
        <f t="shared" si="104"/>
        <v>#N/A</v>
      </c>
      <c r="AF244" s="354" t="e">
        <f t="shared" si="104"/>
        <v>#N/A</v>
      </c>
      <c r="AG244" s="354" t="e">
        <f t="shared" si="104"/>
        <v>#N/A</v>
      </c>
      <c r="AH244" s="354" t="e">
        <f t="shared" si="104"/>
        <v>#N/A</v>
      </c>
      <c r="AI244" s="354" t="e">
        <f t="shared" si="104"/>
        <v>#N/A</v>
      </c>
      <c r="AJ244" s="354" t="e">
        <f t="shared" si="104"/>
        <v>#N/A</v>
      </c>
      <c r="AK244" s="354" t="e">
        <f t="shared" si="104"/>
        <v>#N/A</v>
      </c>
      <c r="AL244" s="354" t="e">
        <f t="shared" si="104"/>
        <v>#N/A</v>
      </c>
      <c r="AM244" s="354" t="e">
        <f t="shared" si="104"/>
        <v>#N/A</v>
      </c>
      <c r="AN244" s="354" t="e">
        <f t="shared" si="104"/>
        <v>#N/A</v>
      </c>
      <c r="AO244" s="354" t="e">
        <f t="shared" si="104"/>
        <v>#N/A</v>
      </c>
      <c r="AP244" s="354" t="e">
        <f t="shared" si="104"/>
        <v>#N/A</v>
      </c>
      <c r="AQ244" s="354" t="e">
        <f t="shared" si="104"/>
        <v>#N/A</v>
      </c>
    </row>
    <row r="245" spans="1:44" s="317" customFormat="1" ht="14.25" hidden="1">
      <c r="A245" s="1048" t="s">
        <v>44</v>
      </c>
      <c r="B245" s="1048"/>
      <c r="C245" s="1049"/>
      <c r="E245" s="355" t="e">
        <f>IF(E244="",NA(),E244*(-10))</f>
        <v>#N/A</v>
      </c>
      <c r="F245" s="355" t="e">
        <f t="shared" ref="F245:AQ245" si="105">IF(F244="",NA(),F244*(-10))</f>
        <v>#N/A</v>
      </c>
      <c r="G245" s="355" t="e">
        <f t="shared" si="105"/>
        <v>#N/A</v>
      </c>
      <c r="H245" s="355" t="e">
        <f t="shared" si="105"/>
        <v>#N/A</v>
      </c>
      <c r="I245" s="355" t="e">
        <f t="shared" si="105"/>
        <v>#N/A</v>
      </c>
      <c r="J245" s="355" t="e">
        <f t="shared" si="105"/>
        <v>#N/A</v>
      </c>
      <c r="K245" s="355" t="e">
        <f t="shared" si="105"/>
        <v>#N/A</v>
      </c>
      <c r="L245" s="355" t="e">
        <f t="shared" si="105"/>
        <v>#N/A</v>
      </c>
      <c r="M245" s="355" t="e">
        <f t="shared" si="105"/>
        <v>#N/A</v>
      </c>
      <c r="N245" s="355" t="e">
        <f t="shared" si="105"/>
        <v>#N/A</v>
      </c>
      <c r="O245" s="355" t="e">
        <f t="shared" si="105"/>
        <v>#N/A</v>
      </c>
      <c r="P245" s="355" t="e">
        <f t="shared" si="105"/>
        <v>#N/A</v>
      </c>
      <c r="Q245" s="355" t="e">
        <f t="shared" si="105"/>
        <v>#N/A</v>
      </c>
      <c r="R245" s="355" t="e">
        <f t="shared" si="105"/>
        <v>#N/A</v>
      </c>
      <c r="S245" s="355" t="e">
        <f t="shared" si="105"/>
        <v>#N/A</v>
      </c>
      <c r="T245" s="355" t="e">
        <f t="shared" si="105"/>
        <v>#N/A</v>
      </c>
      <c r="U245" s="355" t="e">
        <f t="shared" si="105"/>
        <v>#N/A</v>
      </c>
      <c r="V245" s="355" t="e">
        <f t="shared" si="105"/>
        <v>#N/A</v>
      </c>
      <c r="W245" s="355" t="e">
        <f t="shared" si="105"/>
        <v>#N/A</v>
      </c>
      <c r="X245" s="355" t="e">
        <f t="shared" si="105"/>
        <v>#N/A</v>
      </c>
      <c r="Y245" s="355" t="e">
        <f t="shared" si="105"/>
        <v>#N/A</v>
      </c>
      <c r="Z245" s="355" t="e">
        <f t="shared" si="105"/>
        <v>#N/A</v>
      </c>
      <c r="AA245" s="355" t="e">
        <f t="shared" si="105"/>
        <v>#N/A</v>
      </c>
      <c r="AB245" s="355" t="e">
        <f t="shared" si="105"/>
        <v>#N/A</v>
      </c>
      <c r="AC245" s="355" t="e">
        <f t="shared" si="105"/>
        <v>#N/A</v>
      </c>
      <c r="AD245" s="355" t="e">
        <f t="shared" si="105"/>
        <v>#N/A</v>
      </c>
      <c r="AE245" s="355" t="e">
        <f t="shared" si="105"/>
        <v>#N/A</v>
      </c>
      <c r="AF245" s="355" t="e">
        <f t="shared" si="105"/>
        <v>#N/A</v>
      </c>
      <c r="AG245" s="355" t="e">
        <f t="shared" si="105"/>
        <v>#N/A</v>
      </c>
      <c r="AH245" s="355" t="e">
        <f t="shared" si="105"/>
        <v>#N/A</v>
      </c>
      <c r="AI245" s="355" t="e">
        <f t="shared" si="105"/>
        <v>#N/A</v>
      </c>
      <c r="AJ245" s="355" t="e">
        <f t="shared" si="105"/>
        <v>#N/A</v>
      </c>
      <c r="AK245" s="355" t="e">
        <f t="shared" si="105"/>
        <v>#N/A</v>
      </c>
      <c r="AL245" s="355" t="e">
        <f t="shared" si="105"/>
        <v>#N/A</v>
      </c>
      <c r="AM245" s="355" t="e">
        <f t="shared" si="105"/>
        <v>#N/A</v>
      </c>
      <c r="AN245" s="355" t="e">
        <f t="shared" si="105"/>
        <v>#N/A</v>
      </c>
      <c r="AO245" s="355" t="e">
        <f t="shared" si="105"/>
        <v>#N/A</v>
      </c>
      <c r="AP245" s="355" t="e">
        <f t="shared" si="105"/>
        <v>#N/A</v>
      </c>
      <c r="AQ245" s="355" t="e">
        <f t="shared" si="105"/>
        <v>#N/A</v>
      </c>
    </row>
    <row r="246" spans="1:44" s="317" customFormat="1" ht="14.25" hidden="1">
      <c r="A246" s="356"/>
      <c r="B246" s="1012" t="s">
        <v>35</v>
      </c>
      <c r="C246" s="1050"/>
      <c r="E246" s="357" t="e">
        <f>IF(E244="",NA(),ROUND(1443/(1443+E245),4))</f>
        <v>#N/A</v>
      </c>
      <c r="F246" s="357" t="e">
        <f t="shared" ref="F246:AQ246" si="106">IF(F244="",NA(),ROUND(1443/(1443+F245),4))</f>
        <v>#N/A</v>
      </c>
      <c r="G246" s="357" t="e">
        <f t="shared" si="106"/>
        <v>#N/A</v>
      </c>
      <c r="H246" s="357" t="e">
        <f t="shared" si="106"/>
        <v>#N/A</v>
      </c>
      <c r="I246" s="357" t="e">
        <f t="shared" si="106"/>
        <v>#N/A</v>
      </c>
      <c r="J246" s="357" t="e">
        <f t="shared" si="106"/>
        <v>#N/A</v>
      </c>
      <c r="K246" s="357" t="e">
        <f t="shared" si="106"/>
        <v>#N/A</v>
      </c>
      <c r="L246" s="357" t="e">
        <f t="shared" si="106"/>
        <v>#N/A</v>
      </c>
      <c r="M246" s="357" t="e">
        <f t="shared" si="106"/>
        <v>#N/A</v>
      </c>
      <c r="N246" s="357" t="e">
        <f t="shared" si="106"/>
        <v>#N/A</v>
      </c>
      <c r="O246" s="357" t="e">
        <f t="shared" si="106"/>
        <v>#N/A</v>
      </c>
      <c r="P246" s="357" t="e">
        <f t="shared" si="106"/>
        <v>#N/A</v>
      </c>
      <c r="Q246" s="357" t="e">
        <f t="shared" si="106"/>
        <v>#N/A</v>
      </c>
      <c r="R246" s="357" t="e">
        <f t="shared" si="106"/>
        <v>#N/A</v>
      </c>
      <c r="S246" s="357" t="e">
        <f t="shared" si="106"/>
        <v>#N/A</v>
      </c>
      <c r="T246" s="357" t="e">
        <f t="shared" si="106"/>
        <v>#N/A</v>
      </c>
      <c r="U246" s="357" t="e">
        <f t="shared" si="106"/>
        <v>#N/A</v>
      </c>
      <c r="V246" s="357" t="e">
        <f t="shared" si="106"/>
        <v>#N/A</v>
      </c>
      <c r="W246" s="357" t="e">
        <f t="shared" si="106"/>
        <v>#N/A</v>
      </c>
      <c r="X246" s="357" t="e">
        <f t="shared" si="106"/>
        <v>#N/A</v>
      </c>
      <c r="Y246" s="357" t="e">
        <f t="shared" si="106"/>
        <v>#N/A</v>
      </c>
      <c r="Z246" s="357" t="e">
        <f t="shared" si="106"/>
        <v>#N/A</v>
      </c>
      <c r="AA246" s="357" t="e">
        <f t="shared" si="106"/>
        <v>#N/A</v>
      </c>
      <c r="AB246" s="357" t="e">
        <f t="shared" si="106"/>
        <v>#N/A</v>
      </c>
      <c r="AC246" s="357" t="e">
        <f t="shared" si="106"/>
        <v>#N/A</v>
      </c>
      <c r="AD246" s="357" t="e">
        <f t="shared" si="106"/>
        <v>#N/A</v>
      </c>
      <c r="AE246" s="357" t="e">
        <f t="shared" si="106"/>
        <v>#N/A</v>
      </c>
      <c r="AF246" s="357" t="e">
        <f t="shared" si="106"/>
        <v>#N/A</v>
      </c>
      <c r="AG246" s="357" t="e">
        <f t="shared" si="106"/>
        <v>#N/A</v>
      </c>
      <c r="AH246" s="357" t="e">
        <f t="shared" si="106"/>
        <v>#N/A</v>
      </c>
      <c r="AI246" s="357" t="e">
        <f t="shared" si="106"/>
        <v>#N/A</v>
      </c>
      <c r="AJ246" s="357" t="e">
        <f t="shared" si="106"/>
        <v>#N/A</v>
      </c>
      <c r="AK246" s="357" t="e">
        <f t="shared" si="106"/>
        <v>#N/A</v>
      </c>
      <c r="AL246" s="357" t="e">
        <f t="shared" si="106"/>
        <v>#N/A</v>
      </c>
      <c r="AM246" s="357" t="e">
        <f t="shared" si="106"/>
        <v>#N/A</v>
      </c>
      <c r="AN246" s="357" t="e">
        <f t="shared" si="106"/>
        <v>#N/A</v>
      </c>
      <c r="AO246" s="357" t="e">
        <f t="shared" si="106"/>
        <v>#N/A</v>
      </c>
      <c r="AP246" s="357" t="e">
        <f t="shared" si="106"/>
        <v>#N/A</v>
      </c>
      <c r="AQ246" s="357" t="e">
        <f t="shared" si="106"/>
        <v>#N/A</v>
      </c>
    </row>
    <row r="247" spans="1:44" s="317" customFormat="1" ht="14.25" hidden="1">
      <c r="A247" s="356"/>
      <c r="B247" s="1012" t="s">
        <v>36</v>
      </c>
      <c r="C247" s="1050"/>
      <c r="E247" s="357" t="e">
        <f>IF(E228="",NA(),IFERROR(E228*VLOOKUP(E228,'各種計算式等（配付時非表示）'!$E$3:$H$1003,3,TRUE)+VLOOKUP(E228,'各種計算式等（配付時非表示）'!$E$3:$H$1003,4,TRUE)+0.0000000001,"-"))</f>
        <v>#N/A</v>
      </c>
      <c r="F247" s="357" t="e">
        <f>IF(F228="",NA(),IFERROR(F228*VLOOKUP(F228,'各種計算式等（配付時非表示）'!$E$3:$H$1003,3,TRUE)+VLOOKUP(F228,'各種計算式等（配付時非表示）'!$E$3:$H$1003,4,TRUE)+0.0000000001,"-"))</f>
        <v>#N/A</v>
      </c>
      <c r="G247" s="357" t="e">
        <f>IF(G228="",NA(),IFERROR(G228*VLOOKUP(G228,'各種計算式等（配付時非表示）'!$E$3:$H$1003,3,TRUE)+VLOOKUP(G228,'各種計算式等（配付時非表示）'!$E$3:$H$1003,4,TRUE)+0.0000000001,"-"))</f>
        <v>#N/A</v>
      </c>
      <c r="H247" s="357" t="e">
        <f>IF(H228="",NA(),IFERROR(H228*VLOOKUP(H228,'各種計算式等（配付時非表示）'!$E$3:$H$1003,3,TRUE)+VLOOKUP(H228,'各種計算式等（配付時非表示）'!$E$3:$H$1003,4,TRUE)+0.0000000001,"-"))</f>
        <v>#N/A</v>
      </c>
      <c r="I247" s="357" t="e">
        <f>IF(I228="",NA(),IFERROR(I228*VLOOKUP(I228,'各種計算式等（配付時非表示）'!$E$3:$H$1003,3,TRUE)+VLOOKUP(I228,'各種計算式等（配付時非表示）'!$E$3:$H$1003,4,TRUE)+0.0000000001,"-"))</f>
        <v>#N/A</v>
      </c>
      <c r="J247" s="357" t="e">
        <f>IF(J228="",NA(),IFERROR(J228*VLOOKUP(J228,'各種計算式等（配付時非表示）'!$E$3:$H$1003,3,TRUE)+VLOOKUP(J228,'各種計算式等（配付時非表示）'!$E$3:$H$1003,4,TRUE)+0.0000000001,"-"))</f>
        <v>#N/A</v>
      </c>
      <c r="K247" s="357" t="e">
        <f>IF(K228="",NA(),IFERROR(K228*VLOOKUP(K228,'各種計算式等（配付時非表示）'!$E$3:$H$1003,3,TRUE)+VLOOKUP(K228,'各種計算式等（配付時非表示）'!$E$3:$H$1003,4,TRUE)+0.0000000001,"-"))</f>
        <v>#N/A</v>
      </c>
      <c r="L247" s="357" t="e">
        <f>IF(L228="",NA(),IFERROR(L228*VLOOKUP(L228,'各種計算式等（配付時非表示）'!$E$3:$H$1003,3,TRUE)+VLOOKUP(L228,'各種計算式等（配付時非表示）'!$E$3:$H$1003,4,TRUE)+0.0000000001,"-"))</f>
        <v>#N/A</v>
      </c>
      <c r="M247" s="357" t="e">
        <f>IF(M228="",NA(),IFERROR(M228*VLOOKUP(M228,'各種計算式等（配付時非表示）'!$E$3:$H$1003,3,TRUE)+VLOOKUP(M228,'各種計算式等（配付時非表示）'!$E$3:$H$1003,4,TRUE)+0.0000000001,"-"))</f>
        <v>#N/A</v>
      </c>
      <c r="N247" s="357" t="e">
        <f>IF(N228="",NA(),IFERROR(N228*VLOOKUP(N228,'各種計算式等（配付時非表示）'!$E$3:$H$1003,3,TRUE)+VLOOKUP(N228,'各種計算式等（配付時非表示）'!$E$3:$H$1003,4,TRUE)+0.0000000001,"-"))</f>
        <v>#N/A</v>
      </c>
      <c r="O247" s="357" t="e">
        <f>IF(O228="",NA(),IFERROR(O228*VLOOKUP(O228,'各種計算式等（配付時非表示）'!$E$3:$H$1003,3,TRUE)+VLOOKUP(O228,'各種計算式等（配付時非表示）'!$E$3:$H$1003,4,TRUE)+0.0000000001,"-"))</f>
        <v>#N/A</v>
      </c>
      <c r="P247" s="357" t="e">
        <f>IF(P228="",NA(),IFERROR(P228*VLOOKUP(P228,'各種計算式等（配付時非表示）'!$E$3:$H$1003,3,TRUE)+VLOOKUP(P228,'各種計算式等（配付時非表示）'!$E$3:$H$1003,4,TRUE)+0.0000000001,"-"))</f>
        <v>#N/A</v>
      </c>
      <c r="Q247" s="357" t="e">
        <f>IF(Q228="",NA(),IFERROR(Q228*VLOOKUP(Q228,'各種計算式等（配付時非表示）'!$E$3:$H$1003,3,TRUE)+VLOOKUP(Q228,'各種計算式等（配付時非表示）'!$E$3:$H$1003,4,TRUE)+0.0000000001,"-"))</f>
        <v>#N/A</v>
      </c>
      <c r="R247" s="357" t="e">
        <f>IF(R228="",NA(),IFERROR(R228*VLOOKUP(R228,'各種計算式等（配付時非表示）'!$E$3:$H$1003,3,TRUE)+VLOOKUP(R228,'各種計算式等（配付時非表示）'!$E$3:$H$1003,4,TRUE)+0.0000000001,"-"))</f>
        <v>#N/A</v>
      </c>
      <c r="S247" s="357" t="e">
        <f>IF(S228="",NA(),IFERROR(S228*VLOOKUP(S228,'各種計算式等（配付時非表示）'!$E$3:$H$1003,3,TRUE)+VLOOKUP(S228,'各種計算式等（配付時非表示）'!$E$3:$H$1003,4,TRUE)+0.0000000001,"-"))</f>
        <v>#N/A</v>
      </c>
      <c r="T247" s="357" t="e">
        <f>IF(T228="",NA(),IFERROR(T228*VLOOKUP(T228,'各種計算式等（配付時非表示）'!$E$3:$H$1003,3,TRUE)+VLOOKUP(T228,'各種計算式等（配付時非表示）'!$E$3:$H$1003,4,TRUE)+0.0000000001,"-"))</f>
        <v>#N/A</v>
      </c>
      <c r="U247" s="357" t="e">
        <f>IF(U228="",NA(),IFERROR(U228*VLOOKUP(U228,'各種計算式等（配付時非表示）'!$E$3:$H$1003,3,TRUE)+VLOOKUP(U228,'各種計算式等（配付時非表示）'!$E$3:$H$1003,4,TRUE)+0.0000000001,"-"))</f>
        <v>#N/A</v>
      </c>
      <c r="V247" s="357" t="e">
        <f>IF(V228="",NA(),IFERROR(V228*VLOOKUP(V228,'各種計算式等（配付時非表示）'!$E$3:$H$1003,3,TRUE)+VLOOKUP(V228,'各種計算式等（配付時非表示）'!$E$3:$H$1003,4,TRUE)+0.0000000001,"-"))</f>
        <v>#N/A</v>
      </c>
      <c r="W247" s="357" t="e">
        <f>IF(W228="",NA(),IFERROR(W228*VLOOKUP(W228,'各種計算式等（配付時非表示）'!$E$3:$H$1003,3,TRUE)+VLOOKUP(W228,'各種計算式等（配付時非表示）'!$E$3:$H$1003,4,TRUE)+0.0000000001,"-"))</f>
        <v>#N/A</v>
      </c>
      <c r="X247" s="357" t="e">
        <f>IF(X228="",NA(),IFERROR(X228*VLOOKUP(X228,'各種計算式等（配付時非表示）'!$E$3:$H$1003,3,TRUE)+VLOOKUP(X228,'各種計算式等（配付時非表示）'!$E$3:$H$1003,4,TRUE)+0.0000000001,"-"))</f>
        <v>#N/A</v>
      </c>
      <c r="Y247" s="357" t="e">
        <f>IF(Y228="",NA(),IFERROR(Y228*VLOOKUP(Y228,'各種計算式等（配付時非表示）'!$E$3:$H$1003,3,TRUE)+VLOOKUP(Y228,'各種計算式等（配付時非表示）'!$E$3:$H$1003,4,TRUE)+0.0000000001,"-"))</f>
        <v>#N/A</v>
      </c>
      <c r="Z247" s="357" t="e">
        <f>IF(Z228="",NA(),IFERROR(Z228*VLOOKUP(Z228,'各種計算式等（配付時非表示）'!$E$3:$H$1003,3,TRUE)+VLOOKUP(Z228,'各種計算式等（配付時非表示）'!$E$3:$H$1003,4,TRUE)+0.0000000001,"-"))</f>
        <v>#N/A</v>
      </c>
      <c r="AA247" s="357" t="e">
        <f>IF(AA228="",NA(),IFERROR(AA228*VLOOKUP(AA228,'各種計算式等（配付時非表示）'!$E$3:$H$1003,3,TRUE)+VLOOKUP(AA228,'各種計算式等（配付時非表示）'!$E$3:$H$1003,4,TRUE)+0.0000000001,"-"))</f>
        <v>#N/A</v>
      </c>
      <c r="AB247" s="357" t="e">
        <f>IF(AB228="",NA(),IFERROR(AB228*VLOOKUP(AB228,'各種計算式等（配付時非表示）'!$E$3:$H$1003,3,TRUE)+VLOOKUP(AB228,'各種計算式等（配付時非表示）'!$E$3:$H$1003,4,TRUE)+0.0000000001,"-"))</f>
        <v>#N/A</v>
      </c>
      <c r="AC247" s="357" t="e">
        <f>IF(AC228="",NA(),IFERROR(AC228*VLOOKUP(AC228,'各種計算式等（配付時非表示）'!$E$3:$H$1003,3,TRUE)+VLOOKUP(AC228,'各種計算式等（配付時非表示）'!$E$3:$H$1003,4,TRUE)+0.0000000001,"-"))</f>
        <v>#N/A</v>
      </c>
      <c r="AD247" s="357" t="e">
        <f>IF(AD228="",NA(),IFERROR(AD228*VLOOKUP(AD228,'各種計算式等（配付時非表示）'!$E$3:$H$1003,3,TRUE)+VLOOKUP(AD228,'各種計算式等（配付時非表示）'!$E$3:$H$1003,4,TRUE)+0.0000000001,"-"))</f>
        <v>#N/A</v>
      </c>
      <c r="AE247" s="357" t="e">
        <f>IF(AE228="",NA(),IFERROR(AE228*VLOOKUP(AE228,'各種計算式等（配付時非表示）'!$E$3:$H$1003,3,TRUE)+VLOOKUP(AE228,'各種計算式等（配付時非表示）'!$E$3:$H$1003,4,TRUE)+0.0000000001,"-"))</f>
        <v>#N/A</v>
      </c>
      <c r="AF247" s="357" t="e">
        <f>IF(AF228="",NA(),IFERROR(AF228*VLOOKUP(AF228,'各種計算式等（配付時非表示）'!$E$3:$H$1003,3,TRUE)+VLOOKUP(AF228,'各種計算式等（配付時非表示）'!$E$3:$H$1003,4,TRUE)+0.0000000001,"-"))</f>
        <v>#N/A</v>
      </c>
      <c r="AG247" s="357" t="e">
        <f>IF(AG228="",NA(),IFERROR(AG228*VLOOKUP(AG228,'各種計算式等（配付時非表示）'!$E$3:$H$1003,3,TRUE)+VLOOKUP(AG228,'各種計算式等（配付時非表示）'!$E$3:$H$1003,4,TRUE)+0.0000000001,"-"))</f>
        <v>#N/A</v>
      </c>
      <c r="AH247" s="357" t="e">
        <f>IF(AH228="",NA(),IFERROR(AH228*VLOOKUP(AH228,'各種計算式等（配付時非表示）'!$E$3:$H$1003,3,TRUE)+VLOOKUP(AH228,'各種計算式等（配付時非表示）'!$E$3:$H$1003,4,TRUE)+0.0000000001,"-"))</f>
        <v>#N/A</v>
      </c>
      <c r="AI247" s="357" t="e">
        <f>IF(AI228="",NA(),IFERROR(AI228*VLOOKUP(AI228,'各種計算式等（配付時非表示）'!$E$3:$H$1003,3,TRUE)+VLOOKUP(AI228,'各種計算式等（配付時非表示）'!$E$3:$H$1003,4,TRUE)+0.0000000001,"-"))</f>
        <v>#N/A</v>
      </c>
      <c r="AJ247" s="357" t="e">
        <f>IF(AJ228="",NA(),IFERROR(AJ228*VLOOKUP(AJ228,'各種計算式等（配付時非表示）'!$E$3:$H$1003,3,TRUE)+VLOOKUP(AJ228,'各種計算式等（配付時非表示）'!$E$3:$H$1003,4,TRUE)+0.0000000001,"-"))</f>
        <v>#N/A</v>
      </c>
      <c r="AK247" s="357" t="e">
        <f>IF(AK228="",NA(),IFERROR(AK228*VLOOKUP(AK228,'各種計算式等（配付時非表示）'!$E$3:$H$1003,3,TRUE)+VLOOKUP(AK228,'各種計算式等（配付時非表示）'!$E$3:$H$1003,4,TRUE)+0.0000000001,"-"))</f>
        <v>#N/A</v>
      </c>
      <c r="AL247" s="357" t="e">
        <f>IF(AL228="",NA(),IFERROR(AL228*VLOOKUP(AL228,'各種計算式等（配付時非表示）'!$E$3:$H$1003,3,TRUE)+VLOOKUP(AL228,'各種計算式等（配付時非表示）'!$E$3:$H$1003,4,TRUE)+0.0000000001,"-"))</f>
        <v>#N/A</v>
      </c>
      <c r="AM247" s="357" t="e">
        <f>IF(AM228="",NA(),IFERROR(AM228*VLOOKUP(AM228,'各種計算式等（配付時非表示）'!$E$3:$H$1003,3,TRUE)+VLOOKUP(AM228,'各種計算式等（配付時非表示）'!$E$3:$H$1003,4,TRUE)+0.0000000001,"-"))</f>
        <v>#N/A</v>
      </c>
      <c r="AN247" s="357" t="e">
        <f>IF(AN228="",NA(),IFERROR(AN228*VLOOKUP(AN228,'各種計算式等（配付時非表示）'!$E$3:$H$1003,3,TRUE)+VLOOKUP(AN228,'各種計算式等（配付時非表示）'!$E$3:$H$1003,4,TRUE)+0.0000000001,"-"))</f>
        <v>#N/A</v>
      </c>
      <c r="AO247" s="357" t="e">
        <f>IF(AO228="",NA(),IFERROR(AO228*VLOOKUP(AO228,'各種計算式等（配付時非表示）'!$E$3:$H$1003,3,TRUE)+VLOOKUP(AO228,'各種計算式等（配付時非表示）'!$E$3:$H$1003,4,TRUE)+0.0000000001,"-"))</f>
        <v>#N/A</v>
      </c>
      <c r="AP247" s="357" t="e">
        <f>IF(AP228="",NA(),IFERROR(AP228*VLOOKUP(AP228,'各種計算式等（配付時非表示）'!$E$3:$H$1003,3,TRUE)+VLOOKUP(AP228,'各種計算式等（配付時非表示）'!$E$3:$H$1003,4,TRUE)+0.0000000001,"-"))</f>
        <v>#N/A</v>
      </c>
      <c r="AQ247" s="357" t="e">
        <f>IF(AQ228="",NA(),IFERROR(AQ228*VLOOKUP(AQ228,'各種計算式等（配付時非表示）'!$E$3:$H$1003,3,TRUE)+VLOOKUP(AQ228,'各種計算式等（配付時非表示）'!$E$3:$H$1003,4,TRUE)+0.0000000001,"-"))</f>
        <v>#N/A</v>
      </c>
    </row>
    <row r="248" spans="1:44" s="317" customFormat="1" ht="14.25" hidden="1">
      <c r="A248" s="1012" t="s">
        <v>3</v>
      </c>
      <c r="B248" s="1012"/>
      <c r="C248" s="1012"/>
      <c r="E248" s="358" t="e">
        <f>IFERROR(ROUNDDOWN((E246-E247)*260+0.21,1),NA())</f>
        <v>#N/A</v>
      </c>
      <c r="F248" s="358" t="e">
        <f t="shared" ref="F248:AQ248" si="107">IFERROR(ROUNDDOWN((F246-F247)*260+0.21,1),NA())</f>
        <v>#N/A</v>
      </c>
      <c r="G248" s="358" t="e">
        <f t="shared" si="107"/>
        <v>#N/A</v>
      </c>
      <c r="H248" s="358" t="e">
        <f t="shared" si="107"/>
        <v>#N/A</v>
      </c>
      <c r="I248" s="358" t="e">
        <f t="shared" si="107"/>
        <v>#N/A</v>
      </c>
      <c r="J248" s="358" t="e">
        <f t="shared" si="107"/>
        <v>#N/A</v>
      </c>
      <c r="K248" s="358" t="e">
        <f t="shared" si="107"/>
        <v>#N/A</v>
      </c>
      <c r="L248" s="358" t="e">
        <f t="shared" si="107"/>
        <v>#N/A</v>
      </c>
      <c r="M248" s="358" t="e">
        <f t="shared" si="107"/>
        <v>#N/A</v>
      </c>
      <c r="N248" s="358" t="e">
        <f t="shared" si="107"/>
        <v>#N/A</v>
      </c>
      <c r="O248" s="358" t="e">
        <f t="shared" si="107"/>
        <v>#N/A</v>
      </c>
      <c r="P248" s="358" t="e">
        <f t="shared" si="107"/>
        <v>#N/A</v>
      </c>
      <c r="Q248" s="358" t="e">
        <f t="shared" si="107"/>
        <v>#N/A</v>
      </c>
      <c r="R248" s="358" t="e">
        <f t="shared" si="107"/>
        <v>#N/A</v>
      </c>
      <c r="S248" s="358" t="e">
        <f t="shared" si="107"/>
        <v>#N/A</v>
      </c>
      <c r="T248" s="358" t="e">
        <f t="shared" si="107"/>
        <v>#N/A</v>
      </c>
      <c r="U248" s="358" t="e">
        <f t="shared" si="107"/>
        <v>#N/A</v>
      </c>
      <c r="V248" s="358" t="e">
        <f t="shared" si="107"/>
        <v>#N/A</v>
      </c>
      <c r="W248" s="358" t="e">
        <f t="shared" si="107"/>
        <v>#N/A</v>
      </c>
      <c r="X248" s="358" t="e">
        <f t="shared" si="107"/>
        <v>#N/A</v>
      </c>
      <c r="Y248" s="358" t="e">
        <f t="shared" si="107"/>
        <v>#N/A</v>
      </c>
      <c r="Z248" s="358" t="e">
        <f t="shared" si="107"/>
        <v>#N/A</v>
      </c>
      <c r="AA248" s="358" t="e">
        <f t="shared" si="107"/>
        <v>#N/A</v>
      </c>
      <c r="AB248" s="358" t="e">
        <f t="shared" si="107"/>
        <v>#N/A</v>
      </c>
      <c r="AC248" s="358" t="e">
        <f t="shared" si="107"/>
        <v>#N/A</v>
      </c>
      <c r="AD248" s="358" t="e">
        <f t="shared" si="107"/>
        <v>#N/A</v>
      </c>
      <c r="AE248" s="358" t="e">
        <f t="shared" si="107"/>
        <v>#N/A</v>
      </c>
      <c r="AF248" s="358" t="e">
        <f t="shared" si="107"/>
        <v>#N/A</v>
      </c>
      <c r="AG248" s="358" t="e">
        <f t="shared" si="107"/>
        <v>#N/A</v>
      </c>
      <c r="AH248" s="358" t="e">
        <f t="shared" si="107"/>
        <v>#N/A</v>
      </c>
      <c r="AI248" s="358" t="e">
        <f t="shared" si="107"/>
        <v>#N/A</v>
      </c>
      <c r="AJ248" s="358" t="e">
        <f t="shared" si="107"/>
        <v>#N/A</v>
      </c>
      <c r="AK248" s="358" t="e">
        <f t="shared" si="107"/>
        <v>#N/A</v>
      </c>
      <c r="AL248" s="358" t="e">
        <f t="shared" si="107"/>
        <v>#N/A</v>
      </c>
      <c r="AM248" s="358" t="e">
        <f t="shared" si="107"/>
        <v>#N/A</v>
      </c>
      <c r="AN248" s="358" t="e">
        <f t="shared" si="107"/>
        <v>#N/A</v>
      </c>
      <c r="AO248" s="358" t="e">
        <f t="shared" si="107"/>
        <v>#N/A</v>
      </c>
      <c r="AP248" s="358" t="e">
        <f t="shared" si="107"/>
        <v>#N/A</v>
      </c>
      <c r="AQ248" s="358" t="e">
        <f t="shared" si="107"/>
        <v>#N/A</v>
      </c>
    </row>
    <row r="249" spans="1:44" s="317" customFormat="1" ht="14.25" hidden="1">
      <c r="A249" s="1012" t="s">
        <v>326</v>
      </c>
      <c r="B249" s="1012"/>
      <c r="C249" s="1012"/>
      <c r="E249" s="359" t="e">
        <f t="shared" ref="E249:AQ249" si="108">IF(E228="",NA(),ROUNDDOWN(E228*1.5848,1))</f>
        <v>#N/A</v>
      </c>
      <c r="F249" s="359" t="e">
        <f t="shared" si="108"/>
        <v>#N/A</v>
      </c>
      <c r="G249" s="359" t="e">
        <f t="shared" si="108"/>
        <v>#N/A</v>
      </c>
      <c r="H249" s="359" t="e">
        <f t="shared" si="108"/>
        <v>#N/A</v>
      </c>
      <c r="I249" s="359" t="e">
        <f t="shared" si="108"/>
        <v>#N/A</v>
      </c>
      <c r="J249" s="359" t="e">
        <f t="shared" si="108"/>
        <v>#N/A</v>
      </c>
      <c r="K249" s="359" t="e">
        <f t="shared" si="108"/>
        <v>#N/A</v>
      </c>
      <c r="L249" s="359" t="e">
        <f t="shared" si="108"/>
        <v>#N/A</v>
      </c>
      <c r="M249" s="359" t="e">
        <f t="shared" si="108"/>
        <v>#N/A</v>
      </c>
      <c r="N249" s="359" t="e">
        <f t="shared" si="108"/>
        <v>#N/A</v>
      </c>
      <c r="O249" s="359" t="e">
        <f t="shared" si="108"/>
        <v>#N/A</v>
      </c>
      <c r="P249" s="359" t="e">
        <f t="shared" si="108"/>
        <v>#N/A</v>
      </c>
      <c r="Q249" s="359" t="e">
        <f t="shared" si="108"/>
        <v>#N/A</v>
      </c>
      <c r="R249" s="359" t="e">
        <f t="shared" si="108"/>
        <v>#N/A</v>
      </c>
      <c r="S249" s="359" t="e">
        <f t="shared" si="108"/>
        <v>#N/A</v>
      </c>
      <c r="T249" s="359" t="e">
        <f t="shared" si="108"/>
        <v>#N/A</v>
      </c>
      <c r="U249" s="359" t="e">
        <f t="shared" si="108"/>
        <v>#N/A</v>
      </c>
      <c r="V249" s="359" t="e">
        <f t="shared" si="108"/>
        <v>#N/A</v>
      </c>
      <c r="W249" s="359" t="e">
        <f t="shared" si="108"/>
        <v>#N/A</v>
      </c>
      <c r="X249" s="359" t="e">
        <f t="shared" si="108"/>
        <v>#N/A</v>
      </c>
      <c r="Y249" s="359" t="e">
        <f t="shared" si="108"/>
        <v>#N/A</v>
      </c>
      <c r="Z249" s="359" t="e">
        <f t="shared" si="108"/>
        <v>#N/A</v>
      </c>
      <c r="AA249" s="359" t="e">
        <f t="shared" si="108"/>
        <v>#N/A</v>
      </c>
      <c r="AB249" s="359" t="e">
        <f t="shared" si="108"/>
        <v>#N/A</v>
      </c>
      <c r="AC249" s="359" t="e">
        <f t="shared" si="108"/>
        <v>#N/A</v>
      </c>
      <c r="AD249" s="359" t="e">
        <f t="shared" si="108"/>
        <v>#N/A</v>
      </c>
      <c r="AE249" s="359" t="e">
        <f t="shared" si="108"/>
        <v>#N/A</v>
      </c>
      <c r="AF249" s="359" t="e">
        <f t="shared" si="108"/>
        <v>#N/A</v>
      </c>
      <c r="AG249" s="359" t="e">
        <f t="shared" si="108"/>
        <v>#N/A</v>
      </c>
      <c r="AH249" s="359" t="e">
        <f t="shared" si="108"/>
        <v>#N/A</v>
      </c>
      <c r="AI249" s="359" t="e">
        <f t="shared" si="108"/>
        <v>#N/A</v>
      </c>
      <c r="AJ249" s="359" t="e">
        <f t="shared" si="108"/>
        <v>#N/A</v>
      </c>
      <c r="AK249" s="359" t="e">
        <f t="shared" si="108"/>
        <v>#N/A</v>
      </c>
      <c r="AL249" s="359" t="e">
        <f t="shared" si="108"/>
        <v>#N/A</v>
      </c>
      <c r="AM249" s="359" t="e">
        <f t="shared" si="108"/>
        <v>#N/A</v>
      </c>
      <c r="AN249" s="359" t="e">
        <f t="shared" si="108"/>
        <v>#N/A</v>
      </c>
      <c r="AO249" s="359" t="e">
        <f t="shared" si="108"/>
        <v>#N/A</v>
      </c>
      <c r="AP249" s="359" t="e">
        <f t="shared" si="108"/>
        <v>#N/A</v>
      </c>
      <c r="AQ249" s="359" t="e">
        <f t="shared" si="108"/>
        <v>#N/A</v>
      </c>
    </row>
    <row r="250" spans="1:44" s="317" customFormat="1" ht="14.25" hidden="1">
      <c r="A250" s="1012" t="s">
        <v>162</v>
      </c>
      <c r="B250" s="1012"/>
      <c r="C250" s="1012"/>
      <c r="E250" s="359" t="e">
        <f>IF(E248="",NA(),ROUNDDOWN(E248+E249,1))</f>
        <v>#N/A</v>
      </c>
      <c r="F250" s="359" t="e">
        <f t="shared" ref="F250:AQ250" si="109">IF(F248="",NA(),ROUNDDOWN(F248+F249,1))</f>
        <v>#N/A</v>
      </c>
      <c r="G250" s="359" t="e">
        <f t="shared" si="109"/>
        <v>#N/A</v>
      </c>
      <c r="H250" s="359" t="e">
        <f t="shared" si="109"/>
        <v>#N/A</v>
      </c>
      <c r="I250" s="359" t="e">
        <f t="shared" si="109"/>
        <v>#N/A</v>
      </c>
      <c r="J250" s="359" t="e">
        <f t="shared" si="109"/>
        <v>#N/A</v>
      </c>
      <c r="K250" s="359" t="e">
        <f t="shared" si="109"/>
        <v>#N/A</v>
      </c>
      <c r="L250" s="359" t="e">
        <f t="shared" si="109"/>
        <v>#N/A</v>
      </c>
      <c r="M250" s="359" t="e">
        <f t="shared" si="109"/>
        <v>#N/A</v>
      </c>
      <c r="N250" s="359" t="e">
        <f t="shared" si="109"/>
        <v>#N/A</v>
      </c>
      <c r="O250" s="359" t="e">
        <f t="shared" si="109"/>
        <v>#N/A</v>
      </c>
      <c r="P250" s="359" t="e">
        <f t="shared" si="109"/>
        <v>#N/A</v>
      </c>
      <c r="Q250" s="359" t="e">
        <f t="shared" si="109"/>
        <v>#N/A</v>
      </c>
      <c r="R250" s="359" t="e">
        <f t="shared" si="109"/>
        <v>#N/A</v>
      </c>
      <c r="S250" s="359" t="e">
        <f t="shared" si="109"/>
        <v>#N/A</v>
      </c>
      <c r="T250" s="359" t="e">
        <f t="shared" si="109"/>
        <v>#N/A</v>
      </c>
      <c r="U250" s="359" t="e">
        <f t="shared" si="109"/>
        <v>#N/A</v>
      </c>
      <c r="V250" s="359" t="e">
        <f t="shared" si="109"/>
        <v>#N/A</v>
      </c>
      <c r="W250" s="359" t="e">
        <f t="shared" si="109"/>
        <v>#N/A</v>
      </c>
      <c r="X250" s="359" t="e">
        <f t="shared" si="109"/>
        <v>#N/A</v>
      </c>
      <c r="Y250" s="359" t="e">
        <f t="shared" si="109"/>
        <v>#N/A</v>
      </c>
      <c r="Z250" s="359" t="e">
        <f t="shared" si="109"/>
        <v>#N/A</v>
      </c>
      <c r="AA250" s="359" t="e">
        <f t="shared" si="109"/>
        <v>#N/A</v>
      </c>
      <c r="AB250" s="359" t="e">
        <f t="shared" si="109"/>
        <v>#N/A</v>
      </c>
      <c r="AC250" s="359" t="e">
        <f t="shared" si="109"/>
        <v>#N/A</v>
      </c>
      <c r="AD250" s="359" t="e">
        <f t="shared" si="109"/>
        <v>#N/A</v>
      </c>
      <c r="AE250" s="359" t="e">
        <f t="shared" si="109"/>
        <v>#N/A</v>
      </c>
      <c r="AF250" s="359" t="e">
        <f t="shared" si="109"/>
        <v>#N/A</v>
      </c>
      <c r="AG250" s="359" t="e">
        <f t="shared" si="109"/>
        <v>#N/A</v>
      </c>
      <c r="AH250" s="359" t="e">
        <f t="shared" si="109"/>
        <v>#N/A</v>
      </c>
      <c r="AI250" s="359" t="e">
        <f t="shared" si="109"/>
        <v>#N/A</v>
      </c>
      <c r="AJ250" s="359" t="e">
        <f t="shared" si="109"/>
        <v>#N/A</v>
      </c>
      <c r="AK250" s="359" t="e">
        <f t="shared" si="109"/>
        <v>#N/A</v>
      </c>
      <c r="AL250" s="359" t="e">
        <f t="shared" si="109"/>
        <v>#N/A</v>
      </c>
      <c r="AM250" s="359" t="e">
        <f t="shared" si="109"/>
        <v>#N/A</v>
      </c>
      <c r="AN250" s="359" t="e">
        <f t="shared" si="109"/>
        <v>#N/A</v>
      </c>
      <c r="AO250" s="359" t="e">
        <f t="shared" si="109"/>
        <v>#N/A</v>
      </c>
      <c r="AP250" s="359" t="e">
        <f t="shared" si="109"/>
        <v>#N/A</v>
      </c>
      <c r="AQ250" s="359" t="e">
        <f t="shared" si="109"/>
        <v>#N/A</v>
      </c>
    </row>
    <row r="251" spans="1:44" s="317" customFormat="1" ht="14.25" hidden="1">
      <c r="A251" s="1012" t="s">
        <v>198</v>
      </c>
      <c r="B251" s="1012"/>
      <c r="C251" s="1012"/>
      <c r="E251" s="360" t="e">
        <f t="shared" ref="E251:AQ251" si="110">IF(E228="",NA(),IF(E224&lt;=$B239,E228*$D242/100,IF(E224&lt;=$C239,E228*$E242/100,IF(E224&lt;=$D239,E228*$F242/100,IF(E224&lt;=$E239,E228*$G242/100,IF(E224&lt;=$F239,E228*$H242/100,IF(E224&lt;=$G239,E228*$I242/100,IF(E224&lt;=$H239,E228*$J242/100,IF(E224&lt;=$I239,E228*$K242/100,IF(E224&lt;=$J239,E228*$L242/100,IF(E224&lt;=$K239,E228*$M242/100,IF(E224&lt;=$L239,E228*$N242/100,IF(E224&lt;=$M239,E228*$O242/100,IF(E224&lt;=$N239,E228*$P242/100,IF(E224&lt;=$O239,E228*$Q242/100,IF(E224&lt;=$P239,E228*$R242/100,IF(E224&lt;=$Q239,E228*$S242/100,IF(E224&lt;=$R239,E228*$T242/100,IF(E224&lt;=$S239,E228*$U242/100,IF(E224&lt;=$T239,E228*$V242/100,IF(E224&lt;=$U239,E228*$W242/100,E228*$X242/100)))))))))))))))))))))</f>
        <v>#N/A</v>
      </c>
      <c r="F251" s="360" t="e">
        <f t="shared" si="110"/>
        <v>#N/A</v>
      </c>
      <c r="G251" s="360" t="e">
        <f t="shared" si="110"/>
        <v>#N/A</v>
      </c>
      <c r="H251" s="360" t="e">
        <f t="shared" si="110"/>
        <v>#N/A</v>
      </c>
      <c r="I251" s="360" t="e">
        <f t="shared" si="110"/>
        <v>#N/A</v>
      </c>
      <c r="J251" s="360" t="e">
        <f t="shared" si="110"/>
        <v>#N/A</v>
      </c>
      <c r="K251" s="360" t="e">
        <f t="shared" si="110"/>
        <v>#N/A</v>
      </c>
      <c r="L251" s="360" t="e">
        <f t="shared" si="110"/>
        <v>#N/A</v>
      </c>
      <c r="M251" s="360" t="e">
        <f t="shared" si="110"/>
        <v>#N/A</v>
      </c>
      <c r="N251" s="360" t="e">
        <f t="shared" si="110"/>
        <v>#N/A</v>
      </c>
      <c r="O251" s="360" t="e">
        <f t="shared" si="110"/>
        <v>#N/A</v>
      </c>
      <c r="P251" s="360" t="e">
        <f t="shared" si="110"/>
        <v>#N/A</v>
      </c>
      <c r="Q251" s="360" t="e">
        <f t="shared" si="110"/>
        <v>#N/A</v>
      </c>
      <c r="R251" s="360" t="e">
        <f t="shared" si="110"/>
        <v>#N/A</v>
      </c>
      <c r="S251" s="360" t="e">
        <f t="shared" si="110"/>
        <v>#N/A</v>
      </c>
      <c r="T251" s="360" t="e">
        <f t="shared" si="110"/>
        <v>#N/A</v>
      </c>
      <c r="U251" s="360" t="e">
        <f t="shared" si="110"/>
        <v>#N/A</v>
      </c>
      <c r="V251" s="360" t="e">
        <f t="shared" si="110"/>
        <v>#N/A</v>
      </c>
      <c r="W251" s="360" t="e">
        <f t="shared" si="110"/>
        <v>#N/A</v>
      </c>
      <c r="X251" s="360" t="e">
        <f t="shared" si="110"/>
        <v>#N/A</v>
      </c>
      <c r="Y251" s="360" t="e">
        <f t="shared" si="110"/>
        <v>#N/A</v>
      </c>
      <c r="Z251" s="360" t="e">
        <f t="shared" si="110"/>
        <v>#N/A</v>
      </c>
      <c r="AA251" s="360" t="e">
        <f t="shared" si="110"/>
        <v>#N/A</v>
      </c>
      <c r="AB251" s="360" t="e">
        <f t="shared" si="110"/>
        <v>#N/A</v>
      </c>
      <c r="AC251" s="360" t="e">
        <f t="shared" si="110"/>
        <v>#N/A</v>
      </c>
      <c r="AD251" s="360" t="e">
        <f t="shared" si="110"/>
        <v>#N/A</v>
      </c>
      <c r="AE251" s="360" t="e">
        <f t="shared" si="110"/>
        <v>#N/A</v>
      </c>
      <c r="AF251" s="360" t="e">
        <f t="shared" si="110"/>
        <v>#N/A</v>
      </c>
      <c r="AG251" s="360" t="e">
        <f t="shared" si="110"/>
        <v>#N/A</v>
      </c>
      <c r="AH251" s="360" t="e">
        <f t="shared" si="110"/>
        <v>#N/A</v>
      </c>
      <c r="AI251" s="360" t="e">
        <f t="shared" si="110"/>
        <v>#N/A</v>
      </c>
      <c r="AJ251" s="360" t="e">
        <f t="shared" si="110"/>
        <v>#N/A</v>
      </c>
      <c r="AK251" s="360" t="e">
        <f t="shared" si="110"/>
        <v>#N/A</v>
      </c>
      <c r="AL251" s="360" t="e">
        <f t="shared" si="110"/>
        <v>#N/A</v>
      </c>
      <c r="AM251" s="360" t="e">
        <f t="shared" si="110"/>
        <v>#N/A</v>
      </c>
      <c r="AN251" s="360" t="e">
        <f t="shared" si="110"/>
        <v>#N/A</v>
      </c>
      <c r="AO251" s="360" t="e">
        <f t="shared" si="110"/>
        <v>#N/A</v>
      </c>
      <c r="AP251" s="360" t="e">
        <f t="shared" si="110"/>
        <v>#N/A</v>
      </c>
      <c r="AQ251" s="360" t="e">
        <f t="shared" si="110"/>
        <v>#N/A</v>
      </c>
    </row>
    <row r="252" spans="1:44" s="317" customFormat="1" ht="14.25" hidden="1">
      <c r="A252" s="1011" t="s">
        <v>327</v>
      </c>
      <c r="B252" s="1012"/>
      <c r="C252" s="1050"/>
      <c r="E252" s="361" t="e">
        <f>IF(E251="",NA(),ROUND(E251*1.5848,1))</f>
        <v>#N/A</v>
      </c>
      <c r="F252" s="361" t="e">
        <f t="shared" ref="F252:AQ252" si="111">IF(F251="",NA(),ROUND(F251*1.5848,1))</f>
        <v>#N/A</v>
      </c>
      <c r="G252" s="361" t="e">
        <f t="shared" si="111"/>
        <v>#N/A</v>
      </c>
      <c r="H252" s="361" t="e">
        <f t="shared" si="111"/>
        <v>#N/A</v>
      </c>
      <c r="I252" s="361" t="e">
        <f t="shared" si="111"/>
        <v>#N/A</v>
      </c>
      <c r="J252" s="361" t="e">
        <f t="shared" si="111"/>
        <v>#N/A</v>
      </c>
      <c r="K252" s="361" t="e">
        <f t="shared" si="111"/>
        <v>#N/A</v>
      </c>
      <c r="L252" s="361" t="e">
        <f t="shared" si="111"/>
        <v>#N/A</v>
      </c>
      <c r="M252" s="361" t="e">
        <f t="shared" si="111"/>
        <v>#N/A</v>
      </c>
      <c r="N252" s="361" t="e">
        <f t="shared" si="111"/>
        <v>#N/A</v>
      </c>
      <c r="O252" s="361" t="e">
        <f t="shared" si="111"/>
        <v>#N/A</v>
      </c>
      <c r="P252" s="361" t="e">
        <f t="shared" si="111"/>
        <v>#N/A</v>
      </c>
      <c r="Q252" s="361" t="e">
        <f t="shared" si="111"/>
        <v>#N/A</v>
      </c>
      <c r="R252" s="361" t="e">
        <f t="shared" si="111"/>
        <v>#N/A</v>
      </c>
      <c r="S252" s="361" t="e">
        <f t="shared" si="111"/>
        <v>#N/A</v>
      </c>
      <c r="T252" s="361" t="e">
        <f t="shared" si="111"/>
        <v>#N/A</v>
      </c>
      <c r="U252" s="361" t="e">
        <f t="shared" si="111"/>
        <v>#N/A</v>
      </c>
      <c r="V252" s="361" t="e">
        <f t="shared" si="111"/>
        <v>#N/A</v>
      </c>
      <c r="W252" s="361" t="e">
        <f t="shared" si="111"/>
        <v>#N/A</v>
      </c>
      <c r="X252" s="361" t="e">
        <f t="shared" si="111"/>
        <v>#N/A</v>
      </c>
      <c r="Y252" s="361" t="e">
        <f t="shared" si="111"/>
        <v>#N/A</v>
      </c>
      <c r="Z252" s="361" t="e">
        <f t="shared" si="111"/>
        <v>#N/A</v>
      </c>
      <c r="AA252" s="361" t="e">
        <f t="shared" si="111"/>
        <v>#N/A</v>
      </c>
      <c r="AB252" s="361" t="e">
        <f t="shared" si="111"/>
        <v>#N/A</v>
      </c>
      <c r="AC252" s="361" t="e">
        <f t="shared" si="111"/>
        <v>#N/A</v>
      </c>
      <c r="AD252" s="361" t="e">
        <f t="shared" si="111"/>
        <v>#N/A</v>
      </c>
      <c r="AE252" s="361" t="e">
        <f t="shared" si="111"/>
        <v>#N/A</v>
      </c>
      <c r="AF252" s="361" t="e">
        <f t="shared" si="111"/>
        <v>#N/A</v>
      </c>
      <c r="AG252" s="361" t="e">
        <f t="shared" si="111"/>
        <v>#N/A</v>
      </c>
      <c r="AH252" s="361" t="e">
        <f t="shared" si="111"/>
        <v>#N/A</v>
      </c>
      <c r="AI252" s="361" t="e">
        <f t="shared" si="111"/>
        <v>#N/A</v>
      </c>
      <c r="AJ252" s="361" t="e">
        <f t="shared" si="111"/>
        <v>#N/A</v>
      </c>
      <c r="AK252" s="361" t="e">
        <f t="shared" si="111"/>
        <v>#N/A</v>
      </c>
      <c r="AL252" s="361" t="e">
        <f t="shared" si="111"/>
        <v>#N/A</v>
      </c>
      <c r="AM252" s="361" t="e">
        <f t="shared" si="111"/>
        <v>#N/A</v>
      </c>
      <c r="AN252" s="361" t="e">
        <f t="shared" si="111"/>
        <v>#N/A</v>
      </c>
      <c r="AO252" s="361" t="e">
        <f t="shared" si="111"/>
        <v>#N/A</v>
      </c>
      <c r="AP252" s="361" t="e">
        <f t="shared" si="111"/>
        <v>#N/A</v>
      </c>
      <c r="AQ252" s="361" t="e">
        <f t="shared" si="111"/>
        <v>#N/A</v>
      </c>
    </row>
    <row r="253" spans="1:44" s="317" customFormat="1" ht="14.25" hidden="1">
      <c r="A253" s="1011" t="s">
        <v>328</v>
      </c>
      <c r="B253" s="1012"/>
      <c r="C253" s="1050"/>
      <c r="E253" s="361" t="e">
        <f>IF(E254="",NA(),ROUND(E254-E252,1))</f>
        <v>#N/A</v>
      </c>
      <c r="F253" s="361" t="e">
        <f t="shared" ref="F253:AQ253" si="112">IF(F254="",NA(),ROUND(F254-F252,1))</f>
        <v>#N/A</v>
      </c>
      <c r="G253" s="361" t="e">
        <f t="shared" si="112"/>
        <v>#N/A</v>
      </c>
      <c r="H253" s="361" t="e">
        <f t="shared" si="112"/>
        <v>#N/A</v>
      </c>
      <c r="I253" s="361" t="e">
        <f t="shared" si="112"/>
        <v>#N/A</v>
      </c>
      <c r="J253" s="361" t="e">
        <f t="shared" si="112"/>
        <v>#N/A</v>
      </c>
      <c r="K253" s="361" t="e">
        <f t="shared" si="112"/>
        <v>#N/A</v>
      </c>
      <c r="L253" s="361" t="e">
        <f t="shared" si="112"/>
        <v>#N/A</v>
      </c>
      <c r="M253" s="361" t="e">
        <f t="shared" si="112"/>
        <v>#N/A</v>
      </c>
      <c r="N253" s="361" t="e">
        <f t="shared" si="112"/>
        <v>#N/A</v>
      </c>
      <c r="O253" s="361" t="e">
        <f t="shared" si="112"/>
        <v>#N/A</v>
      </c>
      <c r="P253" s="361" t="e">
        <f t="shared" si="112"/>
        <v>#N/A</v>
      </c>
      <c r="Q253" s="361" t="e">
        <f t="shared" si="112"/>
        <v>#N/A</v>
      </c>
      <c r="R253" s="361" t="e">
        <f t="shared" si="112"/>
        <v>#N/A</v>
      </c>
      <c r="S253" s="361" t="e">
        <f t="shared" si="112"/>
        <v>#N/A</v>
      </c>
      <c r="T253" s="361" t="e">
        <f t="shared" si="112"/>
        <v>#N/A</v>
      </c>
      <c r="U253" s="361" t="e">
        <f t="shared" si="112"/>
        <v>#N/A</v>
      </c>
      <c r="V253" s="361" t="e">
        <f t="shared" si="112"/>
        <v>#N/A</v>
      </c>
      <c r="W253" s="361" t="e">
        <f t="shared" si="112"/>
        <v>#N/A</v>
      </c>
      <c r="X253" s="361" t="e">
        <f t="shared" si="112"/>
        <v>#N/A</v>
      </c>
      <c r="Y253" s="361" t="e">
        <f t="shared" si="112"/>
        <v>#N/A</v>
      </c>
      <c r="Z253" s="361" t="e">
        <f t="shared" si="112"/>
        <v>#N/A</v>
      </c>
      <c r="AA253" s="361" t="e">
        <f t="shared" si="112"/>
        <v>#N/A</v>
      </c>
      <c r="AB253" s="361" t="e">
        <f t="shared" si="112"/>
        <v>#N/A</v>
      </c>
      <c r="AC253" s="361" t="e">
        <f t="shared" si="112"/>
        <v>#N/A</v>
      </c>
      <c r="AD253" s="361" t="e">
        <f t="shared" si="112"/>
        <v>#N/A</v>
      </c>
      <c r="AE253" s="361" t="e">
        <f t="shared" si="112"/>
        <v>#N/A</v>
      </c>
      <c r="AF253" s="361" t="e">
        <f t="shared" si="112"/>
        <v>#N/A</v>
      </c>
      <c r="AG253" s="361" t="e">
        <f t="shared" si="112"/>
        <v>#N/A</v>
      </c>
      <c r="AH253" s="361" t="e">
        <f t="shared" si="112"/>
        <v>#N/A</v>
      </c>
      <c r="AI253" s="361" t="e">
        <f t="shared" si="112"/>
        <v>#N/A</v>
      </c>
      <c r="AJ253" s="361" t="e">
        <f t="shared" si="112"/>
        <v>#N/A</v>
      </c>
      <c r="AK253" s="361" t="e">
        <f t="shared" si="112"/>
        <v>#N/A</v>
      </c>
      <c r="AL253" s="361" t="e">
        <f t="shared" si="112"/>
        <v>#N/A</v>
      </c>
      <c r="AM253" s="361" t="e">
        <f t="shared" si="112"/>
        <v>#N/A</v>
      </c>
      <c r="AN253" s="361" t="e">
        <f t="shared" si="112"/>
        <v>#N/A</v>
      </c>
      <c r="AO253" s="361" t="e">
        <f t="shared" si="112"/>
        <v>#N/A</v>
      </c>
      <c r="AP253" s="361" t="e">
        <f t="shared" si="112"/>
        <v>#N/A</v>
      </c>
      <c r="AQ253" s="361" t="e">
        <f t="shared" si="112"/>
        <v>#N/A</v>
      </c>
    </row>
    <row r="254" spans="1:44" s="317" customFormat="1" ht="14.25" hidden="1">
      <c r="A254" s="1011" t="s">
        <v>329</v>
      </c>
      <c r="B254" s="1012"/>
      <c r="C254" s="1050"/>
      <c r="E254" s="360" t="e">
        <f t="shared" ref="E254:AQ254" si="113">IF(E250="",NA(),IF(E224&lt;=$B239,E250*$D242/100,IF(E224&lt;=$C239,E250*$E242/100,IF(E224&lt;=$D239,E250*$F242/100,IF(E224&lt;=$E239,E250*$G242/100,IF(E224&lt;=$F239,E250*$H242/100,IF(E224&lt;=$G239,E250*$I242/100,IF(E224&lt;=$H239,E250*$J242/100,IF(E224&lt;=$I239,E250*$K242/100,IF(E224&lt;=$J239,E250*$L242/100,IF(E224&lt;=$K239,E250*$M242/100,IF(E224&lt;=$L239,E250*$N242/100,IF(E224&lt;=$M239,E250*$O242/100,IF(E224&lt;=$N239,E250*$P242/100,IF(E224&lt;=$O239,E250*$Q242/100,IF(E224&lt;=$P239,E250*$R242/100,IF(E224&lt;=$Q239,E250*$S242/100,IF(E224&lt;=$R239,E250*$T242/100,IF(E224&lt;=$S239,E250*$U242/100,IF(E224&lt;=$T239,E250*$V242/100,IF(E224&lt;=$U239,E250*$W242/100,E250*$X242/100)))))))))))))))))))))</f>
        <v>#N/A</v>
      </c>
      <c r="F254" s="360" t="e">
        <f t="shared" si="113"/>
        <v>#N/A</v>
      </c>
      <c r="G254" s="360" t="e">
        <f t="shared" si="113"/>
        <v>#N/A</v>
      </c>
      <c r="H254" s="360" t="e">
        <f t="shared" si="113"/>
        <v>#N/A</v>
      </c>
      <c r="I254" s="360" t="e">
        <f t="shared" si="113"/>
        <v>#N/A</v>
      </c>
      <c r="J254" s="360" t="e">
        <f t="shared" si="113"/>
        <v>#N/A</v>
      </c>
      <c r="K254" s="360" t="e">
        <f t="shared" si="113"/>
        <v>#N/A</v>
      </c>
      <c r="L254" s="360" t="e">
        <f t="shared" si="113"/>
        <v>#N/A</v>
      </c>
      <c r="M254" s="360" t="e">
        <f t="shared" si="113"/>
        <v>#N/A</v>
      </c>
      <c r="N254" s="360" t="e">
        <f t="shared" si="113"/>
        <v>#N/A</v>
      </c>
      <c r="O254" s="360" t="e">
        <f t="shared" si="113"/>
        <v>#N/A</v>
      </c>
      <c r="P254" s="360" t="e">
        <f t="shared" si="113"/>
        <v>#N/A</v>
      </c>
      <c r="Q254" s="360" t="e">
        <f t="shared" si="113"/>
        <v>#N/A</v>
      </c>
      <c r="R254" s="360" t="e">
        <f t="shared" si="113"/>
        <v>#N/A</v>
      </c>
      <c r="S254" s="360" t="e">
        <f t="shared" si="113"/>
        <v>#N/A</v>
      </c>
      <c r="T254" s="360" t="e">
        <f t="shared" si="113"/>
        <v>#N/A</v>
      </c>
      <c r="U254" s="360" t="e">
        <f t="shared" si="113"/>
        <v>#N/A</v>
      </c>
      <c r="V254" s="360" t="e">
        <f t="shared" si="113"/>
        <v>#N/A</v>
      </c>
      <c r="W254" s="360" t="e">
        <f t="shared" si="113"/>
        <v>#N/A</v>
      </c>
      <c r="X254" s="360" t="e">
        <f t="shared" si="113"/>
        <v>#N/A</v>
      </c>
      <c r="Y254" s="360" t="e">
        <f t="shared" si="113"/>
        <v>#N/A</v>
      </c>
      <c r="Z254" s="360" t="e">
        <f t="shared" si="113"/>
        <v>#N/A</v>
      </c>
      <c r="AA254" s="360" t="e">
        <f t="shared" si="113"/>
        <v>#N/A</v>
      </c>
      <c r="AB254" s="360" t="e">
        <f t="shared" si="113"/>
        <v>#N/A</v>
      </c>
      <c r="AC254" s="360" t="e">
        <f t="shared" si="113"/>
        <v>#N/A</v>
      </c>
      <c r="AD254" s="360" t="e">
        <f t="shared" si="113"/>
        <v>#N/A</v>
      </c>
      <c r="AE254" s="360" t="e">
        <f t="shared" si="113"/>
        <v>#N/A</v>
      </c>
      <c r="AF254" s="360" t="e">
        <f t="shared" si="113"/>
        <v>#N/A</v>
      </c>
      <c r="AG254" s="360" t="e">
        <f t="shared" si="113"/>
        <v>#N/A</v>
      </c>
      <c r="AH254" s="360" t="e">
        <f t="shared" si="113"/>
        <v>#N/A</v>
      </c>
      <c r="AI254" s="360" t="e">
        <f t="shared" si="113"/>
        <v>#N/A</v>
      </c>
      <c r="AJ254" s="360" t="e">
        <f t="shared" si="113"/>
        <v>#N/A</v>
      </c>
      <c r="AK254" s="360" t="e">
        <f t="shared" si="113"/>
        <v>#N/A</v>
      </c>
      <c r="AL254" s="360" t="e">
        <f t="shared" si="113"/>
        <v>#N/A</v>
      </c>
      <c r="AM254" s="360" t="e">
        <f t="shared" si="113"/>
        <v>#N/A</v>
      </c>
      <c r="AN254" s="360" t="e">
        <f t="shared" si="113"/>
        <v>#N/A</v>
      </c>
      <c r="AO254" s="360" t="e">
        <f t="shared" si="113"/>
        <v>#N/A</v>
      </c>
      <c r="AP254" s="360" t="e">
        <f t="shared" si="113"/>
        <v>#N/A</v>
      </c>
      <c r="AQ254" s="360" t="e">
        <f t="shared" si="113"/>
        <v>#N/A</v>
      </c>
    </row>
    <row r="255" spans="1:44" s="317" customFormat="1" ht="15" hidden="1" thickBot="1">
      <c r="A255" s="1014" t="s">
        <v>330</v>
      </c>
      <c r="B255" s="1015"/>
      <c r="C255" s="1015"/>
      <c r="E255" s="362" t="e">
        <f>IF(E254="",NA(),ROUND(E252/E254*100,1))</f>
        <v>#N/A</v>
      </c>
      <c r="F255" s="362" t="e">
        <f t="shared" ref="F255:AQ255" si="114">IF(F254="",NA(),ROUND(F252/F254*100,1))</f>
        <v>#N/A</v>
      </c>
      <c r="G255" s="362" t="e">
        <f t="shared" si="114"/>
        <v>#N/A</v>
      </c>
      <c r="H255" s="362" t="e">
        <f t="shared" si="114"/>
        <v>#N/A</v>
      </c>
      <c r="I255" s="362" t="e">
        <f t="shared" si="114"/>
        <v>#N/A</v>
      </c>
      <c r="J255" s="362" t="e">
        <f t="shared" si="114"/>
        <v>#N/A</v>
      </c>
      <c r="K255" s="362" t="e">
        <f t="shared" si="114"/>
        <v>#N/A</v>
      </c>
      <c r="L255" s="362" t="e">
        <f t="shared" si="114"/>
        <v>#N/A</v>
      </c>
      <c r="M255" s="362" t="e">
        <f t="shared" si="114"/>
        <v>#N/A</v>
      </c>
      <c r="N255" s="362" t="e">
        <f t="shared" si="114"/>
        <v>#N/A</v>
      </c>
      <c r="O255" s="362" t="e">
        <f t="shared" si="114"/>
        <v>#N/A</v>
      </c>
      <c r="P255" s="362" t="e">
        <f t="shared" si="114"/>
        <v>#N/A</v>
      </c>
      <c r="Q255" s="362" t="e">
        <f t="shared" si="114"/>
        <v>#N/A</v>
      </c>
      <c r="R255" s="362" t="e">
        <f t="shared" si="114"/>
        <v>#N/A</v>
      </c>
      <c r="S255" s="362" t="e">
        <f t="shared" si="114"/>
        <v>#N/A</v>
      </c>
      <c r="T255" s="362" t="e">
        <f t="shared" si="114"/>
        <v>#N/A</v>
      </c>
      <c r="U255" s="362" t="e">
        <f t="shared" si="114"/>
        <v>#N/A</v>
      </c>
      <c r="V255" s="362" t="e">
        <f t="shared" si="114"/>
        <v>#N/A</v>
      </c>
      <c r="W255" s="362" t="e">
        <f t="shared" si="114"/>
        <v>#N/A</v>
      </c>
      <c r="X255" s="362" t="e">
        <f t="shared" si="114"/>
        <v>#N/A</v>
      </c>
      <c r="Y255" s="362" t="e">
        <f t="shared" si="114"/>
        <v>#N/A</v>
      </c>
      <c r="Z255" s="362" t="e">
        <f t="shared" si="114"/>
        <v>#N/A</v>
      </c>
      <c r="AA255" s="362" t="e">
        <f t="shared" si="114"/>
        <v>#N/A</v>
      </c>
      <c r="AB255" s="362" t="e">
        <f t="shared" si="114"/>
        <v>#N/A</v>
      </c>
      <c r="AC255" s="362" t="e">
        <f t="shared" si="114"/>
        <v>#N/A</v>
      </c>
      <c r="AD255" s="362" t="e">
        <f t="shared" si="114"/>
        <v>#N/A</v>
      </c>
      <c r="AE255" s="362" t="e">
        <f t="shared" si="114"/>
        <v>#N/A</v>
      </c>
      <c r="AF255" s="362" t="e">
        <f t="shared" si="114"/>
        <v>#N/A</v>
      </c>
      <c r="AG255" s="362" t="e">
        <f t="shared" si="114"/>
        <v>#N/A</v>
      </c>
      <c r="AH255" s="362" t="e">
        <f t="shared" si="114"/>
        <v>#N/A</v>
      </c>
      <c r="AI255" s="362" t="e">
        <f t="shared" si="114"/>
        <v>#N/A</v>
      </c>
      <c r="AJ255" s="362" t="e">
        <f t="shared" si="114"/>
        <v>#N/A</v>
      </c>
      <c r="AK255" s="362" t="e">
        <f t="shared" si="114"/>
        <v>#N/A</v>
      </c>
      <c r="AL255" s="362" t="e">
        <f t="shared" si="114"/>
        <v>#N/A</v>
      </c>
      <c r="AM255" s="362" t="e">
        <f t="shared" si="114"/>
        <v>#N/A</v>
      </c>
      <c r="AN255" s="362" t="e">
        <f t="shared" si="114"/>
        <v>#N/A</v>
      </c>
      <c r="AO255" s="362" t="e">
        <f t="shared" si="114"/>
        <v>#N/A</v>
      </c>
      <c r="AP255" s="362" t="e">
        <f t="shared" si="114"/>
        <v>#N/A</v>
      </c>
      <c r="AQ255" s="362" t="e">
        <f t="shared" si="114"/>
        <v>#N/A</v>
      </c>
      <c r="AR255" s="362"/>
    </row>
    <row r="256" spans="1:44" s="317" customFormat="1" ht="14.25" hidden="1"/>
    <row r="257" spans="1:44" s="317" customFormat="1" ht="21" customHeight="1" thickBot="1">
      <c r="A257" s="316" t="s">
        <v>340</v>
      </c>
    </row>
    <row r="258" spans="1:44" s="317" customFormat="1" ht="12.95" customHeight="1" thickBot="1">
      <c r="A258" s="1016" t="s">
        <v>286</v>
      </c>
      <c r="B258" s="1017"/>
      <c r="C258" s="1017"/>
      <c r="D258" s="1022"/>
      <c r="E258" s="1022"/>
      <c r="F258" s="1023"/>
      <c r="H258" s="318" t="s">
        <v>294</v>
      </c>
      <c r="I258" s="1022"/>
      <c r="J258" s="1023"/>
      <c r="L258" s="363" t="s">
        <v>295</v>
      </c>
      <c r="M258" s="1057"/>
      <c r="N258" s="1058"/>
      <c r="O258" s="364"/>
      <c r="P258" s="1059" t="s">
        <v>297</v>
      </c>
      <c r="Q258" s="1060"/>
      <c r="R258" s="365"/>
      <c r="S258" s="365"/>
      <c r="T258" s="365"/>
    </row>
    <row r="259" spans="1:44" s="317" customFormat="1" ht="12.95" customHeight="1" thickBot="1">
      <c r="L259" s="366" t="s">
        <v>296</v>
      </c>
      <c r="M259" s="1061"/>
      <c r="N259" s="1062"/>
      <c r="P259" s="1028"/>
      <c r="Q259" s="1029"/>
      <c r="R259" s="1029"/>
      <c r="S259" s="1029"/>
      <c r="T259" s="1029"/>
      <c r="U259" s="1029"/>
      <c r="V259" s="1029"/>
      <c r="W259" s="1029"/>
      <c r="X259" s="1030"/>
    </row>
    <row r="260" spans="1:44" s="317" customFormat="1" ht="14.25">
      <c r="A260" s="1037" t="s">
        <v>63</v>
      </c>
      <c r="B260" s="1038"/>
      <c r="C260" s="1038"/>
      <c r="D260" s="388" t="s">
        <v>49</v>
      </c>
      <c r="E260" s="388" t="s">
        <v>14</v>
      </c>
      <c r="F260" s="388" t="s">
        <v>16</v>
      </c>
      <c r="G260" s="388" t="s">
        <v>50</v>
      </c>
      <c r="H260" s="388" t="s">
        <v>51</v>
      </c>
      <c r="I260" s="322" t="s">
        <v>54</v>
      </c>
      <c r="J260" s="323" t="s">
        <v>53</v>
      </c>
      <c r="K260" s="324"/>
      <c r="P260" s="1031"/>
      <c r="Q260" s="1032"/>
      <c r="R260" s="1032"/>
      <c r="S260" s="1032"/>
      <c r="T260" s="1032"/>
      <c r="U260" s="1032"/>
      <c r="V260" s="1032"/>
      <c r="W260" s="1032"/>
      <c r="X260" s="1033"/>
      <c r="Z260" s="326"/>
      <c r="AA260" s="326"/>
    </row>
    <row r="261" spans="1:44" s="317" customFormat="1" ht="14.25">
      <c r="A261" s="1011" t="s">
        <v>166</v>
      </c>
      <c r="B261" s="1012"/>
      <c r="C261" s="1012"/>
      <c r="D261" s="373" t="str">
        <f>IF(D262+D263=0,"",D262+D263)</f>
        <v/>
      </c>
      <c r="E261" s="373" t="str">
        <f>IF(E262+E263=0,"",E262+E263)</f>
        <v/>
      </c>
      <c r="F261" s="373" t="str">
        <f>IF(F262+F263=0,"",F262+F263)</f>
        <v/>
      </c>
      <c r="G261" s="373" t="str">
        <f>IF(G262+G263=0,"",G262+G263)</f>
        <v/>
      </c>
      <c r="H261" s="373" t="str">
        <f>IF(H262+H263=0,"",H262+H263)</f>
        <v/>
      </c>
      <c r="I261" s="327"/>
      <c r="J261" s="390" t="str">
        <f>IF(SUM(D261:I261)=0,"",SUM(D261:I261))</f>
        <v/>
      </c>
      <c r="K261" s="324"/>
      <c r="P261" s="1031"/>
      <c r="Q261" s="1032"/>
      <c r="R261" s="1032"/>
      <c r="S261" s="1032"/>
      <c r="T261" s="1032"/>
      <c r="U261" s="1032"/>
      <c r="V261" s="1032"/>
      <c r="W261" s="1032"/>
      <c r="X261" s="1033"/>
      <c r="Z261" s="326"/>
      <c r="AA261" s="326"/>
    </row>
    <row r="262" spans="1:44" s="317" customFormat="1" ht="14.25">
      <c r="A262" s="1011" t="s">
        <v>95</v>
      </c>
      <c r="B262" s="1012"/>
      <c r="C262" s="1012"/>
      <c r="D262" s="393"/>
      <c r="E262" s="393"/>
      <c r="F262" s="393"/>
      <c r="G262" s="393"/>
      <c r="H262" s="393"/>
      <c r="I262" s="327"/>
      <c r="J262" s="390" t="str">
        <f>IF(SUM(D262:I262)=0,"",SUM(D262:I262))</f>
        <v/>
      </c>
      <c r="K262" s="330"/>
      <c r="P262" s="1031"/>
      <c r="Q262" s="1032"/>
      <c r="R262" s="1032"/>
      <c r="S262" s="1032"/>
      <c r="T262" s="1032"/>
      <c r="U262" s="1032"/>
      <c r="V262" s="1032"/>
      <c r="W262" s="1032"/>
      <c r="X262" s="1033"/>
      <c r="Y262" s="1013"/>
      <c r="Z262" s="1013"/>
      <c r="AA262" s="1013"/>
    </row>
    <row r="263" spans="1:44" s="317" customFormat="1" ht="14.25">
      <c r="A263" s="1011" t="s">
        <v>52</v>
      </c>
      <c r="B263" s="1012"/>
      <c r="C263" s="1012"/>
      <c r="D263" s="393"/>
      <c r="E263" s="393"/>
      <c r="F263" s="393"/>
      <c r="G263" s="393"/>
      <c r="H263" s="393"/>
      <c r="I263" s="327"/>
      <c r="J263" s="390" t="str">
        <f>IF(SUM(D263:I263)=0,"",SUM(D263:I263))</f>
        <v/>
      </c>
      <c r="K263" s="330"/>
      <c r="P263" s="1031"/>
      <c r="Q263" s="1032"/>
      <c r="R263" s="1032"/>
      <c r="S263" s="1032"/>
      <c r="T263" s="1032"/>
      <c r="U263" s="1032"/>
      <c r="V263" s="1032"/>
      <c r="W263" s="1032"/>
      <c r="X263" s="1033"/>
      <c r="Y263" s="1013"/>
      <c r="Z263" s="1013"/>
      <c r="AA263" s="1013"/>
    </row>
    <row r="264" spans="1:44" s="317" customFormat="1" ht="15" thickBot="1">
      <c r="A264" s="1014" t="s">
        <v>165</v>
      </c>
      <c r="B264" s="1015"/>
      <c r="C264" s="1015"/>
      <c r="D264" s="394"/>
      <c r="E264" s="394"/>
      <c r="F264" s="394"/>
      <c r="G264" s="394"/>
      <c r="H264" s="394"/>
      <c r="I264" s="391" t="str">
        <f>IF(SUM(E267:AQ267)=0,"",SUM(E267:AQ267))</f>
        <v/>
      </c>
      <c r="J264" s="392" t="str">
        <f>IF(SUM(D264:I264)=0,"",SUM(D264:I264))</f>
        <v/>
      </c>
      <c r="K264" s="330"/>
      <c r="O264" s="364"/>
      <c r="P264" s="1034"/>
      <c r="Q264" s="1035"/>
      <c r="R264" s="1035"/>
      <c r="S264" s="1035"/>
      <c r="T264" s="1035"/>
      <c r="U264" s="1035"/>
      <c r="V264" s="1035"/>
      <c r="W264" s="1035"/>
      <c r="X264" s="1036"/>
      <c r="Y264" s="1013"/>
      <c r="Z264" s="1013"/>
      <c r="AA264" s="1013"/>
    </row>
    <row r="265" spans="1:44" s="317" customFormat="1" ht="10.5" customHeight="1" thickBot="1"/>
    <row r="266" spans="1:44" s="317" customFormat="1" ht="14.25">
      <c r="A266" s="1056" t="s">
        <v>17</v>
      </c>
      <c r="B266" s="1038"/>
      <c r="C266" s="1038"/>
      <c r="D266" s="388">
        <v>1</v>
      </c>
      <c r="E266" s="388">
        <v>2</v>
      </c>
      <c r="F266" s="388">
        <v>3</v>
      </c>
      <c r="G266" s="388">
        <v>4</v>
      </c>
      <c r="H266" s="388">
        <v>5</v>
      </c>
      <c r="I266" s="388">
        <v>6</v>
      </c>
      <c r="J266" s="388">
        <v>7</v>
      </c>
      <c r="K266" s="388">
        <v>8</v>
      </c>
      <c r="L266" s="388">
        <v>9</v>
      </c>
      <c r="M266" s="388">
        <v>10</v>
      </c>
      <c r="N266" s="388">
        <v>11</v>
      </c>
      <c r="O266" s="388">
        <v>12</v>
      </c>
      <c r="P266" s="388">
        <v>13</v>
      </c>
      <c r="Q266" s="388">
        <v>14</v>
      </c>
      <c r="R266" s="388">
        <v>15</v>
      </c>
      <c r="S266" s="388">
        <v>16</v>
      </c>
      <c r="T266" s="388">
        <v>17</v>
      </c>
      <c r="U266" s="388">
        <v>18</v>
      </c>
      <c r="V266" s="388">
        <v>19</v>
      </c>
      <c r="W266" s="388">
        <v>20</v>
      </c>
      <c r="X266" s="388">
        <v>21</v>
      </c>
      <c r="Y266" s="388">
        <v>22</v>
      </c>
      <c r="Z266" s="388">
        <v>23</v>
      </c>
      <c r="AA266" s="388">
        <v>24</v>
      </c>
      <c r="AB266" s="388">
        <v>25</v>
      </c>
      <c r="AC266" s="388">
        <v>26</v>
      </c>
      <c r="AD266" s="388">
        <v>27</v>
      </c>
      <c r="AE266" s="388">
        <v>28</v>
      </c>
      <c r="AF266" s="388">
        <v>29</v>
      </c>
      <c r="AG266" s="388">
        <v>30</v>
      </c>
      <c r="AH266" s="388">
        <v>31</v>
      </c>
      <c r="AI266" s="388">
        <v>32</v>
      </c>
      <c r="AJ266" s="388">
        <v>33</v>
      </c>
      <c r="AK266" s="388">
        <v>34</v>
      </c>
      <c r="AL266" s="388">
        <v>35</v>
      </c>
      <c r="AM266" s="388">
        <v>36</v>
      </c>
      <c r="AN266" s="388">
        <v>37</v>
      </c>
      <c r="AO266" s="388">
        <v>38</v>
      </c>
      <c r="AP266" s="388">
        <v>39</v>
      </c>
      <c r="AQ266" s="323">
        <v>40</v>
      </c>
    </row>
    <row r="267" spans="1:44" s="317" customFormat="1" ht="14.25">
      <c r="A267" s="1011" t="s">
        <v>209</v>
      </c>
      <c r="B267" s="1012"/>
      <c r="C267" s="1012"/>
      <c r="D267" s="387"/>
      <c r="E267" s="329"/>
      <c r="F267" s="329"/>
      <c r="G267" s="329"/>
      <c r="H267" s="329"/>
      <c r="I267" s="329"/>
      <c r="J267" s="329"/>
      <c r="K267" s="329"/>
      <c r="L267" s="329"/>
      <c r="M267" s="329"/>
      <c r="N267" s="329"/>
      <c r="O267" s="329"/>
      <c r="P267" s="329"/>
      <c r="Q267" s="329"/>
      <c r="R267" s="329"/>
      <c r="S267" s="329"/>
      <c r="T267" s="329"/>
      <c r="U267" s="329"/>
      <c r="V267" s="329"/>
      <c r="W267" s="329"/>
      <c r="X267" s="329"/>
      <c r="Y267" s="329"/>
      <c r="Z267" s="329"/>
      <c r="AA267" s="329"/>
      <c r="AB267" s="329"/>
      <c r="AC267" s="329"/>
      <c r="AD267" s="329"/>
      <c r="AE267" s="329"/>
      <c r="AF267" s="329"/>
      <c r="AG267" s="329"/>
      <c r="AH267" s="329"/>
      <c r="AI267" s="329"/>
      <c r="AJ267" s="329"/>
      <c r="AK267" s="329"/>
      <c r="AL267" s="329"/>
      <c r="AM267" s="329"/>
      <c r="AN267" s="329"/>
      <c r="AO267" s="329"/>
      <c r="AP267" s="329"/>
      <c r="AQ267" s="333"/>
    </row>
    <row r="268" spans="1:44" s="317" customFormat="1" ht="14.25">
      <c r="A268" s="1063" t="s">
        <v>1</v>
      </c>
      <c r="B268" s="1064"/>
      <c r="C268" s="1065" t="s">
        <v>65</v>
      </c>
      <c r="D268" s="334"/>
      <c r="E268" s="335"/>
      <c r="F268" s="335"/>
      <c r="G268" s="335"/>
      <c r="H268" s="335"/>
      <c r="I268" s="335"/>
      <c r="J268" s="335"/>
      <c r="K268" s="335"/>
      <c r="L268" s="335"/>
      <c r="M268" s="335"/>
      <c r="N268" s="335"/>
      <c r="O268" s="335"/>
      <c r="P268" s="335"/>
      <c r="Q268" s="335"/>
      <c r="R268" s="335"/>
      <c r="S268" s="335"/>
      <c r="T268" s="335"/>
      <c r="U268" s="335"/>
      <c r="V268" s="335"/>
      <c r="W268" s="335"/>
      <c r="X268" s="335"/>
      <c r="Y268" s="335"/>
      <c r="Z268" s="335"/>
      <c r="AA268" s="335"/>
      <c r="AB268" s="335"/>
      <c r="AC268" s="335"/>
      <c r="AD268" s="335"/>
      <c r="AE268" s="335"/>
      <c r="AF268" s="335"/>
      <c r="AG268" s="335"/>
      <c r="AH268" s="335"/>
      <c r="AI268" s="335"/>
      <c r="AJ268" s="335"/>
      <c r="AK268" s="335"/>
      <c r="AL268" s="336"/>
      <c r="AM268" s="336"/>
      <c r="AN268" s="336"/>
      <c r="AO268" s="335"/>
      <c r="AP268" s="335"/>
      <c r="AQ268" s="337"/>
      <c r="AR268" s="372"/>
    </row>
    <row r="269" spans="1:44" s="317" customFormat="1" ht="14.25">
      <c r="A269" s="1063" t="s">
        <v>2</v>
      </c>
      <c r="B269" s="1064"/>
      <c r="C269" s="1065"/>
      <c r="D269" s="334"/>
      <c r="E269" s="335"/>
      <c r="F269" s="335"/>
      <c r="G269" s="335"/>
      <c r="H269" s="335"/>
      <c r="I269" s="335"/>
      <c r="J269" s="335"/>
      <c r="K269" s="335"/>
      <c r="L269" s="335"/>
      <c r="M269" s="335"/>
      <c r="N269" s="335"/>
      <c r="O269" s="335"/>
      <c r="P269" s="335"/>
      <c r="Q269" s="335"/>
      <c r="R269" s="335"/>
      <c r="S269" s="335"/>
      <c r="T269" s="335"/>
      <c r="U269" s="335"/>
      <c r="V269" s="335"/>
      <c r="W269" s="335"/>
      <c r="X269" s="335"/>
      <c r="Y269" s="335"/>
      <c r="Z269" s="335"/>
      <c r="AA269" s="335"/>
      <c r="AB269" s="335"/>
      <c r="AC269" s="335"/>
      <c r="AD269" s="335"/>
      <c r="AE269" s="335"/>
      <c r="AF269" s="335"/>
      <c r="AG269" s="335"/>
      <c r="AH269" s="335"/>
      <c r="AI269" s="335"/>
      <c r="AJ269" s="335"/>
      <c r="AK269" s="335"/>
      <c r="AL269" s="335"/>
      <c r="AM269" s="335"/>
      <c r="AN269" s="335"/>
      <c r="AO269" s="335"/>
      <c r="AP269" s="338"/>
      <c r="AQ269" s="339"/>
      <c r="AR269" s="372"/>
    </row>
    <row r="270" spans="1:44" s="317" customFormat="1" ht="14.25">
      <c r="A270" s="1011" t="s">
        <v>265</v>
      </c>
      <c r="B270" s="1012"/>
      <c r="C270" s="1012"/>
      <c r="D270" s="340"/>
      <c r="E270" s="341"/>
      <c r="F270" s="341"/>
      <c r="G270" s="341"/>
      <c r="H270" s="341"/>
      <c r="I270" s="341"/>
      <c r="J270" s="341"/>
      <c r="K270" s="341"/>
      <c r="L270" s="341"/>
      <c r="M270" s="341"/>
      <c r="N270" s="341"/>
      <c r="O270" s="341"/>
      <c r="P270" s="341"/>
      <c r="Q270" s="341"/>
      <c r="R270" s="341"/>
      <c r="S270" s="341"/>
      <c r="T270" s="341"/>
      <c r="U270" s="341"/>
      <c r="V270" s="341"/>
      <c r="W270" s="341"/>
      <c r="X270" s="341"/>
      <c r="Y270" s="341"/>
      <c r="Z270" s="341"/>
      <c r="AA270" s="341"/>
      <c r="AB270" s="341"/>
      <c r="AC270" s="341"/>
      <c r="AD270" s="341"/>
      <c r="AE270" s="341"/>
      <c r="AF270" s="341"/>
      <c r="AG270" s="341"/>
      <c r="AH270" s="341"/>
      <c r="AI270" s="341"/>
      <c r="AJ270" s="341"/>
      <c r="AK270" s="341"/>
      <c r="AL270" s="336"/>
      <c r="AM270" s="336"/>
      <c r="AN270" s="336"/>
      <c r="AO270" s="341"/>
      <c r="AP270" s="341"/>
      <c r="AQ270" s="342"/>
    </row>
    <row r="271" spans="1:44" s="317" customFormat="1" ht="14.25">
      <c r="A271" s="1009" t="s">
        <v>302</v>
      </c>
      <c r="B271" s="1010"/>
      <c r="C271" s="1010"/>
      <c r="D271" s="395"/>
      <c r="E271" s="396" t="str">
        <f>IFERROR(E294,"")</f>
        <v/>
      </c>
      <c r="F271" s="396" t="str">
        <f t="shared" ref="F271:AQ271" si="115">IFERROR(F294,"")</f>
        <v/>
      </c>
      <c r="G271" s="396" t="str">
        <f t="shared" si="115"/>
        <v/>
      </c>
      <c r="H271" s="396" t="str">
        <f t="shared" si="115"/>
        <v/>
      </c>
      <c r="I271" s="396" t="str">
        <f t="shared" si="115"/>
        <v/>
      </c>
      <c r="J271" s="396" t="str">
        <f t="shared" si="115"/>
        <v/>
      </c>
      <c r="K271" s="396" t="str">
        <f t="shared" si="115"/>
        <v/>
      </c>
      <c r="L271" s="396" t="str">
        <f t="shared" si="115"/>
        <v/>
      </c>
      <c r="M271" s="396" t="str">
        <f t="shared" si="115"/>
        <v/>
      </c>
      <c r="N271" s="396" t="str">
        <f t="shared" si="115"/>
        <v/>
      </c>
      <c r="O271" s="396" t="str">
        <f t="shared" si="115"/>
        <v/>
      </c>
      <c r="P271" s="396" t="str">
        <f t="shared" si="115"/>
        <v/>
      </c>
      <c r="Q271" s="396" t="str">
        <f t="shared" si="115"/>
        <v/>
      </c>
      <c r="R271" s="396" t="str">
        <f t="shared" si="115"/>
        <v/>
      </c>
      <c r="S271" s="396" t="str">
        <f t="shared" si="115"/>
        <v/>
      </c>
      <c r="T271" s="396" t="str">
        <f t="shared" si="115"/>
        <v/>
      </c>
      <c r="U271" s="396" t="str">
        <f t="shared" si="115"/>
        <v/>
      </c>
      <c r="V271" s="396" t="str">
        <f t="shared" si="115"/>
        <v/>
      </c>
      <c r="W271" s="396" t="str">
        <f t="shared" si="115"/>
        <v/>
      </c>
      <c r="X271" s="396" t="str">
        <f t="shared" si="115"/>
        <v/>
      </c>
      <c r="Y271" s="396" t="str">
        <f t="shared" si="115"/>
        <v/>
      </c>
      <c r="Z271" s="396" t="str">
        <f t="shared" si="115"/>
        <v/>
      </c>
      <c r="AA271" s="396" t="str">
        <f t="shared" si="115"/>
        <v/>
      </c>
      <c r="AB271" s="396" t="str">
        <f t="shared" si="115"/>
        <v/>
      </c>
      <c r="AC271" s="396" t="str">
        <f t="shared" si="115"/>
        <v/>
      </c>
      <c r="AD271" s="396" t="str">
        <f t="shared" si="115"/>
        <v/>
      </c>
      <c r="AE271" s="396" t="str">
        <f t="shared" si="115"/>
        <v/>
      </c>
      <c r="AF271" s="396" t="str">
        <f t="shared" si="115"/>
        <v/>
      </c>
      <c r="AG271" s="396" t="str">
        <f t="shared" si="115"/>
        <v/>
      </c>
      <c r="AH271" s="396" t="str">
        <f t="shared" si="115"/>
        <v/>
      </c>
      <c r="AI271" s="396" t="str">
        <f t="shared" si="115"/>
        <v/>
      </c>
      <c r="AJ271" s="396" t="str">
        <f t="shared" si="115"/>
        <v/>
      </c>
      <c r="AK271" s="396" t="str">
        <f t="shared" si="115"/>
        <v/>
      </c>
      <c r="AL271" s="396" t="str">
        <f t="shared" si="115"/>
        <v/>
      </c>
      <c r="AM271" s="396" t="str">
        <f t="shared" si="115"/>
        <v/>
      </c>
      <c r="AN271" s="396" t="str">
        <f t="shared" si="115"/>
        <v/>
      </c>
      <c r="AO271" s="396" t="str">
        <f t="shared" si="115"/>
        <v/>
      </c>
      <c r="AP271" s="396" t="str">
        <f t="shared" si="115"/>
        <v/>
      </c>
      <c r="AQ271" s="397" t="str">
        <f t="shared" si="115"/>
        <v/>
      </c>
      <c r="AR271" s="372"/>
    </row>
    <row r="272" spans="1:44" s="317" customFormat="1" ht="14.25" customHeight="1">
      <c r="A272" s="1009" t="s">
        <v>303</v>
      </c>
      <c r="B272" s="1010"/>
      <c r="C272" s="1010"/>
      <c r="D272" s="395"/>
      <c r="E272" s="396" t="str">
        <f t="shared" ref="E272:AQ272" si="116">IFERROR(E295,"")</f>
        <v/>
      </c>
      <c r="F272" s="396" t="str">
        <f t="shared" si="116"/>
        <v/>
      </c>
      <c r="G272" s="396" t="str">
        <f t="shared" si="116"/>
        <v/>
      </c>
      <c r="H272" s="396" t="str">
        <f t="shared" si="116"/>
        <v/>
      </c>
      <c r="I272" s="396" t="str">
        <f t="shared" si="116"/>
        <v/>
      </c>
      <c r="J272" s="396" t="str">
        <f t="shared" si="116"/>
        <v/>
      </c>
      <c r="K272" s="396" t="str">
        <f t="shared" si="116"/>
        <v/>
      </c>
      <c r="L272" s="396" t="str">
        <f t="shared" si="116"/>
        <v/>
      </c>
      <c r="M272" s="396" t="str">
        <f t="shared" si="116"/>
        <v/>
      </c>
      <c r="N272" s="396" t="str">
        <f t="shared" si="116"/>
        <v/>
      </c>
      <c r="O272" s="396" t="str">
        <f t="shared" si="116"/>
        <v/>
      </c>
      <c r="P272" s="396" t="str">
        <f t="shared" si="116"/>
        <v/>
      </c>
      <c r="Q272" s="396" t="str">
        <f t="shared" si="116"/>
        <v/>
      </c>
      <c r="R272" s="396" t="str">
        <f t="shared" si="116"/>
        <v/>
      </c>
      <c r="S272" s="396" t="str">
        <f t="shared" si="116"/>
        <v/>
      </c>
      <c r="T272" s="396" t="str">
        <f t="shared" si="116"/>
        <v/>
      </c>
      <c r="U272" s="396" t="str">
        <f t="shared" si="116"/>
        <v/>
      </c>
      <c r="V272" s="396" t="str">
        <f t="shared" si="116"/>
        <v/>
      </c>
      <c r="W272" s="396" t="str">
        <f t="shared" si="116"/>
        <v/>
      </c>
      <c r="X272" s="396" t="str">
        <f t="shared" si="116"/>
        <v/>
      </c>
      <c r="Y272" s="396" t="str">
        <f t="shared" si="116"/>
        <v/>
      </c>
      <c r="Z272" s="396" t="str">
        <f t="shared" si="116"/>
        <v/>
      </c>
      <c r="AA272" s="396" t="str">
        <f t="shared" si="116"/>
        <v/>
      </c>
      <c r="AB272" s="396" t="str">
        <f t="shared" si="116"/>
        <v/>
      </c>
      <c r="AC272" s="396" t="str">
        <f t="shared" si="116"/>
        <v/>
      </c>
      <c r="AD272" s="396" t="str">
        <f t="shared" si="116"/>
        <v/>
      </c>
      <c r="AE272" s="396" t="str">
        <f t="shared" si="116"/>
        <v/>
      </c>
      <c r="AF272" s="396" t="str">
        <f t="shared" si="116"/>
        <v/>
      </c>
      <c r="AG272" s="396" t="str">
        <f t="shared" si="116"/>
        <v/>
      </c>
      <c r="AH272" s="396" t="str">
        <f t="shared" si="116"/>
        <v/>
      </c>
      <c r="AI272" s="396" t="str">
        <f t="shared" si="116"/>
        <v/>
      </c>
      <c r="AJ272" s="396" t="str">
        <f t="shared" si="116"/>
        <v/>
      </c>
      <c r="AK272" s="396" t="str">
        <f t="shared" si="116"/>
        <v/>
      </c>
      <c r="AL272" s="396" t="str">
        <f t="shared" si="116"/>
        <v/>
      </c>
      <c r="AM272" s="396" t="str">
        <f t="shared" si="116"/>
        <v/>
      </c>
      <c r="AN272" s="396" t="str">
        <f t="shared" si="116"/>
        <v/>
      </c>
      <c r="AO272" s="396" t="str">
        <f t="shared" si="116"/>
        <v/>
      </c>
      <c r="AP272" s="396" t="str">
        <f t="shared" si="116"/>
        <v/>
      </c>
      <c r="AQ272" s="397" t="str">
        <f t="shared" si="116"/>
        <v/>
      </c>
      <c r="AR272" s="372"/>
    </row>
    <row r="273" spans="1:44" s="317" customFormat="1" ht="14.25">
      <c r="A273" s="1009" t="s">
        <v>304</v>
      </c>
      <c r="B273" s="1010"/>
      <c r="C273" s="1010"/>
      <c r="D273" s="395"/>
      <c r="E273" s="396" t="str">
        <f t="shared" ref="E273:AQ273" si="117">IFERROR(E296,"")</f>
        <v/>
      </c>
      <c r="F273" s="396" t="str">
        <f t="shared" si="117"/>
        <v/>
      </c>
      <c r="G273" s="396" t="str">
        <f t="shared" si="117"/>
        <v/>
      </c>
      <c r="H273" s="396" t="str">
        <f t="shared" si="117"/>
        <v/>
      </c>
      <c r="I273" s="396" t="str">
        <f t="shared" si="117"/>
        <v/>
      </c>
      <c r="J273" s="396" t="str">
        <f t="shared" si="117"/>
        <v/>
      </c>
      <c r="K273" s="396" t="str">
        <f t="shared" si="117"/>
        <v/>
      </c>
      <c r="L273" s="396" t="str">
        <f t="shared" si="117"/>
        <v/>
      </c>
      <c r="M273" s="396" t="str">
        <f t="shared" si="117"/>
        <v/>
      </c>
      <c r="N273" s="396" t="str">
        <f t="shared" si="117"/>
        <v/>
      </c>
      <c r="O273" s="396" t="str">
        <f t="shared" si="117"/>
        <v/>
      </c>
      <c r="P273" s="396" t="str">
        <f t="shared" si="117"/>
        <v/>
      </c>
      <c r="Q273" s="396" t="str">
        <f t="shared" si="117"/>
        <v/>
      </c>
      <c r="R273" s="396" t="str">
        <f t="shared" si="117"/>
        <v/>
      </c>
      <c r="S273" s="396" t="str">
        <f t="shared" si="117"/>
        <v/>
      </c>
      <c r="T273" s="396" t="str">
        <f t="shared" si="117"/>
        <v/>
      </c>
      <c r="U273" s="396" t="str">
        <f t="shared" si="117"/>
        <v/>
      </c>
      <c r="V273" s="396" t="str">
        <f t="shared" si="117"/>
        <v/>
      </c>
      <c r="W273" s="396" t="str">
        <f t="shared" si="117"/>
        <v/>
      </c>
      <c r="X273" s="396" t="str">
        <f t="shared" si="117"/>
        <v/>
      </c>
      <c r="Y273" s="396" t="str">
        <f t="shared" si="117"/>
        <v/>
      </c>
      <c r="Z273" s="396" t="str">
        <f t="shared" si="117"/>
        <v/>
      </c>
      <c r="AA273" s="396" t="str">
        <f t="shared" si="117"/>
        <v/>
      </c>
      <c r="AB273" s="396" t="str">
        <f t="shared" si="117"/>
        <v/>
      </c>
      <c r="AC273" s="396" t="str">
        <f t="shared" si="117"/>
        <v/>
      </c>
      <c r="AD273" s="396" t="str">
        <f t="shared" si="117"/>
        <v/>
      </c>
      <c r="AE273" s="396" t="str">
        <f t="shared" si="117"/>
        <v/>
      </c>
      <c r="AF273" s="396" t="str">
        <f t="shared" si="117"/>
        <v/>
      </c>
      <c r="AG273" s="396" t="str">
        <f t="shared" si="117"/>
        <v/>
      </c>
      <c r="AH273" s="396" t="str">
        <f t="shared" si="117"/>
        <v/>
      </c>
      <c r="AI273" s="396" t="str">
        <f t="shared" si="117"/>
        <v/>
      </c>
      <c r="AJ273" s="396" t="str">
        <f t="shared" si="117"/>
        <v/>
      </c>
      <c r="AK273" s="396" t="str">
        <f t="shared" si="117"/>
        <v/>
      </c>
      <c r="AL273" s="396" t="str">
        <f t="shared" si="117"/>
        <v/>
      </c>
      <c r="AM273" s="396" t="str">
        <f t="shared" si="117"/>
        <v/>
      </c>
      <c r="AN273" s="396" t="str">
        <f t="shared" si="117"/>
        <v/>
      </c>
      <c r="AO273" s="396" t="str">
        <f t="shared" si="117"/>
        <v/>
      </c>
      <c r="AP273" s="396" t="str">
        <f t="shared" si="117"/>
        <v/>
      </c>
      <c r="AQ273" s="397" t="str">
        <f t="shared" si="117"/>
        <v/>
      </c>
      <c r="AR273" s="372"/>
    </row>
    <row r="274" spans="1:44" s="317" customFormat="1" ht="14.25">
      <c r="A274" s="1051" t="s">
        <v>305</v>
      </c>
      <c r="B274" s="1052"/>
      <c r="C274" s="1052"/>
      <c r="D274" s="395"/>
      <c r="E274" s="396" t="str">
        <f t="shared" ref="E274:AQ274" si="118">IFERROR(E297,"")</f>
        <v/>
      </c>
      <c r="F274" s="396" t="str">
        <f t="shared" si="118"/>
        <v/>
      </c>
      <c r="G274" s="396" t="str">
        <f t="shared" si="118"/>
        <v/>
      </c>
      <c r="H274" s="396" t="str">
        <f t="shared" si="118"/>
        <v/>
      </c>
      <c r="I274" s="396" t="str">
        <f t="shared" si="118"/>
        <v/>
      </c>
      <c r="J274" s="396" t="str">
        <f t="shared" si="118"/>
        <v/>
      </c>
      <c r="K274" s="396" t="str">
        <f t="shared" si="118"/>
        <v/>
      </c>
      <c r="L274" s="396" t="str">
        <f t="shared" si="118"/>
        <v/>
      </c>
      <c r="M274" s="396" t="str">
        <f t="shared" si="118"/>
        <v/>
      </c>
      <c r="N274" s="396" t="str">
        <f t="shared" si="118"/>
        <v/>
      </c>
      <c r="O274" s="396" t="str">
        <f t="shared" si="118"/>
        <v/>
      </c>
      <c r="P274" s="396" t="str">
        <f t="shared" si="118"/>
        <v/>
      </c>
      <c r="Q274" s="396" t="str">
        <f t="shared" si="118"/>
        <v/>
      </c>
      <c r="R274" s="396" t="str">
        <f t="shared" si="118"/>
        <v/>
      </c>
      <c r="S274" s="396" t="str">
        <f t="shared" si="118"/>
        <v/>
      </c>
      <c r="T274" s="396" t="str">
        <f t="shared" si="118"/>
        <v/>
      </c>
      <c r="U274" s="396" t="str">
        <f t="shared" si="118"/>
        <v/>
      </c>
      <c r="V274" s="396" t="str">
        <f t="shared" si="118"/>
        <v/>
      </c>
      <c r="W274" s="396" t="str">
        <f t="shared" si="118"/>
        <v/>
      </c>
      <c r="X274" s="396" t="str">
        <f t="shared" si="118"/>
        <v/>
      </c>
      <c r="Y274" s="396" t="str">
        <f t="shared" si="118"/>
        <v/>
      </c>
      <c r="Z274" s="396" t="str">
        <f t="shared" si="118"/>
        <v/>
      </c>
      <c r="AA274" s="396" t="str">
        <f t="shared" si="118"/>
        <v/>
      </c>
      <c r="AB274" s="396" t="str">
        <f t="shared" si="118"/>
        <v/>
      </c>
      <c r="AC274" s="396" t="str">
        <f t="shared" si="118"/>
        <v/>
      </c>
      <c r="AD274" s="396" t="str">
        <f t="shared" si="118"/>
        <v/>
      </c>
      <c r="AE274" s="396" t="str">
        <f t="shared" si="118"/>
        <v/>
      </c>
      <c r="AF274" s="396" t="str">
        <f t="shared" si="118"/>
        <v/>
      </c>
      <c r="AG274" s="396" t="str">
        <f t="shared" si="118"/>
        <v/>
      </c>
      <c r="AH274" s="396" t="str">
        <f t="shared" si="118"/>
        <v/>
      </c>
      <c r="AI274" s="396" t="str">
        <f t="shared" si="118"/>
        <v/>
      </c>
      <c r="AJ274" s="396" t="str">
        <f t="shared" si="118"/>
        <v/>
      </c>
      <c r="AK274" s="396" t="str">
        <f t="shared" si="118"/>
        <v/>
      </c>
      <c r="AL274" s="396" t="str">
        <f t="shared" si="118"/>
        <v/>
      </c>
      <c r="AM274" s="396" t="str">
        <f t="shared" si="118"/>
        <v/>
      </c>
      <c r="AN274" s="396" t="str">
        <f t="shared" si="118"/>
        <v/>
      </c>
      <c r="AO274" s="396" t="str">
        <f t="shared" si="118"/>
        <v/>
      </c>
      <c r="AP274" s="396" t="str">
        <f t="shared" si="118"/>
        <v/>
      </c>
      <c r="AQ274" s="397" t="str">
        <f t="shared" si="118"/>
        <v/>
      </c>
      <c r="AR274" s="372"/>
    </row>
    <row r="275" spans="1:44" s="317" customFormat="1" ht="14.25" hidden="1">
      <c r="A275" s="1009" t="s">
        <v>352</v>
      </c>
      <c r="B275" s="1010"/>
      <c r="C275" s="1010"/>
      <c r="D275" s="400"/>
      <c r="E275" s="401">
        <f t="shared" ref="E275:AQ275" si="119">IF(E267="",0,E267)</f>
        <v>0</v>
      </c>
      <c r="F275" s="401">
        <f t="shared" si="119"/>
        <v>0</v>
      </c>
      <c r="G275" s="401">
        <f t="shared" si="119"/>
        <v>0</v>
      </c>
      <c r="H275" s="401">
        <f t="shared" si="119"/>
        <v>0</v>
      </c>
      <c r="I275" s="401">
        <f t="shared" si="119"/>
        <v>0</v>
      </c>
      <c r="J275" s="401">
        <f t="shared" si="119"/>
        <v>0</v>
      </c>
      <c r="K275" s="401">
        <f t="shared" si="119"/>
        <v>0</v>
      </c>
      <c r="L275" s="401">
        <f t="shared" si="119"/>
        <v>0</v>
      </c>
      <c r="M275" s="401">
        <f t="shared" si="119"/>
        <v>0</v>
      </c>
      <c r="N275" s="401">
        <f t="shared" si="119"/>
        <v>0</v>
      </c>
      <c r="O275" s="401">
        <f t="shared" si="119"/>
        <v>0</v>
      </c>
      <c r="P275" s="401">
        <f t="shared" si="119"/>
        <v>0</v>
      </c>
      <c r="Q275" s="401">
        <f t="shared" si="119"/>
        <v>0</v>
      </c>
      <c r="R275" s="401">
        <f t="shared" si="119"/>
        <v>0</v>
      </c>
      <c r="S275" s="401">
        <f t="shared" si="119"/>
        <v>0</v>
      </c>
      <c r="T275" s="401">
        <f t="shared" si="119"/>
        <v>0</v>
      </c>
      <c r="U275" s="401">
        <f t="shared" si="119"/>
        <v>0</v>
      </c>
      <c r="V275" s="401">
        <f t="shared" si="119"/>
        <v>0</v>
      </c>
      <c r="W275" s="401">
        <f t="shared" si="119"/>
        <v>0</v>
      </c>
      <c r="X275" s="401">
        <f t="shared" si="119"/>
        <v>0</v>
      </c>
      <c r="Y275" s="401">
        <f t="shared" si="119"/>
        <v>0</v>
      </c>
      <c r="Z275" s="401">
        <f t="shared" si="119"/>
        <v>0</v>
      </c>
      <c r="AA275" s="401">
        <f t="shared" si="119"/>
        <v>0</v>
      </c>
      <c r="AB275" s="401">
        <f t="shared" si="119"/>
        <v>0</v>
      </c>
      <c r="AC275" s="401">
        <f t="shared" si="119"/>
        <v>0</v>
      </c>
      <c r="AD275" s="401">
        <f t="shared" si="119"/>
        <v>0</v>
      </c>
      <c r="AE275" s="401">
        <f t="shared" si="119"/>
        <v>0</v>
      </c>
      <c r="AF275" s="401">
        <f t="shared" si="119"/>
        <v>0</v>
      </c>
      <c r="AG275" s="401">
        <f t="shared" si="119"/>
        <v>0</v>
      </c>
      <c r="AH275" s="401">
        <f t="shared" si="119"/>
        <v>0</v>
      </c>
      <c r="AI275" s="401">
        <f t="shared" si="119"/>
        <v>0</v>
      </c>
      <c r="AJ275" s="401">
        <f t="shared" si="119"/>
        <v>0</v>
      </c>
      <c r="AK275" s="401">
        <f t="shared" si="119"/>
        <v>0</v>
      </c>
      <c r="AL275" s="401">
        <f t="shared" si="119"/>
        <v>0</v>
      </c>
      <c r="AM275" s="401">
        <f t="shared" si="119"/>
        <v>0</v>
      </c>
      <c r="AN275" s="401">
        <f t="shared" si="119"/>
        <v>0</v>
      </c>
      <c r="AO275" s="401">
        <f t="shared" si="119"/>
        <v>0</v>
      </c>
      <c r="AP275" s="401">
        <f t="shared" si="119"/>
        <v>0</v>
      </c>
      <c r="AQ275" s="402">
        <f t="shared" si="119"/>
        <v>0</v>
      </c>
      <c r="AR275" s="86"/>
    </row>
    <row r="276" spans="1:44" s="317" customFormat="1" ht="14.25" hidden="1">
      <c r="A276" s="1045" t="s">
        <v>343</v>
      </c>
      <c r="B276" s="728"/>
      <c r="C276" s="729"/>
      <c r="D276" s="403">
        <f>SUM(D264:G264)</f>
        <v>0</v>
      </c>
      <c r="E276" s="404">
        <f t="shared" ref="E276:AQ276" si="120">D276+D275</f>
        <v>0</v>
      </c>
      <c r="F276" s="404">
        <f t="shared" si="120"/>
        <v>0</v>
      </c>
      <c r="G276" s="404">
        <f t="shared" si="120"/>
        <v>0</v>
      </c>
      <c r="H276" s="404">
        <f t="shared" si="120"/>
        <v>0</v>
      </c>
      <c r="I276" s="404">
        <f t="shared" si="120"/>
        <v>0</v>
      </c>
      <c r="J276" s="404">
        <f t="shared" si="120"/>
        <v>0</v>
      </c>
      <c r="K276" s="404">
        <f t="shared" si="120"/>
        <v>0</v>
      </c>
      <c r="L276" s="404">
        <f t="shared" si="120"/>
        <v>0</v>
      </c>
      <c r="M276" s="404">
        <f t="shared" si="120"/>
        <v>0</v>
      </c>
      <c r="N276" s="404">
        <f t="shared" si="120"/>
        <v>0</v>
      </c>
      <c r="O276" s="404">
        <f t="shared" si="120"/>
        <v>0</v>
      </c>
      <c r="P276" s="404">
        <f t="shared" si="120"/>
        <v>0</v>
      </c>
      <c r="Q276" s="404">
        <f t="shared" si="120"/>
        <v>0</v>
      </c>
      <c r="R276" s="404">
        <f t="shared" si="120"/>
        <v>0</v>
      </c>
      <c r="S276" s="404">
        <f t="shared" si="120"/>
        <v>0</v>
      </c>
      <c r="T276" s="404">
        <f t="shared" si="120"/>
        <v>0</v>
      </c>
      <c r="U276" s="404">
        <f t="shared" si="120"/>
        <v>0</v>
      </c>
      <c r="V276" s="404">
        <f t="shared" si="120"/>
        <v>0</v>
      </c>
      <c r="W276" s="404">
        <f t="shared" si="120"/>
        <v>0</v>
      </c>
      <c r="X276" s="404">
        <f t="shared" si="120"/>
        <v>0</v>
      </c>
      <c r="Y276" s="404">
        <f t="shared" si="120"/>
        <v>0</v>
      </c>
      <c r="Z276" s="404">
        <f t="shared" si="120"/>
        <v>0</v>
      </c>
      <c r="AA276" s="404">
        <f t="shared" si="120"/>
        <v>0</v>
      </c>
      <c r="AB276" s="404">
        <f t="shared" si="120"/>
        <v>0</v>
      </c>
      <c r="AC276" s="404">
        <f t="shared" si="120"/>
        <v>0</v>
      </c>
      <c r="AD276" s="404">
        <f t="shared" si="120"/>
        <v>0</v>
      </c>
      <c r="AE276" s="404">
        <f t="shared" si="120"/>
        <v>0</v>
      </c>
      <c r="AF276" s="404">
        <f t="shared" si="120"/>
        <v>0</v>
      </c>
      <c r="AG276" s="404">
        <f t="shared" si="120"/>
        <v>0</v>
      </c>
      <c r="AH276" s="404">
        <f t="shared" si="120"/>
        <v>0</v>
      </c>
      <c r="AI276" s="404">
        <f t="shared" si="120"/>
        <v>0</v>
      </c>
      <c r="AJ276" s="404">
        <f t="shared" si="120"/>
        <v>0</v>
      </c>
      <c r="AK276" s="404">
        <f t="shared" si="120"/>
        <v>0</v>
      </c>
      <c r="AL276" s="404">
        <f t="shared" si="120"/>
        <v>0</v>
      </c>
      <c r="AM276" s="404">
        <f t="shared" si="120"/>
        <v>0</v>
      </c>
      <c r="AN276" s="404">
        <f t="shared" si="120"/>
        <v>0</v>
      </c>
      <c r="AO276" s="404">
        <f t="shared" si="120"/>
        <v>0</v>
      </c>
      <c r="AP276" s="404">
        <f t="shared" si="120"/>
        <v>0</v>
      </c>
      <c r="AQ276" s="405">
        <f t="shared" si="120"/>
        <v>0</v>
      </c>
      <c r="AR276"/>
    </row>
    <row r="277" spans="1:44" s="317" customFormat="1" ht="14.25" hidden="1">
      <c r="A277" s="1045" t="s">
        <v>344</v>
      </c>
      <c r="B277" s="728"/>
      <c r="C277" s="729"/>
      <c r="D277" s="406" t="e">
        <f t="shared" ref="D277:AQ277" si="121">(D276)/SUM($D261:$G261)*100</f>
        <v>#DIV/0!</v>
      </c>
      <c r="E277" s="406" t="e">
        <f t="shared" si="121"/>
        <v>#DIV/0!</v>
      </c>
      <c r="F277" s="406" t="e">
        <f t="shared" si="121"/>
        <v>#DIV/0!</v>
      </c>
      <c r="G277" s="406" t="e">
        <f t="shared" si="121"/>
        <v>#DIV/0!</v>
      </c>
      <c r="H277" s="406" t="e">
        <f t="shared" si="121"/>
        <v>#DIV/0!</v>
      </c>
      <c r="I277" s="406" t="e">
        <f t="shared" si="121"/>
        <v>#DIV/0!</v>
      </c>
      <c r="J277" s="406" t="e">
        <f t="shared" si="121"/>
        <v>#DIV/0!</v>
      </c>
      <c r="K277" s="406" t="e">
        <f t="shared" si="121"/>
        <v>#DIV/0!</v>
      </c>
      <c r="L277" s="406" t="e">
        <f t="shared" si="121"/>
        <v>#DIV/0!</v>
      </c>
      <c r="M277" s="406" t="e">
        <f t="shared" si="121"/>
        <v>#DIV/0!</v>
      </c>
      <c r="N277" s="406" t="e">
        <f t="shared" si="121"/>
        <v>#DIV/0!</v>
      </c>
      <c r="O277" s="406" t="e">
        <f t="shared" si="121"/>
        <v>#DIV/0!</v>
      </c>
      <c r="P277" s="406" t="e">
        <f t="shared" si="121"/>
        <v>#DIV/0!</v>
      </c>
      <c r="Q277" s="406" t="e">
        <f t="shared" si="121"/>
        <v>#DIV/0!</v>
      </c>
      <c r="R277" s="406" t="e">
        <f t="shared" si="121"/>
        <v>#DIV/0!</v>
      </c>
      <c r="S277" s="406" t="e">
        <f t="shared" si="121"/>
        <v>#DIV/0!</v>
      </c>
      <c r="T277" s="406" t="e">
        <f t="shared" si="121"/>
        <v>#DIV/0!</v>
      </c>
      <c r="U277" s="406" t="e">
        <f t="shared" si="121"/>
        <v>#DIV/0!</v>
      </c>
      <c r="V277" s="406" t="e">
        <f t="shared" si="121"/>
        <v>#DIV/0!</v>
      </c>
      <c r="W277" s="406" t="e">
        <f t="shared" si="121"/>
        <v>#DIV/0!</v>
      </c>
      <c r="X277" s="406" t="e">
        <f t="shared" si="121"/>
        <v>#DIV/0!</v>
      </c>
      <c r="Y277" s="406" t="e">
        <f t="shared" si="121"/>
        <v>#DIV/0!</v>
      </c>
      <c r="Z277" s="406" t="e">
        <f t="shared" si="121"/>
        <v>#DIV/0!</v>
      </c>
      <c r="AA277" s="406" t="e">
        <f t="shared" si="121"/>
        <v>#DIV/0!</v>
      </c>
      <c r="AB277" s="406" t="e">
        <f t="shared" si="121"/>
        <v>#DIV/0!</v>
      </c>
      <c r="AC277" s="406" t="e">
        <f t="shared" si="121"/>
        <v>#DIV/0!</v>
      </c>
      <c r="AD277" s="406" t="e">
        <f t="shared" si="121"/>
        <v>#DIV/0!</v>
      </c>
      <c r="AE277" s="406" t="e">
        <f t="shared" si="121"/>
        <v>#DIV/0!</v>
      </c>
      <c r="AF277" s="406" t="e">
        <f t="shared" si="121"/>
        <v>#DIV/0!</v>
      </c>
      <c r="AG277" s="406" t="e">
        <f t="shared" si="121"/>
        <v>#DIV/0!</v>
      </c>
      <c r="AH277" s="406" t="e">
        <f t="shared" si="121"/>
        <v>#DIV/0!</v>
      </c>
      <c r="AI277" s="406" t="e">
        <f t="shared" si="121"/>
        <v>#DIV/0!</v>
      </c>
      <c r="AJ277" s="406" t="e">
        <f t="shared" si="121"/>
        <v>#DIV/0!</v>
      </c>
      <c r="AK277" s="406" t="e">
        <f t="shared" si="121"/>
        <v>#DIV/0!</v>
      </c>
      <c r="AL277" s="406" t="e">
        <f t="shared" si="121"/>
        <v>#DIV/0!</v>
      </c>
      <c r="AM277" s="406" t="e">
        <f t="shared" si="121"/>
        <v>#DIV/0!</v>
      </c>
      <c r="AN277" s="406" t="e">
        <f t="shared" si="121"/>
        <v>#DIV/0!</v>
      </c>
      <c r="AO277" s="406" t="e">
        <f t="shared" si="121"/>
        <v>#DIV/0!</v>
      </c>
      <c r="AP277" s="406" t="e">
        <f t="shared" si="121"/>
        <v>#DIV/0!</v>
      </c>
      <c r="AQ277" s="407" t="e">
        <f t="shared" si="121"/>
        <v>#DIV/0!</v>
      </c>
      <c r="AR277"/>
    </row>
    <row r="278" spans="1:44" s="317" customFormat="1" ht="15" thickBot="1">
      <c r="A278" s="1055" t="s">
        <v>344</v>
      </c>
      <c r="B278" s="771"/>
      <c r="C278" s="772"/>
      <c r="D278" s="411" t="str">
        <f t="shared" ref="D278:AQ278" si="122">IFERROR(D277,"")</f>
        <v/>
      </c>
      <c r="E278" s="409" t="str">
        <f t="shared" si="122"/>
        <v/>
      </c>
      <c r="F278" s="409" t="str">
        <f t="shared" si="122"/>
        <v/>
      </c>
      <c r="G278" s="409" t="str">
        <f t="shared" si="122"/>
        <v/>
      </c>
      <c r="H278" s="409" t="str">
        <f t="shared" si="122"/>
        <v/>
      </c>
      <c r="I278" s="409" t="str">
        <f t="shared" si="122"/>
        <v/>
      </c>
      <c r="J278" s="409" t="str">
        <f t="shared" si="122"/>
        <v/>
      </c>
      <c r="K278" s="409" t="str">
        <f t="shared" si="122"/>
        <v/>
      </c>
      <c r="L278" s="409" t="str">
        <f t="shared" si="122"/>
        <v/>
      </c>
      <c r="M278" s="409" t="str">
        <f t="shared" si="122"/>
        <v/>
      </c>
      <c r="N278" s="409" t="str">
        <f t="shared" si="122"/>
        <v/>
      </c>
      <c r="O278" s="409" t="str">
        <f t="shared" si="122"/>
        <v/>
      </c>
      <c r="P278" s="409" t="str">
        <f t="shared" si="122"/>
        <v/>
      </c>
      <c r="Q278" s="409" t="str">
        <f t="shared" si="122"/>
        <v/>
      </c>
      <c r="R278" s="409" t="str">
        <f t="shared" si="122"/>
        <v/>
      </c>
      <c r="S278" s="409" t="str">
        <f t="shared" si="122"/>
        <v/>
      </c>
      <c r="T278" s="409" t="str">
        <f t="shared" si="122"/>
        <v/>
      </c>
      <c r="U278" s="409" t="str">
        <f t="shared" si="122"/>
        <v/>
      </c>
      <c r="V278" s="409" t="str">
        <f t="shared" si="122"/>
        <v/>
      </c>
      <c r="W278" s="409" t="str">
        <f t="shared" si="122"/>
        <v/>
      </c>
      <c r="X278" s="409" t="str">
        <f t="shared" si="122"/>
        <v/>
      </c>
      <c r="Y278" s="409" t="str">
        <f t="shared" si="122"/>
        <v/>
      </c>
      <c r="Z278" s="409" t="str">
        <f t="shared" si="122"/>
        <v/>
      </c>
      <c r="AA278" s="409" t="str">
        <f t="shared" si="122"/>
        <v/>
      </c>
      <c r="AB278" s="409" t="str">
        <f t="shared" si="122"/>
        <v/>
      </c>
      <c r="AC278" s="409" t="str">
        <f t="shared" si="122"/>
        <v/>
      </c>
      <c r="AD278" s="409" t="str">
        <f t="shared" si="122"/>
        <v/>
      </c>
      <c r="AE278" s="409" t="str">
        <f t="shared" si="122"/>
        <v/>
      </c>
      <c r="AF278" s="409" t="str">
        <f t="shared" si="122"/>
        <v/>
      </c>
      <c r="AG278" s="409" t="str">
        <f t="shared" si="122"/>
        <v/>
      </c>
      <c r="AH278" s="409" t="str">
        <f t="shared" si="122"/>
        <v/>
      </c>
      <c r="AI278" s="409" t="str">
        <f t="shared" si="122"/>
        <v/>
      </c>
      <c r="AJ278" s="409" t="str">
        <f t="shared" si="122"/>
        <v/>
      </c>
      <c r="AK278" s="409" t="str">
        <f t="shared" si="122"/>
        <v/>
      </c>
      <c r="AL278" s="409" t="str">
        <f t="shared" si="122"/>
        <v/>
      </c>
      <c r="AM278" s="409" t="str">
        <f t="shared" si="122"/>
        <v/>
      </c>
      <c r="AN278" s="409" t="str">
        <f t="shared" si="122"/>
        <v/>
      </c>
      <c r="AO278" s="409" t="str">
        <f t="shared" si="122"/>
        <v/>
      </c>
      <c r="AP278" s="409" t="str">
        <f t="shared" si="122"/>
        <v/>
      </c>
      <c r="AQ278" s="410" t="str">
        <f t="shared" si="122"/>
        <v/>
      </c>
      <c r="AR278" s="86"/>
    </row>
    <row r="280" spans="1:44" s="317" customFormat="1" ht="14.25" hidden="1">
      <c r="A280" s="346"/>
      <c r="B280" s="346" t="s">
        <v>175</v>
      </c>
      <c r="C280" s="346" t="s">
        <v>176</v>
      </c>
      <c r="D280" s="347" t="s">
        <v>177</v>
      </c>
      <c r="E280" s="346" t="s">
        <v>178</v>
      </c>
      <c r="F280" s="346" t="s">
        <v>179</v>
      </c>
      <c r="G280" s="346" t="s">
        <v>180</v>
      </c>
      <c r="H280" s="346" t="s">
        <v>181</v>
      </c>
      <c r="I280" s="346" t="s">
        <v>182</v>
      </c>
      <c r="J280" s="346" t="s">
        <v>183</v>
      </c>
      <c r="K280" s="346" t="s">
        <v>184</v>
      </c>
      <c r="L280" s="346" t="s">
        <v>306</v>
      </c>
      <c r="M280" s="346" t="s">
        <v>307</v>
      </c>
      <c r="N280" s="346" t="s">
        <v>308</v>
      </c>
      <c r="O280" s="346" t="s">
        <v>309</v>
      </c>
      <c r="P280" s="346" t="s">
        <v>310</v>
      </c>
      <c r="Q280" s="346" t="s">
        <v>311</v>
      </c>
      <c r="R280" s="346" t="s">
        <v>312</v>
      </c>
      <c r="S280" s="346" t="s">
        <v>313</v>
      </c>
      <c r="T280" s="346" t="s">
        <v>314</v>
      </c>
      <c r="U280" s="346" t="s">
        <v>315</v>
      </c>
    </row>
    <row r="281" spans="1:44" s="317" customFormat="1" ht="14.25" hidden="1">
      <c r="A281" s="348" t="s">
        <v>185</v>
      </c>
      <c r="B281" s="348" t="str">
        <f t="array" aca="1" ref="B281" ca="1">IFERROR(OFFSET(INDEX(267:267,SMALL(IF(267:267&lt;&gt;"",COLUMN(267:267)),COLUMN())),-1,0),"")</f>
        <v/>
      </c>
      <c r="C281" s="348" t="str">
        <f t="array" aca="1" ref="C281" ca="1">IFERROR(OFFSET(INDEX(267:267,SMALL(IF(267:267&lt;&gt;"",COLUMN(267:267)),COLUMN())),-1,0),"")</f>
        <v/>
      </c>
      <c r="D281" s="348" t="str">
        <f t="array" aca="1" ref="D281" ca="1">IFERROR(OFFSET(INDEX(267:267,SMALL(IF(267:267&lt;&gt;"",COLUMN(267:267)),COLUMN())),-1,0),"")</f>
        <v/>
      </c>
      <c r="E281" s="348" t="str">
        <f t="array" aca="1" ref="E281" ca="1">IFERROR(OFFSET(INDEX(267:267,SMALL(IF(267:267&lt;&gt;"",COLUMN(267:267)),COLUMN())),-1,0),"")</f>
        <v/>
      </c>
      <c r="F281" s="348" t="str">
        <f t="array" aca="1" ref="F281" ca="1">IFERROR(OFFSET(INDEX(267:267,SMALL(IF(267:267&lt;&gt;"",COLUMN(267:267)),COLUMN())),-1,0),"")</f>
        <v/>
      </c>
      <c r="G281" s="348" t="str">
        <f t="array" aca="1" ref="G281" ca="1">IFERROR(OFFSET(INDEX(267:267,SMALL(IF(267:267&lt;&gt;"",COLUMN(267:267)),COLUMN())),-1,0),"")</f>
        <v/>
      </c>
      <c r="H281" s="348" t="str">
        <f t="array" aca="1" ref="H281" ca="1">IFERROR(OFFSET(INDEX(267:267,SMALL(IF(267:267&lt;&gt;"",COLUMN(267:267)),COLUMN())),-1,0),"")</f>
        <v/>
      </c>
      <c r="I281" s="348" t="str">
        <f t="array" aca="1" ref="I281" ca="1">IFERROR(OFFSET(INDEX(267:267,SMALL(IF(267:267&lt;&gt;"",COLUMN(267:267)),COLUMN())),-1,0),"")</f>
        <v/>
      </c>
      <c r="J281" s="348" t="str">
        <f t="array" aca="1" ref="J281" ca="1">IFERROR(OFFSET(INDEX(267:267,SMALL(IF(267:267&lt;&gt;"",COLUMN(267:267)),COLUMN())),-1,0),"")</f>
        <v/>
      </c>
      <c r="K281" s="348" t="str">
        <f t="array" aca="1" ref="K281" ca="1">IFERROR(OFFSET(INDEX(267:267,SMALL(IF(267:267&lt;&gt;"",COLUMN(267:267)),COLUMN())),-1,0),"")</f>
        <v/>
      </c>
      <c r="L281" s="348" t="str">
        <f t="array" aca="1" ref="L281" ca="1">IFERROR(OFFSET(INDEX(267:267,SMALL(IF(267:267&lt;&gt;"",COLUMN(267:267)),COLUMN())),-1,0),"")</f>
        <v/>
      </c>
      <c r="M281" s="348" t="str">
        <f t="array" aca="1" ref="M281" ca="1">IFERROR(OFFSET(INDEX(267:267,SMALL(IF(267:267&lt;&gt;"",COLUMN(267:267)),COLUMN())),-1,0),"")</f>
        <v/>
      </c>
      <c r="N281" s="348" t="str">
        <f t="array" aca="1" ref="N281" ca="1">IFERROR(OFFSET(INDEX(267:267,SMALL(IF(267:267&lt;&gt;"",COLUMN(267:267)),COLUMN())),-1,0),"")</f>
        <v/>
      </c>
      <c r="O281" s="348" t="str">
        <f t="array" aca="1" ref="O281" ca="1">IFERROR(OFFSET(INDEX(267:267,SMALL(IF(267:267&lt;&gt;"",COLUMN(267:267)),COLUMN())),-1,0),"")</f>
        <v/>
      </c>
      <c r="P281" s="348" t="str">
        <f t="array" aca="1" ref="P281" ca="1">IFERROR(OFFSET(INDEX(267:267,SMALL(IF(267:267&lt;&gt;"",COLUMN(267:267)),COLUMN())),-1,0),"")</f>
        <v/>
      </c>
      <c r="Q281" s="348" t="str">
        <f t="array" aca="1" ref="Q281" ca="1">IFERROR(OFFSET(INDEX(267:267,SMALL(IF(267:267&lt;&gt;"",COLUMN(267:267)),COLUMN())),-1,0),"")</f>
        <v/>
      </c>
      <c r="R281" s="348" t="str">
        <f t="array" aca="1" ref="R281" ca="1">IFERROR(OFFSET(INDEX(267:267,SMALL(IF(267:267&lt;&gt;"",COLUMN(267:267)),COLUMN())),-1,0),"")</f>
        <v/>
      </c>
      <c r="S281" s="348" t="str">
        <f t="array" aca="1" ref="S281" ca="1">IFERROR(OFFSET(INDEX(267:267,SMALL(IF(267:267&lt;&gt;"",COLUMN(267:267)),COLUMN())),-1,0),"")</f>
        <v/>
      </c>
      <c r="T281" s="348" t="str">
        <f t="array" aca="1" ref="T281" ca="1">IFERROR(OFFSET(INDEX(267:267,SMALL(IF(267:267&lt;&gt;"",COLUMN(267:267)),COLUMN())),-1,0),"")</f>
        <v/>
      </c>
      <c r="U281" s="348" t="str">
        <f t="array" aca="1" ref="U281" ca="1">IFERROR(OFFSET(INDEX(267:267,SMALL(IF(267:267&lt;&gt;"",COLUMN(267:267)),COLUMN())),-1,0),"")</f>
        <v/>
      </c>
    </row>
    <row r="282" spans="1:44" s="317" customFormat="1" ht="14.25" hidden="1">
      <c r="A282" s="348" t="str">
        <f t="array" ref="A282">IFERROR(INDEX(267:267,SMALL(IF(267:267&lt;&gt;"",COLUMN(267:267)),COLUMN())),"")</f>
        <v>追水量（L)</v>
      </c>
      <c r="B282" s="348" t="str">
        <f t="array" ref="B282">IFERROR(INDEX(267:267,SMALL(IF(267:267&lt;&gt;"",COLUMN(267:267)),COLUMN())),"")</f>
        <v/>
      </c>
      <c r="C282" s="348" t="str">
        <f t="array" ref="C282">IFERROR(INDEX(267:267,SMALL(IF(267:267&lt;&gt;"",COLUMN(267:267)),COLUMN())),"")</f>
        <v/>
      </c>
      <c r="D282" s="348" t="str">
        <f t="array" ref="D282">IFERROR(INDEX(267:267,SMALL(IF(267:267&lt;&gt;"",COLUMN(267:267)),COLUMN())),"")</f>
        <v/>
      </c>
      <c r="E282" s="348" t="str">
        <f t="array" ref="E282">IFERROR(INDEX(267:267,SMALL(IF(267:267&lt;&gt;"",COLUMN(267:267)),COLUMN())),"")</f>
        <v/>
      </c>
      <c r="F282" s="348" t="str">
        <f t="array" ref="F282">IFERROR(INDEX(267:267,SMALL(IF(267:267&lt;&gt;"",COLUMN(267:267)),COLUMN())),"")</f>
        <v/>
      </c>
      <c r="G282" s="348" t="str">
        <f t="array" ref="G282">IFERROR(INDEX(267:267,SMALL(IF(267:267&lt;&gt;"",COLUMN(267:267)),COLUMN())),"")</f>
        <v/>
      </c>
      <c r="H282" s="348" t="str">
        <f t="array" ref="H282">IFERROR(INDEX(267:267,SMALL(IF(267:267&lt;&gt;"",COLUMN(267:267)),COLUMN())),"")</f>
        <v/>
      </c>
      <c r="I282" s="348" t="str">
        <f t="array" ref="I282">IFERROR(INDEX(267:267,SMALL(IF(267:267&lt;&gt;"",COLUMN(267:267)),COLUMN())),"")</f>
        <v/>
      </c>
      <c r="J282" s="348" t="str">
        <f t="array" ref="J282">IFERROR(INDEX(267:267,SMALL(IF(267:267&lt;&gt;"",COLUMN(267:267)),COLUMN())),"")</f>
        <v/>
      </c>
      <c r="K282" s="348" t="str">
        <f t="array" ref="K282">IFERROR(INDEX(267:267,SMALL(IF(267:267&lt;&gt;"",COLUMN(267:267)),COLUMN())),"")</f>
        <v/>
      </c>
      <c r="L282" s="348" t="str">
        <f t="array" ref="L282">IFERROR(INDEX(267:267,SMALL(IF(267:267&lt;&gt;"",COLUMN(267:267)),COLUMN())),"")</f>
        <v/>
      </c>
      <c r="M282" s="348" t="str">
        <f t="array" ref="M282">IFERROR(INDEX(267:267,SMALL(IF(267:267&lt;&gt;"",COLUMN(267:267)),COLUMN())),"")</f>
        <v/>
      </c>
      <c r="N282" s="348" t="str">
        <f t="array" ref="N282">IFERROR(INDEX(267:267,SMALL(IF(267:267&lt;&gt;"",COLUMN(267:267)),COLUMN())),"")</f>
        <v/>
      </c>
      <c r="O282" s="348" t="str">
        <f t="array" ref="O282">IFERROR(INDEX(267:267,SMALL(IF(267:267&lt;&gt;"",COLUMN(267:267)),COLUMN())),"")</f>
        <v/>
      </c>
      <c r="P282" s="348" t="str">
        <f t="array" ref="P282">IFERROR(INDEX(267:267,SMALL(IF(267:267&lt;&gt;"",COLUMN(267:267)),COLUMN())),"")</f>
        <v/>
      </c>
      <c r="Q282" s="348" t="str">
        <f t="array" ref="Q282">IFERROR(INDEX(267:267,SMALL(IF(267:267&lt;&gt;"",COLUMN(267:267)),COLUMN())),"")</f>
        <v/>
      </c>
      <c r="R282" s="348" t="str">
        <f t="array" ref="R282">IFERROR(INDEX(267:267,SMALL(IF(267:267&lt;&gt;"",COLUMN(267:267)),COLUMN())),"")</f>
        <v/>
      </c>
      <c r="S282" s="348" t="str">
        <f t="array" ref="S282">IFERROR(INDEX(267:267,SMALL(IF(267:267&lt;&gt;"",COLUMN(267:267)),COLUMN())),"")</f>
        <v/>
      </c>
      <c r="T282" s="348" t="str">
        <f t="array" ref="T282">IFERROR(INDEX(267:267,SMALL(IF(267:267&lt;&gt;"",COLUMN(267:267)),COLUMN())),"")</f>
        <v/>
      </c>
      <c r="U282" s="348" t="str">
        <f t="array" ref="U282">IFERROR(INDEX(267:267,SMALL(IF(267:267&lt;&gt;"",COLUMN(267:267)),COLUMN())),"")</f>
        <v/>
      </c>
    </row>
    <row r="283" spans="1:44" s="317" customFormat="1" ht="14.25" hidden="1">
      <c r="A283" s="1053" t="s">
        <v>186</v>
      </c>
      <c r="B283" s="1053"/>
      <c r="C283" s="1053"/>
      <c r="D283" s="349" t="s">
        <v>187</v>
      </c>
      <c r="E283" s="349" t="s">
        <v>188</v>
      </c>
      <c r="F283" s="349" t="s">
        <v>189</v>
      </c>
      <c r="G283" s="349" t="s">
        <v>190</v>
      </c>
      <c r="H283" s="349" t="s">
        <v>191</v>
      </c>
      <c r="I283" s="349" t="s">
        <v>192</v>
      </c>
      <c r="J283" s="349" t="s">
        <v>193</v>
      </c>
      <c r="K283" s="349" t="s">
        <v>194</v>
      </c>
      <c r="L283" s="347" t="s">
        <v>195</v>
      </c>
      <c r="M283" s="347" t="s">
        <v>196</v>
      </c>
      <c r="N283" s="347" t="s">
        <v>197</v>
      </c>
      <c r="O283" s="347" t="s">
        <v>316</v>
      </c>
      <c r="P283" s="347" t="s">
        <v>317</v>
      </c>
      <c r="Q283" s="347" t="s">
        <v>318</v>
      </c>
      <c r="R283" s="347" t="s">
        <v>319</v>
      </c>
      <c r="S283" s="347" t="s">
        <v>320</v>
      </c>
      <c r="T283" s="347" t="s">
        <v>321</v>
      </c>
      <c r="U283" s="347" t="s">
        <v>322</v>
      </c>
      <c r="V283" s="347" t="s">
        <v>323</v>
      </c>
      <c r="W283" s="347" t="s">
        <v>324</v>
      </c>
      <c r="X283" s="347" t="s">
        <v>325</v>
      </c>
    </row>
    <row r="284" spans="1:44" s="317" customFormat="1" ht="14.25" hidden="1">
      <c r="A284" s="1054"/>
      <c r="B284" s="1054"/>
      <c r="C284" s="1054"/>
      <c r="D284" s="350" t="e">
        <f>SUM(D264:G264)/SUM(D261:G261)*100</f>
        <v>#DIV/0!</v>
      </c>
      <c r="E284" s="350" t="e">
        <f>(SUM(D264:G264)+SUM(B282:B282))/SUM(D261:G261)*100</f>
        <v>#DIV/0!</v>
      </c>
      <c r="F284" s="350" t="e">
        <f>(SUM(D264:G264)+SUM(B282:C282))/SUM(D261:G261)*100</f>
        <v>#DIV/0!</v>
      </c>
      <c r="G284" s="350" t="e">
        <f>(SUM(D264:G264)+SUM(B282:D282))/SUM(D261:G261)*100</f>
        <v>#DIV/0!</v>
      </c>
      <c r="H284" s="350" t="e">
        <f>(SUM(D264:G264)+SUM(B282:E282))/SUM(D261:G261)*100</f>
        <v>#DIV/0!</v>
      </c>
      <c r="I284" s="351" t="e">
        <f>(SUM(D264:G264)+SUM(B282:F282))/SUM(D261:G261)*100</f>
        <v>#DIV/0!</v>
      </c>
      <c r="J284" s="350" t="e">
        <f>(SUM(D264:G264)+SUM(B282:G282))/SUM(D261:G261)*100</f>
        <v>#DIV/0!</v>
      </c>
      <c r="K284" s="350" t="e">
        <f>(SUM(D264:G264)+SUM(B282:H282))/SUM(D261:G261)*100</f>
        <v>#DIV/0!</v>
      </c>
      <c r="L284" s="350" t="e">
        <f>(SUM(D264:G264)+SUM(B282:I282))/SUM(D261:G261)*100</f>
        <v>#DIV/0!</v>
      </c>
      <c r="M284" s="350" t="e">
        <f>(SUM(D264:G264)+SUM(B282:J282))/SUM(D261:G261)*100</f>
        <v>#DIV/0!</v>
      </c>
      <c r="N284" s="350" t="e">
        <f>(SUM(D264:G264)+SUM(B282:K282))/SUM(D261:G261)*100</f>
        <v>#DIV/0!</v>
      </c>
      <c r="O284" s="352" t="e">
        <f>(SUM(D264:G264)+SUM(B282:L282))/SUM(D261:G261)*100</f>
        <v>#DIV/0!</v>
      </c>
      <c r="P284" s="353" t="e">
        <f>(SUM(D264:G264)+SUM(B282:M282))/SUM(D261:G261)*100</f>
        <v>#DIV/0!</v>
      </c>
      <c r="Q284" s="353" t="e">
        <f>(SUM(D264:G264)+SUM(B282:N282))/SUM(D261:G261)*100</f>
        <v>#DIV/0!</v>
      </c>
      <c r="R284" s="353" t="e">
        <f>(SUM(D264:G264)+SUM(B282:O282))/SUM(D261:G261)*100</f>
        <v>#DIV/0!</v>
      </c>
      <c r="S284" s="353" t="e">
        <f>(SUM(D264:G264)+SUM(B282:P282))/SUM(D261:G261)*100</f>
        <v>#DIV/0!</v>
      </c>
      <c r="T284" s="353" t="e">
        <f>(SUM(D264:G264)+SUM(B282:Q282))/SUM(D261:G261)*100</f>
        <v>#DIV/0!</v>
      </c>
      <c r="U284" s="353" t="e">
        <f>(SUM(D264:G264)+SUM(B282:R282))/SUM(D261:G261)*100</f>
        <v>#DIV/0!</v>
      </c>
      <c r="V284" s="353" t="e">
        <f>(SUM(D264:G264)+SUM(B282:S282))/SUM(D261:G261)*100</f>
        <v>#DIV/0!</v>
      </c>
      <c r="W284" s="353" t="e">
        <f>(SUM(D264:G264)+SUM(B282:T282))/SUM(D261:G261)*100</f>
        <v>#DIV/0!</v>
      </c>
      <c r="X284" s="353" t="e">
        <f>(SUM(D264:G264)+SUM(B282:U282))/SUM(D261:G261)*100</f>
        <v>#DIV/0!</v>
      </c>
    </row>
    <row r="285" spans="1:44" s="317" customFormat="1" ht="14.25" hidden="1"/>
    <row r="286" spans="1:44" s="317" customFormat="1" ht="14.25" hidden="1">
      <c r="A286" s="1046" t="s">
        <v>129</v>
      </c>
      <c r="B286" s="1047"/>
      <c r="C286" s="1047"/>
      <c r="E286" s="354" t="e">
        <f t="shared" ref="E286:AQ286" si="123">IF(E268="",IF(E269="",NA(),E269/-10),E268)</f>
        <v>#N/A</v>
      </c>
      <c r="F286" s="354" t="e">
        <f t="shared" si="123"/>
        <v>#N/A</v>
      </c>
      <c r="G286" s="354" t="e">
        <f t="shared" si="123"/>
        <v>#N/A</v>
      </c>
      <c r="H286" s="354" t="e">
        <f t="shared" si="123"/>
        <v>#N/A</v>
      </c>
      <c r="I286" s="354" t="e">
        <f t="shared" si="123"/>
        <v>#N/A</v>
      </c>
      <c r="J286" s="354" t="e">
        <f t="shared" si="123"/>
        <v>#N/A</v>
      </c>
      <c r="K286" s="354" t="e">
        <f t="shared" si="123"/>
        <v>#N/A</v>
      </c>
      <c r="L286" s="354" t="e">
        <f t="shared" si="123"/>
        <v>#N/A</v>
      </c>
      <c r="M286" s="354" t="e">
        <f t="shared" si="123"/>
        <v>#N/A</v>
      </c>
      <c r="N286" s="354" t="e">
        <f t="shared" si="123"/>
        <v>#N/A</v>
      </c>
      <c r="O286" s="354" t="e">
        <f t="shared" si="123"/>
        <v>#N/A</v>
      </c>
      <c r="P286" s="354" t="e">
        <f t="shared" si="123"/>
        <v>#N/A</v>
      </c>
      <c r="Q286" s="354" t="e">
        <f t="shared" si="123"/>
        <v>#N/A</v>
      </c>
      <c r="R286" s="354" t="e">
        <f t="shared" si="123"/>
        <v>#N/A</v>
      </c>
      <c r="S286" s="354" t="e">
        <f t="shared" si="123"/>
        <v>#N/A</v>
      </c>
      <c r="T286" s="354" t="e">
        <f t="shared" si="123"/>
        <v>#N/A</v>
      </c>
      <c r="U286" s="354" t="e">
        <f t="shared" si="123"/>
        <v>#N/A</v>
      </c>
      <c r="V286" s="354" t="e">
        <f t="shared" si="123"/>
        <v>#N/A</v>
      </c>
      <c r="W286" s="354" t="e">
        <f t="shared" si="123"/>
        <v>#N/A</v>
      </c>
      <c r="X286" s="354" t="e">
        <f t="shared" si="123"/>
        <v>#N/A</v>
      </c>
      <c r="Y286" s="354" t="e">
        <f t="shared" si="123"/>
        <v>#N/A</v>
      </c>
      <c r="Z286" s="354" t="e">
        <f t="shared" si="123"/>
        <v>#N/A</v>
      </c>
      <c r="AA286" s="354" t="e">
        <f t="shared" si="123"/>
        <v>#N/A</v>
      </c>
      <c r="AB286" s="354" t="e">
        <f t="shared" si="123"/>
        <v>#N/A</v>
      </c>
      <c r="AC286" s="354" t="e">
        <f t="shared" si="123"/>
        <v>#N/A</v>
      </c>
      <c r="AD286" s="354" t="e">
        <f t="shared" si="123"/>
        <v>#N/A</v>
      </c>
      <c r="AE286" s="354" t="e">
        <f t="shared" si="123"/>
        <v>#N/A</v>
      </c>
      <c r="AF286" s="354" t="e">
        <f t="shared" si="123"/>
        <v>#N/A</v>
      </c>
      <c r="AG286" s="354" t="e">
        <f t="shared" si="123"/>
        <v>#N/A</v>
      </c>
      <c r="AH286" s="354" t="e">
        <f t="shared" si="123"/>
        <v>#N/A</v>
      </c>
      <c r="AI286" s="354" t="e">
        <f t="shared" si="123"/>
        <v>#N/A</v>
      </c>
      <c r="AJ286" s="354" t="e">
        <f t="shared" si="123"/>
        <v>#N/A</v>
      </c>
      <c r="AK286" s="354" t="e">
        <f t="shared" si="123"/>
        <v>#N/A</v>
      </c>
      <c r="AL286" s="354" t="e">
        <f t="shared" si="123"/>
        <v>#N/A</v>
      </c>
      <c r="AM286" s="354" t="e">
        <f t="shared" si="123"/>
        <v>#N/A</v>
      </c>
      <c r="AN286" s="354" t="e">
        <f t="shared" si="123"/>
        <v>#N/A</v>
      </c>
      <c r="AO286" s="354" t="e">
        <f t="shared" si="123"/>
        <v>#N/A</v>
      </c>
      <c r="AP286" s="354" t="e">
        <f t="shared" si="123"/>
        <v>#N/A</v>
      </c>
      <c r="AQ286" s="354" t="e">
        <f t="shared" si="123"/>
        <v>#N/A</v>
      </c>
    </row>
    <row r="287" spans="1:44" s="317" customFormat="1" ht="14.25" hidden="1">
      <c r="A287" s="1048" t="s">
        <v>44</v>
      </c>
      <c r="B287" s="1048"/>
      <c r="C287" s="1049"/>
      <c r="E287" s="355" t="e">
        <f>IF(E286="",NA(),E286*(-10))</f>
        <v>#N/A</v>
      </c>
      <c r="F287" s="355" t="e">
        <f t="shared" ref="F287:AQ287" si="124">IF(F286="",NA(),F286*(-10))</f>
        <v>#N/A</v>
      </c>
      <c r="G287" s="355" t="e">
        <f t="shared" si="124"/>
        <v>#N/A</v>
      </c>
      <c r="H287" s="355" t="e">
        <f t="shared" si="124"/>
        <v>#N/A</v>
      </c>
      <c r="I287" s="355" t="e">
        <f t="shared" si="124"/>
        <v>#N/A</v>
      </c>
      <c r="J287" s="355" t="e">
        <f t="shared" si="124"/>
        <v>#N/A</v>
      </c>
      <c r="K287" s="355" t="e">
        <f t="shared" si="124"/>
        <v>#N/A</v>
      </c>
      <c r="L287" s="355" t="e">
        <f t="shared" si="124"/>
        <v>#N/A</v>
      </c>
      <c r="M287" s="355" t="e">
        <f t="shared" si="124"/>
        <v>#N/A</v>
      </c>
      <c r="N287" s="355" t="e">
        <f t="shared" si="124"/>
        <v>#N/A</v>
      </c>
      <c r="O287" s="355" t="e">
        <f t="shared" si="124"/>
        <v>#N/A</v>
      </c>
      <c r="P287" s="355" t="e">
        <f t="shared" si="124"/>
        <v>#N/A</v>
      </c>
      <c r="Q287" s="355" t="e">
        <f t="shared" si="124"/>
        <v>#N/A</v>
      </c>
      <c r="R287" s="355" t="e">
        <f t="shared" si="124"/>
        <v>#N/A</v>
      </c>
      <c r="S287" s="355" t="e">
        <f t="shared" si="124"/>
        <v>#N/A</v>
      </c>
      <c r="T287" s="355" t="e">
        <f t="shared" si="124"/>
        <v>#N/A</v>
      </c>
      <c r="U287" s="355" t="e">
        <f t="shared" si="124"/>
        <v>#N/A</v>
      </c>
      <c r="V287" s="355" t="e">
        <f t="shared" si="124"/>
        <v>#N/A</v>
      </c>
      <c r="W287" s="355" t="e">
        <f t="shared" si="124"/>
        <v>#N/A</v>
      </c>
      <c r="X287" s="355" t="e">
        <f t="shared" si="124"/>
        <v>#N/A</v>
      </c>
      <c r="Y287" s="355" t="e">
        <f t="shared" si="124"/>
        <v>#N/A</v>
      </c>
      <c r="Z287" s="355" t="e">
        <f t="shared" si="124"/>
        <v>#N/A</v>
      </c>
      <c r="AA287" s="355" t="e">
        <f t="shared" si="124"/>
        <v>#N/A</v>
      </c>
      <c r="AB287" s="355" t="e">
        <f t="shared" si="124"/>
        <v>#N/A</v>
      </c>
      <c r="AC287" s="355" t="e">
        <f t="shared" si="124"/>
        <v>#N/A</v>
      </c>
      <c r="AD287" s="355" t="e">
        <f t="shared" si="124"/>
        <v>#N/A</v>
      </c>
      <c r="AE287" s="355" t="e">
        <f t="shared" si="124"/>
        <v>#N/A</v>
      </c>
      <c r="AF287" s="355" t="e">
        <f t="shared" si="124"/>
        <v>#N/A</v>
      </c>
      <c r="AG287" s="355" t="e">
        <f t="shared" si="124"/>
        <v>#N/A</v>
      </c>
      <c r="AH287" s="355" t="e">
        <f t="shared" si="124"/>
        <v>#N/A</v>
      </c>
      <c r="AI287" s="355" t="e">
        <f t="shared" si="124"/>
        <v>#N/A</v>
      </c>
      <c r="AJ287" s="355" t="e">
        <f t="shared" si="124"/>
        <v>#N/A</v>
      </c>
      <c r="AK287" s="355" t="e">
        <f t="shared" si="124"/>
        <v>#N/A</v>
      </c>
      <c r="AL287" s="355" t="e">
        <f t="shared" si="124"/>
        <v>#N/A</v>
      </c>
      <c r="AM287" s="355" t="e">
        <f t="shared" si="124"/>
        <v>#N/A</v>
      </c>
      <c r="AN287" s="355" t="e">
        <f t="shared" si="124"/>
        <v>#N/A</v>
      </c>
      <c r="AO287" s="355" t="e">
        <f t="shared" si="124"/>
        <v>#N/A</v>
      </c>
      <c r="AP287" s="355" t="e">
        <f t="shared" si="124"/>
        <v>#N/A</v>
      </c>
      <c r="AQ287" s="355" t="e">
        <f t="shared" si="124"/>
        <v>#N/A</v>
      </c>
    </row>
    <row r="288" spans="1:44" s="317" customFormat="1" ht="14.25" hidden="1">
      <c r="A288" s="356"/>
      <c r="B288" s="1012" t="s">
        <v>35</v>
      </c>
      <c r="C288" s="1050"/>
      <c r="E288" s="357" t="e">
        <f>IF(E286="",NA(),ROUND(1443/(1443+E287),4))</f>
        <v>#N/A</v>
      </c>
      <c r="F288" s="357" t="e">
        <f t="shared" ref="F288:AQ288" si="125">IF(F286="",NA(),ROUND(1443/(1443+F287),4))</f>
        <v>#N/A</v>
      </c>
      <c r="G288" s="357" t="e">
        <f t="shared" si="125"/>
        <v>#N/A</v>
      </c>
      <c r="H288" s="357" t="e">
        <f t="shared" si="125"/>
        <v>#N/A</v>
      </c>
      <c r="I288" s="357" t="e">
        <f t="shared" si="125"/>
        <v>#N/A</v>
      </c>
      <c r="J288" s="357" t="e">
        <f t="shared" si="125"/>
        <v>#N/A</v>
      </c>
      <c r="K288" s="357" t="e">
        <f t="shared" si="125"/>
        <v>#N/A</v>
      </c>
      <c r="L288" s="357" t="e">
        <f t="shared" si="125"/>
        <v>#N/A</v>
      </c>
      <c r="M288" s="357" t="e">
        <f t="shared" si="125"/>
        <v>#N/A</v>
      </c>
      <c r="N288" s="357" t="e">
        <f t="shared" si="125"/>
        <v>#N/A</v>
      </c>
      <c r="O288" s="357" t="e">
        <f t="shared" si="125"/>
        <v>#N/A</v>
      </c>
      <c r="P288" s="357" t="e">
        <f t="shared" si="125"/>
        <v>#N/A</v>
      </c>
      <c r="Q288" s="357" t="e">
        <f t="shared" si="125"/>
        <v>#N/A</v>
      </c>
      <c r="R288" s="357" t="e">
        <f t="shared" si="125"/>
        <v>#N/A</v>
      </c>
      <c r="S288" s="357" t="e">
        <f t="shared" si="125"/>
        <v>#N/A</v>
      </c>
      <c r="T288" s="357" t="e">
        <f t="shared" si="125"/>
        <v>#N/A</v>
      </c>
      <c r="U288" s="357" t="e">
        <f t="shared" si="125"/>
        <v>#N/A</v>
      </c>
      <c r="V288" s="357" t="e">
        <f t="shared" si="125"/>
        <v>#N/A</v>
      </c>
      <c r="W288" s="357" t="e">
        <f t="shared" si="125"/>
        <v>#N/A</v>
      </c>
      <c r="X288" s="357" t="e">
        <f t="shared" si="125"/>
        <v>#N/A</v>
      </c>
      <c r="Y288" s="357" t="e">
        <f t="shared" si="125"/>
        <v>#N/A</v>
      </c>
      <c r="Z288" s="357" t="e">
        <f t="shared" si="125"/>
        <v>#N/A</v>
      </c>
      <c r="AA288" s="357" t="e">
        <f t="shared" si="125"/>
        <v>#N/A</v>
      </c>
      <c r="AB288" s="357" t="e">
        <f t="shared" si="125"/>
        <v>#N/A</v>
      </c>
      <c r="AC288" s="357" t="e">
        <f t="shared" si="125"/>
        <v>#N/A</v>
      </c>
      <c r="AD288" s="357" t="e">
        <f t="shared" si="125"/>
        <v>#N/A</v>
      </c>
      <c r="AE288" s="357" t="e">
        <f t="shared" si="125"/>
        <v>#N/A</v>
      </c>
      <c r="AF288" s="357" t="e">
        <f t="shared" si="125"/>
        <v>#N/A</v>
      </c>
      <c r="AG288" s="357" t="e">
        <f t="shared" si="125"/>
        <v>#N/A</v>
      </c>
      <c r="AH288" s="357" t="e">
        <f t="shared" si="125"/>
        <v>#N/A</v>
      </c>
      <c r="AI288" s="357" t="e">
        <f t="shared" si="125"/>
        <v>#N/A</v>
      </c>
      <c r="AJ288" s="357" t="e">
        <f t="shared" si="125"/>
        <v>#N/A</v>
      </c>
      <c r="AK288" s="357" t="e">
        <f t="shared" si="125"/>
        <v>#N/A</v>
      </c>
      <c r="AL288" s="357" t="e">
        <f t="shared" si="125"/>
        <v>#N/A</v>
      </c>
      <c r="AM288" s="357" t="e">
        <f t="shared" si="125"/>
        <v>#N/A</v>
      </c>
      <c r="AN288" s="357" t="e">
        <f t="shared" si="125"/>
        <v>#N/A</v>
      </c>
      <c r="AO288" s="357" t="e">
        <f t="shared" si="125"/>
        <v>#N/A</v>
      </c>
      <c r="AP288" s="357" t="e">
        <f t="shared" si="125"/>
        <v>#N/A</v>
      </c>
      <c r="AQ288" s="357" t="e">
        <f t="shared" si="125"/>
        <v>#N/A</v>
      </c>
    </row>
    <row r="289" spans="1:44" s="317" customFormat="1" ht="14.25" hidden="1">
      <c r="A289" s="356"/>
      <c r="B289" s="1012" t="s">
        <v>36</v>
      </c>
      <c r="C289" s="1050"/>
      <c r="E289" s="357" t="e">
        <f>IF(E270="",NA(),IFERROR(E270*VLOOKUP(E270,'各種計算式等（配付時非表示）'!$E$3:$H$1003,3,TRUE)+VLOOKUP(E270,'各種計算式等（配付時非表示）'!$E$3:$H$1003,4,TRUE)+0.0000000001,"-"))</f>
        <v>#N/A</v>
      </c>
      <c r="F289" s="357" t="e">
        <f>IF(F270="",NA(),IFERROR(F270*VLOOKUP(F270,'各種計算式等（配付時非表示）'!$E$3:$H$1003,3,TRUE)+VLOOKUP(F270,'各種計算式等（配付時非表示）'!$E$3:$H$1003,4,TRUE)+0.0000000001,"-"))</f>
        <v>#N/A</v>
      </c>
      <c r="G289" s="357" t="e">
        <f>IF(G270="",NA(),IFERROR(G270*VLOOKUP(G270,'各種計算式等（配付時非表示）'!$E$3:$H$1003,3,TRUE)+VLOOKUP(G270,'各種計算式等（配付時非表示）'!$E$3:$H$1003,4,TRUE)+0.0000000001,"-"))</f>
        <v>#N/A</v>
      </c>
      <c r="H289" s="357" t="e">
        <f>IF(H270="",NA(),IFERROR(H270*VLOOKUP(H270,'各種計算式等（配付時非表示）'!$E$3:$H$1003,3,TRUE)+VLOOKUP(H270,'各種計算式等（配付時非表示）'!$E$3:$H$1003,4,TRUE)+0.0000000001,"-"))</f>
        <v>#N/A</v>
      </c>
      <c r="I289" s="357" t="e">
        <f>IF(I270="",NA(),IFERROR(I270*VLOOKUP(I270,'各種計算式等（配付時非表示）'!$E$3:$H$1003,3,TRUE)+VLOOKUP(I270,'各種計算式等（配付時非表示）'!$E$3:$H$1003,4,TRUE)+0.0000000001,"-"))</f>
        <v>#N/A</v>
      </c>
      <c r="J289" s="357" t="e">
        <f>IF(J270="",NA(),IFERROR(J270*VLOOKUP(J270,'各種計算式等（配付時非表示）'!$E$3:$H$1003,3,TRUE)+VLOOKUP(J270,'各種計算式等（配付時非表示）'!$E$3:$H$1003,4,TRUE)+0.0000000001,"-"))</f>
        <v>#N/A</v>
      </c>
      <c r="K289" s="357" t="e">
        <f>IF(K270="",NA(),IFERROR(K270*VLOOKUP(K270,'各種計算式等（配付時非表示）'!$E$3:$H$1003,3,TRUE)+VLOOKUP(K270,'各種計算式等（配付時非表示）'!$E$3:$H$1003,4,TRUE)+0.0000000001,"-"))</f>
        <v>#N/A</v>
      </c>
      <c r="L289" s="357" t="e">
        <f>IF(L270="",NA(),IFERROR(L270*VLOOKUP(L270,'各種計算式等（配付時非表示）'!$E$3:$H$1003,3,TRUE)+VLOOKUP(L270,'各種計算式等（配付時非表示）'!$E$3:$H$1003,4,TRUE)+0.0000000001,"-"))</f>
        <v>#N/A</v>
      </c>
      <c r="M289" s="357" t="e">
        <f>IF(M270="",NA(),IFERROR(M270*VLOOKUP(M270,'各種計算式等（配付時非表示）'!$E$3:$H$1003,3,TRUE)+VLOOKUP(M270,'各種計算式等（配付時非表示）'!$E$3:$H$1003,4,TRUE)+0.0000000001,"-"))</f>
        <v>#N/A</v>
      </c>
      <c r="N289" s="357" t="e">
        <f>IF(N270="",NA(),IFERROR(N270*VLOOKUP(N270,'各種計算式等（配付時非表示）'!$E$3:$H$1003,3,TRUE)+VLOOKUP(N270,'各種計算式等（配付時非表示）'!$E$3:$H$1003,4,TRUE)+0.0000000001,"-"))</f>
        <v>#N/A</v>
      </c>
      <c r="O289" s="357" t="e">
        <f>IF(O270="",NA(),IFERROR(O270*VLOOKUP(O270,'各種計算式等（配付時非表示）'!$E$3:$H$1003,3,TRUE)+VLOOKUP(O270,'各種計算式等（配付時非表示）'!$E$3:$H$1003,4,TRUE)+0.0000000001,"-"))</f>
        <v>#N/A</v>
      </c>
      <c r="P289" s="357" t="e">
        <f>IF(P270="",NA(),IFERROR(P270*VLOOKUP(P270,'各種計算式等（配付時非表示）'!$E$3:$H$1003,3,TRUE)+VLOOKUP(P270,'各種計算式等（配付時非表示）'!$E$3:$H$1003,4,TRUE)+0.0000000001,"-"))</f>
        <v>#N/A</v>
      </c>
      <c r="Q289" s="357" t="e">
        <f>IF(Q270="",NA(),IFERROR(Q270*VLOOKUP(Q270,'各種計算式等（配付時非表示）'!$E$3:$H$1003,3,TRUE)+VLOOKUP(Q270,'各種計算式等（配付時非表示）'!$E$3:$H$1003,4,TRUE)+0.0000000001,"-"))</f>
        <v>#N/A</v>
      </c>
      <c r="R289" s="357" t="e">
        <f>IF(R270="",NA(),IFERROR(R270*VLOOKUP(R270,'各種計算式等（配付時非表示）'!$E$3:$H$1003,3,TRUE)+VLOOKUP(R270,'各種計算式等（配付時非表示）'!$E$3:$H$1003,4,TRUE)+0.0000000001,"-"))</f>
        <v>#N/A</v>
      </c>
      <c r="S289" s="357" t="e">
        <f>IF(S270="",NA(),IFERROR(S270*VLOOKUP(S270,'各種計算式等（配付時非表示）'!$E$3:$H$1003,3,TRUE)+VLOOKUP(S270,'各種計算式等（配付時非表示）'!$E$3:$H$1003,4,TRUE)+0.0000000001,"-"))</f>
        <v>#N/A</v>
      </c>
      <c r="T289" s="357" t="e">
        <f>IF(T270="",NA(),IFERROR(T270*VLOOKUP(T270,'各種計算式等（配付時非表示）'!$E$3:$H$1003,3,TRUE)+VLOOKUP(T270,'各種計算式等（配付時非表示）'!$E$3:$H$1003,4,TRUE)+0.0000000001,"-"))</f>
        <v>#N/A</v>
      </c>
      <c r="U289" s="357" t="e">
        <f>IF(U270="",NA(),IFERROR(U270*VLOOKUP(U270,'各種計算式等（配付時非表示）'!$E$3:$H$1003,3,TRUE)+VLOOKUP(U270,'各種計算式等（配付時非表示）'!$E$3:$H$1003,4,TRUE)+0.0000000001,"-"))</f>
        <v>#N/A</v>
      </c>
      <c r="V289" s="357" t="e">
        <f>IF(V270="",NA(),IFERROR(V270*VLOOKUP(V270,'各種計算式等（配付時非表示）'!$E$3:$H$1003,3,TRUE)+VLOOKUP(V270,'各種計算式等（配付時非表示）'!$E$3:$H$1003,4,TRUE)+0.0000000001,"-"))</f>
        <v>#N/A</v>
      </c>
      <c r="W289" s="357" t="e">
        <f>IF(W270="",NA(),IFERROR(W270*VLOOKUP(W270,'各種計算式等（配付時非表示）'!$E$3:$H$1003,3,TRUE)+VLOOKUP(W270,'各種計算式等（配付時非表示）'!$E$3:$H$1003,4,TRUE)+0.0000000001,"-"))</f>
        <v>#N/A</v>
      </c>
      <c r="X289" s="357" t="e">
        <f>IF(X270="",NA(),IFERROR(X270*VLOOKUP(X270,'各種計算式等（配付時非表示）'!$E$3:$H$1003,3,TRUE)+VLOOKUP(X270,'各種計算式等（配付時非表示）'!$E$3:$H$1003,4,TRUE)+0.0000000001,"-"))</f>
        <v>#N/A</v>
      </c>
      <c r="Y289" s="357" t="e">
        <f>IF(Y270="",NA(),IFERROR(Y270*VLOOKUP(Y270,'各種計算式等（配付時非表示）'!$E$3:$H$1003,3,TRUE)+VLOOKUP(Y270,'各種計算式等（配付時非表示）'!$E$3:$H$1003,4,TRUE)+0.0000000001,"-"))</f>
        <v>#N/A</v>
      </c>
      <c r="Z289" s="357" t="e">
        <f>IF(Z270="",NA(),IFERROR(Z270*VLOOKUP(Z270,'各種計算式等（配付時非表示）'!$E$3:$H$1003,3,TRUE)+VLOOKUP(Z270,'各種計算式等（配付時非表示）'!$E$3:$H$1003,4,TRUE)+0.0000000001,"-"))</f>
        <v>#N/A</v>
      </c>
      <c r="AA289" s="357" t="e">
        <f>IF(AA270="",NA(),IFERROR(AA270*VLOOKUP(AA270,'各種計算式等（配付時非表示）'!$E$3:$H$1003,3,TRUE)+VLOOKUP(AA270,'各種計算式等（配付時非表示）'!$E$3:$H$1003,4,TRUE)+0.0000000001,"-"))</f>
        <v>#N/A</v>
      </c>
      <c r="AB289" s="357" t="e">
        <f>IF(AB270="",NA(),IFERROR(AB270*VLOOKUP(AB270,'各種計算式等（配付時非表示）'!$E$3:$H$1003,3,TRUE)+VLOOKUP(AB270,'各種計算式等（配付時非表示）'!$E$3:$H$1003,4,TRUE)+0.0000000001,"-"))</f>
        <v>#N/A</v>
      </c>
      <c r="AC289" s="357" t="e">
        <f>IF(AC270="",NA(),IFERROR(AC270*VLOOKUP(AC270,'各種計算式等（配付時非表示）'!$E$3:$H$1003,3,TRUE)+VLOOKUP(AC270,'各種計算式等（配付時非表示）'!$E$3:$H$1003,4,TRUE)+0.0000000001,"-"))</f>
        <v>#N/A</v>
      </c>
      <c r="AD289" s="357" t="e">
        <f>IF(AD270="",NA(),IFERROR(AD270*VLOOKUP(AD270,'各種計算式等（配付時非表示）'!$E$3:$H$1003,3,TRUE)+VLOOKUP(AD270,'各種計算式等（配付時非表示）'!$E$3:$H$1003,4,TRUE)+0.0000000001,"-"))</f>
        <v>#N/A</v>
      </c>
      <c r="AE289" s="357" t="e">
        <f>IF(AE270="",NA(),IFERROR(AE270*VLOOKUP(AE270,'各種計算式等（配付時非表示）'!$E$3:$H$1003,3,TRUE)+VLOOKUP(AE270,'各種計算式等（配付時非表示）'!$E$3:$H$1003,4,TRUE)+0.0000000001,"-"))</f>
        <v>#N/A</v>
      </c>
      <c r="AF289" s="357" t="e">
        <f>IF(AF270="",NA(),IFERROR(AF270*VLOOKUP(AF270,'各種計算式等（配付時非表示）'!$E$3:$H$1003,3,TRUE)+VLOOKUP(AF270,'各種計算式等（配付時非表示）'!$E$3:$H$1003,4,TRUE)+0.0000000001,"-"))</f>
        <v>#N/A</v>
      </c>
      <c r="AG289" s="357" t="e">
        <f>IF(AG270="",NA(),IFERROR(AG270*VLOOKUP(AG270,'各種計算式等（配付時非表示）'!$E$3:$H$1003,3,TRUE)+VLOOKUP(AG270,'各種計算式等（配付時非表示）'!$E$3:$H$1003,4,TRUE)+0.0000000001,"-"))</f>
        <v>#N/A</v>
      </c>
      <c r="AH289" s="357" t="e">
        <f>IF(AH270="",NA(),IFERROR(AH270*VLOOKUP(AH270,'各種計算式等（配付時非表示）'!$E$3:$H$1003,3,TRUE)+VLOOKUP(AH270,'各種計算式等（配付時非表示）'!$E$3:$H$1003,4,TRUE)+0.0000000001,"-"))</f>
        <v>#N/A</v>
      </c>
      <c r="AI289" s="357" t="e">
        <f>IF(AI270="",NA(),IFERROR(AI270*VLOOKUP(AI270,'各種計算式等（配付時非表示）'!$E$3:$H$1003,3,TRUE)+VLOOKUP(AI270,'各種計算式等（配付時非表示）'!$E$3:$H$1003,4,TRUE)+0.0000000001,"-"))</f>
        <v>#N/A</v>
      </c>
      <c r="AJ289" s="357" t="e">
        <f>IF(AJ270="",NA(),IFERROR(AJ270*VLOOKUP(AJ270,'各種計算式等（配付時非表示）'!$E$3:$H$1003,3,TRUE)+VLOOKUP(AJ270,'各種計算式等（配付時非表示）'!$E$3:$H$1003,4,TRUE)+0.0000000001,"-"))</f>
        <v>#N/A</v>
      </c>
      <c r="AK289" s="357" t="e">
        <f>IF(AK270="",NA(),IFERROR(AK270*VLOOKUP(AK270,'各種計算式等（配付時非表示）'!$E$3:$H$1003,3,TRUE)+VLOOKUP(AK270,'各種計算式等（配付時非表示）'!$E$3:$H$1003,4,TRUE)+0.0000000001,"-"))</f>
        <v>#N/A</v>
      </c>
      <c r="AL289" s="357" t="e">
        <f>IF(AL270="",NA(),IFERROR(AL270*VLOOKUP(AL270,'各種計算式等（配付時非表示）'!$E$3:$H$1003,3,TRUE)+VLOOKUP(AL270,'各種計算式等（配付時非表示）'!$E$3:$H$1003,4,TRUE)+0.0000000001,"-"))</f>
        <v>#N/A</v>
      </c>
      <c r="AM289" s="357" t="e">
        <f>IF(AM270="",NA(),IFERROR(AM270*VLOOKUP(AM270,'各種計算式等（配付時非表示）'!$E$3:$H$1003,3,TRUE)+VLOOKUP(AM270,'各種計算式等（配付時非表示）'!$E$3:$H$1003,4,TRUE)+0.0000000001,"-"))</f>
        <v>#N/A</v>
      </c>
      <c r="AN289" s="357" t="e">
        <f>IF(AN270="",NA(),IFERROR(AN270*VLOOKUP(AN270,'各種計算式等（配付時非表示）'!$E$3:$H$1003,3,TRUE)+VLOOKUP(AN270,'各種計算式等（配付時非表示）'!$E$3:$H$1003,4,TRUE)+0.0000000001,"-"))</f>
        <v>#N/A</v>
      </c>
      <c r="AO289" s="357" t="e">
        <f>IF(AO270="",NA(),IFERROR(AO270*VLOOKUP(AO270,'各種計算式等（配付時非表示）'!$E$3:$H$1003,3,TRUE)+VLOOKUP(AO270,'各種計算式等（配付時非表示）'!$E$3:$H$1003,4,TRUE)+0.0000000001,"-"))</f>
        <v>#N/A</v>
      </c>
      <c r="AP289" s="357" t="e">
        <f>IF(AP270="",NA(),IFERROR(AP270*VLOOKUP(AP270,'各種計算式等（配付時非表示）'!$E$3:$H$1003,3,TRUE)+VLOOKUP(AP270,'各種計算式等（配付時非表示）'!$E$3:$H$1003,4,TRUE)+0.0000000001,"-"))</f>
        <v>#N/A</v>
      </c>
      <c r="AQ289" s="357" t="e">
        <f>IF(AQ270="",NA(),IFERROR(AQ270*VLOOKUP(AQ270,'各種計算式等（配付時非表示）'!$E$3:$H$1003,3,TRUE)+VLOOKUP(AQ270,'各種計算式等（配付時非表示）'!$E$3:$H$1003,4,TRUE)+0.0000000001,"-"))</f>
        <v>#N/A</v>
      </c>
    </row>
    <row r="290" spans="1:44" s="317" customFormat="1" ht="14.25" hidden="1">
      <c r="A290" s="1012" t="s">
        <v>3</v>
      </c>
      <c r="B290" s="1012"/>
      <c r="C290" s="1012"/>
      <c r="E290" s="358" t="e">
        <f>IFERROR(ROUNDDOWN((E288-E289)*260+0.21,1),NA())</f>
        <v>#N/A</v>
      </c>
      <c r="F290" s="358" t="e">
        <f t="shared" ref="F290:AQ290" si="126">IFERROR(ROUNDDOWN((F288-F289)*260+0.21,1),NA())</f>
        <v>#N/A</v>
      </c>
      <c r="G290" s="358" t="e">
        <f t="shared" si="126"/>
        <v>#N/A</v>
      </c>
      <c r="H290" s="358" t="e">
        <f t="shared" si="126"/>
        <v>#N/A</v>
      </c>
      <c r="I290" s="358" t="e">
        <f t="shared" si="126"/>
        <v>#N/A</v>
      </c>
      <c r="J290" s="358" t="e">
        <f t="shared" si="126"/>
        <v>#N/A</v>
      </c>
      <c r="K290" s="358" t="e">
        <f t="shared" si="126"/>
        <v>#N/A</v>
      </c>
      <c r="L290" s="358" t="e">
        <f t="shared" si="126"/>
        <v>#N/A</v>
      </c>
      <c r="M290" s="358" t="e">
        <f t="shared" si="126"/>
        <v>#N/A</v>
      </c>
      <c r="N290" s="358" t="e">
        <f t="shared" si="126"/>
        <v>#N/A</v>
      </c>
      <c r="O290" s="358" t="e">
        <f t="shared" si="126"/>
        <v>#N/A</v>
      </c>
      <c r="P290" s="358" t="e">
        <f t="shared" si="126"/>
        <v>#N/A</v>
      </c>
      <c r="Q290" s="358" t="e">
        <f t="shared" si="126"/>
        <v>#N/A</v>
      </c>
      <c r="R290" s="358" t="e">
        <f t="shared" si="126"/>
        <v>#N/A</v>
      </c>
      <c r="S290" s="358" t="e">
        <f t="shared" si="126"/>
        <v>#N/A</v>
      </c>
      <c r="T290" s="358" t="e">
        <f t="shared" si="126"/>
        <v>#N/A</v>
      </c>
      <c r="U290" s="358" t="e">
        <f t="shared" si="126"/>
        <v>#N/A</v>
      </c>
      <c r="V290" s="358" t="e">
        <f t="shared" si="126"/>
        <v>#N/A</v>
      </c>
      <c r="W290" s="358" t="e">
        <f t="shared" si="126"/>
        <v>#N/A</v>
      </c>
      <c r="X290" s="358" t="e">
        <f t="shared" si="126"/>
        <v>#N/A</v>
      </c>
      <c r="Y290" s="358" t="e">
        <f t="shared" si="126"/>
        <v>#N/A</v>
      </c>
      <c r="Z290" s="358" t="e">
        <f t="shared" si="126"/>
        <v>#N/A</v>
      </c>
      <c r="AA290" s="358" t="e">
        <f t="shared" si="126"/>
        <v>#N/A</v>
      </c>
      <c r="AB290" s="358" t="e">
        <f t="shared" si="126"/>
        <v>#N/A</v>
      </c>
      <c r="AC290" s="358" t="e">
        <f t="shared" si="126"/>
        <v>#N/A</v>
      </c>
      <c r="AD290" s="358" t="e">
        <f t="shared" si="126"/>
        <v>#N/A</v>
      </c>
      <c r="AE290" s="358" t="e">
        <f t="shared" si="126"/>
        <v>#N/A</v>
      </c>
      <c r="AF290" s="358" t="e">
        <f t="shared" si="126"/>
        <v>#N/A</v>
      </c>
      <c r="AG290" s="358" t="e">
        <f t="shared" si="126"/>
        <v>#N/A</v>
      </c>
      <c r="AH290" s="358" t="e">
        <f t="shared" si="126"/>
        <v>#N/A</v>
      </c>
      <c r="AI290" s="358" t="e">
        <f t="shared" si="126"/>
        <v>#N/A</v>
      </c>
      <c r="AJ290" s="358" t="e">
        <f t="shared" si="126"/>
        <v>#N/A</v>
      </c>
      <c r="AK290" s="358" t="e">
        <f t="shared" si="126"/>
        <v>#N/A</v>
      </c>
      <c r="AL290" s="358" t="e">
        <f t="shared" si="126"/>
        <v>#N/A</v>
      </c>
      <c r="AM290" s="358" t="e">
        <f t="shared" si="126"/>
        <v>#N/A</v>
      </c>
      <c r="AN290" s="358" t="e">
        <f t="shared" si="126"/>
        <v>#N/A</v>
      </c>
      <c r="AO290" s="358" t="e">
        <f t="shared" si="126"/>
        <v>#N/A</v>
      </c>
      <c r="AP290" s="358" t="e">
        <f t="shared" si="126"/>
        <v>#N/A</v>
      </c>
      <c r="AQ290" s="358" t="e">
        <f t="shared" si="126"/>
        <v>#N/A</v>
      </c>
    </row>
    <row r="291" spans="1:44" s="317" customFormat="1" ht="14.25" hidden="1">
      <c r="A291" s="1012" t="s">
        <v>326</v>
      </c>
      <c r="B291" s="1012"/>
      <c r="C291" s="1012"/>
      <c r="E291" s="359" t="e">
        <f t="shared" ref="E291:AQ291" si="127">IF(E270="",NA(),ROUNDDOWN(E270*1.5848,1))</f>
        <v>#N/A</v>
      </c>
      <c r="F291" s="359" t="e">
        <f t="shared" si="127"/>
        <v>#N/A</v>
      </c>
      <c r="G291" s="359" t="e">
        <f t="shared" si="127"/>
        <v>#N/A</v>
      </c>
      <c r="H291" s="359" t="e">
        <f t="shared" si="127"/>
        <v>#N/A</v>
      </c>
      <c r="I291" s="359" t="e">
        <f t="shared" si="127"/>
        <v>#N/A</v>
      </c>
      <c r="J291" s="359" t="e">
        <f t="shared" si="127"/>
        <v>#N/A</v>
      </c>
      <c r="K291" s="359" t="e">
        <f t="shared" si="127"/>
        <v>#N/A</v>
      </c>
      <c r="L291" s="359" t="e">
        <f t="shared" si="127"/>
        <v>#N/A</v>
      </c>
      <c r="M291" s="359" t="e">
        <f t="shared" si="127"/>
        <v>#N/A</v>
      </c>
      <c r="N291" s="359" t="e">
        <f t="shared" si="127"/>
        <v>#N/A</v>
      </c>
      <c r="O291" s="359" t="e">
        <f t="shared" si="127"/>
        <v>#N/A</v>
      </c>
      <c r="P291" s="359" t="e">
        <f t="shared" si="127"/>
        <v>#N/A</v>
      </c>
      <c r="Q291" s="359" t="e">
        <f t="shared" si="127"/>
        <v>#N/A</v>
      </c>
      <c r="R291" s="359" t="e">
        <f t="shared" si="127"/>
        <v>#N/A</v>
      </c>
      <c r="S291" s="359" t="e">
        <f t="shared" si="127"/>
        <v>#N/A</v>
      </c>
      <c r="T291" s="359" t="e">
        <f t="shared" si="127"/>
        <v>#N/A</v>
      </c>
      <c r="U291" s="359" t="e">
        <f t="shared" si="127"/>
        <v>#N/A</v>
      </c>
      <c r="V291" s="359" t="e">
        <f t="shared" si="127"/>
        <v>#N/A</v>
      </c>
      <c r="W291" s="359" t="e">
        <f t="shared" si="127"/>
        <v>#N/A</v>
      </c>
      <c r="X291" s="359" t="e">
        <f t="shared" si="127"/>
        <v>#N/A</v>
      </c>
      <c r="Y291" s="359" t="e">
        <f t="shared" si="127"/>
        <v>#N/A</v>
      </c>
      <c r="Z291" s="359" t="e">
        <f t="shared" si="127"/>
        <v>#N/A</v>
      </c>
      <c r="AA291" s="359" t="e">
        <f t="shared" si="127"/>
        <v>#N/A</v>
      </c>
      <c r="AB291" s="359" t="e">
        <f t="shared" si="127"/>
        <v>#N/A</v>
      </c>
      <c r="AC291" s="359" t="e">
        <f t="shared" si="127"/>
        <v>#N/A</v>
      </c>
      <c r="AD291" s="359" t="e">
        <f t="shared" si="127"/>
        <v>#N/A</v>
      </c>
      <c r="AE291" s="359" t="e">
        <f t="shared" si="127"/>
        <v>#N/A</v>
      </c>
      <c r="AF291" s="359" t="e">
        <f t="shared" si="127"/>
        <v>#N/A</v>
      </c>
      <c r="AG291" s="359" t="e">
        <f t="shared" si="127"/>
        <v>#N/A</v>
      </c>
      <c r="AH291" s="359" t="e">
        <f t="shared" si="127"/>
        <v>#N/A</v>
      </c>
      <c r="AI291" s="359" t="e">
        <f t="shared" si="127"/>
        <v>#N/A</v>
      </c>
      <c r="AJ291" s="359" t="e">
        <f t="shared" si="127"/>
        <v>#N/A</v>
      </c>
      <c r="AK291" s="359" t="e">
        <f t="shared" si="127"/>
        <v>#N/A</v>
      </c>
      <c r="AL291" s="359" t="e">
        <f t="shared" si="127"/>
        <v>#N/A</v>
      </c>
      <c r="AM291" s="359" t="e">
        <f t="shared" si="127"/>
        <v>#N/A</v>
      </c>
      <c r="AN291" s="359" t="e">
        <f t="shared" si="127"/>
        <v>#N/A</v>
      </c>
      <c r="AO291" s="359" t="e">
        <f t="shared" si="127"/>
        <v>#N/A</v>
      </c>
      <c r="AP291" s="359" t="e">
        <f t="shared" si="127"/>
        <v>#N/A</v>
      </c>
      <c r="AQ291" s="359" t="e">
        <f t="shared" si="127"/>
        <v>#N/A</v>
      </c>
    </row>
    <row r="292" spans="1:44" s="317" customFormat="1" ht="14.25" hidden="1">
      <c r="A292" s="1012" t="s">
        <v>162</v>
      </c>
      <c r="B292" s="1012"/>
      <c r="C292" s="1012"/>
      <c r="E292" s="359" t="e">
        <f>IF(E290="",NA(),ROUNDDOWN(E290+E291,1))</f>
        <v>#N/A</v>
      </c>
      <c r="F292" s="359" t="e">
        <f t="shared" ref="F292:AQ292" si="128">IF(F290="",NA(),ROUNDDOWN(F290+F291,1))</f>
        <v>#N/A</v>
      </c>
      <c r="G292" s="359" t="e">
        <f t="shared" si="128"/>
        <v>#N/A</v>
      </c>
      <c r="H292" s="359" t="e">
        <f t="shared" si="128"/>
        <v>#N/A</v>
      </c>
      <c r="I292" s="359" t="e">
        <f t="shared" si="128"/>
        <v>#N/A</v>
      </c>
      <c r="J292" s="359" t="e">
        <f t="shared" si="128"/>
        <v>#N/A</v>
      </c>
      <c r="K292" s="359" t="e">
        <f t="shared" si="128"/>
        <v>#N/A</v>
      </c>
      <c r="L292" s="359" t="e">
        <f t="shared" si="128"/>
        <v>#N/A</v>
      </c>
      <c r="M292" s="359" t="e">
        <f t="shared" si="128"/>
        <v>#N/A</v>
      </c>
      <c r="N292" s="359" t="e">
        <f t="shared" si="128"/>
        <v>#N/A</v>
      </c>
      <c r="O292" s="359" t="e">
        <f t="shared" si="128"/>
        <v>#N/A</v>
      </c>
      <c r="P292" s="359" t="e">
        <f t="shared" si="128"/>
        <v>#N/A</v>
      </c>
      <c r="Q292" s="359" t="e">
        <f t="shared" si="128"/>
        <v>#N/A</v>
      </c>
      <c r="R292" s="359" t="e">
        <f t="shared" si="128"/>
        <v>#N/A</v>
      </c>
      <c r="S292" s="359" t="e">
        <f t="shared" si="128"/>
        <v>#N/A</v>
      </c>
      <c r="T292" s="359" t="e">
        <f t="shared" si="128"/>
        <v>#N/A</v>
      </c>
      <c r="U292" s="359" t="e">
        <f t="shared" si="128"/>
        <v>#N/A</v>
      </c>
      <c r="V292" s="359" t="e">
        <f t="shared" si="128"/>
        <v>#N/A</v>
      </c>
      <c r="W292" s="359" t="e">
        <f t="shared" si="128"/>
        <v>#N/A</v>
      </c>
      <c r="X292" s="359" t="e">
        <f t="shared" si="128"/>
        <v>#N/A</v>
      </c>
      <c r="Y292" s="359" t="e">
        <f t="shared" si="128"/>
        <v>#N/A</v>
      </c>
      <c r="Z292" s="359" t="e">
        <f t="shared" si="128"/>
        <v>#N/A</v>
      </c>
      <c r="AA292" s="359" t="e">
        <f t="shared" si="128"/>
        <v>#N/A</v>
      </c>
      <c r="AB292" s="359" t="e">
        <f t="shared" si="128"/>
        <v>#N/A</v>
      </c>
      <c r="AC292" s="359" t="e">
        <f t="shared" si="128"/>
        <v>#N/A</v>
      </c>
      <c r="AD292" s="359" t="e">
        <f t="shared" si="128"/>
        <v>#N/A</v>
      </c>
      <c r="AE292" s="359" t="e">
        <f t="shared" si="128"/>
        <v>#N/A</v>
      </c>
      <c r="AF292" s="359" t="e">
        <f t="shared" si="128"/>
        <v>#N/A</v>
      </c>
      <c r="AG292" s="359" t="e">
        <f t="shared" si="128"/>
        <v>#N/A</v>
      </c>
      <c r="AH292" s="359" t="e">
        <f t="shared" si="128"/>
        <v>#N/A</v>
      </c>
      <c r="AI292" s="359" t="e">
        <f t="shared" si="128"/>
        <v>#N/A</v>
      </c>
      <c r="AJ292" s="359" t="e">
        <f t="shared" si="128"/>
        <v>#N/A</v>
      </c>
      <c r="AK292" s="359" t="e">
        <f t="shared" si="128"/>
        <v>#N/A</v>
      </c>
      <c r="AL292" s="359" t="e">
        <f t="shared" si="128"/>
        <v>#N/A</v>
      </c>
      <c r="AM292" s="359" t="e">
        <f t="shared" si="128"/>
        <v>#N/A</v>
      </c>
      <c r="AN292" s="359" t="e">
        <f t="shared" si="128"/>
        <v>#N/A</v>
      </c>
      <c r="AO292" s="359" t="e">
        <f t="shared" si="128"/>
        <v>#N/A</v>
      </c>
      <c r="AP292" s="359" t="e">
        <f t="shared" si="128"/>
        <v>#N/A</v>
      </c>
      <c r="AQ292" s="359" t="e">
        <f t="shared" si="128"/>
        <v>#N/A</v>
      </c>
    </row>
    <row r="293" spans="1:44" s="317" customFormat="1" ht="14.25" hidden="1">
      <c r="A293" s="1012" t="s">
        <v>198</v>
      </c>
      <c r="B293" s="1012"/>
      <c r="C293" s="1012"/>
      <c r="E293" s="360" t="e">
        <f t="shared" ref="E293:AQ293" si="129">IF(E270="",NA(),IF(E266&lt;=$B281,E270*$D284/100,IF(E266&lt;=$C281,E270*$E284/100,IF(E266&lt;=$D281,E270*$F284/100,IF(E266&lt;=$E281,E270*$G284/100,IF(E266&lt;=$F281,E270*$H284/100,IF(E266&lt;=$G281,E270*$I284/100,IF(E266&lt;=$H281,E270*$J284/100,IF(E266&lt;=$I281,E270*$K284/100,IF(E266&lt;=$J281,E270*$L284/100,IF(E266&lt;=$K281,E270*$M284/100,IF(E266&lt;=$L281,E270*$N284/100,IF(E266&lt;=$M281,E270*$O284/100,IF(E266&lt;=$N281,E270*$P284/100,IF(E266&lt;=$O281,E270*$Q284/100,IF(E266&lt;=$P281,E270*$R284/100,IF(E266&lt;=$Q281,E270*$S284/100,IF(E266&lt;=$R281,E270*$T284/100,IF(E266&lt;=$S281,E270*$U284/100,IF(E266&lt;=$T281,E270*$V284/100,IF(E266&lt;=$U281,E270*$W284/100,E270*$X284/100)))))))))))))))))))))</f>
        <v>#N/A</v>
      </c>
      <c r="F293" s="360" t="e">
        <f t="shared" si="129"/>
        <v>#N/A</v>
      </c>
      <c r="G293" s="360" t="e">
        <f t="shared" si="129"/>
        <v>#N/A</v>
      </c>
      <c r="H293" s="360" t="e">
        <f t="shared" si="129"/>
        <v>#N/A</v>
      </c>
      <c r="I293" s="360" t="e">
        <f t="shared" si="129"/>
        <v>#N/A</v>
      </c>
      <c r="J293" s="360" t="e">
        <f t="shared" si="129"/>
        <v>#N/A</v>
      </c>
      <c r="K293" s="360" t="e">
        <f t="shared" si="129"/>
        <v>#N/A</v>
      </c>
      <c r="L293" s="360" t="e">
        <f t="shared" si="129"/>
        <v>#N/A</v>
      </c>
      <c r="M293" s="360" t="e">
        <f t="shared" si="129"/>
        <v>#N/A</v>
      </c>
      <c r="N293" s="360" t="e">
        <f t="shared" si="129"/>
        <v>#N/A</v>
      </c>
      <c r="O293" s="360" t="e">
        <f t="shared" si="129"/>
        <v>#N/A</v>
      </c>
      <c r="P293" s="360" t="e">
        <f t="shared" si="129"/>
        <v>#N/A</v>
      </c>
      <c r="Q293" s="360" t="e">
        <f t="shared" si="129"/>
        <v>#N/A</v>
      </c>
      <c r="R293" s="360" t="e">
        <f t="shared" si="129"/>
        <v>#N/A</v>
      </c>
      <c r="S293" s="360" t="e">
        <f t="shared" si="129"/>
        <v>#N/A</v>
      </c>
      <c r="T293" s="360" t="e">
        <f t="shared" si="129"/>
        <v>#N/A</v>
      </c>
      <c r="U293" s="360" t="e">
        <f t="shared" si="129"/>
        <v>#N/A</v>
      </c>
      <c r="V293" s="360" t="e">
        <f t="shared" si="129"/>
        <v>#N/A</v>
      </c>
      <c r="W293" s="360" t="e">
        <f t="shared" si="129"/>
        <v>#N/A</v>
      </c>
      <c r="X293" s="360" t="e">
        <f t="shared" si="129"/>
        <v>#N/A</v>
      </c>
      <c r="Y293" s="360" t="e">
        <f t="shared" si="129"/>
        <v>#N/A</v>
      </c>
      <c r="Z293" s="360" t="e">
        <f t="shared" si="129"/>
        <v>#N/A</v>
      </c>
      <c r="AA293" s="360" t="e">
        <f t="shared" si="129"/>
        <v>#N/A</v>
      </c>
      <c r="AB293" s="360" t="e">
        <f t="shared" si="129"/>
        <v>#N/A</v>
      </c>
      <c r="AC293" s="360" t="e">
        <f t="shared" si="129"/>
        <v>#N/A</v>
      </c>
      <c r="AD293" s="360" t="e">
        <f t="shared" si="129"/>
        <v>#N/A</v>
      </c>
      <c r="AE293" s="360" t="e">
        <f t="shared" si="129"/>
        <v>#N/A</v>
      </c>
      <c r="AF293" s="360" t="e">
        <f t="shared" si="129"/>
        <v>#N/A</v>
      </c>
      <c r="AG293" s="360" t="e">
        <f t="shared" si="129"/>
        <v>#N/A</v>
      </c>
      <c r="AH293" s="360" t="e">
        <f t="shared" si="129"/>
        <v>#N/A</v>
      </c>
      <c r="AI293" s="360" t="e">
        <f t="shared" si="129"/>
        <v>#N/A</v>
      </c>
      <c r="AJ293" s="360" t="e">
        <f t="shared" si="129"/>
        <v>#N/A</v>
      </c>
      <c r="AK293" s="360" t="e">
        <f t="shared" si="129"/>
        <v>#N/A</v>
      </c>
      <c r="AL293" s="360" t="e">
        <f t="shared" si="129"/>
        <v>#N/A</v>
      </c>
      <c r="AM293" s="360" t="e">
        <f t="shared" si="129"/>
        <v>#N/A</v>
      </c>
      <c r="AN293" s="360" t="e">
        <f t="shared" si="129"/>
        <v>#N/A</v>
      </c>
      <c r="AO293" s="360" t="e">
        <f t="shared" si="129"/>
        <v>#N/A</v>
      </c>
      <c r="AP293" s="360" t="e">
        <f t="shared" si="129"/>
        <v>#N/A</v>
      </c>
      <c r="AQ293" s="360" t="e">
        <f t="shared" si="129"/>
        <v>#N/A</v>
      </c>
    </row>
    <row r="294" spans="1:44" s="317" customFormat="1" ht="14.25" hidden="1">
      <c r="A294" s="1011" t="s">
        <v>327</v>
      </c>
      <c r="B294" s="1012"/>
      <c r="C294" s="1050"/>
      <c r="E294" s="361" t="e">
        <f>IF(E293="",NA(),ROUND(E293*1.5848,1))</f>
        <v>#N/A</v>
      </c>
      <c r="F294" s="361" t="e">
        <f t="shared" ref="F294:AQ294" si="130">IF(F293="",NA(),ROUND(F293*1.5848,1))</f>
        <v>#N/A</v>
      </c>
      <c r="G294" s="361" t="e">
        <f t="shared" si="130"/>
        <v>#N/A</v>
      </c>
      <c r="H294" s="361" t="e">
        <f t="shared" si="130"/>
        <v>#N/A</v>
      </c>
      <c r="I294" s="361" t="e">
        <f t="shared" si="130"/>
        <v>#N/A</v>
      </c>
      <c r="J294" s="361" t="e">
        <f t="shared" si="130"/>
        <v>#N/A</v>
      </c>
      <c r="K294" s="361" t="e">
        <f t="shared" si="130"/>
        <v>#N/A</v>
      </c>
      <c r="L294" s="361" t="e">
        <f t="shared" si="130"/>
        <v>#N/A</v>
      </c>
      <c r="M294" s="361" t="e">
        <f t="shared" si="130"/>
        <v>#N/A</v>
      </c>
      <c r="N294" s="361" t="e">
        <f t="shared" si="130"/>
        <v>#N/A</v>
      </c>
      <c r="O294" s="361" t="e">
        <f t="shared" si="130"/>
        <v>#N/A</v>
      </c>
      <c r="P294" s="361" t="e">
        <f t="shared" si="130"/>
        <v>#N/A</v>
      </c>
      <c r="Q294" s="361" t="e">
        <f t="shared" si="130"/>
        <v>#N/A</v>
      </c>
      <c r="R294" s="361" t="e">
        <f t="shared" si="130"/>
        <v>#N/A</v>
      </c>
      <c r="S294" s="361" t="e">
        <f t="shared" si="130"/>
        <v>#N/A</v>
      </c>
      <c r="T294" s="361" t="e">
        <f t="shared" si="130"/>
        <v>#N/A</v>
      </c>
      <c r="U294" s="361" t="e">
        <f t="shared" si="130"/>
        <v>#N/A</v>
      </c>
      <c r="V294" s="361" t="e">
        <f t="shared" si="130"/>
        <v>#N/A</v>
      </c>
      <c r="W294" s="361" t="e">
        <f t="shared" si="130"/>
        <v>#N/A</v>
      </c>
      <c r="X294" s="361" t="e">
        <f t="shared" si="130"/>
        <v>#N/A</v>
      </c>
      <c r="Y294" s="361" t="e">
        <f t="shared" si="130"/>
        <v>#N/A</v>
      </c>
      <c r="Z294" s="361" t="e">
        <f t="shared" si="130"/>
        <v>#N/A</v>
      </c>
      <c r="AA294" s="361" t="e">
        <f t="shared" si="130"/>
        <v>#N/A</v>
      </c>
      <c r="AB294" s="361" t="e">
        <f t="shared" si="130"/>
        <v>#N/A</v>
      </c>
      <c r="AC294" s="361" t="e">
        <f t="shared" si="130"/>
        <v>#N/A</v>
      </c>
      <c r="AD294" s="361" t="e">
        <f t="shared" si="130"/>
        <v>#N/A</v>
      </c>
      <c r="AE294" s="361" t="e">
        <f t="shared" si="130"/>
        <v>#N/A</v>
      </c>
      <c r="AF294" s="361" t="e">
        <f t="shared" si="130"/>
        <v>#N/A</v>
      </c>
      <c r="AG294" s="361" t="e">
        <f t="shared" si="130"/>
        <v>#N/A</v>
      </c>
      <c r="AH294" s="361" t="e">
        <f t="shared" si="130"/>
        <v>#N/A</v>
      </c>
      <c r="AI294" s="361" t="e">
        <f t="shared" si="130"/>
        <v>#N/A</v>
      </c>
      <c r="AJ294" s="361" t="e">
        <f t="shared" si="130"/>
        <v>#N/A</v>
      </c>
      <c r="AK294" s="361" t="e">
        <f t="shared" si="130"/>
        <v>#N/A</v>
      </c>
      <c r="AL294" s="361" t="e">
        <f t="shared" si="130"/>
        <v>#N/A</v>
      </c>
      <c r="AM294" s="361" t="e">
        <f t="shared" si="130"/>
        <v>#N/A</v>
      </c>
      <c r="AN294" s="361" t="e">
        <f t="shared" si="130"/>
        <v>#N/A</v>
      </c>
      <c r="AO294" s="361" t="e">
        <f t="shared" si="130"/>
        <v>#N/A</v>
      </c>
      <c r="AP294" s="361" t="e">
        <f t="shared" si="130"/>
        <v>#N/A</v>
      </c>
      <c r="AQ294" s="361" t="e">
        <f t="shared" si="130"/>
        <v>#N/A</v>
      </c>
    </row>
    <row r="295" spans="1:44" s="317" customFormat="1" ht="14.25" hidden="1">
      <c r="A295" s="1011" t="s">
        <v>328</v>
      </c>
      <c r="B295" s="1012"/>
      <c r="C295" s="1050"/>
      <c r="E295" s="361" t="e">
        <f>IF(E296="",NA(),ROUND(E296-E294,1))</f>
        <v>#N/A</v>
      </c>
      <c r="F295" s="361" t="e">
        <f t="shared" ref="F295:AQ295" si="131">IF(F296="",NA(),ROUND(F296-F294,1))</f>
        <v>#N/A</v>
      </c>
      <c r="G295" s="361" t="e">
        <f t="shared" si="131"/>
        <v>#N/A</v>
      </c>
      <c r="H295" s="361" t="e">
        <f t="shared" si="131"/>
        <v>#N/A</v>
      </c>
      <c r="I295" s="361" t="e">
        <f t="shared" si="131"/>
        <v>#N/A</v>
      </c>
      <c r="J295" s="361" t="e">
        <f t="shared" si="131"/>
        <v>#N/A</v>
      </c>
      <c r="K295" s="361" t="e">
        <f t="shared" si="131"/>
        <v>#N/A</v>
      </c>
      <c r="L295" s="361" t="e">
        <f t="shared" si="131"/>
        <v>#N/A</v>
      </c>
      <c r="M295" s="361" t="e">
        <f t="shared" si="131"/>
        <v>#N/A</v>
      </c>
      <c r="N295" s="361" t="e">
        <f t="shared" si="131"/>
        <v>#N/A</v>
      </c>
      <c r="O295" s="361" t="e">
        <f t="shared" si="131"/>
        <v>#N/A</v>
      </c>
      <c r="P295" s="361" t="e">
        <f t="shared" si="131"/>
        <v>#N/A</v>
      </c>
      <c r="Q295" s="361" t="e">
        <f t="shared" si="131"/>
        <v>#N/A</v>
      </c>
      <c r="R295" s="361" t="e">
        <f t="shared" si="131"/>
        <v>#N/A</v>
      </c>
      <c r="S295" s="361" t="e">
        <f t="shared" si="131"/>
        <v>#N/A</v>
      </c>
      <c r="T295" s="361" t="e">
        <f t="shared" si="131"/>
        <v>#N/A</v>
      </c>
      <c r="U295" s="361" t="e">
        <f t="shared" si="131"/>
        <v>#N/A</v>
      </c>
      <c r="V295" s="361" t="e">
        <f t="shared" si="131"/>
        <v>#N/A</v>
      </c>
      <c r="W295" s="361" t="e">
        <f t="shared" si="131"/>
        <v>#N/A</v>
      </c>
      <c r="X295" s="361" t="e">
        <f t="shared" si="131"/>
        <v>#N/A</v>
      </c>
      <c r="Y295" s="361" t="e">
        <f t="shared" si="131"/>
        <v>#N/A</v>
      </c>
      <c r="Z295" s="361" t="e">
        <f t="shared" si="131"/>
        <v>#N/A</v>
      </c>
      <c r="AA295" s="361" t="e">
        <f t="shared" si="131"/>
        <v>#N/A</v>
      </c>
      <c r="AB295" s="361" t="e">
        <f t="shared" si="131"/>
        <v>#N/A</v>
      </c>
      <c r="AC295" s="361" t="e">
        <f t="shared" si="131"/>
        <v>#N/A</v>
      </c>
      <c r="AD295" s="361" t="e">
        <f t="shared" si="131"/>
        <v>#N/A</v>
      </c>
      <c r="AE295" s="361" t="e">
        <f t="shared" si="131"/>
        <v>#N/A</v>
      </c>
      <c r="AF295" s="361" t="e">
        <f t="shared" si="131"/>
        <v>#N/A</v>
      </c>
      <c r="AG295" s="361" t="e">
        <f t="shared" si="131"/>
        <v>#N/A</v>
      </c>
      <c r="AH295" s="361" t="e">
        <f t="shared" si="131"/>
        <v>#N/A</v>
      </c>
      <c r="AI295" s="361" t="e">
        <f t="shared" si="131"/>
        <v>#N/A</v>
      </c>
      <c r="AJ295" s="361" t="e">
        <f t="shared" si="131"/>
        <v>#N/A</v>
      </c>
      <c r="AK295" s="361" t="e">
        <f t="shared" si="131"/>
        <v>#N/A</v>
      </c>
      <c r="AL295" s="361" t="e">
        <f t="shared" si="131"/>
        <v>#N/A</v>
      </c>
      <c r="AM295" s="361" t="e">
        <f t="shared" si="131"/>
        <v>#N/A</v>
      </c>
      <c r="AN295" s="361" t="e">
        <f t="shared" si="131"/>
        <v>#N/A</v>
      </c>
      <c r="AO295" s="361" t="e">
        <f t="shared" si="131"/>
        <v>#N/A</v>
      </c>
      <c r="AP295" s="361" t="e">
        <f t="shared" si="131"/>
        <v>#N/A</v>
      </c>
      <c r="AQ295" s="361" t="e">
        <f t="shared" si="131"/>
        <v>#N/A</v>
      </c>
    </row>
    <row r="296" spans="1:44" s="317" customFormat="1" ht="14.25" hidden="1">
      <c r="A296" s="1011" t="s">
        <v>329</v>
      </c>
      <c r="B296" s="1012"/>
      <c r="C296" s="1050"/>
      <c r="E296" s="360" t="e">
        <f t="shared" ref="E296:AQ296" si="132">IF(E292="",NA(),IF(E266&lt;=$B281,E292*$D284/100,IF(E266&lt;=$C281,E292*$E284/100,IF(E266&lt;=$D281,E292*$F284/100,IF(E266&lt;=$E281,E292*$G284/100,IF(E266&lt;=$F281,E292*$H284/100,IF(E266&lt;=$G281,E292*$I284/100,IF(E266&lt;=$H281,E292*$J284/100,IF(E266&lt;=$I281,E292*$K284/100,IF(E266&lt;=$J281,E292*$L284/100,IF(E266&lt;=$K281,E292*$M284/100,IF(E266&lt;=$L281,E292*$N284/100,IF(E266&lt;=$M281,E292*$O284/100,IF(E266&lt;=$N281,E292*$P284/100,IF(E266&lt;=$O281,E292*$Q284/100,IF(E266&lt;=$P281,E292*$R284/100,IF(E266&lt;=$Q281,E292*$S284/100,IF(E266&lt;=$R281,E292*$T284/100,IF(E266&lt;=$S281,E292*$U284/100,IF(E266&lt;=$T281,E292*$V284/100,IF(E266&lt;=$U281,E292*$W284/100,E292*$X284/100)))))))))))))))))))))</f>
        <v>#N/A</v>
      </c>
      <c r="F296" s="360" t="e">
        <f t="shared" si="132"/>
        <v>#N/A</v>
      </c>
      <c r="G296" s="360" t="e">
        <f t="shared" si="132"/>
        <v>#N/A</v>
      </c>
      <c r="H296" s="360" t="e">
        <f t="shared" si="132"/>
        <v>#N/A</v>
      </c>
      <c r="I296" s="360" t="e">
        <f t="shared" si="132"/>
        <v>#N/A</v>
      </c>
      <c r="J296" s="360" t="e">
        <f t="shared" si="132"/>
        <v>#N/A</v>
      </c>
      <c r="K296" s="360" t="e">
        <f t="shared" si="132"/>
        <v>#N/A</v>
      </c>
      <c r="L296" s="360" t="e">
        <f t="shared" si="132"/>
        <v>#N/A</v>
      </c>
      <c r="M296" s="360" t="e">
        <f t="shared" si="132"/>
        <v>#N/A</v>
      </c>
      <c r="N296" s="360" t="e">
        <f t="shared" si="132"/>
        <v>#N/A</v>
      </c>
      <c r="O296" s="360" t="e">
        <f t="shared" si="132"/>
        <v>#N/A</v>
      </c>
      <c r="P296" s="360" t="e">
        <f t="shared" si="132"/>
        <v>#N/A</v>
      </c>
      <c r="Q296" s="360" t="e">
        <f t="shared" si="132"/>
        <v>#N/A</v>
      </c>
      <c r="R296" s="360" t="e">
        <f t="shared" si="132"/>
        <v>#N/A</v>
      </c>
      <c r="S296" s="360" t="e">
        <f t="shared" si="132"/>
        <v>#N/A</v>
      </c>
      <c r="T296" s="360" t="e">
        <f t="shared" si="132"/>
        <v>#N/A</v>
      </c>
      <c r="U296" s="360" t="e">
        <f t="shared" si="132"/>
        <v>#N/A</v>
      </c>
      <c r="V296" s="360" t="e">
        <f t="shared" si="132"/>
        <v>#N/A</v>
      </c>
      <c r="W296" s="360" t="e">
        <f t="shared" si="132"/>
        <v>#N/A</v>
      </c>
      <c r="X296" s="360" t="e">
        <f t="shared" si="132"/>
        <v>#N/A</v>
      </c>
      <c r="Y296" s="360" t="e">
        <f t="shared" si="132"/>
        <v>#N/A</v>
      </c>
      <c r="Z296" s="360" t="e">
        <f t="shared" si="132"/>
        <v>#N/A</v>
      </c>
      <c r="AA296" s="360" t="e">
        <f t="shared" si="132"/>
        <v>#N/A</v>
      </c>
      <c r="AB296" s="360" t="e">
        <f t="shared" si="132"/>
        <v>#N/A</v>
      </c>
      <c r="AC296" s="360" t="e">
        <f t="shared" si="132"/>
        <v>#N/A</v>
      </c>
      <c r="AD296" s="360" t="e">
        <f t="shared" si="132"/>
        <v>#N/A</v>
      </c>
      <c r="AE296" s="360" t="e">
        <f t="shared" si="132"/>
        <v>#N/A</v>
      </c>
      <c r="AF296" s="360" t="e">
        <f t="shared" si="132"/>
        <v>#N/A</v>
      </c>
      <c r="AG296" s="360" t="e">
        <f t="shared" si="132"/>
        <v>#N/A</v>
      </c>
      <c r="AH296" s="360" t="e">
        <f t="shared" si="132"/>
        <v>#N/A</v>
      </c>
      <c r="AI296" s="360" t="e">
        <f t="shared" si="132"/>
        <v>#N/A</v>
      </c>
      <c r="AJ296" s="360" t="e">
        <f t="shared" si="132"/>
        <v>#N/A</v>
      </c>
      <c r="AK296" s="360" t="e">
        <f t="shared" si="132"/>
        <v>#N/A</v>
      </c>
      <c r="AL296" s="360" t="e">
        <f t="shared" si="132"/>
        <v>#N/A</v>
      </c>
      <c r="AM296" s="360" t="e">
        <f t="shared" si="132"/>
        <v>#N/A</v>
      </c>
      <c r="AN296" s="360" t="e">
        <f t="shared" si="132"/>
        <v>#N/A</v>
      </c>
      <c r="AO296" s="360" t="e">
        <f t="shared" si="132"/>
        <v>#N/A</v>
      </c>
      <c r="AP296" s="360" t="e">
        <f t="shared" si="132"/>
        <v>#N/A</v>
      </c>
      <c r="AQ296" s="360" t="e">
        <f t="shared" si="132"/>
        <v>#N/A</v>
      </c>
    </row>
    <row r="297" spans="1:44" s="317" customFormat="1" ht="15" hidden="1" thickBot="1">
      <c r="A297" s="1014" t="s">
        <v>330</v>
      </c>
      <c r="B297" s="1015"/>
      <c r="C297" s="1015"/>
      <c r="E297" s="362" t="e">
        <f>IF(E296="",NA(),ROUND(E294/E296*100,1))</f>
        <v>#N/A</v>
      </c>
      <c r="F297" s="362" t="e">
        <f t="shared" ref="F297:AQ297" si="133">IF(F296="",NA(),ROUND(F294/F296*100,1))</f>
        <v>#N/A</v>
      </c>
      <c r="G297" s="362" t="e">
        <f t="shared" si="133"/>
        <v>#N/A</v>
      </c>
      <c r="H297" s="362" t="e">
        <f t="shared" si="133"/>
        <v>#N/A</v>
      </c>
      <c r="I297" s="362" t="e">
        <f t="shared" si="133"/>
        <v>#N/A</v>
      </c>
      <c r="J297" s="362" t="e">
        <f t="shared" si="133"/>
        <v>#N/A</v>
      </c>
      <c r="K297" s="362" t="e">
        <f t="shared" si="133"/>
        <v>#N/A</v>
      </c>
      <c r="L297" s="362" t="e">
        <f t="shared" si="133"/>
        <v>#N/A</v>
      </c>
      <c r="M297" s="362" t="e">
        <f t="shared" si="133"/>
        <v>#N/A</v>
      </c>
      <c r="N297" s="362" t="e">
        <f t="shared" si="133"/>
        <v>#N/A</v>
      </c>
      <c r="O297" s="362" t="e">
        <f t="shared" si="133"/>
        <v>#N/A</v>
      </c>
      <c r="P297" s="362" t="e">
        <f t="shared" si="133"/>
        <v>#N/A</v>
      </c>
      <c r="Q297" s="362" t="e">
        <f t="shared" si="133"/>
        <v>#N/A</v>
      </c>
      <c r="R297" s="362" t="e">
        <f t="shared" si="133"/>
        <v>#N/A</v>
      </c>
      <c r="S297" s="362" t="e">
        <f t="shared" si="133"/>
        <v>#N/A</v>
      </c>
      <c r="T297" s="362" t="e">
        <f t="shared" si="133"/>
        <v>#N/A</v>
      </c>
      <c r="U297" s="362" t="e">
        <f t="shared" si="133"/>
        <v>#N/A</v>
      </c>
      <c r="V297" s="362" t="e">
        <f t="shared" si="133"/>
        <v>#N/A</v>
      </c>
      <c r="W297" s="362" t="e">
        <f t="shared" si="133"/>
        <v>#N/A</v>
      </c>
      <c r="X297" s="362" t="e">
        <f t="shared" si="133"/>
        <v>#N/A</v>
      </c>
      <c r="Y297" s="362" t="e">
        <f t="shared" si="133"/>
        <v>#N/A</v>
      </c>
      <c r="Z297" s="362" t="e">
        <f t="shared" si="133"/>
        <v>#N/A</v>
      </c>
      <c r="AA297" s="362" t="e">
        <f t="shared" si="133"/>
        <v>#N/A</v>
      </c>
      <c r="AB297" s="362" t="e">
        <f t="shared" si="133"/>
        <v>#N/A</v>
      </c>
      <c r="AC297" s="362" t="e">
        <f t="shared" si="133"/>
        <v>#N/A</v>
      </c>
      <c r="AD297" s="362" t="e">
        <f t="shared" si="133"/>
        <v>#N/A</v>
      </c>
      <c r="AE297" s="362" t="e">
        <f t="shared" si="133"/>
        <v>#N/A</v>
      </c>
      <c r="AF297" s="362" t="e">
        <f t="shared" si="133"/>
        <v>#N/A</v>
      </c>
      <c r="AG297" s="362" t="e">
        <f t="shared" si="133"/>
        <v>#N/A</v>
      </c>
      <c r="AH297" s="362" t="e">
        <f t="shared" si="133"/>
        <v>#N/A</v>
      </c>
      <c r="AI297" s="362" t="e">
        <f t="shared" si="133"/>
        <v>#N/A</v>
      </c>
      <c r="AJ297" s="362" t="e">
        <f t="shared" si="133"/>
        <v>#N/A</v>
      </c>
      <c r="AK297" s="362" t="e">
        <f t="shared" si="133"/>
        <v>#N/A</v>
      </c>
      <c r="AL297" s="362" t="e">
        <f t="shared" si="133"/>
        <v>#N/A</v>
      </c>
      <c r="AM297" s="362" t="e">
        <f t="shared" si="133"/>
        <v>#N/A</v>
      </c>
      <c r="AN297" s="362" t="e">
        <f t="shared" si="133"/>
        <v>#N/A</v>
      </c>
      <c r="AO297" s="362" t="e">
        <f t="shared" si="133"/>
        <v>#N/A</v>
      </c>
      <c r="AP297" s="362" t="e">
        <f t="shared" si="133"/>
        <v>#N/A</v>
      </c>
      <c r="AQ297" s="362" t="e">
        <f t="shared" si="133"/>
        <v>#N/A</v>
      </c>
      <c r="AR297" s="362"/>
    </row>
    <row r="298" spans="1:44" s="317" customFormat="1" ht="14.25" hidden="1"/>
    <row r="299" spans="1:44" s="317" customFormat="1" ht="21" customHeight="1" thickBot="1">
      <c r="A299" s="316" t="s">
        <v>341</v>
      </c>
    </row>
    <row r="300" spans="1:44" s="317" customFormat="1" ht="12.95" customHeight="1" thickBot="1">
      <c r="A300" s="1016" t="s">
        <v>286</v>
      </c>
      <c r="B300" s="1017"/>
      <c r="C300" s="1017"/>
      <c r="D300" s="1022"/>
      <c r="E300" s="1022"/>
      <c r="F300" s="1023"/>
      <c r="H300" s="318" t="s">
        <v>294</v>
      </c>
      <c r="I300" s="1022"/>
      <c r="J300" s="1023"/>
      <c r="L300" s="363" t="s">
        <v>295</v>
      </c>
      <c r="M300" s="1057"/>
      <c r="N300" s="1058"/>
      <c r="O300" s="364"/>
      <c r="P300" s="1059" t="s">
        <v>297</v>
      </c>
      <c r="Q300" s="1060"/>
      <c r="R300" s="365"/>
      <c r="S300" s="365"/>
      <c r="T300" s="365"/>
    </row>
    <row r="301" spans="1:44" s="317" customFormat="1" ht="12.95" customHeight="1" thickBot="1">
      <c r="L301" s="366" t="s">
        <v>296</v>
      </c>
      <c r="M301" s="1061"/>
      <c r="N301" s="1062"/>
      <c r="P301" s="1028"/>
      <c r="Q301" s="1029"/>
      <c r="R301" s="1029"/>
      <c r="S301" s="1029"/>
      <c r="T301" s="1029"/>
      <c r="U301" s="1029"/>
      <c r="V301" s="1029"/>
      <c r="W301" s="1029"/>
      <c r="X301" s="1030"/>
    </row>
    <row r="302" spans="1:44" s="317" customFormat="1" ht="14.25">
      <c r="A302" s="1037" t="s">
        <v>63</v>
      </c>
      <c r="B302" s="1038"/>
      <c r="C302" s="1038"/>
      <c r="D302" s="388" t="s">
        <v>49</v>
      </c>
      <c r="E302" s="388" t="s">
        <v>14</v>
      </c>
      <c r="F302" s="388" t="s">
        <v>16</v>
      </c>
      <c r="G302" s="388" t="s">
        <v>50</v>
      </c>
      <c r="H302" s="388" t="s">
        <v>51</v>
      </c>
      <c r="I302" s="322" t="s">
        <v>54</v>
      </c>
      <c r="J302" s="323" t="s">
        <v>53</v>
      </c>
      <c r="K302" s="324"/>
      <c r="P302" s="1031"/>
      <c r="Q302" s="1032"/>
      <c r="R302" s="1032"/>
      <c r="S302" s="1032"/>
      <c r="T302" s="1032"/>
      <c r="U302" s="1032"/>
      <c r="V302" s="1032"/>
      <c r="W302" s="1032"/>
      <c r="X302" s="1033"/>
      <c r="Z302" s="326"/>
      <c r="AA302" s="326"/>
    </row>
    <row r="303" spans="1:44" s="317" customFormat="1" ht="14.25">
      <c r="A303" s="1011" t="s">
        <v>166</v>
      </c>
      <c r="B303" s="1012"/>
      <c r="C303" s="1012"/>
      <c r="D303" s="373" t="str">
        <f>IF(D304+D305=0,"",D304+D305)</f>
        <v/>
      </c>
      <c r="E303" s="373" t="str">
        <f>IF(E304+E305=0,"",E304+E305)</f>
        <v/>
      </c>
      <c r="F303" s="373" t="str">
        <f>IF(F304+F305=0,"",F304+F305)</f>
        <v/>
      </c>
      <c r="G303" s="373" t="str">
        <f>IF(G304+G305=0,"",G304+G305)</f>
        <v/>
      </c>
      <c r="H303" s="373" t="str">
        <f>IF(H304+H305=0,"",H304+H305)</f>
        <v/>
      </c>
      <c r="I303" s="327"/>
      <c r="J303" s="390" t="str">
        <f>IF(SUM(D303:I303)=0,"",SUM(D303:I303))</f>
        <v/>
      </c>
      <c r="K303" s="324"/>
      <c r="P303" s="1031"/>
      <c r="Q303" s="1032"/>
      <c r="R303" s="1032"/>
      <c r="S303" s="1032"/>
      <c r="T303" s="1032"/>
      <c r="U303" s="1032"/>
      <c r="V303" s="1032"/>
      <c r="W303" s="1032"/>
      <c r="X303" s="1033"/>
      <c r="Z303" s="326"/>
      <c r="AA303" s="326"/>
    </row>
    <row r="304" spans="1:44" s="317" customFormat="1" ht="14.25">
      <c r="A304" s="1011" t="s">
        <v>95</v>
      </c>
      <c r="B304" s="1012"/>
      <c r="C304" s="1012"/>
      <c r="D304" s="393"/>
      <c r="E304" s="393"/>
      <c r="F304" s="393"/>
      <c r="G304" s="393"/>
      <c r="H304" s="393"/>
      <c r="I304" s="327"/>
      <c r="J304" s="390" t="str">
        <f>IF(SUM(D304:I304)=0,"",SUM(D304:I304))</f>
        <v/>
      </c>
      <c r="K304" s="330"/>
      <c r="P304" s="1031"/>
      <c r="Q304" s="1032"/>
      <c r="R304" s="1032"/>
      <c r="S304" s="1032"/>
      <c r="T304" s="1032"/>
      <c r="U304" s="1032"/>
      <c r="V304" s="1032"/>
      <c r="W304" s="1032"/>
      <c r="X304" s="1033"/>
      <c r="Y304" s="1013"/>
      <c r="Z304" s="1013"/>
      <c r="AA304" s="1013"/>
    </row>
    <row r="305" spans="1:44" s="317" customFormat="1" ht="14.25">
      <c r="A305" s="1011" t="s">
        <v>52</v>
      </c>
      <c r="B305" s="1012"/>
      <c r="C305" s="1012"/>
      <c r="D305" s="393"/>
      <c r="E305" s="393"/>
      <c r="F305" s="393"/>
      <c r="G305" s="393"/>
      <c r="H305" s="393"/>
      <c r="I305" s="327"/>
      <c r="J305" s="390" t="str">
        <f>IF(SUM(D305:I305)=0,"",SUM(D305:I305))</f>
        <v/>
      </c>
      <c r="K305" s="330"/>
      <c r="P305" s="1031"/>
      <c r="Q305" s="1032"/>
      <c r="R305" s="1032"/>
      <c r="S305" s="1032"/>
      <c r="T305" s="1032"/>
      <c r="U305" s="1032"/>
      <c r="V305" s="1032"/>
      <c r="W305" s="1032"/>
      <c r="X305" s="1033"/>
      <c r="Y305" s="1013"/>
      <c r="Z305" s="1013"/>
      <c r="AA305" s="1013"/>
    </row>
    <row r="306" spans="1:44" s="317" customFormat="1" ht="15" thickBot="1">
      <c r="A306" s="1014" t="s">
        <v>165</v>
      </c>
      <c r="B306" s="1015"/>
      <c r="C306" s="1015"/>
      <c r="D306" s="394"/>
      <c r="E306" s="394"/>
      <c r="F306" s="394"/>
      <c r="G306" s="394"/>
      <c r="H306" s="394"/>
      <c r="I306" s="391" t="str">
        <f>IF(SUM(E309:AQ309)=0,"",SUM(E309:AQ309))</f>
        <v/>
      </c>
      <c r="J306" s="392" t="str">
        <f>IF(SUM(D306:I306)=0,"",SUM(D306:I306))</f>
        <v/>
      </c>
      <c r="K306" s="330"/>
      <c r="O306" s="364"/>
      <c r="P306" s="1034"/>
      <c r="Q306" s="1035"/>
      <c r="R306" s="1035"/>
      <c r="S306" s="1035"/>
      <c r="T306" s="1035"/>
      <c r="U306" s="1035"/>
      <c r="V306" s="1035"/>
      <c r="W306" s="1035"/>
      <c r="X306" s="1036"/>
      <c r="Y306" s="1013"/>
      <c r="Z306" s="1013"/>
      <c r="AA306" s="1013"/>
    </row>
    <row r="307" spans="1:44" s="317" customFormat="1" ht="10.5" customHeight="1" thickBot="1"/>
    <row r="308" spans="1:44" s="317" customFormat="1" ht="14.25">
      <c r="A308" s="1056" t="s">
        <v>17</v>
      </c>
      <c r="B308" s="1038"/>
      <c r="C308" s="1038"/>
      <c r="D308" s="388">
        <v>1</v>
      </c>
      <c r="E308" s="388">
        <v>2</v>
      </c>
      <c r="F308" s="388">
        <v>3</v>
      </c>
      <c r="G308" s="388">
        <v>4</v>
      </c>
      <c r="H308" s="388">
        <v>5</v>
      </c>
      <c r="I308" s="388">
        <v>6</v>
      </c>
      <c r="J308" s="388">
        <v>7</v>
      </c>
      <c r="K308" s="388">
        <v>8</v>
      </c>
      <c r="L308" s="388">
        <v>9</v>
      </c>
      <c r="M308" s="388">
        <v>10</v>
      </c>
      <c r="N308" s="388">
        <v>11</v>
      </c>
      <c r="O308" s="388">
        <v>12</v>
      </c>
      <c r="P308" s="388">
        <v>13</v>
      </c>
      <c r="Q308" s="388">
        <v>14</v>
      </c>
      <c r="R308" s="388">
        <v>15</v>
      </c>
      <c r="S308" s="388">
        <v>16</v>
      </c>
      <c r="T308" s="388">
        <v>17</v>
      </c>
      <c r="U308" s="388">
        <v>18</v>
      </c>
      <c r="V308" s="388">
        <v>19</v>
      </c>
      <c r="W308" s="388">
        <v>20</v>
      </c>
      <c r="X308" s="388">
        <v>21</v>
      </c>
      <c r="Y308" s="388">
        <v>22</v>
      </c>
      <c r="Z308" s="388">
        <v>23</v>
      </c>
      <c r="AA308" s="388">
        <v>24</v>
      </c>
      <c r="AB308" s="388">
        <v>25</v>
      </c>
      <c r="AC308" s="388">
        <v>26</v>
      </c>
      <c r="AD308" s="388">
        <v>27</v>
      </c>
      <c r="AE308" s="388">
        <v>28</v>
      </c>
      <c r="AF308" s="388">
        <v>29</v>
      </c>
      <c r="AG308" s="388">
        <v>30</v>
      </c>
      <c r="AH308" s="388">
        <v>31</v>
      </c>
      <c r="AI308" s="388">
        <v>32</v>
      </c>
      <c r="AJ308" s="388">
        <v>33</v>
      </c>
      <c r="AK308" s="388">
        <v>34</v>
      </c>
      <c r="AL308" s="388">
        <v>35</v>
      </c>
      <c r="AM308" s="388">
        <v>36</v>
      </c>
      <c r="AN308" s="388">
        <v>37</v>
      </c>
      <c r="AO308" s="388">
        <v>38</v>
      </c>
      <c r="AP308" s="388">
        <v>39</v>
      </c>
      <c r="AQ308" s="323">
        <v>40</v>
      </c>
    </row>
    <row r="309" spans="1:44" s="317" customFormat="1" ht="14.25">
      <c r="A309" s="1011" t="s">
        <v>209</v>
      </c>
      <c r="B309" s="1012"/>
      <c r="C309" s="1012"/>
      <c r="D309" s="387"/>
      <c r="E309" s="329"/>
      <c r="F309" s="329"/>
      <c r="G309" s="329"/>
      <c r="H309" s="329"/>
      <c r="I309" s="329"/>
      <c r="J309" s="329"/>
      <c r="K309" s="329"/>
      <c r="L309" s="329"/>
      <c r="M309" s="329"/>
      <c r="N309" s="329"/>
      <c r="O309" s="329"/>
      <c r="P309" s="329"/>
      <c r="Q309" s="329"/>
      <c r="R309" s="329"/>
      <c r="S309" s="329"/>
      <c r="T309" s="329"/>
      <c r="U309" s="329"/>
      <c r="V309" s="329"/>
      <c r="W309" s="329"/>
      <c r="X309" s="329"/>
      <c r="Y309" s="329"/>
      <c r="Z309" s="329"/>
      <c r="AA309" s="329"/>
      <c r="AB309" s="329"/>
      <c r="AC309" s="329"/>
      <c r="AD309" s="329"/>
      <c r="AE309" s="329"/>
      <c r="AF309" s="329"/>
      <c r="AG309" s="329"/>
      <c r="AH309" s="329"/>
      <c r="AI309" s="329"/>
      <c r="AJ309" s="329"/>
      <c r="AK309" s="329"/>
      <c r="AL309" s="329"/>
      <c r="AM309" s="329"/>
      <c r="AN309" s="329"/>
      <c r="AO309" s="329"/>
      <c r="AP309" s="329"/>
      <c r="AQ309" s="333"/>
    </row>
    <row r="310" spans="1:44" s="317" customFormat="1" ht="14.25">
      <c r="A310" s="1063" t="s">
        <v>1</v>
      </c>
      <c r="B310" s="1064"/>
      <c r="C310" s="1065" t="s">
        <v>65</v>
      </c>
      <c r="D310" s="334"/>
      <c r="E310" s="335"/>
      <c r="F310" s="335"/>
      <c r="G310" s="335"/>
      <c r="H310" s="335"/>
      <c r="I310" s="335"/>
      <c r="J310" s="335"/>
      <c r="K310" s="335"/>
      <c r="L310" s="335"/>
      <c r="M310" s="335"/>
      <c r="N310" s="335"/>
      <c r="O310" s="335"/>
      <c r="P310" s="335"/>
      <c r="Q310" s="335"/>
      <c r="R310" s="335"/>
      <c r="S310" s="335"/>
      <c r="T310" s="335"/>
      <c r="U310" s="335"/>
      <c r="V310" s="335"/>
      <c r="W310" s="335"/>
      <c r="X310" s="335"/>
      <c r="Y310" s="335"/>
      <c r="Z310" s="335"/>
      <c r="AA310" s="335"/>
      <c r="AB310" s="335"/>
      <c r="AC310" s="335"/>
      <c r="AD310" s="335"/>
      <c r="AE310" s="335"/>
      <c r="AF310" s="335"/>
      <c r="AG310" s="335"/>
      <c r="AH310" s="335"/>
      <c r="AI310" s="335"/>
      <c r="AJ310" s="335"/>
      <c r="AK310" s="335"/>
      <c r="AL310" s="336"/>
      <c r="AM310" s="336"/>
      <c r="AN310" s="336"/>
      <c r="AO310" s="335"/>
      <c r="AP310" s="335"/>
      <c r="AQ310" s="337"/>
      <c r="AR310" s="372"/>
    </row>
    <row r="311" spans="1:44" s="317" customFormat="1" ht="14.25">
      <c r="A311" s="1063" t="s">
        <v>2</v>
      </c>
      <c r="B311" s="1064"/>
      <c r="C311" s="1065"/>
      <c r="D311" s="334"/>
      <c r="E311" s="335"/>
      <c r="F311" s="335"/>
      <c r="G311" s="335"/>
      <c r="H311" s="335"/>
      <c r="I311" s="335"/>
      <c r="J311" s="335"/>
      <c r="K311" s="335"/>
      <c r="L311" s="335"/>
      <c r="M311" s="335"/>
      <c r="N311" s="335"/>
      <c r="O311" s="335"/>
      <c r="P311" s="335"/>
      <c r="Q311" s="335"/>
      <c r="R311" s="335"/>
      <c r="S311" s="335"/>
      <c r="T311" s="335"/>
      <c r="U311" s="335"/>
      <c r="V311" s="335"/>
      <c r="W311" s="335"/>
      <c r="X311" s="335"/>
      <c r="Y311" s="335"/>
      <c r="Z311" s="335"/>
      <c r="AA311" s="335"/>
      <c r="AB311" s="335"/>
      <c r="AC311" s="335"/>
      <c r="AD311" s="335"/>
      <c r="AE311" s="335"/>
      <c r="AF311" s="335"/>
      <c r="AG311" s="335"/>
      <c r="AH311" s="335"/>
      <c r="AI311" s="335"/>
      <c r="AJ311" s="335"/>
      <c r="AK311" s="335"/>
      <c r="AL311" s="335"/>
      <c r="AM311" s="335"/>
      <c r="AN311" s="335"/>
      <c r="AO311" s="335"/>
      <c r="AP311" s="338"/>
      <c r="AQ311" s="339"/>
      <c r="AR311" s="372"/>
    </row>
    <row r="312" spans="1:44" s="317" customFormat="1" ht="14.25">
      <c r="A312" s="1011" t="s">
        <v>265</v>
      </c>
      <c r="B312" s="1012"/>
      <c r="C312" s="1012"/>
      <c r="D312" s="340"/>
      <c r="E312" s="341"/>
      <c r="F312" s="341"/>
      <c r="G312" s="341"/>
      <c r="H312" s="341"/>
      <c r="I312" s="341"/>
      <c r="J312" s="341"/>
      <c r="K312" s="341"/>
      <c r="L312" s="341"/>
      <c r="M312" s="341"/>
      <c r="N312" s="341"/>
      <c r="O312" s="341"/>
      <c r="P312" s="341"/>
      <c r="Q312" s="341"/>
      <c r="R312" s="341"/>
      <c r="S312" s="341"/>
      <c r="T312" s="341"/>
      <c r="U312" s="341"/>
      <c r="V312" s="341"/>
      <c r="W312" s="341"/>
      <c r="X312" s="341"/>
      <c r="Y312" s="341"/>
      <c r="Z312" s="341"/>
      <c r="AA312" s="341"/>
      <c r="AB312" s="341"/>
      <c r="AC312" s="341"/>
      <c r="AD312" s="341"/>
      <c r="AE312" s="341"/>
      <c r="AF312" s="341"/>
      <c r="AG312" s="341"/>
      <c r="AH312" s="341"/>
      <c r="AI312" s="341"/>
      <c r="AJ312" s="341"/>
      <c r="AK312" s="341"/>
      <c r="AL312" s="336"/>
      <c r="AM312" s="336"/>
      <c r="AN312" s="336"/>
      <c r="AO312" s="341"/>
      <c r="AP312" s="341"/>
      <c r="AQ312" s="342"/>
    </row>
    <row r="313" spans="1:44" s="317" customFormat="1" ht="14.25">
      <c r="A313" s="1009" t="s">
        <v>302</v>
      </c>
      <c r="B313" s="1010"/>
      <c r="C313" s="1010"/>
      <c r="D313" s="395"/>
      <c r="E313" s="396" t="str">
        <f>IFERROR(E336,"")</f>
        <v/>
      </c>
      <c r="F313" s="396" t="str">
        <f t="shared" ref="F313:AQ313" si="134">IFERROR(F336,"")</f>
        <v/>
      </c>
      <c r="G313" s="396" t="str">
        <f t="shared" si="134"/>
        <v/>
      </c>
      <c r="H313" s="396" t="str">
        <f t="shared" si="134"/>
        <v/>
      </c>
      <c r="I313" s="396" t="str">
        <f t="shared" si="134"/>
        <v/>
      </c>
      <c r="J313" s="396" t="str">
        <f t="shared" si="134"/>
        <v/>
      </c>
      <c r="K313" s="396" t="str">
        <f t="shared" si="134"/>
        <v/>
      </c>
      <c r="L313" s="396" t="str">
        <f t="shared" si="134"/>
        <v/>
      </c>
      <c r="M313" s="396" t="str">
        <f t="shared" si="134"/>
        <v/>
      </c>
      <c r="N313" s="396" t="str">
        <f t="shared" si="134"/>
        <v/>
      </c>
      <c r="O313" s="396" t="str">
        <f t="shared" si="134"/>
        <v/>
      </c>
      <c r="P313" s="396" t="str">
        <f t="shared" si="134"/>
        <v/>
      </c>
      <c r="Q313" s="396" t="str">
        <f t="shared" si="134"/>
        <v/>
      </c>
      <c r="R313" s="396" t="str">
        <f t="shared" si="134"/>
        <v/>
      </c>
      <c r="S313" s="396" t="str">
        <f t="shared" si="134"/>
        <v/>
      </c>
      <c r="T313" s="396" t="str">
        <f t="shared" si="134"/>
        <v/>
      </c>
      <c r="U313" s="396" t="str">
        <f t="shared" si="134"/>
        <v/>
      </c>
      <c r="V313" s="396" t="str">
        <f t="shared" si="134"/>
        <v/>
      </c>
      <c r="W313" s="396" t="str">
        <f t="shared" si="134"/>
        <v/>
      </c>
      <c r="X313" s="396" t="str">
        <f t="shared" si="134"/>
        <v/>
      </c>
      <c r="Y313" s="396" t="str">
        <f t="shared" si="134"/>
        <v/>
      </c>
      <c r="Z313" s="396" t="str">
        <f t="shared" si="134"/>
        <v/>
      </c>
      <c r="AA313" s="396" t="str">
        <f t="shared" si="134"/>
        <v/>
      </c>
      <c r="AB313" s="396" t="str">
        <f t="shared" si="134"/>
        <v/>
      </c>
      <c r="AC313" s="396" t="str">
        <f t="shared" si="134"/>
        <v/>
      </c>
      <c r="AD313" s="396" t="str">
        <f t="shared" si="134"/>
        <v/>
      </c>
      <c r="AE313" s="396" t="str">
        <f t="shared" si="134"/>
        <v/>
      </c>
      <c r="AF313" s="396" t="str">
        <f t="shared" si="134"/>
        <v/>
      </c>
      <c r="AG313" s="396" t="str">
        <f t="shared" si="134"/>
        <v/>
      </c>
      <c r="AH313" s="396" t="str">
        <f t="shared" si="134"/>
        <v/>
      </c>
      <c r="AI313" s="396" t="str">
        <f t="shared" si="134"/>
        <v/>
      </c>
      <c r="AJ313" s="396" t="str">
        <f t="shared" si="134"/>
        <v/>
      </c>
      <c r="AK313" s="396" t="str">
        <f t="shared" si="134"/>
        <v/>
      </c>
      <c r="AL313" s="396" t="str">
        <f t="shared" si="134"/>
        <v/>
      </c>
      <c r="AM313" s="396" t="str">
        <f t="shared" si="134"/>
        <v/>
      </c>
      <c r="AN313" s="396" t="str">
        <f t="shared" si="134"/>
        <v/>
      </c>
      <c r="AO313" s="396" t="str">
        <f t="shared" si="134"/>
        <v/>
      </c>
      <c r="AP313" s="396" t="str">
        <f t="shared" si="134"/>
        <v/>
      </c>
      <c r="AQ313" s="397" t="str">
        <f t="shared" si="134"/>
        <v/>
      </c>
      <c r="AR313" s="372"/>
    </row>
    <row r="314" spans="1:44" s="317" customFormat="1" ht="14.25" customHeight="1">
      <c r="A314" s="1009" t="s">
        <v>303</v>
      </c>
      <c r="B314" s="1010"/>
      <c r="C314" s="1010"/>
      <c r="D314" s="395"/>
      <c r="E314" s="396" t="str">
        <f t="shared" ref="E314:AQ314" si="135">IFERROR(E337,"")</f>
        <v/>
      </c>
      <c r="F314" s="396" t="str">
        <f t="shared" si="135"/>
        <v/>
      </c>
      <c r="G314" s="396" t="str">
        <f t="shared" si="135"/>
        <v/>
      </c>
      <c r="H314" s="396" t="str">
        <f t="shared" si="135"/>
        <v/>
      </c>
      <c r="I314" s="396" t="str">
        <f t="shared" si="135"/>
        <v/>
      </c>
      <c r="J314" s="396" t="str">
        <f t="shared" si="135"/>
        <v/>
      </c>
      <c r="K314" s="396" t="str">
        <f t="shared" si="135"/>
        <v/>
      </c>
      <c r="L314" s="396" t="str">
        <f t="shared" si="135"/>
        <v/>
      </c>
      <c r="M314" s="396" t="str">
        <f t="shared" si="135"/>
        <v/>
      </c>
      <c r="N314" s="396" t="str">
        <f t="shared" si="135"/>
        <v/>
      </c>
      <c r="O314" s="396" t="str">
        <f t="shared" si="135"/>
        <v/>
      </c>
      <c r="P314" s="396" t="str">
        <f t="shared" si="135"/>
        <v/>
      </c>
      <c r="Q314" s="396" t="str">
        <f t="shared" si="135"/>
        <v/>
      </c>
      <c r="R314" s="396" t="str">
        <f t="shared" si="135"/>
        <v/>
      </c>
      <c r="S314" s="396" t="str">
        <f t="shared" si="135"/>
        <v/>
      </c>
      <c r="T314" s="396" t="str">
        <f t="shared" si="135"/>
        <v/>
      </c>
      <c r="U314" s="396" t="str">
        <f t="shared" si="135"/>
        <v/>
      </c>
      <c r="V314" s="396" t="str">
        <f t="shared" si="135"/>
        <v/>
      </c>
      <c r="W314" s="396" t="str">
        <f t="shared" si="135"/>
        <v/>
      </c>
      <c r="X314" s="396" t="str">
        <f t="shared" si="135"/>
        <v/>
      </c>
      <c r="Y314" s="396" t="str">
        <f t="shared" si="135"/>
        <v/>
      </c>
      <c r="Z314" s="396" t="str">
        <f t="shared" si="135"/>
        <v/>
      </c>
      <c r="AA314" s="396" t="str">
        <f t="shared" si="135"/>
        <v/>
      </c>
      <c r="AB314" s="396" t="str">
        <f t="shared" si="135"/>
        <v/>
      </c>
      <c r="AC314" s="396" t="str">
        <f t="shared" si="135"/>
        <v/>
      </c>
      <c r="AD314" s="396" t="str">
        <f t="shared" si="135"/>
        <v/>
      </c>
      <c r="AE314" s="396" t="str">
        <f t="shared" si="135"/>
        <v/>
      </c>
      <c r="AF314" s="396" t="str">
        <f t="shared" si="135"/>
        <v/>
      </c>
      <c r="AG314" s="396" t="str">
        <f t="shared" si="135"/>
        <v/>
      </c>
      <c r="AH314" s="396" t="str">
        <f t="shared" si="135"/>
        <v/>
      </c>
      <c r="AI314" s="396" t="str">
        <f t="shared" si="135"/>
        <v/>
      </c>
      <c r="AJ314" s="396" t="str">
        <f t="shared" si="135"/>
        <v/>
      </c>
      <c r="AK314" s="396" t="str">
        <f t="shared" si="135"/>
        <v/>
      </c>
      <c r="AL314" s="396" t="str">
        <f t="shared" si="135"/>
        <v/>
      </c>
      <c r="AM314" s="396" t="str">
        <f t="shared" si="135"/>
        <v/>
      </c>
      <c r="AN314" s="396" t="str">
        <f t="shared" si="135"/>
        <v/>
      </c>
      <c r="AO314" s="396" t="str">
        <f t="shared" si="135"/>
        <v/>
      </c>
      <c r="AP314" s="396" t="str">
        <f t="shared" si="135"/>
        <v/>
      </c>
      <c r="AQ314" s="397" t="str">
        <f t="shared" si="135"/>
        <v/>
      </c>
      <c r="AR314" s="372"/>
    </row>
    <row r="315" spans="1:44" s="317" customFormat="1" ht="14.25">
      <c r="A315" s="1009" t="s">
        <v>304</v>
      </c>
      <c r="B315" s="1010"/>
      <c r="C315" s="1010"/>
      <c r="D315" s="395"/>
      <c r="E315" s="396" t="str">
        <f t="shared" ref="E315:AQ315" si="136">IFERROR(E338,"")</f>
        <v/>
      </c>
      <c r="F315" s="396" t="str">
        <f t="shared" si="136"/>
        <v/>
      </c>
      <c r="G315" s="396" t="str">
        <f t="shared" si="136"/>
        <v/>
      </c>
      <c r="H315" s="396" t="str">
        <f t="shared" si="136"/>
        <v/>
      </c>
      <c r="I315" s="396" t="str">
        <f t="shared" si="136"/>
        <v/>
      </c>
      <c r="J315" s="396" t="str">
        <f t="shared" si="136"/>
        <v/>
      </c>
      <c r="K315" s="396" t="str">
        <f t="shared" si="136"/>
        <v/>
      </c>
      <c r="L315" s="396" t="str">
        <f t="shared" si="136"/>
        <v/>
      </c>
      <c r="M315" s="396" t="str">
        <f t="shared" si="136"/>
        <v/>
      </c>
      <c r="N315" s="396" t="str">
        <f t="shared" si="136"/>
        <v/>
      </c>
      <c r="O315" s="396" t="str">
        <f t="shared" si="136"/>
        <v/>
      </c>
      <c r="P315" s="396" t="str">
        <f t="shared" si="136"/>
        <v/>
      </c>
      <c r="Q315" s="396" t="str">
        <f t="shared" si="136"/>
        <v/>
      </c>
      <c r="R315" s="396" t="str">
        <f t="shared" si="136"/>
        <v/>
      </c>
      <c r="S315" s="396" t="str">
        <f t="shared" si="136"/>
        <v/>
      </c>
      <c r="T315" s="396" t="str">
        <f t="shared" si="136"/>
        <v/>
      </c>
      <c r="U315" s="396" t="str">
        <f t="shared" si="136"/>
        <v/>
      </c>
      <c r="V315" s="396" t="str">
        <f t="shared" si="136"/>
        <v/>
      </c>
      <c r="W315" s="396" t="str">
        <f t="shared" si="136"/>
        <v/>
      </c>
      <c r="X315" s="396" t="str">
        <f t="shared" si="136"/>
        <v/>
      </c>
      <c r="Y315" s="396" t="str">
        <f t="shared" si="136"/>
        <v/>
      </c>
      <c r="Z315" s="396" t="str">
        <f t="shared" si="136"/>
        <v/>
      </c>
      <c r="AA315" s="396" t="str">
        <f t="shared" si="136"/>
        <v/>
      </c>
      <c r="AB315" s="396" t="str">
        <f t="shared" si="136"/>
        <v/>
      </c>
      <c r="AC315" s="396" t="str">
        <f t="shared" si="136"/>
        <v/>
      </c>
      <c r="AD315" s="396" t="str">
        <f t="shared" si="136"/>
        <v/>
      </c>
      <c r="AE315" s="396" t="str">
        <f t="shared" si="136"/>
        <v/>
      </c>
      <c r="AF315" s="396" t="str">
        <f t="shared" si="136"/>
        <v/>
      </c>
      <c r="AG315" s="396" t="str">
        <f t="shared" si="136"/>
        <v/>
      </c>
      <c r="AH315" s="396" t="str">
        <f t="shared" si="136"/>
        <v/>
      </c>
      <c r="AI315" s="396" t="str">
        <f t="shared" si="136"/>
        <v/>
      </c>
      <c r="AJ315" s="396" t="str">
        <f t="shared" si="136"/>
        <v/>
      </c>
      <c r="AK315" s="396" t="str">
        <f t="shared" si="136"/>
        <v/>
      </c>
      <c r="AL315" s="396" t="str">
        <f t="shared" si="136"/>
        <v/>
      </c>
      <c r="AM315" s="396" t="str">
        <f t="shared" si="136"/>
        <v/>
      </c>
      <c r="AN315" s="396" t="str">
        <f t="shared" si="136"/>
        <v/>
      </c>
      <c r="AO315" s="396" t="str">
        <f t="shared" si="136"/>
        <v/>
      </c>
      <c r="AP315" s="396" t="str">
        <f t="shared" si="136"/>
        <v/>
      </c>
      <c r="AQ315" s="397" t="str">
        <f t="shared" si="136"/>
        <v/>
      </c>
      <c r="AR315" s="372"/>
    </row>
    <row r="316" spans="1:44" s="317" customFormat="1" ht="14.25">
      <c r="A316" s="1009" t="s">
        <v>305</v>
      </c>
      <c r="B316" s="1010"/>
      <c r="C316" s="1010"/>
      <c r="D316" s="399"/>
      <c r="E316" s="396" t="str">
        <f t="shared" ref="E316:AQ316" si="137">IFERROR(E339,"")</f>
        <v/>
      </c>
      <c r="F316" s="396" t="str">
        <f t="shared" si="137"/>
        <v/>
      </c>
      <c r="G316" s="396" t="str">
        <f t="shared" si="137"/>
        <v/>
      </c>
      <c r="H316" s="396" t="str">
        <f t="shared" si="137"/>
        <v/>
      </c>
      <c r="I316" s="396" t="str">
        <f t="shared" si="137"/>
        <v/>
      </c>
      <c r="J316" s="396" t="str">
        <f t="shared" si="137"/>
        <v/>
      </c>
      <c r="K316" s="396" t="str">
        <f t="shared" si="137"/>
        <v/>
      </c>
      <c r="L316" s="396" t="str">
        <f t="shared" si="137"/>
        <v/>
      </c>
      <c r="M316" s="396" t="str">
        <f t="shared" si="137"/>
        <v/>
      </c>
      <c r="N316" s="396" t="str">
        <f t="shared" si="137"/>
        <v/>
      </c>
      <c r="O316" s="396" t="str">
        <f t="shared" si="137"/>
        <v/>
      </c>
      <c r="P316" s="396" t="str">
        <f t="shared" si="137"/>
        <v/>
      </c>
      <c r="Q316" s="396" t="str">
        <f t="shared" si="137"/>
        <v/>
      </c>
      <c r="R316" s="396" t="str">
        <f t="shared" si="137"/>
        <v/>
      </c>
      <c r="S316" s="396" t="str">
        <f t="shared" si="137"/>
        <v/>
      </c>
      <c r="T316" s="396" t="str">
        <f t="shared" si="137"/>
        <v/>
      </c>
      <c r="U316" s="396" t="str">
        <f t="shared" si="137"/>
        <v/>
      </c>
      <c r="V316" s="396" t="str">
        <f t="shared" si="137"/>
        <v/>
      </c>
      <c r="W316" s="396" t="str">
        <f t="shared" si="137"/>
        <v/>
      </c>
      <c r="X316" s="396" t="str">
        <f t="shared" si="137"/>
        <v/>
      </c>
      <c r="Y316" s="396" t="str">
        <f t="shared" si="137"/>
        <v/>
      </c>
      <c r="Z316" s="396" t="str">
        <f t="shared" si="137"/>
        <v/>
      </c>
      <c r="AA316" s="396" t="str">
        <f t="shared" si="137"/>
        <v/>
      </c>
      <c r="AB316" s="396" t="str">
        <f t="shared" si="137"/>
        <v/>
      </c>
      <c r="AC316" s="396" t="str">
        <f t="shared" si="137"/>
        <v/>
      </c>
      <c r="AD316" s="396" t="str">
        <f t="shared" si="137"/>
        <v/>
      </c>
      <c r="AE316" s="396" t="str">
        <f t="shared" si="137"/>
        <v/>
      </c>
      <c r="AF316" s="396" t="str">
        <f t="shared" si="137"/>
        <v/>
      </c>
      <c r="AG316" s="396" t="str">
        <f t="shared" si="137"/>
        <v/>
      </c>
      <c r="AH316" s="396" t="str">
        <f t="shared" si="137"/>
        <v/>
      </c>
      <c r="AI316" s="396" t="str">
        <f t="shared" si="137"/>
        <v/>
      </c>
      <c r="AJ316" s="396" t="str">
        <f t="shared" si="137"/>
        <v/>
      </c>
      <c r="AK316" s="396" t="str">
        <f t="shared" si="137"/>
        <v/>
      </c>
      <c r="AL316" s="396" t="str">
        <f t="shared" si="137"/>
        <v/>
      </c>
      <c r="AM316" s="396" t="str">
        <f t="shared" si="137"/>
        <v/>
      </c>
      <c r="AN316" s="396" t="str">
        <f t="shared" si="137"/>
        <v/>
      </c>
      <c r="AO316" s="396" t="str">
        <f t="shared" si="137"/>
        <v/>
      </c>
      <c r="AP316" s="396" t="str">
        <f t="shared" si="137"/>
        <v/>
      </c>
      <c r="AQ316" s="397" t="str">
        <f t="shared" si="137"/>
        <v/>
      </c>
      <c r="AR316" s="372"/>
    </row>
    <row r="317" spans="1:44" s="317" customFormat="1" ht="14.25" hidden="1">
      <c r="A317" s="1009" t="s">
        <v>352</v>
      </c>
      <c r="B317" s="1010"/>
      <c r="C317" s="1010"/>
      <c r="D317" s="400"/>
      <c r="E317" s="401">
        <f t="shared" ref="E317:AQ317" si="138">IF(E309="",0,E309)</f>
        <v>0</v>
      </c>
      <c r="F317" s="401">
        <f t="shared" si="138"/>
        <v>0</v>
      </c>
      <c r="G317" s="401">
        <f t="shared" si="138"/>
        <v>0</v>
      </c>
      <c r="H317" s="401">
        <f t="shared" si="138"/>
        <v>0</v>
      </c>
      <c r="I317" s="401">
        <f t="shared" si="138"/>
        <v>0</v>
      </c>
      <c r="J317" s="401">
        <f t="shared" si="138"/>
        <v>0</v>
      </c>
      <c r="K317" s="401">
        <f t="shared" si="138"/>
        <v>0</v>
      </c>
      <c r="L317" s="401">
        <f t="shared" si="138"/>
        <v>0</v>
      </c>
      <c r="M317" s="401">
        <f t="shared" si="138"/>
        <v>0</v>
      </c>
      <c r="N317" s="401">
        <f t="shared" si="138"/>
        <v>0</v>
      </c>
      <c r="O317" s="401">
        <f t="shared" si="138"/>
        <v>0</v>
      </c>
      <c r="P317" s="401">
        <f t="shared" si="138"/>
        <v>0</v>
      </c>
      <c r="Q317" s="401">
        <f t="shared" si="138"/>
        <v>0</v>
      </c>
      <c r="R317" s="401">
        <f t="shared" si="138"/>
        <v>0</v>
      </c>
      <c r="S317" s="401">
        <f t="shared" si="138"/>
        <v>0</v>
      </c>
      <c r="T317" s="401">
        <f t="shared" si="138"/>
        <v>0</v>
      </c>
      <c r="U317" s="401">
        <f t="shared" si="138"/>
        <v>0</v>
      </c>
      <c r="V317" s="401">
        <f t="shared" si="138"/>
        <v>0</v>
      </c>
      <c r="W317" s="401">
        <f t="shared" si="138"/>
        <v>0</v>
      </c>
      <c r="X317" s="401">
        <f t="shared" si="138"/>
        <v>0</v>
      </c>
      <c r="Y317" s="401">
        <f t="shared" si="138"/>
        <v>0</v>
      </c>
      <c r="Z317" s="401">
        <f t="shared" si="138"/>
        <v>0</v>
      </c>
      <c r="AA317" s="401">
        <f t="shared" si="138"/>
        <v>0</v>
      </c>
      <c r="AB317" s="401">
        <f t="shared" si="138"/>
        <v>0</v>
      </c>
      <c r="AC317" s="401">
        <f t="shared" si="138"/>
        <v>0</v>
      </c>
      <c r="AD317" s="401">
        <f t="shared" si="138"/>
        <v>0</v>
      </c>
      <c r="AE317" s="401">
        <f t="shared" si="138"/>
        <v>0</v>
      </c>
      <c r="AF317" s="401">
        <f t="shared" si="138"/>
        <v>0</v>
      </c>
      <c r="AG317" s="401">
        <f t="shared" si="138"/>
        <v>0</v>
      </c>
      <c r="AH317" s="401">
        <f t="shared" si="138"/>
        <v>0</v>
      </c>
      <c r="AI317" s="401">
        <f t="shared" si="138"/>
        <v>0</v>
      </c>
      <c r="AJ317" s="401">
        <f t="shared" si="138"/>
        <v>0</v>
      </c>
      <c r="AK317" s="401">
        <f t="shared" si="138"/>
        <v>0</v>
      </c>
      <c r="AL317" s="401">
        <f t="shared" si="138"/>
        <v>0</v>
      </c>
      <c r="AM317" s="401">
        <f t="shared" si="138"/>
        <v>0</v>
      </c>
      <c r="AN317" s="401">
        <f t="shared" si="138"/>
        <v>0</v>
      </c>
      <c r="AO317" s="401">
        <f t="shared" si="138"/>
        <v>0</v>
      </c>
      <c r="AP317" s="401">
        <f t="shared" si="138"/>
        <v>0</v>
      </c>
      <c r="AQ317" s="402">
        <f t="shared" si="138"/>
        <v>0</v>
      </c>
      <c r="AR317" s="86"/>
    </row>
    <row r="318" spans="1:44" s="317" customFormat="1" ht="14.25" hidden="1">
      <c r="A318" s="1045" t="s">
        <v>343</v>
      </c>
      <c r="B318" s="728"/>
      <c r="C318" s="729"/>
      <c r="D318" s="403">
        <f>SUM(D306:G306)</f>
        <v>0</v>
      </c>
      <c r="E318" s="404">
        <f t="shared" ref="E318:AQ318" si="139">D318+D317</f>
        <v>0</v>
      </c>
      <c r="F318" s="404">
        <f t="shared" si="139"/>
        <v>0</v>
      </c>
      <c r="G318" s="404">
        <f t="shared" si="139"/>
        <v>0</v>
      </c>
      <c r="H318" s="404">
        <f t="shared" si="139"/>
        <v>0</v>
      </c>
      <c r="I318" s="404">
        <f t="shared" si="139"/>
        <v>0</v>
      </c>
      <c r="J318" s="404">
        <f t="shared" si="139"/>
        <v>0</v>
      </c>
      <c r="K318" s="404">
        <f t="shared" si="139"/>
        <v>0</v>
      </c>
      <c r="L318" s="404">
        <f t="shared" si="139"/>
        <v>0</v>
      </c>
      <c r="M318" s="404">
        <f t="shared" si="139"/>
        <v>0</v>
      </c>
      <c r="N318" s="404">
        <f t="shared" si="139"/>
        <v>0</v>
      </c>
      <c r="O318" s="404">
        <f t="shared" si="139"/>
        <v>0</v>
      </c>
      <c r="P318" s="404">
        <f t="shared" si="139"/>
        <v>0</v>
      </c>
      <c r="Q318" s="404">
        <f t="shared" si="139"/>
        <v>0</v>
      </c>
      <c r="R318" s="404">
        <f t="shared" si="139"/>
        <v>0</v>
      </c>
      <c r="S318" s="404">
        <f t="shared" si="139"/>
        <v>0</v>
      </c>
      <c r="T318" s="404">
        <f t="shared" si="139"/>
        <v>0</v>
      </c>
      <c r="U318" s="404">
        <f t="shared" si="139"/>
        <v>0</v>
      </c>
      <c r="V318" s="404">
        <f t="shared" si="139"/>
        <v>0</v>
      </c>
      <c r="W318" s="404">
        <f t="shared" si="139"/>
        <v>0</v>
      </c>
      <c r="X318" s="404">
        <f t="shared" si="139"/>
        <v>0</v>
      </c>
      <c r="Y318" s="404">
        <f t="shared" si="139"/>
        <v>0</v>
      </c>
      <c r="Z318" s="404">
        <f t="shared" si="139"/>
        <v>0</v>
      </c>
      <c r="AA318" s="404">
        <f t="shared" si="139"/>
        <v>0</v>
      </c>
      <c r="AB318" s="404">
        <f t="shared" si="139"/>
        <v>0</v>
      </c>
      <c r="AC318" s="404">
        <f t="shared" si="139"/>
        <v>0</v>
      </c>
      <c r="AD318" s="404">
        <f t="shared" si="139"/>
        <v>0</v>
      </c>
      <c r="AE318" s="404">
        <f t="shared" si="139"/>
        <v>0</v>
      </c>
      <c r="AF318" s="404">
        <f t="shared" si="139"/>
        <v>0</v>
      </c>
      <c r="AG318" s="404">
        <f t="shared" si="139"/>
        <v>0</v>
      </c>
      <c r="AH318" s="404">
        <f t="shared" si="139"/>
        <v>0</v>
      </c>
      <c r="AI318" s="404">
        <f t="shared" si="139"/>
        <v>0</v>
      </c>
      <c r="AJ318" s="404">
        <f t="shared" si="139"/>
        <v>0</v>
      </c>
      <c r="AK318" s="404">
        <f t="shared" si="139"/>
        <v>0</v>
      </c>
      <c r="AL318" s="404">
        <f t="shared" si="139"/>
        <v>0</v>
      </c>
      <c r="AM318" s="404">
        <f t="shared" si="139"/>
        <v>0</v>
      </c>
      <c r="AN318" s="404">
        <f t="shared" si="139"/>
        <v>0</v>
      </c>
      <c r="AO318" s="404">
        <f t="shared" si="139"/>
        <v>0</v>
      </c>
      <c r="AP318" s="404">
        <f t="shared" si="139"/>
        <v>0</v>
      </c>
      <c r="AQ318" s="405">
        <f t="shared" si="139"/>
        <v>0</v>
      </c>
      <c r="AR318"/>
    </row>
    <row r="319" spans="1:44" s="317" customFormat="1" ht="14.25" hidden="1">
      <c r="A319" s="1045" t="s">
        <v>344</v>
      </c>
      <c r="B319" s="728"/>
      <c r="C319" s="729"/>
      <c r="D319" s="406" t="e">
        <f t="shared" ref="D319:AQ319" si="140">(D318)/SUM($D303:$G303)*100</f>
        <v>#DIV/0!</v>
      </c>
      <c r="E319" s="406" t="e">
        <f t="shared" si="140"/>
        <v>#DIV/0!</v>
      </c>
      <c r="F319" s="406" t="e">
        <f t="shared" si="140"/>
        <v>#DIV/0!</v>
      </c>
      <c r="G319" s="406" t="e">
        <f t="shared" si="140"/>
        <v>#DIV/0!</v>
      </c>
      <c r="H319" s="406" t="e">
        <f t="shared" si="140"/>
        <v>#DIV/0!</v>
      </c>
      <c r="I319" s="406" t="e">
        <f t="shared" si="140"/>
        <v>#DIV/0!</v>
      </c>
      <c r="J319" s="406" t="e">
        <f t="shared" si="140"/>
        <v>#DIV/0!</v>
      </c>
      <c r="K319" s="406" t="e">
        <f t="shared" si="140"/>
        <v>#DIV/0!</v>
      </c>
      <c r="L319" s="406" t="e">
        <f t="shared" si="140"/>
        <v>#DIV/0!</v>
      </c>
      <c r="M319" s="406" t="e">
        <f t="shared" si="140"/>
        <v>#DIV/0!</v>
      </c>
      <c r="N319" s="406" t="e">
        <f t="shared" si="140"/>
        <v>#DIV/0!</v>
      </c>
      <c r="O319" s="406" t="e">
        <f t="shared" si="140"/>
        <v>#DIV/0!</v>
      </c>
      <c r="P319" s="406" t="e">
        <f t="shared" si="140"/>
        <v>#DIV/0!</v>
      </c>
      <c r="Q319" s="406" t="e">
        <f t="shared" si="140"/>
        <v>#DIV/0!</v>
      </c>
      <c r="R319" s="406" t="e">
        <f t="shared" si="140"/>
        <v>#DIV/0!</v>
      </c>
      <c r="S319" s="406" t="e">
        <f t="shared" si="140"/>
        <v>#DIV/0!</v>
      </c>
      <c r="T319" s="406" t="e">
        <f t="shared" si="140"/>
        <v>#DIV/0!</v>
      </c>
      <c r="U319" s="406" t="e">
        <f t="shared" si="140"/>
        <v>#DIV/0!</v>
      </c>
      <c r="V319" s="406" t="e">
        <f t="shared" si="140"/>
        <v>#DIV/0!</v>
      </c>
      <c r="W319" s="406" t="e">
        <f t="shared" si="140"/>
        <v>#DIV/0!</v>
      </c>
      <c r="X319" s="406" t="e">
        <f t="shared" si="140"/>
        <v>#DIV/0!</v>
      </c>
      <c r="Y319" s="406" t="e">
        <f t="shared" si="140"/>
        <v>#DIV/0!</v>
      </c>
      <c r="Z319" s="406" t="e">
        <f t="shared" si="140"/>
        <v>#DIV/0!</v>
      </c>
      <c r="AA319" s="406" t="e">
        <f t="shared" si="140"/>
        <v>#DIV/0!</v>
      </c>
      <c r="AB319" s="406" t="e">
        <f t="shared" si="140"/>
        <v>#DIV/0!</v>
      </c>
      <c r="AC319" s="406" t="e">
        <f t="shared" si="140"/>
        <v>#DIV/0!</v>
      </c>
      <c r="AD319" s="406" t="e">
        <f t="shared" si="140"/>
        <v>#DIV/0!</v>
      </c>
      <c r="AE319" s="406" t="e">
        <f t="shared" si="140"/>
        <v>#DIV/0!</v>
      </c>
      <c r="AF319" s="406" t="e">
        <f t="shared" si="140"/>
        <v>#DIV/0!</v>
      </c>
      <c r="AG319" s="406" t="e">
        <f t="shared" si="140"/>
        <v>#DIV/0!</v>
      </c>
      <c r="AH319" s="406" t="e">
        <f t="shared" si="140"/>
        <v>#DIV/0!</v>
      </c>
      <c r="AI319" s="406" t="e">
        <f t="shared" si="140"/>
        <v>#DIV/0!</v>
      </c>
      <c r="AJ319" s="406" t="e">
        <f t="shared" si="140"/>
        <v>#DIV/0!</v>
      </c>
      <c r="AK319" s="406" t="e">
        <f t="shared" si="140"/>
        <v>#DIV/0!</v>
      </c>
      <c r="AL319" s="406" t="e">
        <f t="shared" si="140"/>
        <v>#DIV/0!</v>
      </c>
      <c r="AM319" s="406" t="e">
        <f t="shared" si="140"/>
        <v>#DIV/0!</v>
      </c>
      <c r="AN319" s="406" t="e">
        <f t="shared" si="140"/>
        <v>#DIV/0!</v>
      </c>
      <c r="AO319" s="406" t="e">
        <f t="shared" si="140"/>
        <v>#DIV/0!</v>
      </c>
      <c r="AP319" s="406" t="e">
        <f t="shared" si="140"/>
        <v>#DIV/0!</v>
      </c>
      <c r="AQ319" s="407" t="e">
        <f t="shared" si="140"/>
        <v>#DIV/0!</v>
      </c>
      <c r="AR319"/>
    </row>
    <row r="320" spans="1:44" s="317" customFormat="1" ht="15" thickBot="1">
      <c r="A320" s="1069" t="s">
        <v>344</v>
      </c>
      <c r="B320" s="1070"/>
      <c r="C320" s="1071"/>
      <c r="D320" s="408" t="str">
        <f t="shared" ref="D320:AQ320" si="141">IFERROR(D319,"")</f>
        <v/>
      </c>
      <c r="E320" s="409" t="str">
        <f t="shared" si="141"/>
        <v/>
      </c>
      <c r="F320" s="409" t="str">
        <f t="shared" si="141"/>
        <v/>
      </c>
      <c r="G320" s="409" t="str">
        <f t="shared" si="141"/>
        <v/>
      </c>
      <c r="H320" s="409" t="str">
        <f t="shared" si="141"/>
        <v/>
      </c>
      <c r="I320" s="409" t="str">
        <f t="shared" si="141"/>
        <v/>
      </c>
      <c r="J320" s="409" t="str">
        <f t="shared" si="141"/>
        <v/>
      </c>
      <c r="K320" s="409" t="str">
        <f t="shared" si="141"/>
        <v/>
      </c>
      <c r="L320" s="409" t="str">
        <f t="shared" si="141"/>
        <v/>
      </c>
      <c r="M320" s="409" t="str">
        <f t="shared" si="141"/>
        <v/>
      </c>
      <c r="N320" s="409" t="str">
        <f t="shared" si="141"/>
        <v/>
      </c>
      <c r="O320" s="409" t="str">
        <f t="shared" si="141"/>
        <v/>
      </c>
      <c r="P320" s="409" t="str">
        <f t="shared" si="141"/>
        <v/>
      </c>
      <c r="Q320" s="409" t="str">
        <f t="shared" si="141"/>
        <v/>
      </c>
      <c r="R320" s="409" t="str">
        <f t="shared" si="141"/>
        <v/>
      </c>
      <c r="S320" s="409" t="str">
        <f t="shared" si="141"/>
        <v/>
      </c>
      <c r="T320" s="409" t="str">
        <f t="shared" si="141"/>
        <v/>
      </c>
      <c r="U320" s="409" t="str">
        <f t="shared" si="141"/>
        <v/>
      </c>
      <c r="V320" s="409" t="str">
        <f t="shared" si="141"/>
        <v/>
      </c>
      <c r="W320" s="409" t="str">
        <f t="shared" si="141"/>
        <v/>
      </c>
      <c r="X320" s="409" t="str">
        <f t="shared" si="141"/>
        <v/>
      </c>
      <c r="Y320" s="409" t="str">
        <f t="shared" si="141"/>
        <v/>
      </c>
      <c r="Z320" s="409" t="str">
        <f t="shared" si="141"/>
        <v/>
      </c>
      <c r="AA320" s="409" t="str">
        <f t="shared" si="141"/>
        <v/>
      </c>
      <c r="AB320" s="409" t="str">
        <f t="shared" si="141"/>
        <v/>
      </c>
      <c r="AC320" s="409" t="str">
        <f t="shared" si="141"/>
        <v/>
      </c>
      <c r="AD320" s="409" t="str">
        <f t="shared" si="141"/>
        <v/>
      </c>
      <c r="AE320" s="409" t="str">
        <f t="shared" si="141"/>
        <v/>
      </c>
      <c r="AF320" s="409" t="str">
        <f t="shared" si="141"/>
        <v/>
      </c>
      <c r="AG320" s="409" t="str">
        <f t="shared" si="141"/>
        <v/>
      </c>
      <c r="AH320" s="409" t="str">
        <f t="shared" si="141"/>
        <v/>
      </c>
      <c r="AI320" s="409" t="str">
        <f t="shared" si="141"/>
        <v/>
      </c>
      <c r="AJ320" s="409" t="str">
        <f t="shared" si="141"/>
        <v/>
      </c>
      <c r="AK320" s="409" t="str">
        <f t="shared" si="141"/>
        <v/>
      </c>
      <c r="AL320" s="409" t="str">
        <f t="shared" si="141"/>
        <v/>
      </c>
      <c r="AM320" s="409" t="str">
        <f t="shared" si="141"/>
        <v/>
      </c>
      <c r="AN320" s="409" t="str">
        <f t="shared" si="141"/>
        <v/>
      </c>
      <c r="AO320" s="409" t="str">
        <f t="shared" si="141"/>
        <v/>
      </c>
      <c r="AP320" s="409" t="str">
        <f t="shared" si="141"/>
        <v/>
      </c>
      <c r="AQ320" s="410" t="str">
        <f t="shared" si="141"/>
        <v/>
      </c>
      <c r="AR320" s="86"/>
    </row>
    <row r="322" spans="1:44" s="317" customFormat="1" ht="14.25" hidden="1">
      <c r="A322" s="346"/>
      <c r="B322" s="346" t="s">
        <v>175</v>
      </c>
      <c r="C322" s="346" t="s">
        <v>176</v>
      </c>
      <c r="D322" s="347" t="s">
        <v>177</v>
      </c>
      <c r="E322" s="346" t="s">
        <v>178</v>
      </c>
      <c r="F322" s="346" t="s">
        <v>179</v>
      </c>
      <c r="G322" s="346" t="s">
        <v>180</v>
      </c>
      <c r="H322" s="346" t="s">
        <v>181</v>
      </c>
      <c r="I322" s="346" t="s">
        <v>182</v>
      </c>
      <c r="J322" s="346" t="s">
        <v>183</v>
      </c>
      <c r="K322" s="346" t="s">
        <v>184</v>
      </c>
      <c r="L322" s="346" t="s">
        <v>306</v>
      </c>
      <c r="M322" s="346" t="s">
        <v>307</v>
      </c>
      <c r="N322" s="346" t="s">
        <v>308</v>
      </c>
      <c r="O322" s="346" t="s">
        <v>309</v>
      </c>
      <c r="P322" s="346" t="s">
        <v>310</v>
      </c>
      <c r="Q322" s="346" t="s">
        <v>311</v>
      </c>
      <c r="R322" s="346" t="s">
        <v>312</v>
      </c>
      <c r="S322" s="346" t="s">
        <v>313</v>
      </c>
      <c r="T322" s="346" t="s">
        <v>314</v>
      </c>
      <c r="U322" s="346" t="s">
        <v>315</v>
      </c>
      <c r="AR322"/>
    </row>
    <row r="323" spans="1:44" s="317" customFormat="1" ht="14.25" hidden="1">
      <c r="A323" s="348" t="s">
        <v>185</v>
      </c>
      <c r="B323" s="348" t="str">
        <f t="array" aca="1" ref="B323" ca="1">IFERROR(OFFSET(INDEX(309:309,SMALL(IF(309:309&lt;&gt;"",COLUMN(309:309)),COLUMN())),-1,0),"")</f>
        <v/>
      </c>
      <c r="C323" s="348" t="str">
        <f t="array" aca="1" ref="C323" ca="1">IFERROR(OFFSET(INDEX(309:309,SMALL(IF(309:309&lt;&gt;"",COLUMN(309:309)),COLUMN())),-1,0),"")</f>
        <v/>
      </c>
      <c r="D323" s="348" t="str">
        <f t="array" aca="1" ref="D323" ca="1">IFERROR(OFFSET(INDEX(309:309,SMALL(IF(309:309&lt;&gt;"",COLUMN(309:309)),COLUMN())),-1,0),"")</f>
        <v/>
      </c>
      <c r="E323" s="348" t="str">
        <f t="array" aca="1" ref="E323" ca="1">IFERROR(OFFSET(INDEX(309:309,SMALL(IF(309:309&lt;&gt;"",COLUMN(309:309)),COLUMN())),-1,0),"")</f>
        <v/>
      </c>
      <c r="F323" s="348" t="str">
        <f t="array" aca="1" ref="F323" ca="1">IFERROR(OFFSET(INDEX(309:309,SMALL(IF(309:309&lt;&gt;"",COLUMN(309:309)),COLUMN())),-1,0),"")</f>
        <v/>
      </c>
      <c r="G323" s="348" t="str">
        <f t="array" aca="1" ref="G323" ca="1">IFERROR(OFFSET(INDEX(309:309,SMALL(IF(309:309&lt;&gt;"",COLUMN(309:309)),COLUMN())),-1,0),"")</f>
        <v/>
      </c>
      <c r="H323" s="348" t="str">
        <f t="array" aca="1" ref="H323" ca="1">IFERROR(OFFSET(INDEX(309:309,SMALL(IF(309:309&lt;&gt;"",COLUMN(309:309)),COLUMN())),-1,0),"")</f>
        <v/>
      </c>
      <c r="I323" s="348" t="str">
        <f t="array" aca="1" ref="I323" ca="1">IFERROR(OFFSET(INDEX(309:309,SMALL(IF(309:309&lt;&gt;"",COLUMN(309:309)),COLUMN())),-1,0),"")</f>
        <v/>
      </c>
      <c r="J323" s="348" t="str">
        <f t="array" aca="1" ref="J323" ca="1">IFERROR(OFFSET(INDEX(309:309,SMALL(IF(309:309&lt;&gt;"",COLUMN(309:309)),COLUMN())),-1,0),"")</f>
        <v/>
      </c>
      <c r="K323" s="348" t="str">
        <f t="array" aca="1" ref="K323" ca="1">IFERROR(OFFSET(INDEX(309:309,SMALL(IF(309:309&lt;&gt;"",COLUMN(309:309)),COLUMN())),-1,0),"")</f>
        <v/>
      </c>
      <c r="L323" s="348" t="str">
        <f t="array" aca="1" ref="L323" ca="1">IFERROR(OFFSET(INDEX(309:309,SMALL(IF(309:309&lt;&gt;"",COLUMN(309:309)),COLUMN())),-1,0),"")</f>
        <v/>
      </c>
      <c r="M323" s="348" t="str">
        <f t="array" aca="1" ref="M323" ca="1">IFERROR(OFFSET(INDEX(309:309,SMALL(IF(309:309&lt;&gt;"",COLUMN(309:309)),COLUMN())),-1,0),"")</f>
        <v/>
      </c>
      <c r="N323" s="348" t="str">
        <f t="array" aca="1" ref="N323" ca="1">IFERROR(OFFSET(INDEX(309:309,SMALL(IF(309:309&lt;&gt;"",COLUMN(309:309)),COLUMN())),-1,0),"")</f>
        <v/>
      </c>
      <c r="O323" s="348" t="str">
        <f t="array" aca="1" ref="O323" ca="1">IFERROR(OFFSET(INDEX(309:309,SMALL(IF(309:309&lt;&gt;"",COLUMN(309:309)),COLUMN())),-1,0),"")</f>
        <v/>
      </c>
      <c r="P323" s="348" t="str">
        <f t="array" aca="1" ref="P323" ca="1">IFERROR(OFFSET(INDEX(309:309,SMALL(IF(309:309&lt;&gt;"",COLUMN(309:309)),COLUMN())),-1,0),"")</f>
        <v/>
      </c>
      <c r="Q323" s="348" t="str">
        <f t="array" aca="1" ref="Q323" ca="1">IFERROR(OFFSET(INDEX(309:309,SMALL(IF(309:309&lt;&gt;"",COLUMN(309:309)),COLUMN())),-1,0),"")</f>
        <v/>
      </c>
      <c r="R323" s="348" t="str">
        <f t="array" aca="1" ref="R323" ca="1">IFERROR(OFFSET(INDEX(309:309,SMALL(IF(309:309&lt;&gt;"",COLUMN(309:309)),COLUMN())),-1,0),"")</f>
        <v/>
      </c>
      <c r="S323" s="348" t="str">
        <f t="array" aca="1" ref="S323" ca="1">IFERROR(OFFSET(INDEX(309:309,SMALL(IF(309:309&lt;&gt;"",COLUMN(309:309)),COLUMN())),-1,0),"")</f>
        <v/>
      </c>
      <c r="T323" s="348" t="str">
        <f t="array" aca="1" ref="T323" ca="1">IFERROR(OFFSET(INDEX(309:309,SMALL(IF(309:309&lt;&gt;"",COLUMN(309:309)),COLUMN())),-1,0),"")</f>
        <v/>
      </c>
      <c r="U323" s="348" t="str">
        <f t="array" aca="1" ref="U323" ca="1">IFERROR(OFFSET(INDEX(309:309,SMALL(IF(309:309&lt;&gt;"",COLUMN(309:309)),COLUMN())),-1,0),"")</f>
        <v/>
      </c>
      <c r="AR323"/>
    </row>
    <row r="324" spans="1:44" s="317" customFormat="1" ht="14.25" hidden="1">
      <c r="A324" s="348" t="str">
        <f t="array" ref="A324">IFERROR(INDEX(309:309,SMALL(IF(309:309&lt;&gt;"",COLUMN(309:309)),COLUMN())),"")</f>
        <v>追水量（L)</v>
      </c>
      <c r="B324" s="348" t="str">
        <f t="array" ref="B324">IFERROR(INDEX(309:309,SMALL(IF(309:309&lt;&gt;"",COLUMN(309:309)),COLUMN())),"")</f>
        <v/>
      </c>
      <c r="C324" s="348" t="str">
        <f t="array" ref="C324">IFERROR(INDEX(309:309,SMALL(IF(309:309&lt;&gt;"",COLUMN(309:309)),COLUMN())),"")</f>
        <v/>
      </c>
      <c r="D324" s="348" t="str">
        <f t="array" ref="D324">IFERROR(INDEX(309:309,SMALL(IF(309:309&lt;&gt;"",COLUMN(309:309)),COLUMN())),"")</f>
        <v/>
      </c>
      <c r="E324" s="348" t="str">
        <f t="array" ref="E324">IFERROR(INDEX(309:309,SMALL(IF(309:309&lt;&gt;"",COLUMN(309:309)),COLUMN())),"")</f>
        <v/>
      </c>
      <c r="F324" s="348" t="str">
        <f t="array" ref="F324">IFERROR(INDEX(309:309,SMALL(IF(309:309&lt;&gt;"",COLUMN(309:309)),COLUMN())),"")</f>
        <v/>
      </c>
      <c r="G324" s="348" t="str">
        <f t="array" ref="G324">IFERROR(INDEX(309:309,SMALL(IF(309:309&lt;&gt;"",COLUMN(309:309)),COLUMN())),"")</f>
        <v/>
      </c>
      <c r="H324" s="348" t="str">
        <f t="array" ref="H324">IFERROR(INDEX(309:309,SMALL(IF(309:309&lt;&gt;"",COLUMN(309:309)),COLUMN())),"")</f>
        <v/>
      </c>
      <c r="I324" s="348" t="str">
        <f t="array" ref="I324">IFERROR(INDEX(309:309,SMALL(IF(309:309&lt;&gt;"",COLUMN(309:309)),COLUMN())),"")</f>
        <v/>
      </c>
      <c r="J324" s="348" t="str">
        <f t="array" ref="J324">IFERROR(INDEX(309:309,SMALL(IF(309:309&lt;&gt;"",COLUMN(309:309)),COLUMN())),"")</f>
        <v/>
      </c>
      <c r="K324" s="348" t="str">
        <f t="array" ref="K324">IFERROR(INDEX(309:309,SMALL(IF(309:309&lt;&gt;"",COLUMN(309:309)),COLUMN())),"")</f>
        <v/>
      </c>
      <c r="L324" s="348" t="str">
        <f t="array" ref="L324">IFERROR(INDEX(309:309,SMALL(IF(309:309&lt;&gt;"",COLUMN(309:309)),COLUMN())),"")</f>
        <v/>
      </c>
      <c r="M324" s="348" t="str">
        <f t="array" ref="M324">IFERROR(INDEX(309:309,SMALL(IF(309:309&lt;&gt;"",COLUMN(309:309)),COLUMN())),"")</f>
        <v/>
      </c>
      <c r="N324" s="348" t="str">
        <f t="array" ref="N324">IFERROR(INDEX(309:309,SMALL(IF(309:309&lt;&gt;"",COLUMN(309:309)),COLUMN())),"")</f>
        <v/>
      </c>
      <c r="O324" s="348" t="str">
        <f t="array" ref="O324">IFERROR(INDEX(309:309,SMALL(IF(309:309&lt;&gt;"",COLUMN(309:309)),COLUMN())),"")</f>
        <v/>
      </c>
      <c r="P324" s="348" t="str">
        <f t="array" ref="P324">IFERROR(INDEX(309:309,SMALL(IF(309:309&lt;&gt;"",COLUMN(309:309)),COLUMN())),"")</f>
        <v/>
      </c>
      <c r="Q324" s="348" t="str">
        <f t="array" ref="Q324">IFERROR(INDEX(309:309,SMALL(IF(309:309&lt;&gt;"",COLUMN(309:309)),COLUMN())),"")</f>
        <v/>
      </c>
      <c r="R324" s="348" t="str">
        <f t="array" ref="R324">IFERROR(INDEX(309:309,SMALL(IF(309:309&lt;&gt;"",COLUMN(309:309)),COLUMN())),"")</f>
        <v/>
      </c>
      <c r="S324" s="348" t="str">
        <f t="array" ref="S324">IFERROR(INDEX(309:309,SMALL(IF(309:309&lt;&gt;"",COLUMN(309:309)),COLUMN())),"")</f>
        <v/>
      </c>
      <c r="T324" s="348" t="str">
        <f t="array" ref="T324">IFERROR(INDEX(309:309,SMALL(IF(309:309&lt;&gt;"",COLUMN(309:309)),COLUMN())),"")</f>
        <v/>
      </c>
      <c r="U324" s="348" t="str">
        <f t="array" ref="U324">IFERROR(INDEX(309:309,SMALL(IF(309:309&lt;&gt;"",COLUMN(309:309)),COLUMN())),"")</f>
        <v/>
      </c>
      <c r="AR324"/>
    </row>
    <row r="325" spans="1:44" s="317" customFormat="1" ht="14.25" hidden="1">
      <c r="A325" s="1053" t="s">
        <v>186</v>
      </c>
      <c r="B325" s="1053"/>
      <c r="C325" s="1053"/>
      <c r="D325" s="349" t="s">
        <v>187</v>
      </c>
      <c r="E325" s="349" t="s">
        <v>188</v>
      </c>
      <c r="F325" s="349" t="s">
        <v>189</v>
      </c>
      <c r="G325" s="349" t="s">
        <v>190</v>
      </c>
      <c r="H325" s="349" t="s">
        <v>191</v>
      </c>
      <c r="I325" s="349" t="s">
        <v>192</v>
      </c>
      <c r="J325" s="349" t="s">
        <v>193</v>
      </c>
      <c r="K325" s="349" t="s">
        <v>194</v>
      </c>
      <c r="L325" s="347" t="s">
        <v>195</v>
      </c>
      <c r="M325" s="347" t="s">
        <v>196</v>
      </c>
      <c r="N325" s="347" t="s">
        <v>197</v>
      </c>
      <c r="O325" s="347" t="s">
        <v>316</v>
      </c>
      <c r="P325" s="347" t="s">
        <v>317</v>
      </c>
      <c r="Q325" s="347" t="s">
        <v>318</v>
      </c>
      <c r="R325" s="347" t="s">
        <v>319</v>
      </c>
      <c r="S325" s="347" t="s">
        <v>320</v>
      </c>
      <c r="T325" s="347" t="s">
        <v>321</v>
      </c>
      <c r="U325" s="347" t="s">
        <v>322</v>
      </c>
      <c r="V325" s="347" t="s">
        <v>323</v>
      </c>
      <c r="W325" s="347" t="s">
        <v>324</v>
      </c>
      <c r="X325" s="347" t="s">
        <v>325</v>
      </c>
      <c r="AR325"/>
    </row>
    <row r="326" spans="1:44" s="317" customFormat="1" ht="14.25" hidden="1">
      <c r="A326" s="1054"/>
      <c r="B326" s="1054"/>
      <c r="C326" s="1054"/>
      <c r="D326" s="350" t="e">
        <f>SUM(D306:G306)/SUM(D303:G303)*100</f>
        <v>#DIV/0!</v>
      </c>
      <c r="E326" s="350" t="e">
        <f>(SUM(D306:G306)+SUM(B324:B324))/SUM(D303:G303)*100</f>
        <v>#DIV/0!</v>
      </c>
      <c r="F326" s="350" t="e">
        <f>(SUM(D306:G306)+SUM(B324:C324))/SUM(D303:G303)*100</f>
        <v>#DIV/0!</v>
      </c>
      <c r="G326" s="350" t="e">
        <f>(SUM(D306:G306)+SUM(B324:D324))/SUM(D303:G303)*100</f>
        <v>#DIV/0!</v>
      </c>
      <c r="H326" s="350" t="e">
        <f>(SUM(D306:G306)+SUM(B324:E324))/SUM(D303:G303)*100</f>
        <v>#DIV/0!</v>
      </c>
      <c r="I326" s="351" t="e">
        <f>(SUM(D306:G306)+SUM(B324:F324))/SUM(D303:G303)*100</f>
        <v>#DIV/0!</v>
      </c>
      <c r="J326" s="350" t="e">
        <f>(SUM(D306:G306)+SUM(B324:G324))/SUM(D303:G303)*100</f>
        <v>#DIV/0!</v>
      </c>
      <c r="K326" s="350" t="e">
        <f>(SUM(D306:G306)+SUM(B324:H324))/SUM(D303:G303)*100</f>
        <v>#DIV/0!</v>
      </c>
      <c r="L326" s="350" t="e">
        <f>(SUM(D306:G306)+SUM(B324:I324))/SUM(D303:G303)*100</f>
        <v>#DIV/0!</v>
      </c>
      <c r="M326" s="350" t="e">
        <f>(SUM(D306:G306)+SUM(B324:J324))/SUM(D303:G303)*100</f>
        <v>#DIV/0!</v>
      </c>
      <c r="N326" s="350" t="e">
        <f>(SUM(D306:G306)+SUM(B324:K324))/SUM(D303:G303)*100</f>
        <v>#DIV/0!</v>
      </c>
      <c r="O326" s="352" t="e">
        <f>(SUM(D306:G306)+SUM(B324:L324))/SUM(D303:G303)*100</f>
        <v>#DIV/0!</v>
      </c>
      <c r="P326" s="353" t="e">
        <f>(SUM(D306:G306)+SUM(B324:M324))/SUM(D303:G303)*100</f>
        <v>#DIV/0!</v>
      </c>
      <c r="Q326" s="353" t="e">
        <f>(SUM(D306:G306)+SUM(B324:N324))/SUM(D303:G303)*100</f>
        <v>#DIV/0!</v>
      </c>
      <c r="R326" s="353" t="e">
        <f>(SUM(D306:G306)+SUM(B324:O324))/SUM(D303:G303)*100</f>
        <v>#DIV/0!</v>
      </c>
      <c r="S326" s="353" t="e">
        <f>(SUM(D306:G306)+SUM(B324:P324))/SUM(D303:G303)*100</f>
        <v>#DIV/0!</v>
      </c>
      <c r="T326" s="353" t="e">
        <f>(SUM(D306:G306)+SUM(B324:Q324))/SUM(D303:G303)*100</f>
        <v>#DIV/0!</v>
      </c>
      <c r="U326" s="353" t="e">
        <f>(SUM(D306:G306)+SUM(B324:R324))/SUM(D303:G303)*100</f>
        <v>#DIV/0!</v>
      </c>
      <c r="V326" s="353" t="e">
        <f>(SUM(D306:G306)+SUM(B324:S324))/SUM(D303:G303)*100</f>
        <v>#DIV/0!</v>
      </c>
      <c r="W326" s="353" t="e">
        <f>(SUM(D306:G306)+SUM(B324:T324))/SUM(D303:G303)*100</f>
        <v>#DIV/0!</v>
      </c>
      <c r="X326" s="353" t="e">
        <f>(SUM(D306:G306)+SUM(B324:U324))/SUM(D303:G303)*100</f>
        <v>#DIV/0!</v>
      </c>
      <c r="AR326"/>
    </row>
    <row r="327" spans="1:44" s="317" customFormat="1" ht="14.25" hidden="1">
      <c r="AR327"/>
    </row>
    <row r="328" spans="1:44" s="317" customFormat="1" ht="14.25" hidden="1">
      <c r="A328" s="1046" t="s">
        <v>129</v>
      </c>
      <c r="B328" s="1047"/>
      <c r="C328" s="1047"/>
      <c r="E328" s="354" t="e">
        <f t="shared" ref="E328:AQ328" si="142">IF(E310="",IF(E311="",NA(),E311/-10),E310)</f>
        <v>#N/A</v>
      </c>
      <c r="F328" s="354" t="e">
        <f t="shared" si="142"/>
        <v>#N/A</v>
      </c>
      <c r="G328" s="354" t="e">
        <f t="shared" si="142"/>
        <v>#N/A</v>
      </c>
      <c r="H328" s="354" t="e">
        <f t="shared" si="142"/>
        <v>#N/A</v>
      </c>
      <c r="I328" s="354" t="e">
        <f t="shared" si="142"/>
        <v>#N/A</v>
      </c>
      <c r="J328" s="354" t="e">
        <f t="shared" si="142"/>
        <v>#N/A</v>
      </c>
      <c r="K328" s="354" t="e">
        <f t="shared" si="142"/>
        <v>#N/A</v>
      </c>
      <c r="L328" s="354" t="e">
        <f t="shared" si="142"/>
        <v>#N/A</v>
      </c>
      <c r="M328" s="354" t="e">
        <f t="shared" si="142"/>
        <v>#N/A</v>
      </c>
      <c r="N328" s="354" t="e">
        <f t="shared" si="142"/>
        <v>#N/A</v>
      </c>
      <c r="O328" s="354" t="e">
        <f t="shared" si="142"/>
        <v>#N/A</v>
      </c>
      <c r="P328" s="354" t="e">
        <f t="shared" si="142"/>
        <v>#N/A</v>
      </c>
      <c r="Q328" s="354" t="e">
        <f t="shared" si="142"/>
        <v>#N/A</v>
      </c>
      <c r="R328" s="354" t="e">
        <f t="shared" si="142"/>
        <v>#N/A</v>
      </c>
      <c r="S328" s="354" t="e">
        <f t="shared" si="142"/>
        <v>#N/A</v>
      </c>
      <c r="T328" s="354" t="e">
        <f t="shared" si="142"/>
        <v>#N/A</v>
      </c>
      <c r="U328" s="354" t="e">
        <f t="shared" si="142"/>
        <v>#N/A</v>
      </c>
      <c r="V328" s="354" t="e">
        <f t="shared" si="142"/>
        <v>#N/A</v>
      </c>
      <c r="W328" s="354" t="e">
        <f t="shared" si="142"/>
        <v>#N/A</v>
      </c>
      <c r="X328" s="354" t="e">
        <f t="shared" si="142"/>
        <v>#N/A</v>
      </c>
      <c r="Y328" s="354" t="e">
        <f t="shared" si="142"/>
        <v>#N/A</v>
      </c>
      <c r="Z328" s="354" t="e">
        <f t="shared" si="142"/>
        <v>#N/A</v>
      </c>
      <c r="AA328" s="354" t="e">
        <f t="shared" si="142"/>
        <v>#N/A</v>
      </c>
      <c r="AB328" s="354" t="e">
        <f t="shared" si="142"/>
        <v>#N/A</v>
      </c>
      <c r="AC328" s="354" t="e">
        <f t="shared" si="142"/>
        <v>#N/A</v>
      </c>
      <c r="AD328" s="354" t="e">
        <f t="shared" si="142"/>
        <v>#N/A</v>
      </c>
      <c r="AE328" s="354" t="e">
        <f t="shared" si="142"/>
        <v>#N/A</v>
      </c>
      <c r="AF328" s="354" t="e">
        <f t="shared" si="142"/>
        <v>#N/A</v>
      </c>
      <c r="AG328" s="354" t="e">
        <f t="shared" si="142"/>
        <v>#N/A</v>
      </c>
      <c r="AH328" s="354" t="e">
        <f t="shared" si="142"/>
        <v>#N/A</v>
      </c>
      <c r="AI328" s="354" t="e">
        <f t="shared" si="142"/>
        <v>#N/A</v>
      </c>
      <c r="AJ328" s="354" t="e">
        <f t="shared" si="142"/>
        <v>#N/A</v>
      </c>
      <c r="AK328" s="354" t="e">
        <f t="shared" si="142"/>
        <v>#N/A</v>
      </c>
      <c r="AL328" s="354" t="e">
        <f t="shared" si="142"/>
        <v>#N/A</v>
      </c>
      <c r="AM328" s="354" t="e">
        <f t="shared" si="142"/>
        <v>#N/A</v>
      </c>
      <c r="AN328" s="354" t="e">
        <f t="shared" si="142"/>
        <v>#N/A</v>
      </c>
      <c r="AO328" s="354" t="e">
        <f t="shared" si="142"/>
        <v>#N/A</v>
      </c>
      <c r="AP328" s="354" t="e">
        <f t="shared" si="142"/>
        <v>#N/A</v>
      </c>
      <c r="AQ328" s="354" t="e">
        <f t="shared" si="142"/>
        <v>#N/A</v>
      </c>
      <c r="AR328"/>
    </row>
    <row r="329" spans="1:44" s="317" customFormat="1" ht="14.25" hidden="1">
      <c r="A329" s="1048" t="s">
        <v>44</v>
      </c>
      <c r="B329" s="1048"/>
      <c r="C329" s="1049"/>
      <c r="E329" s="355" t="e">
        <f>IF(E328="",NA(),E328*(-10))</f>
        <v>#N/A</v>
      </c>
      <c r="F329" s="355" t="e">
        <f t="shared" ref="F329:AQ329" si="143">IF(F328="",NA(),F328*(-10))</f>
        <v>#N/A</v>
      </c>
      <c r="G329" s="355" t="e">
        <f t="shared" si="143"/>
        <v>#N/A</v>
      </c>
      <c r="H329" s="355" t="e">
        <f t="shared" si="143"/>
        <v>#N/A</v>
      </c>
      <c r="I329" s="355" t="e">
        <f t="shared" si="143"/>
        <v>#N/A</v>
      </c>
      <c r="J329" s="355" t="e">
        <f t="shared" si="143"/>
        <v>#N/A</v>
      </c>
      <c r="K329" s="355" t="e">
        <f t="shared" si="143"/>
        <v>#N/A</v>
      </c>
      <c r="L329" s="355" t="e">
        <f t="shared" si="143"/>
        <v>#N/A</v>
      </c>
      <c r="M329" s="355" t="e">
        <f t="shared" si="143"/>
        <v>#N/A</v>
      </c>
      <c r="N329" s="355" t="e">
        <f t="shared" si="143"/>
        <v>#N/A</v>
      </c>
      <c r="O329" s="355" t="e">
        <f t="shared" si="143"/>
        <v>#N/A</v>
      </c>
      <c r="P329" s="355" t="e">
        <f t="shared" si="143"/>
        <v>#N/A</v>
      </c>
      <c r="Q329" s="355" t="e">
        <f t="shared" si="143"/>
        <v>#N/A</v>
      </c>
      <c r="R329" s="355" t="e">
        <f t="shared" si="143"/>
        <v>#N/A</v>
      </c>
      <c r="S329" s="355" t="e">
        <f t="shared" si="143"/>
        <v>#N/A</v>
      </c>
      <c r="T329" s="355" t="e">
        <f t="shared" si="143"/>
        <v>#N/A</v>
      </c>
      <c r="U329" s="355" t="e">
        <f t="shared" si="143"/>
        <v>#N/A</v>
      </c>
      <c r="V329" s="355" t="e">
        <f t="shared" si="143"/>
        <v>#N/A</v>
      </c>
      <c r="W329" s="355" t="e">
        <f t="shared" si="143"/>
        <v>#N/A</v>
      </c>
      <c r="X329" s="355" t="e">
        <f t="shared" si="143"/>
        <v>#N/A</v>
      </c>
      <c r="Y329" s="355" t="e">
        <f t="shared" si="143"/>
        <v>#N/A</v>
      </c>
      <c r="Z329" s="355" t="e">
        <f t="shared" si="143"/>
        <v>#N/A</v>
      </c>
      <c r="AA329" s="355" t="e">
        <f t="shared" si="143"/>
        <v>#N/A</v>
      </c>
      <c r="AB329" s="355" t="e">
        <f t="shared" si="143"/>
        <v>#N/A</v>
      </c>
      <c r="AC329" s="355" t="e">
        <f t="shared" si="143"/>
        <v>#N/A</v>
      </c>
      <c r="AD329" s="355" t="e">
        <f t="shared" si="143"/>
        <v>#N/A</v>
      </c>
      <c r="AE329" s="355" t="e">
        <f t="shared" si="143"/>
        <v>#N/A</v>
      </c>
      <c r="AF329" s="355" t="e">
        <f t="shared" si="143"/>
        <v>#N/A</v>
      </c>
      <c r="AG329" s="355" t="e">
        <f t="shared" si="143"/>
        <v>#N/A</v>
      </c>
      <c r="AH329" s="355" t="e">
        <f t="shared" si="143"/>
        <v>#N/A</v>
      </c>
      <c r="AI329" s="355" t="e">
        <f t="shared" si="143"/>
        <v>#N/A</v>
      </c>
      <c r="AJ329" s="355" t="e">
        <f t="shared" si="143"/>
        <v>#N/A</v>
      </c>
      <c r="AK329" s="355" t="e">
        <f t="shared" si="143"/>
        <v>#N/A</v>
      </c>
      <c r="AL329" s="355" t="e">
        <f t="shared" si="143"/>
        <v>#N/A</v>
      </c>
      <c r="AM329" s="355" t="e">
        <f t="shared" si="143"/>
        <v>#N/A</v>
      </c>
      <c r="AN329" s="355" t="e">
        <f t="shared" si="143"/>
        <v>#N/A</v>
      </c>
      <c r="AO329" s="355" t="e">
        <f t="shared" si="143"/>
        <v>#N/A</v>
      </c>
      <c r="AP329" s="355" t="e">
        <f t="shared" si="143"/>
        <v>#N/A</v>
      </c>
      <c r="AQ329" s="355" t="e">
        <f t="shared" si="143"/>
        <v>#N/A</v>
      </c>
      <c r="AR329"/>
    </row>
    <row r="330" spans="1:44" s="317" customFormat="1" ht="14.25" hidden="1">
      <c r="A330" s="356"/>
      <c r="B330" s="1012" t="s">
        <v>35</v>
      </c>
      <c r="C330" s="1050"/>
      <c r="E330" s="357" t="e">
        <f>IF(E328="",NA(),ROUND(1443/(1443+E329),4))</f>
        <v>#N/A</v>
      </c>
      <c r="F330" s="357" t="e">
        <f t="shared" ref="F330:AQ330" si="144">IF(F328="",NA(),ROUND(1443/(1443+F329),4))</f>
        <v>#N/A</v>
      </c>
      <c r="G330" s="357" t="e">
        <f t="shared" si="144"/>
        <v>#N/A</v>
      </c>
      <c r="H330" s="357" t="e">
        <f t="shared" si="144"/>
        <v>#N/A</v>
      </c>
      <c r="I330" s="357" t="e">
        <f t="shared" si="144"/>
        <v>#N/A</v>
      </c>
      <c r="J330" s="357" t="e">
        <f t="shared" si="144"/>
        <v>#N/A</v>
      </c>
      <c r="K330" s="357" t="e">
        <f t="shared" si="144"/>
        <v>#N/A</v>
      </c>
      <c r="L330" s="357" t="e">
        <f t="shared" si="144"/>
        <v>#N/A</v>
      </c>
      <c r="M330" s="357" t="e">
        <f t="shared" si="144"/>
        <v>#N/A</v>
      </c>
      <c r="N330" s="357" t="e">
        <f t="shared" si="144"/>
        <v>#N/A</v>
      </c>
      <c r="O330" s="357" t="e">
        <f t="shared" si="144"/>
        <v>#N/A</v>
      </c>
      <c r="P330" s="357" t="e">
        <f t="shared" si="144"/>
        <v>#N/A</v>
      </c>
      <c r="Q330" s="357" t="e">
        <f t="shared" si="144"/>
        <v>#N/A</v>
      </c>
      <c r="R330" s="357" t="e">
        <f t="shared" si="144"/>
        <v>#N/A</v>
      </c>
      <c r="S330" s="357" t="e">
        <f t="shared" si="144"/>
        <v>#N/A</v>
      </c>
      <c r="T330" s="357" t="e">
        <f t="shared" si="144"/>
        <v>#N/A</v>
      </c>
      <c r="U330" s="357" t="e">
        <f t="shared" si="144"/>
        <v>#N/A</v>
      </c>
      <c r="V330" s="357" t="e">
        <f t="shared" si="144"/>
        <v>#N/A</v>
      </c>
      <c r="W330" s="357" t="e">
        <f t="shared" si="144"/>
        <v>#N/A</v>
      </c>
      <c r="X330" s="357" t="e">
        <f t="shared" si="144"/>
        <v>#N/A</v>
      </c>
      <c r="Y330" s="357" t="e">
        <f t="shared" si="144"/>
        <v>#N/A</v>
      </c>
      <c r="Z330" s="357" t="e">
        <f t="shared" si="144"/>
        <v>#N/A</v>
      </c>
      <c r="AA330" s="357" t="e">
        <f t="shared" si="144"/>
        <v>#N/A</v>
      </c>
      <c r="AB330" s="357" t="e">
        <f t="shared" si="144"/>
        <v>#N/A</v>
      </c>
      <c r="AC330" s="357" t="e">
        <f t="shared" si="144"/>
        <v>#N/A</v>
      </c>
      <c r="AD330" s="357" t="e">
        <f t="shared" si="144"/>
        <v>#N/A</v>
      </c>
      <c r="AE330" s="357" t="e">
        <f t="shared" si="144"/>
        <v>#N/A</v>
      </c>
      <c r="AF330" s="357" t="e">
        <f t="shared" si="144"/>
        <v>#N/A</v>
      </c>
      <c r="AG330" s="357" t="e">
        <f t="shared" si="144"/>
        <v>#N/A</v>
      </c>
      <c r="AH330" s="357" t="e">
        <f t="shared" si="144"/>
        <v>#N/A</v>
      </c>
      <c r="AI330" s="357" t="e">
        <f t="shared" si="144"/>
        <v>#N/A</v>
      </c>
      <c r="AJ330" s="357" t="e">
        <f t="shared" si="144"/>
        <v>#N/A</v>
      </c>
      <c r="AK330" s="357" t="e">
        <f t="shared" si="144"/>
        <v>#N/A</v>
      </c>
      <c r="AL330" s="357" t="e">
        <f t="shared" si="144"/>
        <v>#N/A</v>
      </c>
      <c r="AM330" s="357" t="e">
        <f t="shared" si="144"/>
        <v>#N/A</v>
      </c>
      <c r="AN330" s="357" t="e">
        <f t="shared" si="144"/>
        <v>#N/A</v>
      </c>
      <c r="AO330" s="357" t="e">
        <f t="shared" si="144"/>
        <v>#N/A</v>
      </c>
      <c r="AP330" s="357" t="e">
        <f t="shared" si="144"/>
        <v>#N/A</v>
      </c>
      <c r="AQ330" s="357" t="e">
        <f t="shared" si="144"/>
        <v>#N/A</v>
      </c>
      <c r="AR330"/>
    </row>
    <row r="331" spans="1:44" s="317" customFormat="1" ht="14.25" hidden="1">
      <c r="A331" s="356"/>
      <c r="B331" s="1012" t="s">
        <v>36</v>
      </c>
      <c r="C331" s="1050"/>
      <c r="E331" s="357" t="e">
        <f>IF(E312="",NA(),IFERROR(E312*VLOOKUP(E312,'各種計算式等（配付時非表示）'!$E$3:$H$1003,3,TRUE)+VLOOKUP(E312,'各種計算式等（配付時非表示）'!$E$3:$H$1003,4,TRUE)+0.0000000001,"-"))</f>
        <v>#N/A</v>
      </c>
      <c r="F331" s="357" t="e">
        <f>IF(F312="",NA(),IFERROR(F312*VLOOKUP(F312,'各種計算式等（配付時非表示）'!$E$3:$H$1003,3,TRUE)+VLOOKUP(F312,'各種計算式等（配付時非表示）'!$E$3:$H$1003,4,TRUE)+0.0000000001,"-"))</f>
        <v>#N/A</v>
      </c>
      <c r="G331" s="357" t="e">
        <f>IF(G312="",NA(),IFERROR(G312*VLOOKUP(G312,'各種計算式等（配付時非表示）'!$E$3:$H$1003,3,TRUE)+VLOOKUP(G312,'各種計算式等（配付時非表示）'!$E$3:$H$1003,4,TRUE)+0.0000000001,"-"))</f>
        <v>#N/A</v>
      </c>
      <c r="H331" s="357" t="e">
        <f>IF(H312="",NA(),IFERROR(H312*VLOOKUP(H312,'各種計算式等（配付時非表示）'!$E$3:$H$1003,3,TRUE)+VLOOKUP(H312,'各種計算式等（配付時非表示）'!$E$3:$H$1003,4,TRUE)+0.0000000001,"-"))</f>
        <v>#N/A</v>
      </c>
      <c r="I331" s="357" t="e">
        <f>IF(I312="",NA(),IFERROR(I312*VLOOKUP(I312,'各種計算式等（配付時非表示）'!$E$3:$H$1003,3,TRUE)+VLOOKUP(I312,'各種計算式等（配付時非表示）'!$E$3:$H$1003,4,TRUE)+0.0000000001,"-"))</f>
        <v>#N/A</v>
      </c>
      <c r="J331" s="357" t="e">
        <f>IF(J312="",NA(),IFERROR(J312*VLOOKUP(J312,'各種計算式等（配付時非表示）'!$E$3:$H$1003,3,TRUE)+VLOOKUP(J312,'各種計算式等（配付時非表示）'!$E$3:$H$1003,4,TRUE)+0.0000000001,"-"))</f>
        <v>#N/A</v>
      </c>
      <c r="K331" s="357" t="e">
        <f>IF(K312="",NA(),IFERROR(K312*VLOOKUP(K312,'各種計算式等（配付時非表示）'!$E$3:$H$1003,3,TRUE)+VLOOKUP(K312,'各種計算式等（配付時非表示）'!$E$3:$H$1003,4,TRUE)+0.0000000001,"-"))</f>
        <v>#N/A</v>
      </c>
      <c r="L331" s="357" t="e">
        <f>IF(L312="",NA(),IFERROR(L312*VLOOKUP(L312,'各種計算式等（配付時非表示）'!$E$3:$H$1003,3,TRUE)+VLOOKUP(L312,'各種計算式等（配付時非表示）'!$E$3:$H$1003,4,TRUE)+0.0000000001,"-"))</f>
        <v>#N/A</v>
      </c>
      <c r="M331" s="357" t="e">
        <f>IF(M312="",NA(),IFERROR(M312*VLOOKUP(M312,'各種計算式等（配付時非表示）'!$E$3:$H$1003,3,TRUE)+VLOOKUP(M312,'各種計算式等（配付時非表示）'!$E$3:$H$1003,4,TRUE)+0.0000000001,"-"))</f>
        <v>#N/A</v>
      </c>
      <c r="N331" s="357" t="e">
        <f>IF(N312="",NA(),IFERROR(N312*VLOOKUP(N312,'各種計算式等（配付時非表示）'!$E$3:$H$1003,3,TRUE)+VLOOKUP(N312,'各種計算式等（配付時非表示）'!$E$3:$H$1003,4,TRUE)+0.0000000001,"-"))</f>
        <v>#N/A</v>
      </c>
      <c r="O331" s="357" t="e">
        <f>IF(O312="",NA(),IFERROR(O312*VLOOKUP(O312,'各種計算式等（配付時非表示）'!$E$3:$H$1003,3,TRUE)+VLOOKUP(O312,'各種計算式等（配付時非表示）'!$E$3:$H$1003,4,TRUE)+0.0000000001,"-"))</f>
        <v>#N/A</v>
      </c>
      <c r="P331" s="357" t="e">
        <f>IF(P312="",NA(),IFERROR(P312*VLOOKUP(P312,'各種計算式等（配付時非表示）'!$E$3:$H$1003,3,TRUE)+VLOOKUP(P312,'各種計算式等（配付時非表示）'!$E$3:$H$1003,4,TRUE)+0.0000000001,"-"))</f>
        <v>#N/A</v>
      </c>
      <c r="Q331" s="357" t="e">
        <f>IF(Q312="",NA(),IFERROR(Q312*VLOOKUP(Q312,'各種計算式等（配付時非表示）'!$E$3:$H$1003,3,TRUE)+VLOOKUP(Q312,'各種計算式等（配付時非表示）'!$E$3:$H$1003,4,TRUE)+0.0000000001,"-"))</f>
        <v>#N/A</v>
      </c>
      <c r="R331" s="357" t="e">
        <f>IF(R312="",NA(),IFERROR(R312*VLOOKUP(R312,'各種計算式等（配付時非表示）'!$E$3:$H$1003,3,TRUE)+VLOOKUP(R312,'各種計算式等（配付時非表示）'!$E$3:$H$1003,4,TRUE)+0.0000000001,"-"))</f>
        <v>#N/A</v>
      </c>
      <c r="S331" s="357" t="e">
        <f>IF(S312="",NA(),IFERROR(S312*VLOOKUP(S312,'各種計算式等（配付時非表示）'!$E$3:$H$1003,3,TRUE)+VLOOKUP(S312,'各種計算式等（配付時非表示）'!$E$3:$H$1003,4,TRUE)+0.0000000001,"-"))</f>
        <v>#N/A</v>
      </c>
      <c r="T331" s="357" t="e">
        <f>IF(T312="",NA(),IFERROR(T312*VLOOKUP(T312,'各種計算式等（配付時非表示）'!$E$3:$H$1003,3,TRUE)+VLOOKUP(T312,'各種計算式等（配付時非表示）'!$E$3:$H$1003,4,TRUE)+0.0000000001,"-"))</f>
        <v>#N/A</v>
      </c>
      <c r="U331" s="357" t="e">
        <f>IF(U312="",NA(),IFERROR(U312*VLOOKUP(U312,'各種計算式等（配付時非表示）'!$E$3:$H$1003,3,TRUE)+VLOOKUP(U312,'各種計算式等（配付時非表示）'!$E$3:$H$1003,4,TRUE)+0.0000000001,"-"))</f>
        <v>#N/A</v>
      </c>
      <c r="V331" s="357" t="e">
        <f>IF(V312="",NA(),IFERROR(V312*VLOOKUP(V312,'各種計算式等（配付時非表示）'!$E$3:$H$1003,3,TRUE)+VLOOKUP(V312,'各種計算式等（配付時非表示）'!$E$3:$H$1003,4,TRUE)+0.0000000001,"-"))</f>
        <v>#N/A</v>
      </c>
      <c r="W331" s="357" t="e">
        <f>IF(W312="",NA(),IFERROR(W312*VLOOKUP(W312,'各種計算式等（配付時非表示）'!$E$3:$H$1003,3,TRUE)+VLOOKUP(W312,'各種計算式等（配付時非表示）'!$E$3:$H$1003,4,TRUE)+0.0000000001,"-"))</f>
        <v>#N/A</v>
      </c>
      <c r="X331" s="357" t="e">
        <f>IF(X312="",NA(),IFERROR(X312*VLOOKUP(X312,'各種計算式等（配付時非表示）'!$E$3:$H$1003,3,TRUE)+VLOOKUP(X312,'各種計算式等（配付時非表示）'!$E$3:$H$1003,4,TRUE)+0.0000000001,"-"))</f>
        <v>#N/A</v>
      </c>
      <c r="Y331" s="357" t="e">
        <f>IF(Y312="",NA(),IFERROR(Y312*VLOOKUP(Y312,'各種計算式等（配付時非表示）'!$E$3:$H$1003,3,TRUE)+VLOOKUP(Y312,'各種計算式等（配付時非表示）'!$E$3:$H$1003,4,TRUE)+0.0000000001,"-"))</f>
        <v>#N/A</v>
      </c>
      <c r="Z331" s="357" t="e">
        <f>IF(Z312="",NA(),IFERROR(Z312*VLOOKUP(Z312,'各種計算式等（配付時非表示）'!$E$3:$H$1003,3,TRUE)+VLOOKUP(Z312,'各種計算式等（配付時非表示）'!$E$3:$H$1003,4,TRUE)+0.0000000001,"-"))</f>
        <v>#N/A</v>
      </c>
      <c r="AA331" s="357" t="e">
        <f>IF(AA312="",NA(),IFERROR(AA312*VLOOKUP(AA312,'各種計算式等（配付時非表示）'!$E$3:$H$1003,3,TRUE)+VLOOKUP(AA312,'各種計算式等（配付時非表示）'!$E$3:$H$1003,4,TRUE)+0.0000000001,"-"))</f>
        <v>#N/A</v>
      </c>
      <c r="AB331" s="357" t="e">
        <f>IF(AB312="",NA(),IFERROR(AB312*VLOOKUP(AB312,'各種計算式等（配付時非表示）'!$E$3:$H$1003,3,TRUE)+VLOOKUP(AB312,'各種計算式等（配付時非表示）'!$E$3:$H$1003,4,TRUE)+0.0000000001,"-"))</f>
        <v>#N/A</v>
      </c>
      <c r="AC331" s="357" t="e">
        <f>IF(AC312="",NA(),IFERROR(AC312*VLOOKUP(AC312,'各種計算式等（配付時非表示）'!$E$3:$H$1003,3,TRUE)+VLOOKUP(AC312,'各種計算式等（配付時非表示）'!$E$3:$H$1003,4,TRUE)+0.0000000001,"-"))</f>
        <v>#N/A</v>
      </c>
      <c r="AD331" s="357" t="e">
        <f>IF(AD312="",NA(),IFERROR(AD312*VLOOKUP(AD312,'各種計算式等（配付時非表示）'!$E$3:$H$1003,3,TRUE)+VLOOKUP(AD312,'各種計算式等（配付時非表示）'!$E$3:$H$1003,4,TRUE)+0.0000000001,"-"))</f>
        <v>#N/A</v>
      </c>
      <c r="AE331" s="357" t="e">
        <f>IF(AE312="",NA(),IFERROR(AE312*VLOOKUP(AE312,'各種計算式等（配付時非表示）'!$E$3:$H$1003,3,TRUE)+VLOOKUP(AE312,'各種計算式等（配付時非表示）'!$E$3:$H$1003,4,TRUE)+0.0000000001,"-"))</f>
        <v>#N/A</v>
      </c>
      <c r="AF331" s="357" t="e">
        <f>IF(AF312="",NA(),IFERROR(AF312*VLOOKUP(AF312,'各種計算式等（配付時非表示）'!$E$3:$H$1003,3,TRUE)+VLOOKUP(AF312,'各種計算式等（配付時非表示）'!$E$3:$H$1003,4,TRUE)+0.0000000001,"-"))</f>
        <v>#N/A</v>
      </c>
      <c r="AG331" s="357" t="e">
        <f>IF(AG312="",NA(),IFERROR(AG312*VLOOKUP(AG312,'各種計算式等（配付時非表示）'!$E$3:$H$1003,3,TRUE)+VLOOKUP(AG312,'各種計算式等（配付時非表示）'!$E$3:$H$1003,4,TRUE)+0.0000000001,"-"))</f>
        <v>#N/A</v>
      </c>
      <c r="AH331" s="357" t="e">
        <f>IF(AH312="",NA(),IFERROR(AH312*VLOOKUP(AH312,'各種計算式等（配付時非表示）'!$E$3:$H$1003,3,TRUE)+VLOOKUP(AH312,'各種計算式等（配付時非表示）'!$E$3:$H$1003,4,TRUE)+0.0000000001,"-"))</f>
        <v>#N/A</v>
      </c>
      <c r="AI331" s="357" t="e">
        <f>IF(AI312="",NA(),IFERROR(AI312*VLOOKUP(AI312,'各種計算式等（配付時非表示）'!$E$3:$H$1003,3,TRUE)+VLOOKUP(AI312,'各種計算式等（配付時非表示）'!$E$3:$H$1003,4,TRUE)+0.0000000001,"-"))</f>
        <v>#N/A</v>
      </c>
      <c r="AJ331" s="357" t="e">
        <f>IF(AJ312="",NA(),IFERROR(AJ312*VLOOKUP(AJ312,'各種計算式等（配付時非表示）'!$E$3:$H$1003,3,TRUE)+VLOOKUP(AJ312,'各種計算式等（配付時非表示）'!$E$3:$H$1003,4,TRUE)+0.0000000001,"-"))</f>
        <v>#N/A</v>
      </c>
      <c r="AK331" s="357" t="e">
        <f>IF(AK312="",NA(),IFERROR(AK312*VLOOKUP(AK312,'各種計算式等（配付時非表示）'!$E$3:$H$1003,3,TRUE)+VLOOKUP(AK312,'各種計算式等（配付時非表示）'!$E$3:$H$1003,4,TRUE)+0.0000000001,"-"))</f>
        <v>#N/A</v>
      </c>
      <c r="AL331" s="357" t="e">
        <f>IF(AL312="",NA(),IFERROR(AL312*VLOOKUP(AL312,'各種計算式等（配付時非表示）'!$E$3:$H$1003,3,TRUE)+VLOOKUP(AL312,'各種計算式等（配付時非表示）'!$E$3:$H$1003,4,TRUE)+0.0000000001,"-"))</f>
        <v>#N/A</v>
      </c>
      <c r="AM331" s="357" t="e">
        <f>IF(AM312="",NA(),IFERROR(AM312*VLOOKUP(AM312,'各種計算式等（配付時非表示）'!$E$3:$H$1003,3,TRUE)+VLOOKUP(AM312,'各種計算式等（配付時非表示）'!$E$3:$H$1003,4,TRUE)+0.0000000001,"-"))</f>
        <v>#N/A</v>
      </c>
      <c r="AN331" s="357" t="e">
        <f>IF(AN312="",NA(),IFERROR(AN312*VLOOKUP(AN312,'各種計算式等（配付時非表示）'!$E$3:$H$1003,3,TRUE)+VLOOKUP(AN312,'各種計算式等（配付時非表示）'!$E$3:$H$1003,4,TRUE)+0.0000000001,"-"))</f>
        <v>#N/A</v>
      </c>
      <c r="AO331" s="357" t="e">
        <f>IF(AO312="",NA(),IFERROR(AO312*VLOOKUP(AO312,'各種計算式等（配付時非表示）'!$E$3:$H$1003,3,TRUE)+VLOOKUP(AO312,'各種計算式等（配付時非表示）'!$E$3:$H$1003,4,TRUE)+0.0000000001,"-"))</f>
        <v>#N/A</v>
      </c>
      <c r="AP331" s="357" t="e">
        <f>IF(AP312="",NA(),IFERROR(AP312*VLOOKUP(AP312,'各種計算式等（配付時非表示）'!$E$3:$H$1003,3,TRUE)+VLOOKUP(AP312,'各種計算式等（配付時非表示）'!$E$3:$H$1003,4,TRUE)+0.0000000001,"-"))</f>
        <v>#N/A</v>
      </c>
      <c r="AQ331" s="357" t="e">
        <f>IF(AQ312="",NA(),IFERROR(AQ312*VLOOKUP(AQ312,'各種計算式等（配付時非表示）'!$E$3:$H$1003,3,TRUE)+VLOOKUP(AQ312,'各種計算式等（配付時非表示）'!$E$3:$H$1003,4,TRUE)+0.0000000001,"-"))</f>
        <v>#N/A</v>
      </c>
      <c r="AR331"/>
    </row>
    <row r="332" spans="1:44" s="317" customFormat="1" ht="14.25" hidden="1">
      <c r="A332" s="1012" t="s">
        <v>3</v>
      </c>
      <c r="B332" s="1012"/>
      <c r="C332" s="1012"/>
      <c r="E332" s="358" t="e">
        <f>IFERROR(ROUNDDOWN((E330-E331)*260+0.21,1),NA())</f>
        <v>#N/A</v>
      </c>
      <c r="F332" s="358" t="e">
        <f t="shared" ref="F332:AQ332" si="145">IFERROR(ROUNDDOWN((F330-F331)*260+0.21,1),NA())</f>
        <v>#N/A</v>
      </c>
      <c r="G332" s="358" t="e">
        <f t="shared" si="145"/>
        <v>#N/A</v>
      </c>
      <c r="H332" s="358" t="e">
        <f t="shared" si="145"/>
        <v>#N/A</v>
      </c>
      <c r="I332" s="358" t="e">
        <f t="shared" si="145"/>
        <v>#N/A</v>
      </c>
      <c r="J332" s="358" t="e">
        <f t="shared" si="145"/>
        <v>#N/A</v>
      </c>
      <c r="K332" s="358" t="e">
        <f t="shared" si="145"/>
        <v>#N/A</v>
      </c>
      <c r="L332" s="358" t="e">
        <f t="shared" si="145"/>
        <v>#N/A</v>
      </c>
      <c r="M332" s="358" t="e">
        <f t="shared" si="145"/>
        <v>#N/A</v>
      </c>
      <c r="N332" s="358" t="e">
        <f t="shared" si="145"/>
        <v>#N/A</v>
      </c>
      <c r="O332" s="358" t="e">
        <f t="shared" si="145"/>
        <v>#N/A</v>
      </c>
      <c r="P332" s="358" t="e">
        <f t="shared" si="145"/>
        <v>#N/A</v>
      </c>
      <c r="Q332" s="358" t="e">
        <f t="shared" si="145"/>
        <v>#N/A</v>
      </c>
      <c r="R332" s="358" t="e">
        <f t="shared" si="145"/>
        <v>#N/A</v>
      </c>
      <c r="S332" s="358" t="e">
        <f t="shared" si="145"/>
        <v>#N/A</v>
      </c>
      <c r="T332" s="358" t="e">
        <f t="shared" si="145"/>
        <v>#N/A</v>
      </c>
      <c r="U332" s="358" t="e">
        <f t="shared" si="145"/>
        <v>#N/A</v>
      </c>
      <c r="V332" s="358" t="e">
        <f t="shared" si="145"/>
        <v>#N/A</v>
      </c>
      <c r="W332" s="358" t="e">
        <f t="shared" si="145"/>
        <v>#N/A</v>
      </c>
      <c r="X332" s="358" t="e">
        <f t="shared" si="145"/>
        <v>#N/A</v>
      </c>
      <c r="Y332" s="358" t="e">
        <f t="shared" si="145"/>
        <v>#N/A</v>
      </c>
      <c r="Z332" s="358" t="e">
        <f t="shared" si="145"/>
        <v>#N/A</v>
      </c>
      <c r="AA332" s="358" t="e">
        <f t="shared" si="145"/>
        <v>#N/A</v>
      </c>
      <c r="AB332" s="358" t="e">
        <f t="shared" si="145"/>
        <v>#N/A</v>
      </c>
      <c r="AC332" s="358" t="e">
        <f t="shared" si="145"/>
        <v>#N/A</v>
      </c>
      <c r="AD332" s="358" t="e">
        <f t="shared" si="145"/>
        <v>#N/A</v>
      </c>
      <c r="AE332" s="358" t="e">
        <f t="shared" si="145"/>
        <v>#N/A</v>
      </c>
      <c r="AF332" s="358" t="e">
        <f t="shared" si="145"/>
        <v>#N/A</v>
      </c>
      <c r="AG332" s="358" t="e">
        <f t="shared" si="145"/>
        <v>#N/A</v>
      </c>
      <c r="AH332" s="358" t="e">
        <f t="shared" si="145"/>
        <v>#N/A</v>
      </c>
      <c r="AI332" s="358" t="e">
        <f t="shared" si="145"/>
        <v>#N/A</v>
      </c>
      <c r="AJ332" s="358" t="e">
        <f t="shared" si="145"/>
        <v>#N/A</v>
      </c>
      <c r="AK332" s="358" t="e">
        <f t="shared" si="145"/>
        <v>#N/A</v>
      </c>
      <c r="AL332" s="358" t="e">
        <f t="shared" si="145"/>
        <v>#N/A</v>
      </c>
      <c r="AM332" s="358" t="e">
        <f t="shared" si="145"/>
        <v>#N/A</v>
      </c>
      <c r="AN332" s="358" t="e">
        <f t="shared" si="145"/>
        <v>#N/A</v>
      </c>
      <c r="AO332" s="358" t="e">
        <f t="shared" si="145"/>
        <v>#N/A</v>
      </c>
      <c r="AP332" s="358" t="e">
        <f t="shared" si="145"/>
        <v>#N/A</v>
      </c>
      <c r="AQ332" s="358" t="e">
        <f t="shared" si="145"/>
        <v>#N/A</v>
      </c>
      <c r="AR332"/>
    </row>
    <row r="333" spans="1:44" s="317" customFormat="1" ht="14.25" hidden="1">
      <c r="A333" s="1012" t="s">
        <v>326</v>
      </c>
      <c r="B333" s="1012"/>
      <c r="C333" s="1012"/>
      <c r="E333" s="359" t="e">
        <f t="shared" ref="E333:AQ333" si="146">IF(E312="",NA(),ROUNDDOWN(E312*1.5848,1))</f>
        <v>#N/A</v>
      </c>
      <c r="F333" s="359" t="e">
        <f t="shared" si="146"/>
        <v>#N/A</v>
      </c>
      <c r="G333" s="359" t="e">
        <f t="shared" si="146"/>
        <v>#N/A</v>
      </c>
      <c r="H333" s="359" t="e">
        <f t="shared" si="146"/>
        <v>#N/A</v>
      </c>
      <c r="I333" s="359" t="e">
        <f t="shared" si="146"/>
        <v>#N/A</v>
      </c>
      <c r="J333" s="359" t="e">
        <f t="shared" si="146"/>
        <v>#N/A</v>
      </c>
      <c r="K333" s="359" t="e">
        <f t="shared" si="146"/>
        <v>#N/A</v>
      </c>
      <c r="L333" s="359" t="e">
        <f t="shared" si="146"/>
        <v>#N/A</v>
      </c>
      <c r="M333" s="359" t="e">
        <f t="shared" si="146"/>
        <v>#N/A</v>
      </c>
      <c r="N333" s="359" t="e">
        <f t="shared" si="146"/>
        <v>#N/A</v>
      </c>
      <c r="O333" s="359" t="e">
        <f t="shared" si="146"/>
        <v>#N/A</v>
      </c>
      <c r="P333" s="359" t="e">
        <f t="shared" si="146"/>
        <v>#N/A</v>
      </c>
      <c r="Q333" s="359" t="e">
        <f t="shared" si="146"/>
        <v>#N/A</v>
      </c>
      <c r="R333" s="359" t="e">
        <f t="shared" si="146"/>
        <v>#N/A</v>
      </c>
      <c r="S333" s="359" t="e">
        <f t="shared" si="146"/>
        <v>#N/A</v>
      </c>
      <c r="T333" s="359" t="e">
        <f t="shared" si="146"/>
        <v>#N/A</v>
      </c>
      <c r="U333" s="359" t="e">
        <f t="shared" si="146"/>
        <v>#N/A</v>
      </c>
      <c r="V333" s="359" t="e">
        <f t="shared" si="146"/>
        <v>#N/A</v>
      </c>
      <c r="W333" s="359" t="e">
        <f t="shared" si="146"/>
        <v>#N/A</v>
      </c>
      <c r="X333" s="359" t="e">
        <f t="shared" si="146"/>
        <v>#N/A</v>
      </c>
      <c r="Y333" s="359" t="e">
        <f t="shared" si="146"/>
        <v>#N/A</v>
      </c>
      <c r="Z333" s="359" t="e">
        <f t="shared" si="146"/>
        <v>#N/A</v>
      </c>
      <c r="AA333" s="359" t="e">
        <f t="shared" si="146"/>
        <v>#N/A</v>
      </c>
      <c r="AB333" s="359" t="e">
        <f t="shared" si="146"/>
        <v>#N/A</v>
      </c>
      <c r="AC333" s="359" t="e">
        <f t="shared" si="146"/>
        <v>#N/A</v>
      </c>
      <c r="AD333" s="359" t="e">
        <f t="shared" si="146"/>
        <v>#N/A</v>
      </c>
      <c r="AE333" s="359" t="e">
        <f t="shared" si="146"/>
        <v>#N/A</v>
      </c>
      <c r="AF333" s="359" t="e">
        <f t="shared" si="146"/>
        <v>#N/A</v>
      </c>
      <c r="AG333" s="359" t="e">
        <f t="shared" si="146"/>
        <v>#N/A</v>
      </c>
      <c r="AH333" s="359" t="e">
        <f t="shared" si="146"/>
        <v>#N/A</v>
      </c>
      <c r="AI333" s="359" t="e">
        <f t="shared" si="146"/>
        <v>#N/A</v>
      </c>
      <c r="AJ333" s="359" t="e">
        <f t="shared" si="146"/>
        <v>#N/A</v>
      </c>
      <c r="AK333" s="359" t="e">
        <f t="shared" si="146"/>
        <v>#N/A</v>
      </c>
      <c r="AL333" s="359" t="e">
        <f t="shared" si="146"/>
        <v>#N/A</v>
      </c>
      <c r="AM333" s="359" t="e">
        <f t="shared" si="146"/>
        <v>#N/A</v>
      </c>
      <c r="AN333" s="359" t="e">
        <f t="shared" si="146"/>
        <v>#N/A</v>
      </c>
      <c r="AO333" s="359" t="e">
        <f t="shared" si="146"/>
        <v>#N/A</v>
      </c>
      <c r="AP333" s="359" t="e">
        <f t="shared" si="146"/>
        <v>#N/A</v>
      </c>
      <c r="AQ333" s="359" t="e">
        <f t="shared" si="146"/>
        <v>#N/A</v>
      </c>
      <c r="AR333"/>
    </row>
    <row r="334" spans="1:44" s="317" customFormat="1" ht="14.25" hidden="1">
      <c r="A334" s="1012" t="s">
        <v>162</v>
      </c>
      <c r="B334" s="1012"/>
      <c r="C334" s="1012"/>
      <c r="E334" s="359" t="e">
        <f>IF(E332="",NA(),ROUNDDOWN(E332+E333,1))</f>
        <v>#N/A</v>
      </c>
      <c r="F334" s="359" t="e">
        <f t="shared" ref="F334:AQ334" si="147">IF(F332="",NA(),ROUNDDOWN(F332+F333,1))</f>
        <v>#N/A</v>
      </c>
      <c r="G334" s="359" t="e">
        <f t="shared" si="147"/>
        <v>#N/A</v>
      </c>
      <c r="H334" s="359" t="e">
        <f t="shared" si="147"/>
        <v>#N/A</v>
      </c>
      <c r="I334" s="359" t="e">
        <f t="shared" si="147"/>
        <v>#N/A</v>
      </c>
      <c r="J334" s="359" t="e">
        <f t="shared" si="147"/>
        <v>#N/A</v>
      </c>
      <c r="K334" s="359" t="e">
        <f t="shared" si="147"/>
        <v>#N/A</v>
      </c>
      <c r="L334" s="359" t="e">
        <f t="shared" si="147"/>
        <v>#N/A</v>
      </c>
      <c r="M334" s="359" t="e">
        <f t="shared" si="147"/>
        <v>#N/A</v>
      </c>
      <c r="N334" s="359" t="e">
        <f t="shared" si="147"/>
        <v>#N/A</v>
      </c>
      <c r="O334" s="359" t="e">
        <f t="shared" si="147"/>
        <v>#N/A</v>
      </c>
      <c r="P334" s="359" t="e">
        <f t="shared" si="147"/>
        <v>#N/A</v>
      </c>
      <c r="Q334" s="359" t="e">
        <f t="shared" si="147"/>
        <v>#N/A</v>
      </c>
      <c r="R334" s="359" t="e">
        <f t="shared" si="147"/>
        <v>#N/A</v>
      </c>
      <c r="S334" s="359" t="e">
        <f t="shared" si="147"/>
        <v>#N/A</v>
      </c>
      <c r="T334" s="359" t="e">
        <f t="shared" si="147"/>
        <v>#N/A</v>
      </c>
      <c r="U334" s="359" t="e">
        <f t="shared" si="147"/>
        <v>#N/A</v>
      </c>
      <c r="V334" s="359" t="e">
        <f t="shared" si="147"/>
        <v>#N/A</v>
      </c>
      <c r="W334" s="359" t="e">
        <f t="shared" si="147"/>
        <v>#N/A</v>
      </c>
      <c r="X334" s="359" t="e">
        <f t="shared" si="147"/>
        <v>#N/A</v>
      </c>
      <c r="Y334" s="359" t="e">
        <f t="shared" si="147"/>
        <v>#N/A</v>
      </c>
      <c r="Z334" s="359" t="e">
        <f t="shared" si="147"/>
        <v>#N/A</v>
      </c>
      <c r="AA334" s="359" t="e">
        <f t="shared" si="147"/>
        <v>#N/A</v>
      </c>
      <c r="AB334" s="359" t="e">
        <f t="shared" si="147"/>
        <v>#N/A</v>
      </c>
      <c r="AC334" s="359" t="e">
        <f t="shared" si="147"/>
        <v>#N/A</v>
      </c>
      <c r="AD334" s="359" t="e">
        <f t="shared" si="147"/>
        <v>#N/A</v>
      </c>
      <c r="AE334" s="359" t="e">
        <f t="shared" si="147"/>
        <v>#N/A</v>
      </c>
      <c r="AF334" s="359" t="e">
        <f t="shared" si="147"/>
        <v>#N/A</v>
      </c>
      <c r="AG334" s="359" t="e">
        <f t="shared" si="147"/>
        <v>#N/A</v>
      </c>
      <c r="AH334" s="359" t="e">
        <f t="shared" si="147"/>
        <v>#N/A</v>
      </c>
      <c r="AI334" s="359" t="e">
        <f t="shared" si="147"/>
        <v>#N/A</v>
      </c>
      <c r="AJ334" s="359" t="e">
        <f t="shared" si="147"/>
        <v>#N/A</v>
      </c>
      <c r="AK334" s="359" t="e">
        <f t="shared" si="147"/>
        <v>#N/A</v>
      </c>
      <c r="AL334" s="359" t="e">
        <f t="shared" si="147"/>
        <v>#N/A</v>
      </c>
      <c r="AM334" s="359" t="e">
        <f t="shared" si="147"/>
        <v>#N/A</v>
      </c>
      <c r="AN334" s="359" t="e">
        <f t="shared" si="147"/>
        <v>#N/A</v>
      </c>
      <c r="AO334" s="359" t="e">
        <f t="shared" si="147"/>
        <v>#N/A</v>
      </c>
      <c r="AP334" s="359" t="e">
        <f t="shared" si="147"/>
        <v>#N/A</v>
      </c>
      <c r="AQ334" s="359" t="e">
        <f t="shared" si="147"/>
        <v>#N/A</v>
      </c>
      <c r="AR334"/>
    </row>
    <row r="335" spans="1:44" s="317" customFormat="1" ht="14.25" hidden="1">
      <c r="A335" s="1012" t="s">
        <v>198</v>
      </c>
      <c r="B335" s="1012"/>
      <c r="C335" s="1012"/>
      <c r="E335" s="360" t="e">
        <f t="shared" ref="E335:AQ335" si="148">IF(E312="",NA(),IF(E308&lt;=$B323,E312*$D326/100,IF(E308&lt;=$C323,E312*$E326/100,IF(E308&lt;=$D323,E312*$F326/100,IF(E308&lt;=$E323,E312*$G326/100,IF(E308&lt;=$F323,E312*$H326/100,IF(E308&lt;=$G323,E312*$I326/100,IF(E308&lt;=$H323,E312*$J326/100,IF(E308&lt;=$I323,E312*$K326/100,IF(E308&lt;=$J323,E312*$L326/100,IF(E308&lt;=$K323,E312*$M326/100,IF(E308&lt;=$L323,E312*$N326/100,IF(E308&lt;=$M323,E312*$O326/100,IF(E308&lt;=$N323,E312*$P326/100,IF(E308&lt;=$O323,E312*$Q326/100,IF(E308&lt;=$P323,E312*$R326/100,IF(E308&lt;=$Q323,E312*$S326/100,IF(E308&lt;=$R323,E312*$T326/100,IF(E308&lt;=$S323,E312*$U326/100,IF(E308&lt;=$T323,E312*$V326/100,IF(E308&lt;=$U323,E312*$W326/100,E312*$X326/100)))))))))))))))))))))</f>
        <v>#N/A</v>
      </c>
      <c r="F335" s="360" t="e">
        <f t="shared" si="148"/>
        <v>#N/A</v>
      </c>
      <c r="G335" s="360" t="e">
        <f t="shared" si="148"/>
        <v>#N/A</v>
      </c>
      <c r="H335" s="360" t="e">
        <f t="shared" si="148"/>
        <v>#N/A</v>
      </c>
      <c r="I335" s="360" t="e">
        <f t="shared" si="148"/>
        <v>#N/A</v>
      </c>
      <c r="J335" s="360" t="e">
        <f t="shared" si="148"/>
        <v>#N/A</v>
      </c>
      <c r="K335" s="360" t="e">
        <f t="shared" si="148"/>
        <v>#N/A</v>
      </c>
      <c r="L335" s="360" t="e">
        <f t="shared" si="148"/>
        <v>#N/A</v>
      </c>
      <c r="M335" s="360" t="e">
        <f t="shared" si="148"/>
        <v>#N/A</v>
      </c>
      <c r="N335" s="360" t="e">
        <f t="shared" si="148"/>
        <v>#N/A</v>
      </c>
      <c r="O335" s="360" t="e">
        <f t="shared" si="148"/>
        <v>#N/A</v>
      </c>
      <c r="P335" s="360" t="e">
        <f t="shared" si="148"/>
        <v>#N/A</v>
      </c>
      <c r="Q335" s="360" t="e">
        <f t="shared" si="148"/>
        <v>#N/A</v>
      </c>
      <c r="R335" s="360" t="e">
        <f t="shared" si="148"/>
        <v>#N/A</v>
      </c>
      <c r="S335" s="360" t="e">
        <f t="shared" si="148"/>
        <v>#N/A</v>
      </c>
      <c r="T335" s="360" t="e">
        <f t="shared" si="148"/>
        <v>#N/A</v>
      </c>
      <c r="U335" s="360" t="e">
        <f t="shared" si="148"/>
        <v>#N/A</v>
      </c>
      <c r="V335" s="360" t="e">
        <f t="shared" si="148"/>
        <v>#N/A</v>
      </c>
      <c r="W335" s="360" t="e">
        <f t="shared" si="148"/>
        <v>#N/A</v>
      </c>
      <c r="X335" s="360" t="e">
        <f t="shared" si="148"/>
        <v>#N/A</v>
      </c>
      <c r="Y335" s="360" t="e">
        <f t="shared" si="148"/>
        <v>#N/A</v>
      </c>
      <c r="Z335" s="360" t="e">
        <f t="shared" si="148"/>
        <v>#N/A</v>
      </c>
      <c r="AA335" s="360" t="e">
        <f t="shared" si="148"/>
        <v>#N/A</v>
      </c>
      <c r="AB335" s="360" t="e">
        <f t="shared" si="148"/>
        <v>#N/A</v>
      </c>
      <c r="AC335" s="360" t="e">
        <f t="shared" si="148"/>
        <v>#N/A</v>
      </c>
      <c r="AD335" s="360" t="e">
        <f t="shared" si="148"/>
        <v>#N/A</v>
      </c>
      <c r="AE335" s="360" t="e">
        <f t="shared" si="148"/>
        <v>#N/A</v>
      </c>
      <c r="AF335" s="360" t="e">
        <f t="shared" si="148"/>
        <v>#N/A</v>
      </c>
      <c r="AG335" s="360" t="e">
        <f t="shared" si="148"/>
        <v>#N/A</v>
      </c>
      <c r="AH335" s="360" t="e">
        <f t="shared" si="148"/>
        <v>#N/A</v>
      </c>
      <c r="AI335" s="360" t="e">
        <f t="shared" si="148"/>
        <v>#N/A</v>
      </c>
      <c r="AJ335" s="360" t="e">
        <f t="shared" si="148"/>
        <v>#N/A</v>
      </c>
      <c r="AK335" s="360" t="e">
        <f t="shared" si="148"/>
        <v>#N/A</v>
      </c>
      <c r="AL335" s="360" t="e">
        <f t="shared" si="148"/>
        <v>#N/A</v>
      </c>
      <c r="AM335" s="360" t="e">
        <f t="shared" si="148"/>
        <v>#N/A</v>
      </c>
      <c r="AN335" s="360" t="e">
        <f t="shared" si="148"/>
        <v>#N/A</v>
      </c>
      <c r="AO335" s="360" t="e">
        <f t="shared" si="148"/>
        <v>#N/A</v>
      </c>
      <c r="AP335" s="360" t="e">
        <f t="shared" si="148"/>
        <v>#N/A</v>
      </c>
      <c r="AQ335" s="360" t="e">
        <f t="shared" si="148"/>
        <v>#N/A</v>
      </c>
      <c r="AR335"/>
    </row>
    <row r="336" spans="1:44" s="317" customFormat="1" ht="14.25" hidden="1">
      <c r="A336" s="1011" t="s">
        <v>327</v>
      </c>
      <c r="B336" s="1012"/>
      <c r="C336" s="1050"/>
      <c r="E336" s="361" t="e">
        <f>IF(E335="",NA(),ROUND(E335*1.5848,1))</f>
        <v>#N/A</v>
      </c>
      <c r="F336" s="361" t="e">
        <f t="shared" ref="F336:AQ336" si="149">IF(F335="",NA(),ROUND(F335*1.5848,1))</f>
        <v>#N/A</v>
      </c>
      <c r="G336" s="361" t="e">
        <f t="shared" si="149"/>
        <v>#N/A</v>
      </c>
      <c r="H336" s="361" t="e">
        <f t="shared" si="149"/>
        <v>#N/A</v>
      </c>
      <c r="I336" s="361" t="e">
        <f t="shared" si="149"/>
        <v>#N/A</v>
      </c>
      <c r="J336" s="361" t="e">
        <f t="shared" si="149"/>
        <v>#N/A</v>
      </c>
      <c r="K336" s="361" t="e">
        <f t="shared" si="149"/>
        <v>#N/A</v>
      </c>
      <c r="L336" s="361" t="e">
        <f t="shared" si="149"/>
        <v>#N/A</v>
      </c>
      <c r="M336" s="361" t="e">
        <f t="shared" si="149"/>
        <v>#N/A</v>
      </c>
      <c r="N336" s="361" t="e">
        <f t="shared" si="149"/>
        <v>#N/A</v>
      </c>
      <c r="O336" s="361" t="e">
        <f t="shared" si="149"/>
        <v>#N/A</v>
      </c>
      <c r="P336" s="361" t="e">
        <f t="shared" si="149"/>
        <v>#N/A</v>
      </c>
      <c r="Q336" s="361" t="e">
        <f t="shared" si="149"/>
        <v>#N/A</v>
      </c>
      <c r="R336" s="361" t="e">
        <f t="shared" si="149"/>
        <v>#N/A</v>
      </c>
      <c r="S336" s="361" t="e">
        <f t="shared" si="149"/>
        <v>#N/A</v>
      </c>
      <c r="T336" s="361" t="e">
        <f t="shared" si="149"/>
        <v>#N/A</v>
      </c>
      <c r="U336" s="361" t="e">
        <f t="shared" si="149"/>
        <v>#N/A</v>
      </c>
      <c r="V336" s="361" t="e">
        <f t="shared" si="149"/>
        <v>#N/A</v>
      </c>
      <c r="W336" s="361" t="e">
        <f t="shared" si="149"/>
        <v>#N/A</v>
      </c>
      <c r="X336" s="361" t="e">
        <f t="shared" si="149"/>
        <v>#N/A</v>
      </c>
      <c r="Y336" s="361" t="e">
        <f t="shared" si="149"/>
        <v>#N/A</v>
      </c>
      <c r="Z336" s="361" t="e">
        <f t="shared" si="149"/>
        <v>#N/A</v>
      </c>
      <c r="AA336" s="361" t="e">
        <f t="shared" si="149"/>
        <v>#N/A</v>
      </c>
      <c r="AB336" s="361" t="e">
        <f t="shared" si="149"/>
        <v>#N/A</v>
      </c>
      <c r="AC336" s="361" t="e">
        <f t="shared" si="149"/>
        <v>#N/A</v>
      </c>
      <c r="AD336" s="361" t="e">
        <f t="shared" si="149"/>
        <v>#N/A</v>
      </c>
      <c r="AE336" s="361" t="e">
        <f t="shared" si="149"/>
        <v>#N/A</v>
      </c>
      <c r="AF336" s="361" t="e">
        <f t="shared" si="149"/>
        <v>#N/A</v>
      </c>
      <c r="AG336" s="361" t="e">
        <f t="shared" si="149"/>
        <v>#N/A</v>
      </c>
      <c r="AH336" s="361" t="e">
        <f t="shared" si="149"/>
        <v>#N/A</v>
      </c>
      <c r="AI336" s="361" t="e">
        <f t="shared" si="149"/>
        <v>#N/A</v>
      </c>
      <c r="AJ336" s="361" t="e">
        <f t="shared" si="149"/>
        <v>#N/A</v>
      </c>
      <c r="AK336" s="361" t="e">
        <f t="shared" si="149"/>
        <v>#N/A</v>
      </c>
      <c r="AL336" s="361" t="e">
        <f t="shared" si="149"/>
        <v>#N/A</v>
      </c>
      <c r="AM336" s="361" t="e">
        <f t="shared" si="149"/>
        <v>#N/A</v>
      </c>
      <c r="AN336" s="361" t="e">
        <f t="shared" si="149"/>
        <v>#N/A</v>
      </c>
      <c r="AO336" s="361" t="e">
        <f t="shared" si="149"/>
        <v>#N/A</v>
      </c>
      <c r="AP336" s="361" t="e">
        <f t="shared" si="149"/>
        <v>#N/A</v>
      </c>
      <c r="AQ336" s="361" t="e">
        <f t="shared" si="149"/>
        <v>#N/A</v>
      </c>
      <c r="AR336"/>
    </row>
    <row r="337" spans="1:44" s="317" customFormat="1" ht="14.25" hidden="1">
      <c r="A337" s="1011" t="s">
        <v>328</v>
      </c>
      <c r="B337" s="1012"/>
      <c r="C337" s="1050"/>
      <c r="E337" s="361" t="e">
        <f>IF(E338="",NA(),ROUND(E338-E336,1))</f>
        <v>#N/A</v>
      </c>
      <c r="F337" s="361" t="e">
        <f t="shared" ref="F337:AQ337" si="150">IF(F338="",NA(),ROUND(F338-F336,1))</f>
        <v>#N/A</v>
      </c>
      <c r="G337" s="361" t="e">
        <f t="shared" si="150"/>
        <v>#N/A</v>
      </c>
      <c r="H337" s="361" t="e">
        <f t="shared" si="150"/>
        <v>#N/A</v>
      </c>
      <c r="I337" s="361" t="e">
        <f t="shared" si="150"/>
        <v>#N/A</v>
      </c>
      <c r="J337" s="361" t="e">
        <f t="shared" si="150"/>
        <v>#N/A</v>
      </c>
      <c r="K337" s="361" t="e">
        <f t="shared" si="150"/>
        <v>#N/A</v>
      </c>
      <c r="L337" s="361" t="e">
        <f t="shared" si="150"/>
        <v>#N/A</v>
      </c>
      <c r="M337" s="361" t="e">
        <f t="shared" si="150"/>
        <v>#N/A</v>
      </c>
      <c r="N337" s="361" t="e">
        <f t="shared" si="150"/>
        <v>#N/A</v>
      </c>
      <c r="O337" s="361" t="e">
        <f t="shared" si="150"/>
        <v>#N/A</v>
      </c>
      <c r="P337" s="361" t="e">
        <f t="shared" si="150"/>
        <v>#N/A</v>
      </c>
      <c r="Q337" s="361" t="e">
        <f t="shared" si="150"/>
        <v>#N/A</v>
      </c>
      <c r="R337" s="361" t="e">
        <f t="shared" si="150"/>
        <v>#N/A</v>
      </c>
      <c r="S337" s="361" t="e">
        <f t="shared" si="150"/>
        <v>#N/A</v>
      </c>
      <c r="T337" s="361" t="e">
        <f t="shared" si="150"/>
        <v>#N/A</v>
      </c>
      <c r="U337" s="361" t="e">
        <f t="shared" si="150"/>
        <v>#N/A</v>
      </c>
      <c r="V337" s="361" t="e">
        <f t="shared" si="150"/>
        <v>#N/A</v>
      </c>
      <c r="W337" s="361" t="e">
        <f t="shared" si="150"/>
        <v>#N/A</v>
      </c>
      <c r="X337" s="361" t="e">
        <f t="shared" si="150"/>
        <v>#N/A</v>
      </c>
      <c r="Y337" s="361" t="e">
        <f t="shared" si="150"/>
        <v>#N/A</v>
      </c>
      <c r="Z337" s="361" t="e">
        <f t="shared" si="150"/>
        <v>#N/A</v>
      </c>
      <c r="AA337" s="361" t="e">
        <f t="shared" si="150"/>
        <v>#N/A</v>
      </c>
      <c r="AB337" s="361" t="e">
        <f t="shared" si="150"/>
        <v>#N/A</v>
      </c>
      <c r="AC337" s="361" t="e">
        <f t="shared" si="150"/>
        <v>#N/A</v>
      </c>
      <c r="AD337" s="361" t="e">
        <f t="shared" si="150"/>
        <v>#N/A</v>
      </c>
      <c r="AE337" s="361" t="e">
        <f t="shared" si="150"/>
        <v>#N/A</v>
      </c>
      <c r="AF337" s="361" t="e">
        <f t="shared" si="150"/>
        <v>#N/A</v>
      </c>
      <c r="AG337" s="361" t="e">
        <f t="shared" si="150"/>
        <v>#N/A</v>
      </c>
      <c r="AH337" s="361" t="e">
        <f t="shared" si="150"/>
        <v>#N/A</v>
      </c>
      <c r="AI337" s="361" t="e">
        <f t="shared" si="150"/>
        <v>#N/A</v>
      </c>
      <c r="AJ337" s="361" t="e">
        <f t="shared" si="150"/>
        <v>#N/A</v>
      </c>
      <c r="AK337" s="361" t="e">
        <f t="shared" si="150"/>
        <v>#N/A</v>
      </c>
      <c r="AL337" s="361" t="e">
        <f t="shared" si="150"/>
        <v>#N/A</v>
      </c>
      <c r="AM337" s="361" t="e">
        <f t="shared" si="150"/>
        <v>#N/A</v>
      </c>
      <c r="AN337" s="361" t="e">
        <f t="shared" si="150"/>
        <v>#N/A</v>
      </c>
      <c r="AO337" s="361" t="e">
        <f t="shared" si="150"/>
        <v>#N/A</v>
      </c>
      <c r="AP337" s="361" t="e">
        <f t="shared" si="150"/>
        <v>#N/A</v>
      </c>
      <c r="AQ337" s="361" t="e">
        <f t="shared" si="150"/>
        <v>#N/A</v>
      </c>
    </row>
    <row r="338" spans="1:44" s="317" customFormat="1" ht="14.25" hidden="1">
      <c r="A338" s="1011" t="s">
        <v>329</v>
      </c>
      <c r="B338" s="1012"/>
      <c r="C338" s="1050"/>
      <c r="E338" s="360" t="e">
        <f t="shared" ref="E338:AQ338" si="151">IF(E334="",NA(),IF(E308&lt;=$B323,E334*$D326/100,IF(E308&lt;=$C323,E334*$E326/100,IF(E308&lt;=$D323,E334*$F326/100,IF(E308&lt;=$E323,E334*$G326/100,IF(E308&lt;=$F323,E334*$H326/100,IF(E308&lt;=$G323,E334*$I326/100,IF(E308&lt;=$H323,E334*$J326/100,IF(E308&lt;=$I323,E334*$K326/100,IF(E308&lt;=$J323,E334*$L326/100,IF(E308&lt;=$K323,E334*$M326/100,IF(E308&lt;=$L323,E334*$N326/100,IF(E308&lt;=$M323,E334*$O326/100,IF(E308&lt;=$N323,E334*$P326/100,IF(E308&lt;=$O323,E334*$Q326/100,IF(E308&lt;=$P323,E334*$R326/100,IF(E308&lt;=$Q323,E334*$S326/100,IF(E308&lt;=$R323,E334*$T326/100,IF(E308&lt;=$S323,E334*$U326/100,IF(E308&lt;=$T323,E334*$V326/100,IF(E308&lt;=$U323,E334*$W326/100,E334*$X326/100)))))))))))))))))))))</f>
        <v>#N/A</v>
      </c>
      <c r="F338" s="360" t="e">
        <f t="shared" si="151"/>
        <v>#N/A</v>
      </c>
      <c r="G338" s="360" t="e">
        <f t="shared" si="151"/>
        <v>#N/A</v>
      </c>
      <c r="H338" s="360" t="e">
        <f t="shared" si="151"/>
        <v>#N/A</v>
      </c>
      <c r="I338" s="360" t="e">
        <f t="shared" si="151"/>
        <v>#N/A</v>
      </c>
      <c r="J338" s="360" t="e">
        <f t="shared" si="151"/>
        <v>#N/A</v>
      </c>
      <c r="K338" s="360" t="e">
        <f t="shared" si="151"/>
        <v>#N/A</v>
      </c>
      <c r="L338" s="360" t="e">
        <f t="shared" si="151"/>
        <v>#N/A</v>
      </c>
      <c r="M338" s="360" t="e">
        <f t="shared" si="151"/>
        <v>#N/A</v>
      </c>
      <c r="N338" s="360" t="e">
        <f t="shared" si="151"/>
        <v>#N/A</v>
      </c>
      <c r="O338" s="360" t="e">
        <f t="shared" si="151"/>
        <v>#N/A</v>
      </c>
      <c r="P338" s="360" t="e">
        <f t="shared" si="151"/>
        <v>#N/A</v>
      </c>
      <c r="Q338" s="360" t="e">
        <f t="shared" si="151"/>
        <v>#N/A</v>
      </c>
      <c r="R338" s="360" t="e">
        <f t="shared" si="151"/>
        <v>#N/A</v>
      </c>
      <c r="S338" s="360" t="e">
        <f t="shared" si="151"/>
        <v>#N/A</v>
      </c>
      <c r="T338" s="360" t="e">
        <f t="shared" si="151"/>
        <v>#N/A</v>
      </c>
      <c r="U338" s="360" t="e">
        <f t="shared" si="151"/>
        <v>#N/A</v>
      </c>
      <c r="V338" s="360" t="e">
        <f t="shared" si="151"/>
        <v>#N/A</v>
      </c>
      <c r="W338" s="360" t="e">
        <f t="shared" si="151"/>
        <v>#N/A</v>
      </c>
      <c r="X338" s="360" t="e">
        <f t="shared" si="151"/>
        <v>#N/A</v>
      </c>
      <c r="Y338" s="360" t="e">
        <f t="shared" si="151"/>
        <v>#N/A</v>
      </c>
      <c r="Z338" s="360" t="e">
        <f t="shared" si="151"/>
        <v>#N/A</v>
      </c>
      <c r="AA338" s="360" t="e">
        <f t="shared" si="151"/>
        <v>#N/A</v>
      </c>
      <c r="AB338" s="360" t="e">
        <f t="shared" si="151"/>
        <v>#N/A</v>
      </c>
      <c r="AC338" s="360" t="e">
        <f t="shared" si="151"/>
        <v>#N/A</v>
      </c>
      <c r="AD338" s="360" t="e">
        <f t="shared" si="151"/>
        <v>#N/A</v>
      </c>
      <c r="AE338" s="360" t="e">
        <f t="shared" si="151"/>
        <v>#N/A</v>
      </c>
      <c r="AF338" s="360" t="e">
        <f t="shared" si="151"/>
        <v>#N/A</v>
      </c>
      <c r="AG338" s="360" t="e">
        <f t="shared" si="151"/>
        <v>#N/A</v>
      </c>
      <c r="AH338" s="360" t="e">
        <f t="shared" si="151"/>
        <v>#N/A</v>
      </c>
      <c r="AI338" s="360" t="e">
        <f t="shared" si="151"/>
        <v>#N/A</v>
      </c>
      <c r="AJ338" s="360" t="e">
        <f t="shared" si="151"/>
        <v>#N/A</v>
      </c>
      <c r="AK338" s="360" t="e">
        <f t="shared" si="151"/>
        <v>#N/A</v>
      </c>
      <c r="AL338" s="360" t="e">
        <f t="shared" si="151"/>
        <v>#N/A</v>
      </c>
      <c r="AM338" s="360" t="e">
        <f t="shared" si="151"/>
        <v>#N/A</v>
      </c>
      <c r="AN338" s="360" t="e">
        <f t="shared" si="151"/>
        <v>#N/A</v>
      </c>
      <c r="AO338" s="360" t="e">
        <f t="shared" si="151"/>
        <v>#N/A</v>
      </c>
      <c r="AP338" s="360" t="e">
        <f t="shared" si="151"/>
        <v>#N/A</v>
      </c>
      <c r="AQ338" s="360" t="e">
        <f t="shared" si="151"/>
        <v>#N/A</v>
      </c>
    </row>
    <row r="339" spans="1:44" s="317" customFormat="1" ht="15" hidden="1" thickBot="1">
      <c r="A339" s="1014" t="s">
        <v>330</v>
      </c>
      <c r="B339" s="1015"/>
      <c r="C339" s="1015"/>
      <c r="E339" s="362" t="e">
        <f>IF(E338="",NA(),ROUND(E336/E338*100,1))</f>
        <v>#N/A</v>
      </c>
      <c r="F339" s="362" t="e">
        <f t="shared" ref="F339:AQ339" si="152">IF(F338="",NA(),ROUND(F336/F338*100,1))</f>
        <v>#N/A</v>
      </c>
      <c r="G339" s="362" t="e">
        <f t="shared" si="152"/>
        <v>#N/A</v>
      </c>
      <c r="H339" s="362" t="e">
        <f t="shared" si="152"/>
        <v>#N/A</v>
      </c>
      <c r="I339" s="362" t="e">
        <f t="shared" si="152"/>
        <v>#N/A</v>
      </c>
      <c r="J339" s="362" t="e">
        <f t="shared" si="152"/>
        <v>#N/A</v>
      </c>
      <c r="K339" s="362" t="e">
        <f t="shared" si="152"/>
        <v>#N/A</v>
      </c>
      <c r="L339" s="362" t="e">
        <f t="shared" si="152"/>
        <v>#N/A</v>
      </c>
      <c r="M339" s="362" t="e">
        <f t="shared" si="152"/>
        <v>#N/A</v>
      </c>
      <c r="N339" s="362" t="e">
        <f t="shared" si="152"/>
        <v>#N/A</v>
      </c>
      <c r="O339" s="362" t="e">
        <f t="shared" si="152"/>
        <v>#N/A</v>
      </c>
      <c r="P339" s="362" t="e">
        <f t="shared" si="152"/>
        <v>#N/A</v>
      </c>
      <c r="Q339" s="362" t="e">
        <f t="shared" si="152"/>
        <v>#N/A</v>
      </c>
      <c r="R339" s="362" t="e">
        <f t="shared" si="152"/>
        <v>#N/A</v>
      </c>
      <c r="S339" s="362" t="e">
        <f t="shared" si="152"/>
        <v>#N/A</v>
      </c>
      <c r="T339" s="362" t="e">
        <f t="shared" si="152"/>
        <v>#N/A</v>
      </c>
      <c r="U339" s="362" t="e">
        <f t="shared" si="152"/>
        <v>#N/A</v>
      </c>
      <c r="V339" s="362" t="e">
        <f t="shared" si="152"/>
        <v>#N/A</v>
      </c>
      <c r="W339" s="362" t="e">
        <f t="shared" si="152"/>
        <v>#N/A</v>
      </c>
      <c r="X339" s="362" t="e">
        <f t="shared" si="152"/>
        <v>#N/A</v>
      </c>
      <c r="Y339" s="362" t="e">
        <f t="shared" si="152"/>
        <v>#N/A</v>
      </c>
      <c r="Z339" s="362" t="e">
        <f t="shared" si="152"/>
        <v>#N/A</v>
      </c>
      <c r="AA339" s="362" t="e">
        <f t="shared" si="152"/>
        <v>#N/A</v>
      </c>
      <c r="AB339" s="362" t="e">
        <f t="shared" si="152"/>
        <v>#N/A</v>
      </c>
      <c r="AC339" s="362" t="e">
        <f t="shared" si="152"/>
        <v>#N/A</v>
      </c>
      <c r="AD339" s="362" t="e">
        <f t="shared" si="152"/>
        <v>#N/A</v>
      </c>
      <c r="AE339" s="362" t="e">
        <f t="shared" si="152"/>
        <v>#N/A</v>
      </c>
      <c r="AF339" s="362" t="e">
        <f t="shared" si="152"/>
        <v>#N/A</v>
      </c>
      <c r="AG339" s="362" t="e">
        <f t="shared" si="152"/>
        <v>#N/A</v>
      </c>
      <c r="AH339" s="362" t="e">
        <f t="shared" si="152"/>
        <v>#N/A</v>
      </c>
      <c r="AI339" s="362" t="e">
        <f t="shared" si="152"/>
        <v>#N/A</v>
      </c>
      <c r="AJ339" s="362" t="e">
        <f t="shared" si="152"/>
        <v>#N/A</v>
      </c>
      <c r="AK339" s="362" t="e">
        <f t="shared" si="152"/>
        <v>#N/A</v>
      </c>
      <c r="AL339" s="362" t="e">
        <f t="shared" si="152"/>
        <v>#N/A</v>
      </c>
      <c r="AM339" s="362" t="e">
        <f t="shared" si="152"/>
        <v>#N/A</v>
      </c>
      <c r="AN339" s="362" t="e">
        <f t="shared" si="152"/>
        <v>#N/A</v>
      </c>
      <c r="AO339" s="362" t="e">
        <f t="shared" si="152"/>
        <v>#N/A</v>
      </c>
      <c r="AP339" s="362" t="e">
        <f t="shared" si="152"/>
        <v>#N/A</v>
      </c>
      <c r="AQ339" s="362" t="e">
        <f t="shared" si="152"/>
        <v>#N/A</v>
      </c>
      <c r="AR339" s="362"/>
    </row>
    <row r="340" spans="1:44" s="317" customFormat="1" ht="14.25" hidden="1"/>
    <row r="341" spans="1:44" s="317" customFormat="1" ht="21" customHeight="1" thickBot="1">
      <c r="A341" s="316" t="s">
        <v>342</v>
      </c>
    </row>
    <row r="342" spans="1:44" s="317" customFormat="1" ht="12.95" customHeight="1" thickBot="1">
      <c r="A342" s="1016" t="s">
        <v>286</v>
      </c>
      <c r="B342" s="1017"/>
      <c r="C342" s="1017"/>
      <c r="D342" s="1022"/>
      <c r="E342" s="1022"/>
      <c r="F342" s="1023"/>
      <c r="H342" s="318" t="s">
        <v>294</v>
      </c>
      <c r="I342" s="1022"/>
      <c r="J342" s="1023"/>
      <c r="L342" s="363" t="s">
        <v>295</v>
      </c>
      <c r="M342" s="1057"/>
      <c r="N342" s="1058"/>
      <c r="O342" s="364"/>
      <c r="P342" s="1059" t="s">
        <v>297</v>
      </c>
      <c r="Q342" s="1060"/>
      <c r="R342" s="365"/>
      <c r="S342" s="365"/>
      <c r="T342" s="365"/>
    </row>
    <row r="343" spans="1:44" s="317" customFormat="1" ht="12.95" customHeight="1" thickBot="1">
      <c r="L343" s="366" t="s">
        <v>296</v>
      </c>
      <c r="M343" s="1061"/>
      <c r="N343" s="1062"/>
      <c r="P343" s="1028"/>
      <c r="Q343" s="1029"/>
      <c r="R343" s="1029"/>
      <c r="S343" s="1029"/>
      <c r="T343" s="1029"/>
      <c r="U343" s="1029"/>
      <c r="V343" s="1029"/>
      <c r="W343" s="1029"/>
      <c r="X343" s="1030"/>
    </row>
    <row r="344" spans="1:44" s="317" customFormat="1" ht="14.25">
      <c r="A344" s="1037" t="s">
        <v>63</v>
      </c>
      <c r="B344" s="1038"/>
      <c r="C344" s="1038"/>
      <c r="D344" s="388" t="s">
        <v>49</v>
      </c>
      <c r="E344" s="388" t="s">
        <v>14</v>
      </c>
      <c r="F344" s="388" t="s">
        <v>16</v>
      </c>
      <c r="G344" s="388" t="s">
        <v>50</v>
      </c>
      <c r="H344" s="388" t="s">
        <v>51</v>
      </c>
      <c r="I344" s="322" t="s">
        <v>54</v>
      </c>
      <c r="J344" s="323" t="s">
        <v>53</v>
      </c>
      <c r="K344" s="324"/>
      <c r="P344" s="1031"/>
      <c r="Q344" s="1032"/>
      <c r="R344" s="1032"/>
      <c r="S344" s="1032"/>
      <c r="T344" s="1032"/>
      <c r="U344" s="1032"/>
      <c r="V344" s="1032"/>
      <c r="W344" s="1032"/>
      <c r="X344" s="1033"/>
      <c r="Z344" s="326"/>
      <c r="AA344" s="326"/>
    </row>
    <row r="345" spans="1:44" s="317" customFormat="1" ht="14.25">
      <c r="A345" s="1011" t="s">
        <v>166</v>
      </c>
      <c r="B345" s="1012"/>
      <c r="C345" s="1012"/>
      <c r="D345" s="373" t="str">
        <f>IF(D346+D347=0,"",D346+D347)</f>
        <v/>
      </c>
      <c r="E345" s="373" t="str">
        <f>IF(E346+E347=0,"",E346+E347)</f>
        <v/>
      </c>
      <c r="F345" s="373" t="str">
        <f>IF(F346+F347=0,"",F346+F347)</f>
        <v/>
      </c>
      <c r="G345" s="373" t="str">
        <f>IF(G346+G347=0,"",G346+G347)</f>
        <v/>
      </c>
      <c r="H345" s="373" t="str">
        <f>IF(H346+H347=0,"",H346+H347)</f>
        <v/>
      </c>
      <c r="I345" s="327"/>
      <c r="J345" s="390" t="str">
        <f>IF(SUM(D345:I345)=0,"",SUM(D345:I345))</f>
        <v/>
      </c>
      <c r="K345" s="324"/>
      <c r="P345" s="1031"/>
      <c r="Q345" s="1032"/>
      <c r="R345" s="1032"/>
      <c r="S345" s="1032"/>
      <c r="T345" s="1032"/>
      <c r="U345" s="1032"/>
      <c r="V345" s="1032"/>
      <c r="W345" s="1032"/>
      <c r="X345" s="1033"/>
      <c r="Z345" s="326"/>
      <c r="AA345" s="326"/>
    </row>
    <row r="346" spans="1:44" s="317" customFormat="1" ht="14.25">
      <c r="A346" s="1011" t="s">
        <v>95</v>
      </c>
      <c r="B346" s="1012"/>
      <c r="C346" s="1012"/>
      <c r="D346" s="393"/>
      <c r="E346" s="393"/>
      <c r="F346" s="393"/>
      <c r="G346" s="393"/>
      <c r="H346" s="393"/>
      <c r="I346" s="327"/>
      <c r="J346" s="390" t="str">
        <f>IF(SUM(D346:I346)=0,"",SUM(D346:I346))</f>
        <v/>
      </c>
      <c r="K346" s="330"/>
      <c r="P346" s="1031"/>
      <c r="Q346" s="1032"/>
      <c r="R346" s="1032"/>
      <c r="S346" s="1032"/>
      <c r="T346" s="1032"/>
      <c r="U346" s="1032"/>
      <c r="V346" s="1032"/>
      <c r="W346" s="1032"/>
      <c r="X346" s="1033"/>
      <c r="Y346" s="1013"/>
      <c r="Z346" s="1013"/>
      <c r="AA346" s="1013"/>
    </row>
    <row r="347" spans="1:44" s="317" customFormat="1" ht="14.25">
      <c r="A347" s="1011" t="s">
        <v>52</v>
      </c>
      <c r="B347" s="1012"/>
      <c r="C347" s="1012"/>
      <c r="D347" s="393"/>
      <c r="E347" s="393"/>
      <c r="F347" s="393"/>
      <c r="G347" s="393"/>
      <c r="H347" s="393"/>
      <c r="I347" s="327"/>
      <c r="J347" s="390" t="str">
        <f>IF(SUM(D347:I347)=0,"",SUM(D347:I347))</f>
        <v/>
      </c>
      <c r="K347" s="330"/>
      <c r="P347" s="1031"/>
      <c r="Q347" s="1032"/>
      <c r="R347" s="1032"/>
      <c r="S347" s="1032"/>
      <c r="T347" s="1032"/>
      <c r="U347" s="1032"/>
      <c r="V347" s="1032"/>
      <c r="W347" s="1032"/>
      <c r="X347" s="1033"/>
      <c r="Y347" s="1013"/>
      <c r="Z347" s="1013"/>
      <c r="AA347" s="1013"/>
    </row>
    <row r="348" spans="1:44" s="317" customFormat="1" ht="15" thickBot="1">
      <c r="A348" s="1014" t="s">
        <v>165</v>
      </c>
      <c r="B348" s="1015"/>
      <c r="C348" s="1015"/>
      <c r="D348" s="394"/>
      <c r="E348" s="394"/>
      <c r="F348" s="394"/>
      <c r="G348" s="394"/>
      <c r="H348" s="394"/>
      <c r="I348" s="391" t="str">
        <f>IF(SUM(E351:AQ351)=0,"",SUM(E351:AQ351))</f>
        <v/>
      </c>
      <c r="J348" s="392" t="str">
        <f>IF(SUM(D348:I348)=0,"",SUM(D348:I348))</f>
        <v/>
      </c>
      <c r="K348" s="330"/>
      <c r="O348" s="364"/>
      <c r="P348" s="1034"/>
      <c r="Q348" s="1035"/>
      <c r="R348" s="1035"/>
      <c r="S348" s="1035"/>
      <c r="T348" s="1035"/>
      <c r="U348" s="1035"/>
      <c r="V348" s="1035"/>
      <c r="W348" s="1035"/>
      <c r="X348" s="1036"/>
      <c r="Y348" s="1013"/>
      <c r="Z348" s="1013"/>
      <c r="AA348" s="1013"/>
    </row>
    <row r="349" spans="1:44" s="317" customFormat="1" ht="10.5" customHeight="1" thickBot="1"/>
    <row r="350" spans="1:44" s="317" customFormat="1" ht="14.25">
      <c r="A350" s="1056" t="s">
        <v>17</v>
      </c>
      <c r="B350" s="1038"/>
      <c r="C350" s="1038"/>
      <c r="D350" s="388">
        <v>1</v>
      </c>
      <c r="E350" s="388">
        <v>2</v>
      </c>
      <c r="F350" s="388">
        <v>3</v>
      </c>
      <c r="G350" s="388">
        <v>4</v>
      </c>
      <c r="H350" s="388">
        <v>5</v>
      </c>
      <c r="I350" s="388">
        <v>6</v>
      </c>
      <c r="J350" s="388">
        <v>7</v>
      </c>
      <c r="K350" s="388">
        <v>8</v>
      </c>
      <c r="L350" s="388">
        <v>9</v>
      </c>
      <c r="M350" s="388">
        <v>10</v>
      </c>
      <c r="N350" s="388">
        <v>11</v>
      </c>
      <c r="O350" s="388">
        <v>12</v>
      </c>
      <c r="P350" s="388">
        <v>13</v>
      </c>
      <c r="Q350" s="388">
        <v>14</v>
      </c>
      <c r="R350" s="388">
        <v>15</v>
      </c>
      <c r="S350" s="388">
        <v>16</v>
      </c>
      <c r="T350" s="388">
        <v>17</v>
      </c>
      <c r="U350" s="388">
        <v>18</v>
      </c>
      <c r="V350" s="388">
        <v>19</v>
      </c>
      <c r="W350" s="388">
        <v>20</v>
      </c>
      <c r="X350" s="388">
        <v>21</v>
      </c>
      <c r="Y350" s="388">
        <v>22</v>
      </c>
      <c r="Z350" s="388">
        <v>23</v>
      </c>
      <c r="AA350" s="388">
        <v>24</v>
      </c>
      <c r="AB350" s="388">
        <v>25</v>
      </c>
      <c r="AC350" s="388">
        <v>26</v>
      </c>
      <c r="AD350" s="388">
        <v>27</v>
      </c>
      <c r="AE350" s="388">
        <v>28</v>
      </c>
      <c r="AF350" s="388">
        <v>29</v>
      </c>
      <c r="AG350" s="388">
        <v>30</v>
      </c>
      <c r="AH350" s="388">
        <v>31</v>
      </c>
      <c r="AI350" s="388">
        <v>32</v>
      </c>
      <c r="AJ350" s="388">
        <v>33</v>
      </c>
      <c r="AK350" s="388">
        <v>34</v>
      </c>
      <c r="AL350" s="388">
        <v>35</v>
      </c>
      <c r="AM350" s="388">
        <v>36</v>
      </c>
      <c r="AN350" s="388">
        <v>37</v>
      </c>
      <c r="AO350" s="388">
        <v>38</v>
      </c>
      <c r="AP350" s="388">
        <v>39</v>
      </c>
      <c r="AQ350" s="323">
        <v>40</v>
      </c>
    </row>
    <row r="351" spans="1:44" s="317" customFormat="1" ht="14.25">
      <c r="A351" s="1011" t="s">
        <v>209</v>
      </c>
      <c r="B351" s="1012"/>
      <c r="C351" s="1012"/>
      <c r="D351" s="387"/>
      <c r="E351" s="329"/>
      <c r="F351" s="329"/>
      <c r="G351" s="329"/>
      <c r="H351" s="329"/>
      <c r="I351" s="329"/>
      <c r="J351" s="329"/>
      <c r="K351" s="329"/>
      <c r="L351" s="329"/>
      <c r="M351" s="329"/>
      <c r="N351" s="329"/>
      <c r="O351" s="329"/>
      <c r="P351" s="329"/>
      <c r="Q351" s="329"/>
      <c r="R351" s="329"/>
      <c r="S351" s="329"/>
      <c r="T351" s="329"/>
      <c r="U351" s="329"/>
      <c r="V351" s="329"/>
      <c r="W351" s="329"/>
      <c r="X351" s="329"/>
      <c r="Y351" s="329"/>
      <c r="Z351" s="329"/>
      <c r="AA351" s="329"/>
      <c r="AB351" s="329"/>
      <c r="AC351" s="329"/>
      <c r="AD351" s="329"/>
      <c r="AE351" s="329"/>
      <c r="AF351" s="329"/>
      <c r="AG351" s="329"/>
      <c r="AH351" s="329"/>
      <c r="AI351" s="329"/>
      <c r="AJ351" s="329"/>
      <c r="AK351" s="329"/>
      <c r="AL351" s="329"/>
      <c r="AM351" s="329"/>
      <c r="AN351" s="329"/>
      <c r="AO351" s="329"/>
      <c r="AP351" s="329"/>
      <c r="AQ351" s="333"/>
    </row>
    <row r="352" spans="1:44" s="317" customFormat="1" ht="14.25">
      <c r="A352" s="1063" t="s">
        <v>1</v>
      </c>
      <c r="B352" s="1064"/>
      <c r="C352" s="1065" t="s">
        <v>65</v>
      </c>
      <c r="D352" s="334"/>
      <c r="E352" s="335"/>
      <c r="F352" s="335"/>
      <c r="G352" s="335"/>
      <c r="H352" s="335"/>
      <c r="I352" s="335"/>
      <c r="J352" s="335"/>
      <c r="K352" s="335"/>
      <c r="L352" s="335"/>
      <c r="M352" s="335"/>
      <c r="N352" s="335"/>
      <c r="O352" s="335"/>
      <c r="P352" s="335"/>
      <c r="Q352" s="335"/>
      <c r="R352" s="335"/>
      <c r="S352" s="335"/>
      <c r="T352" s="335"/>
      <c r="U352" s="335"/>
      <c r="V352" s="335"/>
      <c r="W352" s="335"/>
      <c r="X352" s="335"/>
      <c r="Y352" s="335"/>
      <c r="Z352" s="335"/>
      <c r="AA352" s="335"/>
      <c r="AB352" s="335"/>
      <c r="AC352" s="335"/>
      <c r="AD352" s="335"/>
      <c r="AE352" s="335"/>
      <c r="AF352" s="335"/>
      <c r="AG352" s="335"/>
      <c r="AH352" s="335"/>
      <c r="AI352" s="335"/>
      <c r="AJ352" s="335"/>
      <c r="AK352" s="335"/>
      <c r="AL352" s="336"/>
      <c r="AM352" s="336"/>
      <c r="AN352" s="336"/>
      <c r="AO352" s="335"/>
      <c r="AP352" s="335"/>
      <c r="AQ352" s="337"/>
      <c r="AR352" s="372"/>
    </row>
    <row r="353" spans="1:44" s="317" customFormat="1" ht="14.25">
      <c r="A353" s="1063" t="s">
        <v>2</v>
      </c>
      <c r="B353" s="1064"/>
      <c r="C353" s="1065"/>
      <c r="D353" s="334"/>
      <c r="E353" s="335"/>
      <c r="F353" s="335"/>
      <c r="G353" s="335"/>
      <c r="H353" s="335"/>
      <c r="I353" s="335"/>
      <c r="J353" s="335"/>
      <c r="K353" s="335"/>
      <c r="L353" s="335"/>
      <c r="M353" s="335"/>
      <c r="N353" s="335"/>
      <c r="O353" s="335"/>
      <c r="P353" s="335"/>
      <c r="Q353" s="335"/>
      <c r="R353" s="335"/>
      <c r="S353" s="335"/>
      <c r="T353" s="335"/>
      <c r="U353" s="335"/>
      <c r="V353" s="335"/>
      <c r="W353" s="335"/>
      <c r="X353" s="335"/>
      <c r="Y353" s="335"/>
      <c r="Z353" s="335"/>
      <c r="AA353" s="335"/>
      <c r="AB353" s="335"/>
      <c r="AC353" s="335"/>
      <c r="AD353" s="335"/>
      <c r="AE353" s="335"/>
      <c r="AF353" s="335"/>
      <c r="AG353" s="335"/>
      <c r="AH353" s="335"/>
      <c r="AI353" s="335"/>
      <c r="AJ353" s="335"/>
      <c r="AK353" s="335"/>
      <c r="AL353" s="335"/>
      <c r="AM353" s="335"/>
      <c r="AN353" s="335"/>
      <c r="AO353" s="335"/>
      <c r="AP353" s="338"/>
      <c r="AQ353" s="339"/>
      <c r="AR353" s="372"/>
    </row>
    <row r="354" spans="1:44" s="317" customFormat="1" ht="14.25">
      <c r="A354" s="1011" t="s">
        <v>265</v>
      </c>
      <c r="B354" s="1012"/>
      <c r="C354" s="1012"/>
      <c r="D354" s="340"/>
      <c r="E354" s="341"/>
      <c r="F354" s="341"/>
      <c r="G354" s="341"/>
      <c r="H354" s="341"/>
      <c r="I354" s="341"/>
      <c r="J354" s="341"/>
      <c r="K354" s="341"/>
      <c r="L354" s="341"/>
      <c r="M354" s="341"/>
      <c r="N354" s="341"/>
      <c r="O354" s="341"/>
      <c r="P354" s="341"/>
      <c r="Q354" s="341"/>
      <c r="R354" s="341"/>
      <c r="S354" s="341"/>
      <c r="T354" s="341"/>
      <c r="U354" s="341"/>
      <c r="V354" s="341"/>
      <c r="W354" s="341"/>
      <c r="X354" s="341"/>
      <c r="Y354" s="341"/>
      <c r="Z354" s="341"/>
      <c r="AA354" s="341"/>
      <c r="AB354" s="341"/>
      <c r="AC354" s="341"/>
      <c r="AD354" s="341"/>
      <c r="AE354" s="341"/>
      <c r="AF354" s="341"/>
      <c r="AG354" s="341"/>
      <c r="AH354" s="341"/>
      <c r="AI354" s="341"/>
      <c r="AJ354" s="341"/>
      <c r="AK354" s="341"/>
      <c r="AL354" s="336"/>
      <c r="AM354" s="336"/>
      <c r="AN354" s="336"/>
      <c r="AO354" s="341"/>
      <c r="AP354" s="341"/>
      <c r="AQ354" s="342"/>
    </row>
    <row r="355" spans="1:44" s="317" customFormat="1" ht="14.25">
      <c r="A355" s="1009" t="s">
        <v>302</v>
      </c>
      <c r="B355" s="1010"/>
      <c r="C355" s="1010"/>
      <c r="D355" s="395"/>
      <c r="E355" s="396" t="str">
        <f>IFERROR(E378,"")</f>
        <v/>
      </c>
      <c r="F355" s="396" t="str">
        <f t="shared" ref="F355:AQ355" si="153">IFERROR(F378,"")</f>
        <v/>
      </c>
      <c r="G355" s="396" t="str">
        <f t="shared" si="153"/>
        <v/>
      </c>
      <c r="H355" s="396" t="str">
        <f t="shared" si="153"/>
        <v/>
      </c>
      <c r="I355" s="396" t="str">
        <f t="shared" si="153"/>
        <v/>
      </c>
      <c r="J355" s="396" t="str">
        <f t="shared" si="153"/>
        <v/>
      </c>
      <c r="K355" s="396" t="str">
        <f t="shared" si="153"/>
        <v/>
      </c>
      <c r="L355" s="396" t="str">
        <f t="shared" si="153"/>
        <v/>
      </c>
      <c r="M355" s="396" t="str">
        <f t="shared" si="153"/>
        <v/>
      </c>
      <c r="N355" s="396" t="str">
        <f t="shared" si="153"/>
        <v/>
      </c>
      <c r="O355" s="396" t="str">
        <f t="shared" si="153"/>
        <v/>
      </c>
      <c r="P355" s="396" t="str">
        <f t="shared" si="153"/>
        <v/>
      </c>
      <c r="Q355" s="396" t="str">
        <f t="shared" si="153"/>
        <v/>
      </c>
      <c r="R355" s="396" t="str">
        <f t="shared" si="153"/>
        <v/>
      </c>
      <c r="S355" s="396" t="str">
        <f t="shared" si="153"/>
        <v/>
      </c>
      <c r="T355" s="396" t="str">
        <f t="shared" si="153"/>
        <v/>
      </c>
      <c r="U355" s="396" t="str">
        <f t="shared" si="153"/>
        <v/>
      </c>
      <c r="V355" s="396" t="str">
        <f t="shared" si="153"/>
        <v/>
      </c>
      <c r="W355" s="396" t="str">
        <f t="shared" si="153"/>
        <v/>
      </c>
      <c r="X355" s="396" t="str">
        <f t="shared" si="153"/>
        <v/>
      </c>
      <c r="Y355" s="396" t="str">
        <f t="shared" si="153"/>
        <v/>
      </c>
      <c r="Z355" s="396" t="str">
        <f t="shared" si="153"/>
        <v/>
      </c>
      <c r="AA355" s="396" t="str">
        <f t="shared" si="153"/>
        <v/>
      </c>
      <c r="AB355" s="396" t="str">
        <f t="shared" si="153"/>
        <v/>
      </c>
      <c r="AC355" s="396" t="str">
        <f t="shared" si="153"/>
        <v/>
      </c>
      <c r="AD355" s="396" t="str">
        <f t="shared" si="153"/>
        <v/>
      </c>
      <c r="AE355" s="396" t="str">
        <f t="shared" si="153"/>
        <v/>
      </c>
      <c r="AF355" s="396" t="str">
        <f t="shared" si="153"/>
        <v/>
      </c>
      <c r="AG355" s="396" t="str">
        <f t="shared" si="153"/>
        <v/>
      </c>
      <c r="AH355" s="396" t="str">
        <f t="shared" si="153"/>
        <v/>
      </c>
      <c r="AI355" s="396" t="str">
        <f t="shared" si="153"/>
        <v/>
      </c>
      <c r="AJ355" s="396" t="str">
        <f t="shared" si="153"/>
        <v/>
      </c>
      <c r="AK355" s="396" t="str">
        <f t="shared" si="153"/>
        <v/>
      </c>
      <c r="AL355" s="396" t="str">
        <f t="shared" si="153"/>
        <v/>
      </c>
      <c r="AM355" s="396" t="str">
        <f t="shared" si="153"/>
        <v/>
      </c>
      <c r="AN355" s="396" t="str">
        <f t="shared" si="153"/>
        <v/>
      </c>
      <c r="AO355" s="396" t="str">
        <f t="shared" si="153"/>
        <v/>
      </c>
      <c r="AP355" s="396" t="str">
        <f t="shared" si="153"/>
        <v/>
      </c>
      <c r="AQ355" s="398" t="str">
        <f t="shared" si="153"/>
        <v/>
      </c>
    </row>
    <row r="356" spans="1:44" s="317" customFormat="1" ht="14.25" customHeight="1">
      <c r="A356" s="1009" t="s">
        <v>303</v>
      </c>
      <c r="B356" s="1010"/>
      <c r="C356" s="1010"/>
      <c r="D356" s="395"/>
      <c r="E356" s="396" t="str">
        <f t="shared" ref="E356:AQ356" si="154">IFERROR(E379,"")</f>
        <v/>
      </c>
      <c r="F356" s="396" t="str">
        <f t="shared" si="154"/>
        <v/>
      </c>
      <c r="G356" s="396" t="str">
        <f t="shared" si="154"/>
        <v/>
      </c>
      <c r="H356" s="396" t="str">
        <f t="shared" si="154"/>
        <v/>
      </c>
      <c r="I356" s="396" t="str">
        <f t="shared" si="154"/>
        <v/>
      </c>
      <c r="J356" s="396" t="str">
        <f t="shared" si="154"/>
        <v/>
      </c>
      <c r="K356" s="396" t="str">
        <f t="shared" si="154"/>
        <v/>
      </c>
      <c r="L356" s="396" t="str">
        <f t="shared" si="154"/>
        <v/>
      </c>
      <c r="M356" s="396" t="str">
        <f t="shared" si="154"/>
        <v/>
      </c>
      <c r="N356" s="396" t="str">
        <f t="shared" si="154"/>
        <v/>
      </c>
      <c r="O356" s="396" t="str">
        <f t="shared" si="154"/>
        <v/>
      </c>
      <c r="P356" s="396" t="str">
        <f t="shared" si="154"/>
        <v/>
      </c>
      <c r="Q356" s="396" t="str">
        <f t="shared" si="154"/>
        <v/>
      </c>
      <c r="R356" s="396" t="str">
        <f t="shared" si="154"/>
        <v/>
      </c>
      <c r="S356" s="396" t="str">
        <f t="shared" si="154"/>
        <v/>
      </c>
      <c r="T356" s="396" t="str">
        <f t="shared" si="154"/>
        <v/>
      </c>
      <c r="U356" s="396" t="str">
        <f t="shared" si="154"/>
        <v/>
      </c>
      <c r="V356" s="396" t="str">
        <f t="shared" si="154"/>
        <v/>
      </c>
      <c r="W356" s="396" t="str">
        <f t="shared" si="154"/>
        <v/>
      </c>
      <c r="X356" s="396" t="str">
        <f t="shared" si="154"/>
        <v/>
      </c>
      <c r="Y356" s="396" t="str">
        <f t="shared" si="154"/>
        <v/>
      </c>
      <c r="Z356" s="396" t="str">
        <f t="shared" si="154"/>
        <v/>
      </c>
      <c r="AA356" s="396" t="str">
        <f t="shared" si="154"/>
        <v/>
      </c>
      <c r="AB356" s="396" t="str">
        <f t="shared" si="154"/>
        <v/>
      </c>
      <c r="AC356" s="396" t="str">
        <f t="shared" si="154"/>
        <v/>
      </c>
      <c r="AD356" s="396" t="str">
        <f t="shared" si="154"/>
        <v/>
      </c>
      <c r="AE356" s="396" t="str">
        <f t="shared" si="154"/>
        <v/>
      </c>
      <c r="AF356" s="396" t="str">
        <f t="shared" si="154"/>
        <v/>
      </c>
      <c r="AG356" s="396" t="str">
        <f t="shared" si="154"/>
        <v/>
      </c>
      <c r="AH356" s="396" t="str">
        <f t="shared" si="154"/>
        <v/>
      </c>
      <c r="AI356" s="396" t="str">
        <f t="shared" si="154"/>
        <v/>
      </c>
      <c r="AJ356" s="396" t="str">
        <f t="shared" si="154"/>
        <v/>
      </c>
      <c r="AK356" s="396" t="str">
        <f t="shared" si="154"/>
        <v/>
      </c>
      <c r="AL356" s="396" t="str">
        <f t="shared" si="154"/>
        <v/>
      </c>
      <c r="AM356" s="396" t="str">
        <f t="shared" si="154"/>
        <v/>
      </c>
      <c r="AN356" s="396" t="str">
        <f t="shared" si="154"/>
        <v/>
      </c>
      <c r="AO356" s="396" t="str">
        <f t="shared" si="154"/>
        <v/>
      </c>
      <c r="AP356" s="396" t="str">
        <f t="shared" si="154"/>
        <v/>
      </c>
      <c r="AQ356" s="398" t="str">
        <f t="shared" si="154"/>
        <v/>
      </c>
    </row>
    <row r="357" spans="1:44" s="317" customFormat="1" ht="14.25">
      <c r="A357" s="1009" t="s">
        <v>304</v>
      </c>
      <c r="B357" s="1010"/>
      <c r="C357" s="1010"/>
      <c r="D357" s="395"/>
      <c r="E357" s="396" t="str">
        <f t="shared" ref="E357:AQ357" si="155">IFERROR(E380,"")</f>
        <v/>
      </c>
      <c r="F357" s="396" t="str">
        <f t="shared" si="155"/>
        <v/>
      </c>
      <c r="G357" s="396" t="str">
        <f t="shared" si="155"/>
        <v/>
      </c>
      <c r="H357" s="396" t="str">
        <f t="shared" si="155"/>
        <v/>
      </c>
      <c r="I357" s="396" t="str">
        <f t="shared" si="155"/>
        <v/>
      </c>
      <c r="J357" s="396" t="str">
        <f t="shared" si="155"/>
        <v/>
      </c>
      <c r="K357" s="396" t="str">
        <f t="shared" si="155"/>
        <v/>
      </c>
      <c r="L357" s="396" t="str">
        <f t="shared" si="155"/>
        <v/>
      </c>
      <c r="M357" s="396" t="str">
        <f t="shared" si="155"/>
        <v/>
      </c>
      <c r="N357" s="396" t="str">
        <f t="shared" si="155"/>
        <v/>
      </c>
      <c r="O357" s="396" t="str">
        <f t="shared" si="155"/>
        <v/>
      </c>
      <c r="P357" s="396" t="str">
        <f t="shared" si="155"/>
        <v/>
      </c>
      <c r="Q357" s="396" t="str">
        <f t="shared" si="155"/>
        <v/>
      </c>
      <c r="R357" s="396" t="str">
        <f t="shared" si="155"/>
        <v/>
      </c>
      <c r="S357" s="396" t="str">
        <f t="shared" si="155"/>
        <v/>
      </c>
      <c r="T357" s="396" t="str">
        <f t="shared" si="155"/>
        <v/>
      </c>
      <c r="U357" s="396" t="str">
        <f t="shared" si="155"/>
        <v/>
      </c>
      <c r="V357" s="396" t="str">
        <f t="shared" si="155"/>
        <v/>
      </c>
      <c r="W357" s="396" t="str">
        <f t="shared" si="155"/>
        <v/>
      </c>
      <c r="X357" s="396" t="str">
        <f t="shared" si="155"/>
        <v/>
      </c>
      <c r="Y357" s="396" t="str">
        <f t="shared" si="155"/>
        <v/>
      </c>
      <c r="Z357" s="396" t="str">
        <f t="shared" si="155"/>
        <v/>
      </c>
      <c r="AA357" s="396" t="str">
        <f t="shared" si="155"/>
        <v/>
      </c>
      <c r="AB357" s="396" t="str">
        <f t="shared" si="155"/>
        <v/>
      </c>
      <c r="AC357" s="396" t="str">
        <f t="shared" si="155"/>
        <v/>
      </c>
      <c r="AD357" s="396" t="str">
        <f t="shared" si="155"/>
        <v/>
      </c>
      <c r="AE357" s="396" t="str">
        <f t="shared" si="155"/>
        <v/>
      </c>
      <c r="AF357" s="396" t="str">
        <f t="shared" si="155"/>
        <v/>
      </c>
      <c r="AG357" s="396" t="str">
        <f t="shared" si="155"/>
        <v/>
      </c>
      <c r="AH357" s="396" t="str">
        <f t="shared" si="155"/>
        <v/>
      </c>
      <c r="AI357" s="396" t="str">
        <f t="shared" si="155"/>
        <v/>
      </c>
      <c r="AJ357" s="396" t="str">
        <f t="shared" si="155"/>
        <v/>
      </c>
      <c r="AK357" s="396" t="str">
        <f t="shared" si="155"/>
        <v/>
      </c>
      <c r="AL357" s="396" t="str">
        <f t="shared" si="155"/>
        <v/>
      </c>
      <c r="AM357" s="396" t="str">
        <f t="shared" si="155"/>
        <v/>
      </c>
      <c r="AN357" s="396" t="str">
        <f t="shared" si="155"/>
        <v/>
      </c>
      <c r="AO357" s="396" t="str">
        <f t="shared" si="155"/>
        <v/>
      </c>
      <c r="AP357" s="396" t="str">
        <f t="shared" si="155"/>
        <v/>
      </c>
      <c r="AQ357" s="398" t="str">
        <f t="shared" si="155"/>
        <v/>
      </c>
    </row>
    <row r="358" spans="1:44" s="317" customFormat="1" ht="14.25">
      <c r="A358" s="1051" t="s">
        <v>305</v>
      </c>
      <c r="B358" s="1052"/>
      <c r="C358" s="1052"/>
      <c r="D358" s="399"/>
      <c r="E358" s="396" t="str">
        <f t="shared" ref="E358:AQ358" si="156">IFERROR(E381,"")</f>
        <v/>
      </c>
      <c r="F358" s="396" t="str">
        <f t="shared" si="156"/>
        <v/>
      </c>
      <c r="G358" s="396" t="str">
        <f t="shared" si="156"/>
        <v/>
      </c>
      <c r="H358" s="396" t="str">
        <f t="shared" si="156"/>
        <v/>
      </c>
      <c r="I358" s="396" t="str">
        <f t="shared" si="156"/>
        <v/>
      </c>
      <c r="J358" s="396" t="str">
        <f t="shared" si="156"/>
        <v/>
      </c>
      <c r="K358" s="396" t="str">
        <f t="shared" si="156"/>
        <v/>
      </c>
      <c r="L358" s="396" t="str">
        <f t="shared" si="156"/>
        <v/>
      </c>
      <c r="M358" s="396" t="str">
        <f t="shared" si="156"/>
        <v/>
      </c>
      <c r="N358" s="396" t="str">
        <f t="shared" si="156"/>
        <v/>
      </c>
      <c r="O358" s="396" t="str">
        <f t="shared" si="156"/>
        <v/>
      </c>
      <c r="P358" s="396" t="str">
        <f t="shared" si="156"/>
        <v/>
      </c>
      <c r="Q358" s="396" t="str">
        <f t="shared" si="156"/>
        <v/>
      </c>
      <c r="R358" s="396" t="str">
        <f t="shared" si="156"/>
        <v/>
      </c>
      <c r="S358" s="396" t="str">
        <f t="shared" si="156"/>
        <v/>
      </c>
      <c r="T358" s="396" t="str">
        <f t="shared" si="156"/>
        <v/>
      </c>
      <c r="U358" s="396" t="str">
        <f t="shared" si="156"/>
        <v/>
      </c>
      <c r="V358" s="396" t="str">
        <f t="shared" si="156"/>
        <v/>
      </c>
      <c r="W358" s="396" t="str">
        <f t="shared" si="156"/>
        <v/>
      </c>
      <c r="X358" s="396" t="str">
        <f t="shared" si="156"/>
        <v/>
      </c>
      <c r="Y358" s="396" t="str">
        <f t="shared" si="156"/>
        <v/>
      </c>
      <c r="Z358" s="396" t="str">
        <f t="shared" si="156"/>
        <v/>
      </c>
      <c r="AA358" s="396" t="str">
        <f t="shared" si="156"/>
        <v/>
      </c>
      <c r="AB358" s="396" t="str">
        <f t="shared" si="156"/>
        <v/>
      </c>
      <c r="AC358" s="396" t="str">
        <f t="shared" si="156"/>
        <v/>
      </c>
      <c r="AD358" s="396" t="str">
        <f t="shared" si="156"/>
        <v/>
      </c>
      <c r="AE358" s="396" t="str">
        <f t="shared" si="156"/>
        <v/>
      </c>
      <c r="AF358" s="396" t="str">
        <f t="shared" si="156"/>
        <v/>
      </c>
      <c r="AG358" s="396" t="str">
        <f t="shared" si="156"/>
        <v/>
      </c>
      <c r="AH358" s="396" t="str">
        <f t="shared" si="156"/>
        <v/>
      </c>
      <c r="AI358" s="396" t="str">
        <f t="shared" si="156"/>
        <v/>
      </c>
      <c r="AJ358" s="396" t="str">
        <f t="shared" si="156"/>
        <v/>
      </c>
      <c r="AK358" s="396" t="str">
        <f t="shared" si="156"/>
        <v/>
      </c>
      <c r="AL358" s="396" t="str">
        <f t="shared" si="156"/>
        <v/>
      </c>
      <c r="AM358" s="396" t="str">
        <f t="shared" si="156"/>
        <v/>
      </c>
      <c r="AN358" s="396" t="str">
        <f t="shared" si="156"/>
        <v/>
      </c>
      <c r="AO358" s="396" t="str">
        <f t="shared" si="156"/>
        <v/>
      </c>
      <c r="AP358" s="396" t="str">
        <f t="shared" si="156"/>
        <v/>
      </c>
      <c r="AQ358" s="398" t="str">
        <f t="shared" si="156"/>
        <v/>
      </c>
      <c r="AR358" s="372"/>
    </row>
    <row r="359" spans="1:44" s="317" customFormat="1" ht="14.25" hidden="1">
      <c r="A359" s="1009" t="s">
        <v>352</v>
      </c>
      <c r="B359" s="1010"/>
      <c r="C359" s="1010"/>
      <c r="D359" s="400"/>
      <c r="E359" s="401">
        <f t="shared" ref="E359:AQ359" si="157">IF(E351="",0,E351)</f>
        <v>0</v>
      </c>
      <c r="F359" s="401">
        <f t="shared" si="157"/>
        <v>0</v>
      </c>
      <c r="G359" s="401">
        <f t="shared" si="157"/>
        <v>0</v>
      </c>
      <c r="H359" s="401">
        <f t="shared" si="157"/>
        <v>0</v>
      </c>
      <c r="I359" s="401">
        <f t="shared" si="157"/>
        <v>0</v>
      </c>
      <c r="J359" s="401">
        <f t="shared" si="157"/>
        <v>0</v>
      </c>
      <c r="K359" s="401">
        <f t="shared" si="157"/>
        <v>0</v>
      </c>
      <c r="L359" s="401">
        <f t="shared" si="157"/>
        <v>0</v>
      </c>
      <c r="M359" s="401">
        <f t="shared" si="157"/>
        <v>0</v>
      </c>
      <c r="N359" s="401">
        <f t="shared" si="157"/>
        <v>0</v>
      </c>
      <c r="O359" s="401">
        <f t="shared" si="157"/>
        <v>0</v>
      </c>
      <c r="P359" s="401">
        <f t="shared" si="157"/>
        <v>0</v>
      </c>
      <c r="Q359" s="401">
        <f t="shared" si="157"/>
        <v>0</v>
      </c>
      <c r="R359" s="401">
        <f t="shared" si="157"/>
        <v>0</v>
      </c>
      <c r="S359" s="401">
        <f t="shared" si="157"/>
        <v>0</v>
      </c>
      <c r="T359" s="401">
        <f t="shared" si="157"/>
        <v>0</v>
      </c>
      <c r="U359" s="401">
        <f t="shared" si="157"/>
        <v>0</v>
      </c>
      <c r="V359" s="401">
        <f t="shared" si="157"/>
        <v>0</v>
      </c>
      <c r="W359" s="401">
        <f t="shared" si="157"/>
        <v>0</v>
      </c>
      <c r="X359" s="401">
        <f t="shared" si="157"/>
        <v>0</v>
      </c>
      <c r="Y359" s="401">
        <f t="shared" si="157"/>
        <v>0</v>
      </c>
      <c r="Z359" s="401">
        <f t="shared" si="157"/>
        <v>0</v>
      </c>
      <c r="AA359" s="401">
        <f t="shared" si="157"/>
        <v>0</v>
      </c>
      <c r="AB359" s="401">
        <f t="shared" si="157"/>
        <v>0</v>
      </c>
      <c r="AC359" s="401">
        <f t="shared" si="157"/>
        <v>0</v>
      </c>
      <c r="AD359" s="401">
        <f t="shared" si="157"/>
        <v>0</v>
      </c>
      <c r="AE359" s="401">
        <f t="shared" si="157"/>
        <v>0</v>
      </c>
      <c r="AF359" s="401">
        <f t="shared" si="157"/>
        <v>0</v>
      </c>
      <c r="AG359" s="401">
        <f t="shared" si="157"/>
        <v>0</v>
      </c>
      <c r="AH359" s="401">
        <f t="shared" si="157"/>
        <v>0</v>
      </c>
      <c r="AI359" s="401">
        <f t="shared" si="157"/>
        <v>0</v>
      </c>
      <c r="AJ359" s="401">
        <f t="shared" si="157"/>
        <v>0</v>
      </c>
      <c r="AK359" s="401">
        <f t="shared" si="157"/>
        <v>0</v>
      </c>
      <c r="AL359" s="401">
        <f t="shared" si="157"/>
        <v>0</v>
      </c>
      <c r="AM359" s="401">
        <f t="shared" si="157"/>
        <v>0</v>
      </c>
      <c r="AN359" s="401">
        <f t="shared" si="157"/>
        <v>0</v>
      </c>
      <c r="AO359" s="401">
        <f t="shared" si="157"/>
        <v>0</v>
      </c>
      <c r="AP359" s="401">
        <f t="shared" si="157"/>
        <v>0</v>
      </c>
      <c r="AQ359" s="402">
        <f t="shared" si="157"/>
        <v>0</v>
      </c>
      <c r="AR359" s="86"/>
    </row>
    <row r="360" spans="1:44" s="317" customFormat="1" ht="14.25" hidden="1">
      <c r="A360" s="1045" t="s">
        <v>343</v>
      </c>
      <c r="B360" s="728"/>
      <c r="C360" s="729"/>
      <c r="D360" s="403">
        <f>SUM(D348:G348)</f>
        <v>0</v>
      </c>
      <c r="E360" s="404">
        <f t="shared" ref="E360:AQ360" si="158">D360+D359</f>
        <v>0</v>
      </c>
      <c r="F360" s="404">
        <f t="shared" si="158"/>
        <v>0</v>
      </c>
      <c r="G360" s="404">
        <f t="shared" si="158"/>
        <v>0</v>
      </c>
      <c r="H360" s="404">
        <f t="shared" si="158"/>
        <v>0</v>
      </c>
      <c r="I360" s="404">
        <f t="shared" si="158"/>
        <v>0</v>
      </c>
      <c r="J360" s="404">
        <f t="shared" si="158"/>
        <v>0</v>
      </c>
      <c r="K360" s="404">
        <f t="shared" si="158"/>
        <v>0</v>
      </c>
      <c r="L360" s="404">
        <f t="shared" si="158"/>
        <v>0</v>
      </c>
      <c r="M360" s="404">
        <f t="shared" si="158"/>
        <v>0</v>
      </c>
      <c r="N360" s="404">
        <f t="shared" si="158"/>
        <v>0</v>
      </c>
      <c r="O360" s="404">
        <f t="shared" si="158"/>
        <v>0</v>
      </c>
      <c r="P360" s="404">
        <f t="shared" si="158"/>
        <v>0</v>
      </c>
      <c r="Q360" s="404">
        <f t="shared" si="158"/>
        <v>0</v>
      </c>
      <c r="R360" s="404">
        <f t="shared" si="158"/>
        <v>0</v>
      </c>
      <c r="S360" s="404">
        <f t="shared" si="158"/>
        <v>0</v>
      </c>
      <c r="T360" s="404">
        <f t="shared" si="158"/>
        <v>0</v>
      </c>
      <c r="U360" s="404">
        <f t="shared" si="158"/>
        <v>0</v>
      </c>
      <c r="V360" s="404">
        <f t="shared" si="158"/>
        <v>0</v>
      </c>
      <c r="W360" s="404">
        <f t="shared" si="158"/>
        <v>0</v>
      </c>
      <c r="X360" s="404">
        <f t="shared" si="158"/>
        <v>0</v>
      </c>
      <c r="Y360" s="404">
        <f t="shared" si="158"/>
        <v>0</v>
      </c>
      <c r="Z360" s="404">
        <f t="shared" si="158"/>
        <v>0</v>
      </c>
      <c r="AA360" s="404">
        <f t="shared" si="158"/>
        <v>0</v>
      </c>
      <c r="AB360" s="404">
        <f t="shared" si="158"/>
        <v>0</v>
      </c>
      <c r="AC360" s="404">
        <f t="shared" si="158"/>
        <v>0</v>
      </c>
      <c r="AD360" s="404">
        <f t="shared" si="158"/>
        <v>0</v>
      </c>
      <c r="AE360" s="404">
        <f t="shared" si="158"/>
        <v>0</v>
      </c>
      <c r="AF360" s="404">
        <f t="shared" si="158"/>
        <v>0</v>
      </c>
      <c r="AG360" s="404">
        <f t="shared" si="158"/>
        <v>0</v>
      </c>
      <c r="AH360" s="404">
        <f t="shared" si="158"/>
        <v>0</v>
      </c>
      <c r="AI360" s="404">
        <f t="shared" si="158"/>
        <v>0</v>
      </c>
      <c r="AJ360" s="404">
        <f t="shared" si="158"/>
        <v>0</v>
      </c>
      <c r="AK360" s="404">
        <f t="shared" si="158"/>
        <v>0</v>
      </c>
      <c r="AL360" s="404">
        <f t="shared" si="158"/>
        <v>0</v>
      </c>
      <c r="AM360" s="404">
        <f t="shared" si="158"/>
        <v>0</v>
      </c>
      <c r="AN360" s="404">
        <f t="shared" si="158"/>
        <v>0</v>
      </c>
      <c r="AO360" s="404">
        <f t="shared" si="158"/>
        <v>0</v>
      </c>
      <c r="AP360" s="404">
        <f t="shared" si="158"/>
        <v>0</v>
      </c>
      <c r="AQ360" s="405">
        <f t="shared" si="158"/>
        <v>0</v>
      </c>
      <c r="AR360"/>
    </row>
    <row r="361" spans="1:44" s="317" customFormat="1" ht="14.25" hidden="1">
      <c r="A361" s="1045" t="s">
        <v>344</v>
      </c>
      <c r="B361" s="728"/>
      <c r="C361" s="729"/>
      <c r="D361" s="406" t="e">
        <f t="shared" ref="D361:AQ361" si="159">(D360)/SUM($D345:$G345)*100</f>
        <v>#DIV/0!</v>
      </c>
      <c r="E361" s="406" t="e">
        <f t="shared" si="159"/>
        <v>#DIV/0!</v>
      </c>
      <c r="F361" s="406" t="e">
        <f t="shared" si="159"/>
        <v>#DIV/0!</v>
      </c>
      <c r="G361" s="406" t="e">
        <f t="shared" si="159"/>
        <v>#DIV/0!</v>
      </c>
      <c r="H361" s="406" t="e">
        <f t="shared" si="159"/>
        <v>#DIV/0!</v>
      </c>
      <c r="I361" s="406" t="e">
        <f t="shared" si="159"/>
        <v>#DIV/0!</v>
      </c>
      <c r="J361" s="406" t="e">
        <f t="shared" si="159"/>
        <v>#DIV/0!</v>
      </c>
      <c r="K361" s="406" t="e">
        <f t="shared" si="159"/>
        <v>#DIV/0!</v>
      </c>
      <c r="L361" s="406" t="e">
        <f t="shared" si="159"/>
        <v>#DIV/0!</v>
      </c>
      <c r="M361" s="406" t="e">
        <f t="shared" si="159"/>
        <v>#DIV/0!</v>
      </c>
      <c r="N361" s="406" t="e">
        <f t="shared" si="159"/>
        <v>#DIV/0!</v>
      </c>
      <c r="O361" s="406" t="e">
        <f t="shared" si="159"/>
        <v>#DIV/0!</v>
      </c>
      <c r="P361" s="406" t="e">
        <f t="shared" si="159"/>
        <v>#DIV/0!</v>
      </c>
      <c r="Q361" s="406" t="e">
        <f t="shared" si="159"/>
        <v>#DIV/0!</v>
      </c>
      <c r="R361" s="406" t="e">
        <f t="shared" si="159"/>
        <v>#DIV/0!</v>
      </c>
      <c r="S361" s="406" t="e">
        <f t="shared" si="159"/>
        <v>#DIV/0!</v>
      </c>
      <c r="T361" s="406" t="e">
        <f t="shared" si="159"/>
        <v>#DIV/0!</v>
      </c>
      <c r="U361" s="406" t="e">
        <f t="shared" si="159"/>
        <v>#DIV/0!</v>
      </c>
      <c r="V361" s="406" t="e">
        <f t="shared" si="159"/>
        <v>#DIV/0!</v>
      </c>
      <c r="W361" s="406" t="e">
        <f t="shared" si="159"/>
        <v>#DIV/0!</v>
      </c>
      <c r="X361" s="406" t="e">
        <f t="shared" si="159"/>
        <v>#DIV/0!</v>
      </c>
      <c r="Y361" s="406" t="e">
        <f t="shared" si="159"/>
        <v>#DIV/0!</v>
      </c>
      <c r="Z361" s="406" t="e">
        <f t="shared" si="159"/>
        <v>#DIV/0!</v>
      </c>
      <c r="AA361" s="406" t="e">
        <f t="shared" si="159"/>
        <v>#DIV/0!</v>
      </c>
      <c r="AB361" s="406" t="e">
        <f t="shared" si="159"/>
        <v>#DIV/0!</v>
      </c>
      <c r="AC361" s="406" t="e">
        <f t="shared" si="159"/>
        <v>#DIV/0!</v>
      </c>
      <c r="AD361" s="406" t="e">
        <f t="shared" si="159"/>
        <v>#DIV/0!</v>
      </c>
      <c r="AE361" s="406" t="e">
        <f t="shared" si="159"/>
        <v>#DIV/0!</v>
      </c>
      <c r="AF361" s="406" t="e">
        <f t="shared" si="159"/>
        <v>#DIV/0!</v>
      </c>
      <c r="AG361" s="406" t="e">
        <f t="shared" si="159"/>
        <v>#DIV/0!</v>
      </c>
      <c r="AH361" s="406" t="e">
        <f t="shared" si="159"/>
        <v>#DIV/0!</v>
      </c>
      <c r="AI361" s="406" t="e">
        <f t="shared" si="159"/>
        <v>#DIV/0!</v>
      </c>
      <c r="AJ361" s="406" t="e">
        <f t="shared" si="159"/>
        <v>#DIV/0!</v>
      </c>
      <c r="AK361" s="406" t="e">
        <f t="shared" si="159"/>
        <v>#DIV/0!</v>
      </c>
      <c r="AL361" s="406" t="e">
        <f t="shared" si="159"/>
        <v>#DIV/0!</v>
      </c>
      <c r="AM361" s="406" t="e">
        <f t="shared" si="159"/>
        <v>#DIV/0!</v>
      </c>
      <c r="AN361" s="406" t="e">
        <f t="shared" si="159"/>
        <v>#DIV/0!</v>
      </c>
      <c r="AO361" s="406" t="e">
        <f t="shared" si="159"/>
        <v>#DIV/0!</v>
      </c>
      <c r="AP361" s="406" t="e">
        <f t="shared" si="159"/>
        <v>#DIV/0!</v>
      </c>
      <c r="AQ361" s="407" t="e">
        <f t="shared" si="159"/>
        <v>#DIV/0!</v>
      </c>
      <c r="AR361"/>
    </row>
    <row r="362" spans="1:44" s="317" customFormat="1" ht="15" thickBot="1">
      <c r="A362" s="1055" t="s">
        <v>344</v>
      </c>
      <c r="B362" s="771"/>
      <c r="C362" s="772"/>
      <c r="D362" s="408" t="str">
        <f t="shared" ref="D362:AQ362" si="160">IFERROR(D361,"")</f>
        <v/>
      </c>
      <c r="E362" s="409" t="str">
        <f t="shared" si="160"/>
        <v/>
      </c>
      <c r="F362" s="409" t="str">
        <f t="shared" si="160"/>
        <v/>
      </c>
      <c r="G362" s="409" t="str">
        <f t="shared" si="160"/>
        <v/>
      </c>
      <c r="H362" s="409" t="str">
        <f t="shared" si="160"/>
        <v/>
      </c>
      <c r="I362" s="409" t="str">
        <f t="shared" si="160"/>
        <v/>
      </c>
      <c r="J362" s="409" t="str">
        <f t="shared" si="160"/>
        <v/>
      </c>
      <c r="K362" s="409" t="str">
        <f t="shared" si="160"/>
        <v/>
      </c>
      <c r="L362" s="409" t="str">
        <f t="shared" si="160"/>
        <v/>
      </c>
      <c r="M362" s="409" t="str">
        <f t="shared" si="160"/>
        <v/>
      </c>
      <c r="N362" s="409" t="str">
        <f t="shared" si="160"/>
        <v/>
      </c>
      <c r="O362" s="409" t="str">
        <f t="shared" si="160"/>
        <v/>
      </c>
      <c r="P362" s="409" t="str">
        <f t="shared" si="160"/>
        <v/>
      </c>
      <c r="Q362" s="409" t="str">
        <f t="shared" si="160"/>
        <v/>
      </c>
      <c r="R362" s="409" t="str">
        <f t="shared" si="160"/>
        <v/>
      </c>
      <c r="S362" s="409" t="str">
        <f t="shared" si="160"/>
        <v/>
      </c>
      <c r="T362" s="409" t="str">
        <f t="shared" si="160"/>
        <v/>
      </c>
      <c r="U362" s="409" t="str">
        <f t="shared" si="160"/>
        <v/>
      </c>
      <c r="V362" s="409" t="str">
        <f t="shared" si="160"/>
        <v/>
      </c>
      <c r="W362" s="409" t="str">
        <f t="shared" si="160"/>
        <v/>
      </c>
      <c r="X362" s="409" t="str">
        <f t="shared" si="160"/>
        <v/>
      </c>
      <c r="Y362" s="409" t="str">
        <f t="shared" si="160"/>
        <v/>
      </c>
      <c r="Z362" s="409" t="str">
        <f t="shared" si="160"/>
        <v/>
      </c>
      <c r="AA362" s="409" t="str">
        <f t="shared" si="160"/>
        <v/>
      </c>
      <c r="AB362" s="409" t="str">
        <f t="shared" si="160"/>
        <v/>
      </c>
      <c r="AC362" s="409" t="str">
        <f t="shared" si="160"/>
        <v/>
      </c>
      <c r="AD362" s="409" t="str">
        <f t="shared" si="160"/>
        <v/>
      </c>
      <c r="AE362" s="409" t="str">
        <f t="shared" si="160"/>
        <v/>
      </c>
      <c r="AF362" s="409" t="str">
        <f t="shared" si="160"/>
        <v/>
      </c>
      <c r="AG362" s="409" t="str">
        <f t="shared" si="160"/>
        <v/>
      </c>
      <c r="AH362" s="409" t="str">
        <f t="shared" si="160"/>
        <v/>
      </c>
      <c r="AI362" s="409" t="str">
        <f t="shared" si="160"/>
        <v/>
      </c>
      <c r="AJ362" s="409" t="str">
        <f t="shared" si="160"/>
        <v/>
      </c>
      <c r="AK362" s="409" t="str">
        <f t="shared" si="160"/>
        <v/>
      </c>
      <c r="AL362" s="409" t="str">
        <f t="shared" si="160"/>
        <v/>
      </c>
      <c r="AM362" s="409" t="str">
        <f t="shared" si="160"/>
        <v/>
      </c>
      <c r="AN362" s="409" t="str">
        <f t="shared" si="160"/>
        <v/>
      </c>
      <c r="AO362" s="409" t="str">
        <f t="shared" si="160"/>
        <v/>
      </c>
      <c r="AP362" s="409" t="str">
        <f t="shared" si="160"/>
        <v/>
      </c>
      <c r="AQ362" s="410" t="str">
        <f t="shared" si="160"/>
        <v/>
      </c>
      <c r="AR362" s="86"/>
    </row>
    <row r="364" spans="1:44" s="317" customFormat="1" ht="14.25" hidden="1">
      <c r="A364" s="346"/>
      <c r="B364" s="346" t="s">
        <v>175</v>
      </c>
      <c r="C364" s="346" t="s">
        <v>176</v>
      </c>
      <c r="D364" s="347" t="s">
        <v>177</v>
      </c>
      <c r="E364" s="346" t="s">
        <v>178</v>
      </c>
      <c r="F364" s="346" t="s">
        <v>179</v>
      </c>
      <c r="G364" s="346" t="s">
        <v>180</v>
      </c>
      <c r="H364" s="346" t="s">
        <v>181</v>
      </c>
      <c r="I364" s="346" t="s">
        <v>182</v>
      </c>
      <c r="J364" s="346" t="s">
        <v>183</v>
      </c>
      <c r="K364" s="346" t="s">
        <v>184</v>
      </c>
      <c r="L364" s="346" t="s">
        <v>306</v>
      </c>
      <c r="M364" s="346" t="s">
        <v>307</v>
      </c>
      <c r="N364" s="346" t="s">
        <v>308</v>
      </c>
      <c r="O364" s="346" t="s">
        <v>309</v>
      </c>
      <c r="P364" s="346" t="s">
        <v>310</v>
      </c>
      <c r="Q364" s="346" t="s">
        <v>311</v>
      </c>
      <c r="R364" s="346" t="s">
        <v>312</v>
      </c>
      <c r="S364" s="346" t="s">
        <v>313</v>
      </c>
      <c r="T364" s="346" t="s">
        <v>314</v>
      </c>
      <c r="U364" s="346" t="s">
        <v>315</v>
      </c>
    </row>
    <row r="365" spans="1:44" s="317" customFormat="1" ht="14.25" hidden="1">
      <c r="A365" s="348" t="s">
        <v>185</v>
      </c>
      <c r="B365" s="348" t="str">
        <f t="array" aca="1" ref="B365" ca="1">IFERROR(OFFSET(INDEX(351:351,SMALL(IF(351:351&lt;&gt;"",COLUMN(351:351)),COLUMN())),-1,0),"")</f>
        <v/>
      </c>
      <c r="C365" s="348" t="str">
        <f t="array" aca="1" ref="C365" ca="1">IFERROR(OFFSET(INDEX(351:351,SMALL(IF(351:351&lt;&gt;"",COLUMN(351:351)),COLUMN())),-1,0),"")</f>
        <v/>
      </c>
      <c r="D365" s="348" t="str">
        <f t="array" aca="1" ref="D365" ca="1">IFERROR(OFFSET(INDEX(351:351,SMALL(IF(351:351&lt;&gt;"",COLUMN(351:351)),COLUMN())),-1,0),"")</f>
        <v/>
      </c>
      <c r="E365" s="348" t="str">
        <f t="array" aca="1" ref="E365" ca="1">IFERROR(OFFSET(INDEX(351:351,SMALL(IF(351:351&lt;&gt;"",COLUMN(351:351)),COLUMN())),-1,0),"")</f>
        <v/>
      </c>
      <c r="F365" s="348" t="str">
        <f t="array" aca="1" ref="F365" ca="1">IFERROR(OFFSET(INDEX(351:351,SMALL(IF(351:351&lt;&gt;"",COLUMN(351:351)),COLUMN())),-1,0),"")</f>
        <v/>
      </c>
      <c r="G365" s="348" t="str">
        <f t="array" aca="1" ref="G365" ca="1">IFERROR(OFFSET(INDEX(351:351,SMALL(IF(351:351&lt;&gt;"",COLUMN(351:351)),COLUMN())),-1,0),"")</f>
        <v/>
      </c>
      <c r="H365" s="348" t="str">
        <f t="array" aca="1" ref="H365" ca="1">IFERROR(OFFSET(INDEX(351:351,SMALL(IF(351:351&lt;&gt;"",COLUMN(351:351)),COLUMN())),-1,0),"")</f>
        <v/>
      </c>
      <c r="I365" s="348" t="str">
        <f t="array" aca="1" ref="I365" ca="1">IFERROR(OFFSET(INDEX(351:351,SMALL(IF(351:351&lt;&gt;"",COLUMN(351:351)),COLUMN())),-1,0),"")</f>
        <v/>
      </c>
      <c r="J365" s="348" t="str">
        <f t="array" aca="1" ref="J365" ca="1">IFERROR(OFFSET(INDEX(351:351,SMALL(IF(351:351&lt;&gt;"",COLUMN(351:351)),COLUMN())),-1,0),"")</f>
        <v/>
      </c>
      <c r="K365" s="348" t="str">
        <f t="array" aca="1" ref="K365" ca="1">IFERROR(OFFSET(INDEX(351:351,SMALL(IF(351:351&lt;&gt;"",COLUMN(351:351)),COLUMN())),-1,0),"")</f>
        <v/>
      </c>
      <c r="L365" s="348" t="str">
        <f t="array" aca="1" ref="L365" ca="1">IFERROR(OFFSET(INDEX(351:351,SMALL(IF(351:351&lt;&gt;"",COLUMN(351:351)),COLUMN())),-1,0),"")</f>
        <v/>
      </c>
      <c r="M365" s="348" t="str">
        <f t="array" aca="1" ref="M365" ca="1">IFERROR(OFFSET(INDEX(351:351,SMALL(IF(351:351&lt;&gt;"",COLUMN(351:351)),COLUMN())),-1,0),"")</f>
        <v/>
      </c>
      <c r="N365" s="348" t="str">
        <f t="array" aca="1" ref="N365" ca="1">IFERROR(OFFSET(INDEX(351:351,SMALL(IF(351:351&lt;&gt;"",COLUMN(351:351)),COLUMN())),-1,0),"")</f>
        <v/>
      </c>
      <c r="O365" s="348" t="str">
        <f t="array" aca="1" ref="O365" ca="1">IFERROR(OFFSET(INDEX(351:351,SMALL(IF(351:351&lt;&gt;"",COLUMN(351:351)),COLUMN())),-1,0),"")</f>
        <v/>
      </c>
      <c r="P365" s="348" t="str">
        <f t="array" aca="1" ref="P365" ca="1">IFERROR(OFFSET(INDEX(351:351,SMALL(IF(351:351&lt;&gt;"",COLUMN(351:351)),COLUMN())),-1,0),"")</f>
        <v/>
      </c>
      <c r="Q365" s="348" t="str">
        <f t="array" aca="1" ref="Q365" ca="1">IFERROR(OFFSET(INDEX(351:351,SMALL(IF(351:351&lt;&gt;"",COLUMN(351:351)),COLUMN())),-1,0),"")</f>
        <v/>
      </c>
      <c r="R365" s="348" t="str">
        <f t="array" aca="1" ref="R365" ca="1">IFERROR(OFFSET(INDEX(351:351,SMALL(IF(351:351&lt;&gt;"",COLUMN(351:351)),COLUMN())),-1,0),"")</f>
        <v/>
      </c>
      <c r="S365" s="348" t="str">
        <f t="array" aca="1" ref="S365" ca="1">IFERROR(OFFSET(INDEX(351:351,SMALL(IF(351:351&lt;&gt;"",COLUMN(351:351)),COLUMN())),-1,0),"")</f>
        <v/>
      </c>
      <c r="T365" s="348" t="str">
        <f t="array" aca="1" ref="T365" ca="1">IFERROR(OFFSET(INDEX(351:351,SMALL(IF(351:351&lt;&gt;"",COLUMN(351:351)),COLUMN())),-1,0),"")</f>
        <v/>
      </c>
      <c r="U365" s="348" t="str">
        <f t="array" aca="1" ref="U365" ca="1">IFERROR(OFFSET(INDEX(351:351,SMALL(IF(351:351&lt;&gt;"",COLUMN(351:351)),COLUMN())),-1,0),"")</f>
        <v/>
      </c>
    </row>
    <row r="366" spans="1:44" s="317" customFormat="1" ht="14.25" hidden="1">
      <c r="A366" s="348" t="str">
        <f t="array" ref="A366">IFERROR(INDEX(351:351,SMALL(IF(351:351&lt;&gt;"",COLUMN(351:351)),COLUMN())),"")</f>
        <v>追水量（L)</v>
      </c>
      <c r="B366" s="348" t="str">
        <f t="array" ref="B366">IFERROR(INDEX(351:351,SMALL(IF(351:351&lt;&gt;"",COLUMN(351:351)),COLUMN())),"")</f>
        <v/>
      </c>
      <c r="C366" s="348" t="str">
        <f t="array" ref="C366">IFERROR(INDEX(351:351,SMALL(IF(351:351&lt;&gt;"",COLUMN(351:351)),COLUMN())),"")</f>
        <v/>
      </c>
      <c r="D366" s="348" t="str">
        <f t="array" ref="D366">IFERROR(INDEX(351:351,SMALL(IF(351:351&lt;&gt;"",COLUMN(351:351)),COLUMN())),"")</f>
        <v/>
      </c>
      <c r="E366" s="348" t="str">
        <f t="array" ref="E366">IFERROR(INDEX(351:351,SMALL(IF(351:351&lt;&gt;"",COLUMN(351:351)),COLUMN())),"")</f>
        <v/>
      </c>
      <c r="F366" s="348" t="str">
        <f t="array" ref="F366">IFERROR(INDEX(351:351,SMALL(IF(351:351&lt;&gt;"",COLUMN(351:351)),COLUMN())),"")</f>
        <v/>
      </c>
      <c r="G366" s="348" t="str">
        <f t="array" ref="G366">IFERROR(INDEX(351:351,SMALL(IF(351:351&lt;&gt;"",COLUMN(351:351)),COLUMN())),"")</f>
        <v/>
      </c>
      <c r="H366" s="348" t="str">
        <f t="array" ref="H366">IFERROR(INDEX(351:351,SMALL(IF(351:351&lt;&gt;"",COLUMN(351:351)),COLUMN())),"")</f>
        <v/>
      </c>
      <c r="I366" s="348" t="str">
        <f t="array" ref="I366">IFERROR(INDEX(351:351,SMALL(IF(351:351&lt;&gt;"",COLUMN(351:351)),COLUMN())),"")</f>
        <v/>
      </c>
      <c r="J366" s="348" t="str">
        <f t="array" ref="J366">IFERROR(INDEX(351:351,SMALL(IF(351:351&lt;&gt;"",COLUMN(351:351)),COLUMN())),"")</f>
        <v/>
      </c>
      <c r="K366" s="348" t="str">
        <f t="array" ref="K366">IFERROR(INDEX(351:351,SMALL(IF(351:351&lt;&gt;"",COLUMN(351:351)),COLUMN())),"")</f>
        <v/>
      </c>
      <c r="L366" s="348" t="str">
        <f t="array" ref="L366">IFERROR(INDEX(351:351,SMALL(IF(351:351&lt;&gt;"",COLUMN(351:351)),COLUMN())),"")</f>
        <v/>
      </c>
      <c r="M366" s="348" t="str">
        <f t="array" ref="M366">IFERROR(INDEX(351:351,SMALL(IF(351:351&lt;&gt;"",COLUMN(351:351)),COLUMN())),"")</f>
        <v/>
      </c>
      <c r="N366" s="348" t="str">
        <f t="array" ref="N366">IFERROR(INDEX(351:351,SMALL(IF(351:351&lt;&gt;"",COLUMN(351:351)),COLUMN())),"")</f>
        <v/>
      </c>
      <c r="O366" s="348" t="str">
        <f t="array" ref="O366">IFERROR(INDEX(351:351,SMALL(IF(351:351&lt;&gt;"",COLUMN(351:351)),COLUMN())),"")</f>
        <v/>
      </c>
      <c r="P366" s="348" t="str">
        <f t="array" ref="P366">IFERROR(INDEX(351:351,SMALL(IF(351:351&lt;&gt;"",COLUMN(351:351)),COLUMN())),"")</f>
        <v/>
      </c>
      <c r="Q366" s="348" t="str">
        <f t="array" ref="Q366">IFERROR(INDEX(351:351,SMALL(IF(351:351&lt;&gt;"",COLUMN(351:351)),COLUMN())),"")</f>
        <v/>
      </c>
      <c r="R366" s="348" t="str">
        <f t="array" ref="R366">IFERROR(INDEX(351:351,SMALL(IF(351:351&lt;&gt;"",COLUMN(351:351)),COLUMN())),"")</f>
        <v/>
      </c>
      <c r="S366" s="348" t="str">
        <f t="array" ref="S366">IFERROR(INDEX(351:351,SMALL(IF(351:351&lt;&gt;"",COLUMN(351:351)),COLUMN())),"")</f>
        <v/>
      </c>
      <c r="T366" s="348" t="str">
        <f t="array" ref="T366">IFERROR(INDEX(351:351,SMALL(IF(351:351&lt;&gt;"",COLUMN(351:351)),COLUMN())),"")</f>
        <v/>
      </c>
      <c r="U366" s="348" t="str">
        <f t="array" ref="U366">IFERROR(INDEX(351:351,SMALL(IF(351:351&lt;&gt;"",COLUMN(351:351)),COLUMN())),"")</f>
        <v/>
      </c>
    </row>
    <row r="367" spans="1:44" s="317" customFormat="1" ht="14.25" hidden="1">
      <c r="A367" s="1053" t="s">
        <v>186</v>
      </c>
      <c r="B367" s="1053"/>
      <c r="C367" s="1053"/>
      <c r="D367" s="349" t="s">
        <v>187</v>
      </c>
      <c r="E367" s="349" t="s">
        <v>188</v>
      </c>
      <c r="F367" s="349" t="s">
        <v>189</v>
      </c>
      <c r="G367" s="349" t="s">
        <v>190</v>
      </c>
      <c r="H367" s="349" t="s">
        <v>191</v>
      </c>
      <c r="I367" s="349" t="s">
        <v>192</v>
      </c>
      <c r="J367" s="349" t="s">
        <v>193</v>
      </c>
      <c r="K367" s="349" t="s">
        <v>194</v>
      </c>
      <c r="L367" s="347" t="s">
        <v>195</v>
      </c>
      <c r="M367" s="347" t="s">
        <v>196</v>
      </c>
      <c r="N367" s="347" t="s">
        <v>197</v>
      </c>
      <c r="O367" s="347" t="s">
        <v>316</v>
      </c>
      <c r="P367" s="347" t="s">
        <v>317</v>
      </c>
      <c r="Q367" s="347" t="s">
        <v>318</v>
      </c>
      <c r="R367" s="347" t="s">
        <v>319</v>
      </c>
      <c r="S367" s="347" t="s">
        <v>320</v>
      </c>
      <c r="T367" s="347" t="s">
        <v>321</v>
      </c>
      <c r="U367" s="347" t="s">
        <v>322</v>
      </c>
      <c r="V367" s="347" t="s">
        <v>323</v>
      </c>
      <c r="W367" s="347" t="s">
        <v>324</v>
      </c>
      <c r="X367" s="347" t="s">
        <v>325</v>
      </c>
    </row>
    <row r="368" spans="1:44" s="317" customFormat="1" ht="14.25" hidden="1">
      <c r="A368" s="1054"/>
      <c r="B368" s="1054"/>
      <c r="C368" s="1054"/>
      <c r="D368" s="350" t="e">
        <f>SUM(D348:G348)/SUM(D345:G345)*100</f>
        <v>#DIV/0!</v>
      </c>
      <c r="E368" s="350" t="e">
        <f>(SUM(D348:G348)+SUM(B366:B366))/SUM(D345:G345)*100</f>
        <v>#DIV/0!</v>
      </c>
      <c r="F368" s="350" t="e">
        <f>(SUM(D348:G348)+SUM(B366:C366))/SUM(D345:G345)*100</f>
        <v>#DIV/0!</v>
      </c>
      <c r="G368" s="350" t="e">
        <f>(SUM(D348:G348)+SUM(B366:D366))/SUM(D345:G345)*100</f>
        <v>#DIV/0!</v>
      </c>
      <c r="H368" s="350" t="e">
        <f>(SUM(D348:G348)+SUM(B366:E366))/SUM(D345:G345)*100</f>
        <v>#DIV/0!</v>
      </c>
      <c r="I368" s="351" t="e">
        <f>(SUM(D348:G348)+SUM(B366:F366))/SUM(D345:G345)*100</f>
        <v>#DIV/0!</v>
      </c>
      <c r="J368" s="350" t="e">
        <f>(SUM(D348:G348)+SUM(B366:G366))/SUM(D345:G345)*100</f>
        <v>#DIV/0!</v>
      </c>
      <c r="K368" s="350" t="e">
        <f>(SUM(D348:G348)+SUM(B366:H366))/SUM(D345:G345)*100</f>
        <v>#DIV/0!</v>
      </c>
      <c r="L368" s="350" t="e">
        <f>(SUM(D348:G348)+SUM(B366:I366))/SUM(D345:G345)*100</f>
        <v>#DIV/0!</v>
      </c>
      <c r="M368" s="350" t="e">
        <f>(SUM(D348:G348)+SUM(B366:J366))/SUM(D345:G345)*100</f>
        <v>#DIV/0!</v>
      </c>
      <c r="N368" s="350" t="e">
        <f>(SUM(D348:G348)+SUM(B366:K366))/SUM(D345:G345)*100</f>
        <v>#DIV/0!</v>
      </c>
      <c r="O368" s="352" t="e">
        <f>(SUM(D348:G348)+SUM(B366:L366))/SUM(D345:G345)*100</f>
        <v>#DIV/0!</v>
      </c>
      <c r="P368" s="353" t="e">
        <f>(SUM(D348:G348)+SUM(B366:M366))/SUM(D345:G345)*100</f>
        <v>#DIV/0!</v>
      </c>
      <c r="Q368" s="353" t="e">
        <f>(SUM(D348:G348)+SUM(B366:N366))/SUM(D345:G345)*100</f>
        <v>#DIV/0!</v>
      </c>
      <c r="R368" s="353" t="e">
        <f>(SUM(D348:G348)+SUM(B366:O366))/SUM(D345:G345)*100</f>
        <v>#DIV/0!</v>
      </c>
      <c r="S368" s="353" t="e">
        <f>(SUM(D348:G348)+SUM(B366:P366))/SUM(D345:G345)*100</f>
        <v>#DIV/0!</v>
      </c>
      <c r="T368" s="353" t="e">
        <f>(SUM(D348:G348)+SUM(B366:Q366))/SUM(D345:G345)*100</f>
        <v>#DIV/0!</v>
      </c>
      <c r="U368" s="353" t="e">
        <f>(SUM(D348:G348)+SUM(B366:R366))/SUM(D345:G345)*100</f>
        <v>#DIV/0!</v>
      </c>
      <c r="V368" s="353" t="e">
        <f>(SUM(D348:G348)+SUM(B366:S366))/SUM(D345:G345)*100</f>
        <v>#DIV/0!</v>
      </c>
      <c r="W368" s="353" t="e">
        <f>(SUM(D348:G348)+SUM(B366:T366))/SUM(D345:G345)*100</f>
        <v>#DIV/0!</v>
      </c>
      <c r="X368" s="353" t="e">
        <f>(SUM(D348:G348)+SUM(B366:U366))/SUM(D345:G345)*100</f>
        <v>#DIV/0!</v>
      </c>
    </row>
    <row r="369" spans="1:44" s="317" customFormat="1" ht="14.25" hidden="1"/>
    <row r="370" spans="1:44" s="317" customFormat="1" ht="14.25" hidden="1">
      <c r="A370" s="1046" t="s">
        <v>129</v>
      </c>
      <c r="B370" s="1047"/>
      <c r="C370" s="1047"/>
      <c r="E370" s="354" t="e">
        <f t="shared" ref="E370:AQ370" si="161">IF(E352="",IF(E353="",NA(),E353/-10),E352)</f>
        <v>#N/A</v>
      </c>
      <c r="F370" s="354" t="e">
        <f t="shared" si="161"/>
        <v>#N/A</v>
      </c>
      <c r="G370" s="354" t="e">
        <f t="shared" si="161"/>
        <v>#N/A</v>
      </c>
      <c r="H370" s="354" t="e">
        <f t="shared" si="161"/>
        <v>#N/A</v>
      </c>
      <c r="I370" s="354" t="e">
        <f t="shared" si="161"/>
        <v>#N/A</v>
      </c>
      <c r="J370" s="354" t="e">
        <f t="shared" si="161"/>
        <v>#N/A</v>
      </c>
      <c r="K370" s="354" t="e">
        <f t="shared" si="161"/>
        <v>#N/A</v>
      </c>
      <c r="L370" s="354" t="e">
        <f t="shared" si="161"/>
        <v>#N/A</v>
      </c>
      <c r="M370" s="354" t="e">
        <f t="shared" si="161"/>
        <v>#N/A</v>
      </c>
      <c r="N370" s="354" t="e">
        <f t="shared" si="161"/>
        <v>#N/A</v>
      </c>
      <c r="O370" s="354" t="e">
        <f t="shared" si="161"/>
        <v>#N/A</v>
      </c>
      <c r="P370" s="354" t="e">
        <f t="shared" si="161"/>
        <v>#N/A</v>
      </c>
      <c r="Q370" s="354" t="e">
        <f t="shared" si="161"/>
        <v>#N/A</v>
      </c>
      <c r="R370" s="354" t="e">
        <f t="shared" si="161"/>
        <v>#N/A</v>
      </c>
      <c r="S370" s="354" t="e">
        <f t="shared" si="161"/>
        <v>#N/A</v>
      </c>
      <c r="T370" s="354" t="e">
        <f t="shared" si="161"/>
        <v>#N/A</v>
      </c>
      <c r="U370" s="354" t="e">
        <f t="shared" si="161"/>
        <v>#N/A</v>
      </c>
      <c r="V370" s="354" t="e">
        <f t="shared" si="161"/>
        <v>#N/A</v>
      </c>
      <c r="W370" s="354" t="e">
        <f t="shared" si="161"/>
        <v>#N/A</v>
      </c>
      <c r="X370" s="354" t="e">
        <f t="shared" si="161"/>
        <v>#N/A</v>
      </c>
      <c r="Y370" s="354" t="e">
        <f t="shared" si="161"/>
        <v>#N/A</v>
      </c>
      <c r="Z370" s="354" t="e">
        <f t="shared" si="161"/>
        <v>#N/A</v>
      </c>
      <c r="AA370" s="354" t="e">
        <f t="shared" si="161"/>
        <v>#N/A</v>
      </c>
      <c r="AB370" s="354" t="e">
        <f t="shared" si="161"/>
        <v>#N/A</v>
      </c>
      <c r="AC370" s="354" t="e">
        <f t="shared" si="161"/>
        <v>#N/A</v>
      </c>
      <c r="AD370" s="354" t="e">
        <f t="shared" si="161"/>
        <v>#N/A</v>
      </c>
      <c r="AE370" s="354" t="e">
        <f t="shared" si="161"/>
        <v>#N/A</v>
      </c>
      <c r="AF370" s="354" t="e">
        <f t="shared" si="161"/>
        <v>#N/A</v>
      </c>
      <c r="AG370" s="354" t="e">
        <f t="shared" si="161"/>
        <v>#N/A</v>
      </c>
      <c r="AH370" s="354" t="e">
        <f t="shared" si="161"/>
        <v>#N/A</v>
      </c>
      <c r="AI370" s="354" t="e">
        <f t="shared" si="161"/>
        <v>#N/A</v>
      </c>
      <c r="AJ370" s="354" t="e">
        <f t="shared" si="161"/>
        <v>#N/A</v>
      </c>
      <c r="AK370" s="354" t="e">
        <f t="shared" si="161"/>
        <v>#N/A</v>
      </c>
      <c r="AL370" s="354" t="e">
        <f t="shared" si="161"/>
        <v>#N/A</v>
      </c>
      <c r="AM370" s="354" t="e">
        <f t="shared" si="161"/>
        <v>#N/A</v>
      </c>
      <c r="AN370" s="354" t="e">
        <f t="shared" si="161"/>
        <v>#N/A</v>
      </c>
      <c r="AO370" s="354" t="e">
        <f t="shared" si="161"/>
        <v>#N/A</v>
      </c>
      <c r="AP370" s="354" t="e">
        <f t="shared" si="161"/>
        <v>#N/A</v>
      </c>
      <c r="AQ370" s="354" t="e">
        <f t="shared" si="161"/>
        <v>#N/A</v>
      </c>
    </row>
    <row r="371" spans="1:44" s="317" customFormat="1" ht="14.25" hidden="1">
      <c r="A371" s="1048" t="s">
        <v>44</v>
      </c>
      <c r="B371" s="1048"/>
      <c r="C371" s="1049"/>
      <c r="E371" s="355" t="e">
        <f>IF(E370="",NA(),E370*(-10))</f>
        <v>#N/A</v>
      </c>
      <c r="F371" s="355" t="e">
        <f t="shared" ref="F371:AQ371" si="162">IF(F370="",NA(),F370*(-10))</f>
        <v>#N/A</v>
      </c>
      <c r="G371" s="355" t="e">
        <f t="shared" si="162"/>
        <v>#N/A</v>
      </c>
      <c r="H371" s="355" t="e">
        <f t="shared" si="162"/>
        <v>#N/A</v>
      </c>
      <c r="I371" s="355" t="e">
        <f t="shared" si="162"/>
        <v>#N/A</v>
      </c>
      <c r="J371" s="355" t="e">
        <f t="shared" si="162"/>
        <v>#N/A</v>
      </c>
      <c r="K371" s="355" t="e">
        <f t="shared" si="162"/>
        <v>#N/A</v>
      </c>
      <c r="L371" s="355" t="e">
        <f t="shared" si="162"/>
        <v>#N/A</v>
      </c>
      <c r="M371" s="355" t="e">
        <f t="shared" si="162"/>
        <v>#N/A</v>
      </c>
      <c r="N371" s="355" t="e">
        <f t="shared" si="162"/>
        <v>#N/A</v>
      </c>
      <c r="O371" s="355" t="e">
        <f t="shared" si="162"/>
        <v>#N/A</v>
      </c>
      <c r="P371" s="355" t="e">
        <f t="shared" si="162"/>
        <v>#N/A</v>
      </c>
      <c r="Q371" s="355" t="e">
        <f t="shared" si="162"/>
        <v>#N/A</v>
      </c>
      <c r="R371" s="355" t="e">
        <f t="shared" si="162"/>
        <v>#N/A</v>
      </c>
      <c r="S371" s="355" t="e">
        <f t="shared" si="162"/>
        <v>#N/A</v>
      </c>
      <c r="T371" s="355" t="e">
        <f t="shared" si="162"/>
        <v>#N/A</v>
      </c>
      <c r="U371" s="355" t="e">
        <f t="shared" si="162"/>
        <v>#N/A</v>
      </c>
      <c r="V371" s="355" t="e">
        <f t="shared" si="162"/>
        <v>#N/A</v>
      </c>
      <c r="W371" s="355" t="e">
        <f t="shared" si="162"/>
        <v>#N/A</v>
      </c>
      <c r="X371" s="355" t="e">
        <f t="shared" si="162"/>
        <v>#N/A</v>
      </c>
      <c r="Y371" s="355" t="e">
        <f t="shared" si="162"/>
        <v>#N/A</v>
      </c>
      <c r="Z371" s="355" t="e">
        <f t="shared" si="162"/>
        <v>#N/A</v>
      </c>
      <c r="AA371" s="355" t="e">
        <f t="shared" si="162"/>
        <v>#N/A</v>
      </c>
      <c r="AB371" s="355" t="e">
        <f t="shared" si="162"/>
        <v>#N/A</v>
      </c>
      <c r="AC371" s="355" t="e">
        <f t="shared" si="162"/>
        <v>#N/A</v>
      </c>
      <c r="AD371" s="355" t="e">
        <f t="shared" si="162"/>
        <v>#N/A</v>
      </c>
      <c r="AE371" s="355" t="e">
        <f t="shared" si="162"/>
        <v>#N/A</v>
      </c>
      <c r="AF371" s="355" t="e">
        <f t="shared" si="162"/>
        <v>#N/A</v>
      </c>
      <c r="AG371" s="355" t="e">
        <f t="shared" si="162"/>
        <v>#N/A</v>
      </c>
      <c r="AH371" s="355" t="e">
        <f t="shared" si="162"/>
        <v>#N/A</v>
      </c>
      <c r="AI371" s="355" t="e">
        <f t="shared" si="162"/>
        <v>#N/A</v>
      </c>
      <c r="AJ371" s="355" t="e">
        <f t="shared" si="162"/>
        <v>#N/A</v>
      </c>
      <c r="AK371" s="355" t="e">
        <f t="shared" si="162"/>
        <v>#N/A</v>
      </c>
      <c r="AL371" s="355" t="e">
        <f t="shared" si="162"/>
        <v>#N/A</v>
      </c>
      <c r="AM371" s="355" t="e">
        <f t="shared" si="162"/>
        <v>#N/A</v>
      </c>
      <c r="AN371" s="355" t="e">
        <f t="shared" si="162"/>
        <v>#N/A</v>
      </c>
      <c r="AO371" s="355" t="e">
        <f t="shared" si="162"/>
        <v>#N/A</v>
      </c>
      <c r="AP371" s="355" t="e">
        <f t="shared" si="162"/>
        <v>#N/A</v>
      </c>
      <c r="AQ371" s="355" t="e">
        <f t="shared" si="162"/>
        <v>#N/A</v>
      </c>
    </row>
    <row r="372" spans="1:44" s="317" customFormat="1" ht="14.25" hidden="1">
      <c r="A372" s="356"/>
      <c r="B372" s="1012" t="s">
        <v>35</v>
      </c>
      <c r="C372" s="1050"/>
      <c r="E372" s="357" t="e">
        <f>IF(E370="",NA(),ROUND(1443/(1443+E371),4))</f>
        <v>#N/A</v>
      </c>
      <c r="F372" s="357" t="e">
        <f t="shared" ref="F372:AQ372" si="163">IF(F370="",NA(),ROUND(1443/(1443+F371),4))</f>
        <v>#N/A</v>
      </c>
      <c r="G372" s="357" t="e">
        <f t="shared" si="163"/>
        <v>#N/A</v>
      </c>
      <c r="H372" s="357" t="e">
        <f t="shared" si="163"/>
        <v>#N/A</v>
      </c>
      <c r="I372" s="357" t="e">
        <f t="shared" si="163"/>
        <v>#N/A</v>
      </c>
      <c r="J372" s="357" t="e">
        <f t="shared" si="163"/>
        <v>#N/A</v>
      </c>
      <c r="K372" s="357" t="e">
        <f t="shared" si="163"/>
        <v>#N/A</v>
      </c>
      <c r="L372" s="357" t="e">
        <f t="shared" si="163"/>
        <v>#N/A</v>
      </c>
      <c r="M372" s="357" t="e">
        <f t="shared" si="163"/>
        <v>#N/A</v>
      </c>
      <c r="N372" s="357" t="e">
        <f t="shared" si="163"/>
        <v>#N/A</v>
      </c>
      <c r="O372" s="357" t="e">
        <f t="shared" si="163"/>
        <v>#N/A</v>
      </c>
      <c r="P372" s="357" t="e">
        <f t="shared" si="163"/>
        <v>#N/A</v>
      </c>
      <c r="Q372" s="357" t="e">
        <f t="shared" si="163"/>
        <v>#N/A</v>
      </c>
      <c r="R372" s="357" t="e">
        <f t="shared" si="163"/>
        <v>#N/A</v>
      </c>
      <c r="S372" s="357" t="e">
        <f t="shared" si="163"/>
        <v>#N/A</v>
      </c>
      <c r="T372" s="357" t="e">
        <f t="shared" si="163"/>
        <v>#N/A</v>
      </c>
      <c r="U372" s="357" t="e">
        <f t="shared" si="163"/>
        <v>#N/A</v>
      </c>
      <c r="V372" s="357" t="e">
        <f t="shared" si="163"/>
        <v>#N/A</v>
      </c>
      <c r="W372" s="357" t="e">
        <f t="shared" si="163"/>
        <v>#N/A</v>
      </c>
      <c r="X372" s="357" t="e">
        <f t="shared" si="163"/>
        <v>#N/A</v>
      </c>
      <c r="Y372" s="357" t="e">
        <f t="shared" si="163"/>
        <v>#N/A</v>
      </c>
      <c r="Z372" s="357" t="e">
        <f t="shared" si="163"/>
        <v>#N/A</v>
      </c>
      <c r="AA372" s="357" t="e">
        <f t="shared" si="163"/>
        <v>#N/A</v>
      </c>
      <c r="AB372" s="357" t="e">
        <f t="shared" si="163"/>
        <v>#N/A</v>
      </c>
      <c r="AC372" s="357" t="e">
        <f t="shared" si="163"/>
        <v>#N/A</v>
      </c>
      <c r="AD372" s="357" t="e">
        <f t="shared" si="163"/>
        <v>#N/A</v>
      </c>
      <c r="AE372" s="357" t="e">
        <f t="shared" si="163"/>
        <v>#N/A</v>
      </c>
      <c r="AF372" s="357" t="e">
        <f t="shared" si="163"/>
        <v>#N/A</v>
      </c>
      <c r="AG372" s="357" t="e">
        <f t="shared" si="163"/>
        <v>#N/A</v>
      </c>
      <c r="AH372" s="357" t="e">
        <f t="shared" si="163"/>
        <v>#N/A</v>
      </c>
      <c r="AI372" s="357" t="e">
        <f t="shared" si="163"/>
        <v>#N/A</v>
      </c>
      <c r="AJ372" s="357" t="e">
        <f t="shared" si="163"/>
        <v>#N/A</v>
      </c>
      <c r="AK372" s="357" t="e">
        <f t="shared" si="163"/>
        <v>#N/A</v>
      </c>
      <c r="AL372" s="357" t="e">
        <f t="shared" si="163"/>
        <v>#N/A</v>
      </c>
      <c r="AM372" s="357" t="e">
        <f t="shared" si="163"/>
        <v>#N/A</v>
      </c>
      <c r="AN372" s="357" t="e">
        <f t="shared" si="163"/>
        <v>#N/A</v>
      </c>
      <c r="AO372" s="357" t="e">
        <f t="shared" si="163"/>
        <v>#N/A</v>
      </c>
      <c r="AP372" s="357" t="e">
        <f t="shared" si="163"/>
        <v>#N/A</v>
      </c>
      <c r="AQ372" s="357" t="e">
        <f t="shared" si="163"/>
        <v>#N/A</v>
      </c>
    </row>
    <row r="373" spans="1:44" s="317" customFormat="1" ht="14.25" hidden="1">
      <c r="A373" s="356"/>
      <c r="B373" s="1012" t="s">
        <v>36</v>
      </c>
      <c r="C373" s="1050"/>
      <c r="E373" s="357" t="e">
        <f>IF(E354="",NA(),IFERROR(E354*VLOOKUP(E354,'各種計算式等（配付時非表示）'!$E$3:$H$1003,3,TRUE)+VLOOKUP(E354,'各種計算式等（配付時非表示）'!$E$3:$H$1003,4,TRUE)+0.0000000001,"-"))</f>
        <v>#N/A</v>
      </c>
      <c r="F373" s="357" t="e">
        <f>IF(F354="",NA(),IFERROR(F354*VLOOKUP(F354,'各種計算式等（配付時非表示）'!$E$3:$H$1003,3,TRUE)+VLOOKUP(F354,'各種計算式等（配付時非表示）'!$E$3:$H$1003,4,TRUE)+0.0000000001,"-"))</f>
        <v>#N/A</v>
      </c>
      <c r="G373" s="357" t="e">
        <f>IF(G354="",NA(),IFERROR(G354*VLOOKUP(G354,'各種計算式等（配付時非表示）'!$E$3:$H$1003,3,TRUE)+VLOOKUP(G354,'各種計算式等（配付時非表示）'!$E$3:$H$1003,4,TRUE)+0.0000000001,"-"))</f>
        <v>#N/A</v>
      </c>
      <c r="H373" s="357" t="e">
        <f>IF(H354="",NA(),IFERROR(H354*VLOOKUP(H354,'各種計算式等（配付時非表示）'!$E$3:$H$1003,3,TRUE)+VLOOKUP(H354,'各種計算式等（配付時非表示）'!$E$3:$H$1003,4,TRUE)+0.0000000001,"-"))</f>
        <v>#N/A</v>
      </c>
      <c r="I373" s="357" t="e">
        <f>IF(I354="",NA(),IFERROR(I354*VLOOKUP(I354,'各種計算式等（配付時非表示）'!$E$3:$H$1003,3,TRUE)+VLOOKUP(I354,'各種計算式等（配付時非表示）'!$E$3:$H$1003,4,TRUE)+0.0000000001,"-"))</f>
        <v>#N/A</v>
      </c>
      <c r="J373" s="357" t="e">
        <f>IF(J354="",NA(),IFERROR(J354*VLOOKUP(J354,'各種計算式等（配付時非表示）'!$E$3:$H$1003,3,TRUE)+VLOOKUP(J354,'各種計算式等（配付時非表示）'!$E$3:$H$1003,4,TRUE)+0.0000000001,"-"))</f>
        <v>#N/A</v>
      </c>
      <c r="K373" s="357" t="e">
        <f>IF(K354="",NA(),IFERROR(K354*VLOOKUP(K354,'各種計算式等（配付時非表示）'!$E$3:$H$1003,3,TRUE)+VLOOKUP(K354,'各種計算式等（配付時非表示）'!$E$3:$H$1003,4,TRUE)+0.0000000001,"-"))</f>
        <v>#N/A</v>
      </c>
      <c r="L373" s="357" t="e">
        <f>IF(L354="",NA(),IFERROR(L354*VLOOKUP(L354,'各種計算式等（配付時非表示）'!$E$3:$H$1003,3,TRUE)+VLOOKUP(L354,'各種計算式等（配付時非表示）'!$E$3:$H$1003,4,TRUE)+0.0000000001,"-"))</f>
        <v>#N/A</v>
      </c>
      <c r="M373" s="357" t="e">
        <f>IF(M354="",NA(),IFERROR(M354*VLOOKUP(M354,'各種計算式等（配付時非表示）'!$E$3:$H$1003,3,TRUE)+VLOOKUP(M354,'各種計算式等（配付時非表示）'!$E$3:$H$1003,4,TRUE)+0.0000000001,"-"))</f>
        <v>#N/A</v>
      </c>
      <c r="N373" s="357" t="e">
        <f>IF(N354="",NA(),IFERROR(N354*VLOOKUP(N354,'各種計算式等（配付時非表示）'!$E$3:$H$1003,3,TRUE)+VLOOKUP(N354,'各種計算式等（配付時非表示）'!$E$3:$H$1003,4,TRUE)+0.0000000001,"-"))</f>
        <v>#N/A</v>
      </c>
      <c r="O373" s="357" t="e">
        <f>IF(O354="",NA(),IFERROR(O354*VLOOKUP(O354,'各種計算式等（配付時非表示）'!$E$3:$H$1003,3,TRUE)+VLOOKUP(O354,'各種計算式等（配付時非表示）'!$E$3:$H$1003,4,TRUE)+0.0000000001,"-"))</f>
        <v>#N/A</v>
      </c>
      <c r="P373" s="357" t="e">
        <f>IF(P354="",NA(),IFERROR(P354*VLOOKUP(P354,'各種計算式等（配付時非表示）'!$E$3:$H$1003,3,TRUE)+VLOOKUP(P354,'各種計算式等（配付時非表示）'!$E$3:$H$1003,4,TRUE)+0.0000000001,"-"))</f>
        <v>#N/A</v>
      </c>
      <c r="Q373" s="357" t="e">
        <f>IF(Q354="",NA(),IFERROR(Q354*VLOOKUP(Q354,'各種計算式等（配付時非表示）'!$E$3:$H$1003,3,TRUE)+VLOOKUP(Q354,'各種計算式等（配付時非表示）'!$E$3:$H$1003,4,TRUE)+0.0000000001,"-"))</f>
        <v>#N/A</v>
      </c>
      <c r="R373" s="357" t="e">
        <f>IF(R354="",NA(),IFERROR(R354*VLOOKUP(R354,'各種計算式等（配付時非表示）'!$E$3:$H$1003,3,TRUE)+VLOOKUP(R354,'各種計算式等（配付時非表示）'!$E$3:$H$1003,4,TRUE)+0.0000000001,"-"))</f>
        <v>#N/A</v>
      </c>
      <c r="S373" s="357" t="e">
        <f>IF(S354="",NA(),IFERROR(S354*VLOOKUP(S354,'各種計算式等（配付時非表示）'!$E$3:$H$1003,3,TRUE)+VLOOKUP(S354,'各種計算式等（配付時非表示）'!$E$3:$H$1003,4,TRUE)+0.0000000001,"-"))</f>
        <v>#N/A</v>
      </c>
      <c r="T373" s="357" t="e">
        <f>IF(T354="",NA(),IFERROR(T354*VLOOKUP(T354,'各種計算式等（配付時非表示）'!$E$3:$H$1003,3,TRUE)+VLOOKUP(T354,'各種計算式等（配付時非表示）'!$E$3:$H$1003,4,TRUE)+0.0000000001,"-"))</f>
        <v>#N/A</v>
      </c>
      <c r="U373" s="357" t="e">
        <f>IF(U354="",NA(),IFERROR(U354*VLOOKUP(U354,'各種計算式等（配付時非表示）'!$E$3:$H$1003,3,TRUE)+VLOOKUP(U354,'各種計算式等（配付時非表示）'!$E$3:$H$1003,4,TRUE)+0.0000000001,"-"))</f>
        <v>#N/A</v>
      </c>
      <c r="V373" s="357" t="e">
        <f>IF(V354="",NA(),IFERROR(V354*VLOOKUP(V354,'各種計算式等（配付時非表示）'!$E$3:$H$1003,3,TRUE)+VLOOKUP(V354,'各種計算式等（配付時非表示）'!$E$3:$H$1003,4,TRUE)+0.0000000001,"-"))</f>
        <v>#N/A</v>
      </c>
      <c r="W373" s="357" t="e">
        <f>IF(W354="",NA(),IFERROR(W354*VLOOKUP(W354,'各種計算式等（配付時非表示）'!$E$3:$H$1003,3,TRUE)+VLOOKUP(W354,'各種計算式等（配付時非表示）'!$E$3:$H$1003,4,TRUE)+0.0000000001,"-"))</f>
        <v>#N/A</v>
      </c>
      <c r="X373" s="357" t="e">
        <f>IF(X354="",NA(),IFERROR(X354*VLOOKUP(X354,'各種計算式等（配付時非表示）'!$E$3:$H$1003,3,TRUE)+VLOOKUP(X354,'各種計算式等（配付時非表示）'!$E$3:$H$1003,4,TRUE)+0.0000000001,"-"))</f>
        <v>#N/A</v>
      </c>
      <c r="Y373" s="357" t="e">
        <f>IF(Y354="",NA(),IFERROR(Y354*VLOOKUP(Y354,'各種計算式等（配付時非表示）'!$E$3:$H$1003,3,TRUE)+VLOOKUP(Y354,'各種計算式等（配付時非表示）'!$E$3:$H$1003,4,TRUE)+0.0000000001,"-"))</f>
        <v>#N/A</v>
      </c>
      <c r="Z373" s="357" t="e">
        <f>IF(Z354="",NA(),IFERROR(Z354*VLOOKUP(Z354,'各種計算式等（配付時非表示）'!$E$3:$H$1003,3,TRUE)+VLOOKUP(Z354,'各種計算式等（配付時非表示）'!$E$3:$H$1003,4,TRUE)+0.0000000001,"-"))</f>
        <v>#N/A</v>
      </c>
      <c r="AA373" s="357" t="e">
        <f>IF(AA354="",NA(),IFERROR(AA354*VLOOKUP(AA354,'各種計算式等（配付時非表示）'!$E$3:$H$1003,3,TRUE)+VLOOKUP(AA354,'各種計算式等（配付時非表示）'!$E$3:$H$1003,4,TRUE)+0.0000000001,"-"))</f>
        <v>#N/A</v>
      </c>
      <c r="AB373" s="357" t="e">
        <f>IF(AB354="",NA(),IFERROR(AB354*VLOOKUP(AB354,'各種計算式等（配付時非表示）'!$E$3:$H$1003,3,TRUE)+VLOOKUP(AB354,'各種計算式等（配付時非表示）'!$E$3:$H$1003,4,TRUE)+0.0000000001,"-"))</f>
        <v>#N/A</v>
      </c>
      <c r="AC373" s="357" t="e">
        <f>IF(AC354="",NA(),IFERROR(AC354*VLOOKUP(AC354,'各種計算式等（配付時非表示）'!$E$3:$H$1003,3,TRUE)+VLOOKUP(AC354,'各種計算式等（配付時非表示）'!$E$3:$H$1003,4,TRUE)+0.0000000001,"-"))</f>
        <v>#N/A</v>
      </c>
      <c r="AD373" s="357" t="e">
        <f>IF(AD354="",NA(),IFERROR(AD354*VLOOKUP(AD354,'各種計算式等（配付時非表示）'!$E$3:$H$1003,3,TRUE)+VLOOKUP(AD354,'各種計算式等（配付時非表示）'!$E$3:$H$1003,4,TRUE)+0.0000000001,"-"))</f>
        <v>#N/A</v>
      </c>
      <c r="AE373" s="357" t="e">
        <f>IF(AE354="",NA(),IFERROR(AE354*VLOOKUP(AE354,'各種計算式等（配付時非表示）'!$E$3:$H$1003,3,TRUE)+VLOOKUP(AE354,'各種計算式等（配付時非表示）'!$E$3:$H$1003,4,TRUE)+0.0000000001,"-"))</f>
        <v>#N/A</v>
      </c>
      <c r="AF373" s="357" t="e">
        <f>IF(AF354="",NA(),IFERROR(AF354*VLOOKUP(AF354,'各種計算式等（配付時非表示）'!$E$3:$H$1003,3,TRUE)+VLOOKUP(AF354,'各種計算式等（配付時非表示）'!$E$3:$H$1003,4,TRUE)+0.0000000001,"-"))</f>
        <v>#N/A</v>
      </c>
      <c r="AG373" s="357" t="e">
        <f>IF(AG354="",NA(),IFERROR(AG354*VLOOKUP(AG354,'各種計算式等（配付時非表示）'!$E$3:$H$1003,3,TRUE)+VLOOKUP(AG354,'各種計算式等（配付時非表示）'!$E$3:$H$1003,4,TRUE)+0.0000000001,"-"))</f>
        <v>#N/A</v>
      </c>
      <c r="AH373" s="357" t="e">
        <f>IF(AH354="",NA(),IFERROR(AH354*VLOOKUP(AH354,'各種計算式等（配付時非表示）'!$E$3:$H$1003,3,TRUE)+VLOOKUP(AH354,'各種計算式等（配付時非表示）'!$E$3:$H$1003,4,TRUE)+0.0000000001,"-"))</f>
        <v>#N/A</v>
      </c>
      <c r="AI373" s="357" t="e">
        <f>IF(AI354="",NA(),IFERROR(AI354*VLOOKUP(AI354,'各種計算式等（配付時非表示）'!$E$3:$H$1003,3,TRUE)+VLOOKUP(AI354,'各種計算式等（配付時非表示）'!$E$3:$H$1003,4,TRUE)+0.0000000001,"-"))</f>
        <v>#N/A</v>
      </c>
      <c r="AJ373" s="357" t="e">
        <f>IF(AJ354="",NA(),IFERROR(AJ354*VLOOKUP(AJ354,'各種計算式等（配付時非表示）'!$E$3:$H$1003,3,TRUE)+VLOOKUP(AJ354,'各種計算式等（配付時非表示）'!$E$3:$H$1003,4,TRUE)+0.0000000001,"-"))</f>
        <v>#N/A</v>
      </c>
      <c r="AK373" s="357" t="e">
        <f>IF(AK354="",NA(),IFERROR(AK354*VLOOKUP(AK354,'各種計算式等（配付時非表示）'!$E$3:$H$1003,3,TRUE)+VLOOKUP(AK354,'各種計算式等（配付時非表示）'!$E$3:$H$1003,4,TRUE)+0.0000000001,"-"))</f>
        <v>#N/A</v>
      </c>
      <c r="AL373" s="357" t="e">
        <f>IF(AL354="",NA(),IFERROR(AL354*VLOOKUP(AL354,'各種計算式等（配付時非表示）'!$E$3:$H$1003,3,TRUE)+VLOOKUP(AL354,'各種計算式等（配付時非表示）'!$E$3:$H$1003,4,TRUE)+0.0000000001,"-"))</f>
        <v>#N/A</v>
      </c>
      <c r="AM373" s="357" t="e">
        <f>IF(AM354="",NA(),IFERROR(AM354*VLOOKUP(AM354,'各種計算式等（配付時非表示）'!$E$3:$H$1003,3,TRUE)+VLOOKUP(AM354,'各種計算式等（配付時非表示）'!$E$3:$H$1003,4,TRUE)+0.0000000001,"-"))</f>
        <v>#N/A</v>
      </c>
      <c r="AN373" s="357" t="e">
        <f>IF(AN354="",NA(),IFERROR(AN354*VLOOKUP(AN354,'各種計算式等（配付時非表示）'!$E$3:$H$1003,3,TRUE)+VLOOKUP(AN354,'各種計算式等（配付時非表示）'!$E$3:$H$1003,4,TRUE)+0.0000000001,"-"))</f>
        <v>#N/A</v>
      </c>
      <c r="AO373" s="357" t="e">
        <f>IF(AO354="",NA(),IFERROR(AO354*VLOOKUP(AO354,'各種計算式等（配付時非表示）'!$E$3:$H$1003,3,TRUE)+VLOOKUP(AO354,'各種計算式等（配付時非表示）'!$E$3:$H$1003,4,TRUE)+0.0000000001,"-"))</f>
        <v>#N/A</v>
      </c>
      <c r="AP373" s="357" t="e">
        <f>IF(AP354="",NA(),IFERROR(AP354*VLOOKUP(AP354,'各種計算式等（配付時非表示）'!$E$3:$H$1003,3,TRUE)+VLOOKUP(AP354,'各種計算式等（配付時非表示）'!$E$3:$H$1003,4,TRUE)+0.0000000001,"-"))</f>
        <v>#N/A</v>
      </c>
      <c r="AQ373" s="357" t="e">
        <f>IF(AQ354="",NA(),IFERROR(AQ354*VLOOKUP(AQ354,'各種計算式等（配付時非表示）'!$E$3:$H$1003,3,TRUE)+VLOOKUP(AQ354,'各種計算式等（配付時非表示）'!$E$3:$H$1003,4,TRUE)+0.0000000001,"-"))</f>
        <v>#N/A</v>
      </c>
    </row>
    <row r="374" spans="1:44" s="317" customFormat="1" ht="14.25" hidden="1">
      <c r="A374" s="1012" t="s">
        <v>3</v>
      </c>
      <c r="B374" s="1012"/>
      <c r="C374" s="1012"/>
      <c r="E374" s="358" t="e">
        <f>IFERROR(ROUNDDOWN((E372-E373)*260+0.21,1),NA())</f>
        <v>#N/A</v>
      </c>
      <c r="F374" s="358" t="e">
        <f t="shared" ref="F374:AQ374" si="164">IFERROR(ROUNDDOWN((F372-F373)*260+0.21,1),NA())</f>
        <v>#N/A</v>
      </c>
      <c r="G374" s="358" t="e">
        <f t="shared" si="164"/>
        <v>#N/A</v>
      </c>
      <c r="H374" s="358" t="e">
        <f t="shared" si="164"/>
        <v>#N/A</v>
      </c>
      <c r="I374" s="358" t="e">
        <f t="shared" si="164"/>
        <v>#N/A</v>
      </c>
      <c r="J374" s="358" t="e">
        <f t="shared" si="164"/>
        <v>#N/A</v>
      </c>
      <c r="K374" s="358" t="e">
        <f t="shared" si="164"/>
        <v>#N/A</v>
      </c>
      <c r="L374" s="358" t="e">
        <f t="shared" si="164"/>
        <v>#N/A</v>
      </c>
      <c r="M374" s="358" t="e">
        <f t="shared" si="164"/>
        <v>#N/A</v>
      </c>
      <c r="N374" s="358" t="e">
        <f t="shared" si="164"/>
        <v>#N/A</v>
      </c>
      <c r="O374" s="358" t="e">
        <f t="shared" si="164"/>
        <v>#N/A</v>
      </c>
      <c r="P374" s="358" t="e">
        <f t="shared" si="164"/>
        <v>#N/A</v>
      </c>
      <c r="Q374" s="358" t="e">
        <f t="shared" si="164"/>
        <v>#N/A</v>
      </c>
      <c r="R374" s="358" t="e">
        <f t="shared" si="164"/>
        <v>#N/A</v>
      </c>
      <c r="S374" s="358" t="e">
        <f t="shared" si="164"/>
        <v>#N/A</v>
      </c>
      <c r="T374" s="358" t="e">
        <f t="shared" si="164"/>
        <v>#N/A</v>
      </c>
      <c r="U374" s="358" t="e">
        <f t="shared" si="164"/>
        <v>#N/A</v>
      </c>
      <c r="V374" s="358" t="e">
        <f t="shared" si="164"/>
        <v>#N/A</v>
      </c>
      <c r="W374" s="358" t="e">
        <f t="shared" si="164"/>
        <v>#N/A</v>
      </c>
      <c r="X374" s="358" t="e">
        <f t="shared" si="164"/>
        <v>#N/A</v>
      </c>
      <c r="Y374" s="358" t="e">
        <f t="shared" si="164"/>
        <v>#N/A</v>
      </c>
      <c r="Z374" s="358" t="e">
        <f t="shared" si="164"/>
        <v>#N/A</v>
      </c>
      <c r="AA374" s="358" t="e">
        <f t="shared" si="164"/>
        <v>#N/A</v>
      </c>
      <c r="AB374" s="358" t="e">
        <f t="shared" si="164"/>
        <v>#N/A</v>
      </c>
      <c r="AC374" s="358" t="e">
        <f t="shared" si="164"/>
        <v>#N/A</v>
      </c>
      <c r="AD374" s="358" t="e">
        <f t="shared" si="164"/>
        <v>#N/A</v>
      </c>
      <c r="AE374" s="358" t="e">
        <f t="shared" si="164"/>
        <v>#N/A</v>
      </c>
      <c r="AF374" s="358" t="e">
        <f t="shared" si="164"/>
        <v>#N/A</v>
      </c>
      <c r="AG374" s="358" t="e">
        <f t="shared" si="164"/>
        <v>#N/A</v>
      </c>
      <c r="AH374" s="358" t="e">
        <f t="shared" si="164"/>
        <v>#N/A</v>
      </c>
      <c r="AI374" s="358" t="e">
        <f t="shared" si="164"/>
        <v>#N/A</v>
      </c>
      <c r="AJ374" s="358" t="e">
        <f t="shared" si="164"/>
        <v>#N/A</v>
      </c>
      <c r="AK374" s="358" t="e">
        <f t="shared" si="164"/>
        <v>#N/A</v>
      </c>
      <c r="AL374" s="358" t="e">
        <f t="shared" si="164"/>
        <v>#N/A</v>
      </c>
      <c r="AM374" s="358" t="e">
        <f t="shared" si="164"/>
        <v>#N/A</v>
      </c>
      <c r="AN374" s="358" t="e">
        <f t="shared" si="164"/>
        <v>#N/A</v>
      </c>
      <c r="AO374" s="358" t="e">
        <f t="shared" si="164"/>
        <v>#N/A</v>
      </c>
      <c r="AP374" s="358" t="e">
        <f t="shared" si="164"/>
        <v>#N/A</v>
      </c>
      <c r="AQ374" s="358" t="e">
        <f t="shared" si="164"/>
        <v>#N/A</v>
      </c>
    </row>
    <row r="375" spans="1:44" s="317" customFormat="1" ht="14.25" hidden="1">
      <c r="A375" s="1012" t="s">
        <v>326</v>
      </c>
      <c r="B375" s="1012"/>
      <c r="C375" s="1012"/>
      <c r="E375" s="359" t="e">
        <f t="shared" ref="E375:AQ375" si="165">IF(E354="",NA(),ROUNDDOWN(E354*1.5848,1))</f>
        <v>#N/A</v>
      </c>
      <c r="F375" s="359" t="e">
        <f t="shared" si="165"/>
        <v>#N/A</v>
      </c>
      <c r="G375" s="359" t="e">
        <f t="shared" si="165"/>
        <v>#N/A</v>
      </c>
      <c r="H375" s="359" t="e">
        <f t="shared" si="165"/>
        <v>#N/A</v>
      </c>
      <c r="I375" s="359" t="e">
        <f t="shared" si="165"/>
        <v>#N/A</v>
      </c>
      <c r="J375" s="359" t="e">
        <f t="shared" si="165"/>
        <v>#N/A</v>
      </c>
      <c r="K375" s="359" t="e">
        <f t="shared" si="165"/>
        <v>#N/A</v>
      </c>
      <c r="L375" s="359" t="e">
        <f t="shared" si="165"/>
        <v>#N/A</v>
      </c>
      <c r="M375" s="359" t="e">
        <f t="shared" si="165"/>
        <v>#N/A</v>
      </c>
      <c r="N375" s="359" t="e">
        <f t="shared" si="165"/>
        <v>#N/A</v>
      </c>
      <c r="O375" s="359" t="e">
        <f t="shared" si="165"/>
        <v>#N/A</v>
      </c>
      <c r="P375" s="359" t="e">
        <f t="shared" si="165"/>
        <v>#N/A</v>
      </c>
      <c r="Q375" s="359" t="e">
        <f t="shared" si="165"/>
        <v>#N/A</v>
      </c>
      <c r="R375" s="359" t="e">
        <f t="shared" si="165"/>
        <v>#N/A</v>
      </c>
      <c r="S375" s="359" t="e">
        <f t="shared" si="165"/>
        <v>#N/A</v>
      </c>
      <c r="T375" s="359" t="e">
        <f t="shared" si="165"/>
        <v>#N/A</v>
      </c>
      <c r="U375" s="359" t="e">
        <f t="shared" si="165"/>
        <v>#N/A</v>
      </c>
      <c r="V375" s="359" t="e">
        <f t="shared" si="165"/>
        <v>#N/A</v>
      </c>
      <c r="W375" s="359" t="e">
        <f t="shared" si="165"/>
        <v>#N/A</v>
      </c>
      <c r="X375" s="359" t="e">
        <f t="shared" si="165"/>
        <v>#N/A</v>
      </c>
      <c r="Y375" s="359" t="e">
        <f t="shared" si="165"/>
        <v>#N/A</v>
      </c>
      <c r="Z375" s="359" t="e">
        <f t="shared" si="165"/>
        <v>#N/A</v>
      </c>
      <c r="AA375" s="359" t="e">
        <f t="shared" si="165"/>
        <v>#N/A</v>
      </c>
      <c r="AB375" s="359" t="e">
        <f t="shared" si="165"/>
        <v>#N/A</v>
      </c>
      <c r="AC375" s="359" t="e">
        <f t="shared" si="165"/>
        <v>#N/A</v>
      </c>
      <c r="AD375" s="359" t="e">
        <f t="shared" si="165"/>
        <v>#N/A</v>
      </c>
      <c r="AE375" s="359" t="e">
        <f t="shared" si="165"/>
        <v>#N/A</v>
      </c>
      <c r="AF375" s="359" t="e">
        <f t="shared" si="165"/>
        <v>#N/A</v>
      </c>
      <c r="AG375" s="359" t="e">
        <f t="shared" si="165"/>
        <v>#N/A</v>
      </c>
      <c r="AH375" s="359" t="e">
        <f t="shared" si="165"/>
        <v>#N/A</v>
      </c>
      <c r="AI375" s="359" t="e">
        <f t="shared" si="165"/>
        <v>#N/A</v>
      </c>
      <c r="AJ375" s="359" t="e">
        <f t="shared" si="165"/>
        <v>#N/A</v>
      </c>
      <c r="AK375" s="359" t="e">
        <f t="shared" si="165"/>
        <v>#N/A</v>
      </c>
      <c r="AL375" s="359" t="e">
        <f t="shared" si="165"/>
        <v>#N/A</v>
      </c>
      <c r="AM375" s="359" t="e">
        <f t="shared" si="165"/>
        <v>#N/A</v>
      </c>
      <c r="AN375" s="359" t="e">
        <f t="shared" si="165"/>
        <v>#N/A</v>
      </c>
      <c r="AO375" s="359" t="e">
        <f t="shared" si="165"/>
        <v>#N/A</v>
      </c>
      <c r="AP375" s="359" t="e">
        <f t="shared" si="165"/>
        <v>#N/A</v>
      </c>
      <c r="AQ375" s="359" t="e">
        <f t="shared" si="165"/>
        <v>#N/A</v>
      </c>
    </row>
    <row r="376" spans="1:44" s="317" customFormat="1" ht="14.25" hidden="1">
      <c r="A376" s="1012" t="s">
        <v>162</v>
      </c>
      <c r="B376" s="1012"/>
      <c r="C376" s="1012"/>
      <c r="E376" s="359" t="e">
        <f>IF(E374="",NA(),ROUNDDOWN(E374+E375,1))</f>
        <v>#N/A</v>
      </c>
      <c r="F376" s="359" t="e">
        <f t="shared" ref="F376:AQ376" si="166">IF(F374="",NA(),ROUNDDOWN(F374+F375,1))</f>
        <v>#N/A</v>
      </c>
      <c r="G376" s="359" t="e">
        <f t="shared" si="166"/>
        <v>#N/A</v>
      </c>
      <c r="H376" s="359" t="e">
        <f t="shared" si="166"/>
        <v>#N/A</v>
      </c>
      <c r="I376" s="359" t="e">
        <f t="shared" si="166"/>
        <v>#N/A</v>
      </c>
      <c r="J376" s="359" t="e">
        <f t="shared" si="166"/>
        <v>#N/A</v>
      </c>
      <c r="K376" s="359" t="e">
        <f t="shared" si="166"/>
        <v>#N/A</v>
      </c>
      <c r="L376" s="359" t="e">
        <f t="shared" si="166"/>
        <v>#N/A</v>
      </c>
      <c r="M376" s="359" t="e">
        <f t="shared" si="166"/>
        <v>#N/A</v>
      </c>
      <c r="N376" s="359" t="e">
        <f t="shared" si="166"/>
        <v>#N/A</v>
      </c>
      <c r="O376" s="359" t="e">
        <f t="shared" si="166"/>
        <v>#N/A</v>
      </c>
      <c r="P376" s="359" t="e">
        <f t="shared" si="166"/>
        <v>#N/A</v>
      </c>
      <c r="Q376" s="359" t="e">
        <f t="shared" si="166"/>
        <v>#N/A</v>
      </c>
      <c r="R376" s="359" t="e">
        <f t="shared" si="166"/>
        <v>#N/A</v>
      </c>
      <c r="S376" s="359" t="e">
        <f t="shared" si="166"/>
        <v>#N/A</v>
      </c>
      <c r="T376" s="359" t="e">
        <f t="shared" si="166"/>
        <v>#N/A</v>
      </c>
      <c r="U376" s="359" t="e">
        <f t="shared" si="166"/>
        <v>#N/A</v>
      </c>
      <c r="V376" s="359" t="e">
        <f t="shared" si="166"/>
        <v>#N/A</v>
      </c>
      <c r="W376" s="359" t="e">
        <f t="shared" si="166"/>
        <v>#N/A</v>
      </c>
      <c r="X376" s="359" t="e">
        <f t="shared" si="166"/>
        <v>#N/A</v>
      </c>
      <c r="Y376" s="359" t="e">
        <f t="shared" si="166"/>
        <v>#N/A</v>
      </c>
      <c r="Z376" s="359" t="e">
        <f t="shared" si="166"/>
        <v>#N/A</v>
      </c>
      <c r="AA376" s="359" t="e">
        <f t="shared" si="166"/>
        <v>#N/A</v>
      </c>
      <c r="AB376" s="359" t="e">
        <f t="shared" si="166"/>
        <v>#N/A</v>
      </c>
      <c r="AC376" s="359" t="e">
        <f t="shared" si="166"/>
        <v>#N/A</v>
      </c>
      <c r="AD376" s="359" t="e">
        <f t="shared" si="166"/>
        <v>#N/A</v>
      </c>
      <c r="AE376" s="359" t="e">
        <f t="shared" si="166"/>
        <v>#N/A</v>
      </c>
      <c r="AF376" s="359" t="e">
        <f t="shared" si="166"/>
        <v>#N/A</v>
      </c>
      <c r="AG376" s="359" t="e">
        <f t="shared" si="166"/>
        <v>#N/A</v>
      </c>
      <c r="AH376" s="359" t="e">
        <f t="shared" si="166"/>
        <v>#N/A</v>
      </c>
      <c r="AI376" s="359" t="e">
        <f t="shared" si="166"/>
        <v>#N/A</v>
      </c>
      <c r="AJ376" s="359" t="e">
        <f t="shared" si="166"/>
        <v>#N/A</v>
      </c>
      <c r="AK376" s="359" t="e">
        <f t="shared" si="166"/>
        <v>#N/A</v>
      </c>
      <c r="AL376" s="359" t="e">
        <f t="shared" si="166"/>
        <v>#N/A</v>
      </c>
      <c r="AM376" s="359" t="e">
        <f t="shared" si="166"/>
        <v>#N/A</v>
      </c>
      <c r="AN376" s="359" t="e">
        <f t="shared" si="166"/>
        <v>#N/A</v>
      </c>
      <c r="AO376" s="359" t="e">
        <f t="shared" si="166"/>
        <v>#N/A</v>
      </c>
      <c r="AP376" s="359" t="e">
        <f t="shared" si="166"/>
        <v>#N/A</v>
      </c>
      <c r="AQ376" s="359" t="e">
        <f t="shared" si="166"/>
        <v>#N/A</v>
      </c>
    </row>
    <row r="377" spans="1:44" s="317" customFormat="1" ht="14.25" hidden="1">
      <c r="A377" s="1012" t="s">
        <v>198</v>
      </c>
      <c r="B377" s="1012"/>
      <c r="C377" s="1012"/>
      <c r="E377" s="360" t="e">
        <f t="shared" ref="E377:AQ377" si="167">IF(E354="",NA(),IF(E350&lt;=$B365,E354*$D368/100,IF(E350&lt;=$C365,E354*$E368/100,IF(E350&lt;=$D365,E354*$F368/100,IF(E350&lt;=$E365,E354*$G368/100,IF(E350&lt;=$F365,E354*$H368/100,IF(E350&lt;=$G365,E354*$I368/100,IF(E350&lt;=$H365,E354*$J368/100,IF(E350&lt;=$I365,E354*$K368/100,IF(E350&lt;=$J365,E354*$L368/100,IF(E350&lt;=$K365,E354*$M368/100,IF(E350&lt;=$L365,E354*$N368/100,IF(E350&lt;=$M365,E354*$O368/100,IF(E350&lt;=$N365,E354*$P368/100,IF(E350&lt;=$O365,E354*$Q368/100,IF(E350&lt;=$P365,E354*$R368/100,IF(E350&lt;=$Q365,E354*$S368/100,IF(E350&lt;=$R365,E354*$T368/100,IF(E350&lt;=$S365,E354*$U368/100,IF(E350&lt;=$T365,E354*$V368/100,IF(E350&lt;=$U365,E354*$W368/100,E354*$X368/100)))))))))))))))))))))</f>
        <v>#N/A</v>
      </c>
      <c r="F377" s="360" t="e">
        <f t="shared" si="167"/>
        <v>#N/A</v>
      </c>
      <c r="G377" s="360" t="e">
        <f t="shared" si="167"/>
        <v>#N/A</v>
      </c>
      <c r="H377" s="360" t="e">
        <f t="shared" si="167"/>
        <v>#N/A</v>
      </c>
      <c r="I377" s="360" t="e">
        <f t="shared" si="167"/>
        <v>#N/A</v>
      </c>
      <c r="J377" s="360" t="e">
        <f t="shared" si="167"/>
        <v>#N/A</v>
      </c>
      <c r="K377" s="360" t="e">
        <f t="shared" si="167"/>
        <v>#N/A</v>
      </c>
      <c r="L377" s="360" t="e">
        <f t="shared" si="167"/>
        <v>#N/A</v>
      </c>
      <c r="M377" s="360" t="e">
        <f t="shared" si="167"/>
        <v>#N/A</v>
      </c>
      <c r="N377" s="360" t="e">
        <f t="shared" si="167"/>
        <v>#N/A</v>
      </c>
      <c r="O377" s="360" t="e">
        <f t="shared" si="167"/>
        <v>#N/A</v>
      </c>
      <c r="P377" s="360" t="e">
        <f t="shared" si="167"/>
        <v>#N/A</v>
      </c>
      <c r="Q377" s="360" t="e">
        <f t="shared" si="167"/>
        <v>#N/A</v>
      </c>
      <c r="R377" s="360" t="e">
        <f t="shared" si="167"/>
        <v>#N/A</v>
      </c>
      <c r="S377" s="360" t="e">
        <f t="shared" si="167"/>
        <v>#N/A</v>
      </c>
      <c r="T377" s="360" t="e">
        <f t="shared" si="167"/>
        <v>#N/A</v>
      </c>
      <c r="U377" s="360" t="e">
        <f t="shared" si="167"/>
        <v>#N/A</v>
      </c>
      <c r="V377" s="360" t="e">
        <f t="shared" si="167"/>
        <v>#N/A</v>
      </c>
      <c r="W377" s="360" t="e">
        <f t="shared" si="167"/>
        <v>#N/A</v>
      </c>
      <c r="X377" s="360" t="e">
        <f t="shared" si="167"/>
        <v>#N/A</v>
      </c>
      <c r="Y377" s="360" t="e">
        <f t="shared" si="167"/>
        <v>#N/A</v>
      </c>
      <c r="Z377" s="360" t="e">
        <f t="shared" si="167"/>
        <v>#N/A</v>
      </c>
      <c r="AA377" s="360" t="e">
        <f t="shared" si="167"/>
        <v>#N/A</v>
      </c>
      <c r="AB377" s="360" t="e">
        <f t="shared" si="167"/>
        <v>#N/A</v>
      </c>
      <c r="AC377" s="360" t="e">
        <f t="shared" si="167"/>
        <v>#N/A</v>
      </c>
      <c r="AD377" s="360" t="e">
        <f t="shared" si="167"/>
        <v>#N/A</v>
      </c>
      <c r="AE377" s="360" t="e">
        <f t="shared" si="167"/>
        <v>#N/A</v>
      </c>
      <c r="AF377" s="360" t="e">
        <f t="shared" si="167"/>
        <v>#N/A</v>
      </c>
      <c r="AG377" s="360" t="e">
        <f t="shared" si="167"/>
        <v>#N/A</v>
      </c>
      <c r="AH377" s="360" t="e">
        <f t="shared" si="167"/>
        <v>#N/A</v>
      </c>
      <c r="AI377" s="360" t="e">
        <f t="shared" si="167"/>
        <v>#N/A</v>
      </c>
      <c r="AJ377" s="360" t="e">
        <f t="shared" si="167"/>
        <v>#N/A</v>
      </c>
      <c r="AK377" s="360" t="e">
        <f t="shared" si="167"/>
        <v>#N/A</v>
      </c>
      <c r="AL377" s="360" t="e">
        <f t="shared" si="167"/>
        <v>#N/A</v>
      </c>
      <c r="AM377" s="360" t="e">
        <f t="shared" si="167"/>
        <v>#N/A</v>
      </c>
      <c r="AN377" s="360" t="e">
        <f t="shared" si="167"/>
        <v>#N/A</v>
      </c>
      <c r="AO377" s="360" t="e">
        <f t="shared" si="167"/>
        <v>#N/A</v>
      </c>
      <c r="AP377" s="360" t="e">
        <f t="shared" si="167"/>
        <v>#N/A</v>
      </c>
      <c r="AQ377" s="360" t="e">
        <f t="shared" si="167"/>
        <v>#N/A</v>
      </c>
    </row>
    <row r="378" spans="1:44" s="317" customFormat="1" ht="14.25" hidden="1">
      <c r="A378" s="1011" t="s">
        <v>327</v>
      </c>
      <c r="B378" s="1012"/>
      <c r="C378" s="1050"/>
      <c r="E378" s="361" t="e">
        <f>IF(E377="",NA(),ROUND(E377*1.5848,1))</f>
        <v>#N/A</v>
      </c>
      <c r="F378" s="361" t="e">
        <f t="shared" ref="F378:AQ378" si="168">IF(F377="",NA(),ROUND(F377*1.5848,1))</f>
        <v>#N/A</v>
      </c>
      <c r="G378" s="361" t="e">
        <f t="shared" si="168"/>
        <v>#N/A</v>
      </c>
      <c r="H378" s="361" t="e">
        <f t="shared" si="168"/>
        <v>#N/A</v>
      </c>
      <c r="I378" s="361" t="e">
        <f t="shared" si="168"/>
        <v>#N/A</v>
      </c>
      <c r="J378" s="361" t="e">
        <f t="shared" si="168"/>
        <v>#N/A</v>
      </c>
      <c r="K378" s="361" t="e">
        <f t="shared" si="168"/>
        <v>#N/A</v>
      </c>
      <c r="L378" s="361" t="e">
        <f t="shared" si="168"/>
        <v>#N/A</v>
      </c>
      <c r="M378" s="361" t="e">
        <f t="shared" si="168"/>
        <v>#N/A</v>
      </c>
      <c r="N378" s="361" t="e">
        <f t="shared" si="168"/>
        <v>#N/A</v>
      </c>
      <c r="O378" s="361" t="e">
        <f t="shared" si="168"/>
        <v>#N/A</v>
      </c>
      <c r="P378" s="361" t="e">
        <f t="shared" si="168"/>
        <v>#N/A</v>
      </c>
      <c r="Q378" s="361" t="e">
        <f t="shared" si="168"/>
        <v>#N/A</v>
      </c>
      <c r="R378" s="361" t="e">
        <f t="shared" si="168"/>
        <v>#N/A</v>
      </c>
      <c r="S378" s="361" t="e">
        <f t="shared" si="168"/>
        <v>#N/A</v>
      </c>
      <c r="T378" s="361" t="e">
        <f t="shared" si="168"/>
        <v>#N/A</v>
      </c>
      <c r="U378" s="361" t="e">
        <f t="shared" si="168"/>
        <v>#N/A</v>
      </c>
      <c r="V378" s="361" t="e">
        <f t="shared" si="168"/>
        <v>#N/A</v>
      </c>
      <c r="W378" s="361" t="e">
        <f t="shared" si="168"/>
        <v>#N/A</v>
      </c>
      <c r="X378" s="361" t="e">
        <f t="shared" si="168"/>
        <v>#N/A</v>
      </c>
      <c r="Y378" s="361" t="e">
        <f t="shared" si="168"/>
        <v>#N/A</v>
      </c>
      <c r="Z378" s="361" t="e">
        <f t="shared" si="168"/>
        <v>#N/A</v>
      </c>
      <c r="AA378" s="361" t="e">
        <f t="shared" si="168"/>
        <v>#N/A</v>
      </c>
      <c r="AB378" s="361" t="e">
        <f t="shared" si="168"/>
        <v>#N/A</v>
      </c>
      <c r="AC378" s="361" t="e">
        <f t="shared" si="168"/>
        <v>#N/A</v>
      </c>
      <c r="AD378" s="361" t="e">
        <f t="shared" si="168"/>
        <v>#N/A</v>
      </c>
      <c r="AE378" s="361" t="e">
        <f t="shared" si="168"/>
        <v>#N/A</v>
      </c>
      <c r="AF378" s="361" t="e">
        <f t="shared" si="168"/>
        <v>#N/A</v>
      </c>
      <c r="AG378" s="361" t="e">
        <f t="shared" si="168"/>
        <v>#N/A</v>
      </c>
      <c r="AH378" s="361" t="e">
        <f t="shared" si="168"/>
        <v>#N/A</v>
      </c>
      <c r="AI378" s="361" t="e">
        <f t="shared" si="168"/>
        <v>#N/A</v>
      </c>
      <c r="AJ378" s="361" t="e">
        <f t="shared" si="168"/>
        <v>#N/A</v>
      </c>
      <c r="AK378" s="361" t="e">
        <f t="shared" si="168"/>
        <v>#N/A</v>
      </c>
      <c r="AL378" s="361" t="e">
        <f t="shared" si="168"/>
        <v>#N/A</v>
      </c>
      <c r="AM378" s="361" t="e">
        <f t="shared" si="168"/>
        <v>#N/A</v>
      </c>
      <c r="AN378" s="361" t="e">
        <f t="shared" si="168"/>
        <v>#N/A</v>
      </c>
      <c r="AO378" s="361" t="e">
        <f t="shared" si="168"/>
        <v>#N/A</v>
      </c>
      <c r="AP378" s="361" t="e">
        <f t="shared" si="168"/>
        <v>#N/A</v>
      </c>
      <c r="AQ378" s="361" t="e">
        <f t="shared" si="168"/>
        <v>#N/A</v>
      </c>
    </row>
    <row r="379" spans="1:44" s="317" customFormat="1" ht="14.25" hidden="1">
      <c r="A379" s="1011" t="s">
        <v>328</v>
      </c>
      <c r="B379" s="1012"/>
      <c r="C379" s="1050"/>
      <c r="E379" s="361" t="e">
        <f>IF(E380="",NA(),ROUND(E380-E378,1))</f>
        <v>#N/A</v>
      </c>
      <c r="F379" s="361" t="e">
        <f t="shared" ref="F379:AQ379" si="169">IF(F380="",NA(),ROUND(F380-F378,1))</f>
        <v>#N/A</v>
      </c>
      <c r="G379" s="361" t="e">
        <f t="shared" si="169"/>
        <v>#N/A</v>
      </c>
      <c r="H379" s="361" t="e">
        <f t="shared" si="169"/>
        <v>#N/A</v>
      </c>
      <c r="I379" s="361" t="e">
        <f t="shared" si="169"/>
        <v>#N/A</v>
      </c>
      <c r="J379" s="361" t="e">
        <f t="shared" si="169"/>
        <v>#N/A</v>
      </c>
      <c r="K379" s="361" t="e">
        <f t="shared" si="169"/>
        <v>#N/A</v>
      </c>
      <c r="L379" s="361" t="e">
        <f t="shared" si="169"/>
        <v>#N/A</v>
      </c>
      <c r="M379" s="361" t="e">
        <f t="shared" si="169"/>
        <v>#N/A</v>
      </c>
      <c r="N379" s="361" t="e">
        <f t="shared" si="169"/>
        <v>#N/A</v>
      </c>
      <c r="O379" s="361" t="e">
        <f t="shared" si="169"/>
        <v>#N/A</v>
      </c>
      <c r="P379" s="361" t="e">
        <f t="shared" si="169"/>
        <v>#N/A</v>
      </c>
      <c r="Q379" s="361" t="e">
        <f t="shared" si="169"/>
        <v>#N/A</v>
      </c>
      <c r="R379" s="361" t="e">
        <f t="shared" si="169"/>
        <v>#N/A</v>
      </c>
      <c r="S379" s="361" t="e">
        <f t="shared" si="169"/>
        <v>#N/A</v>
      </c>
      <c r="T379" s="361" t="e">
        <f t="shared" si="169"/>
        <v>#N/A</v>
      </c>
      <c r="U379" s="361" t="e">
        <f t="shared" si="169"/>
        <v>#N/A</v>
      </c>
      <c r="V379" s="361" t="e">
        <f t="shared" si="169"/>
        <v>#N/A</v>
      </c>
      <c r="W379" s="361" t="e">
        <f t="shared" si="169"/>
        <v>#N/A</v>
      </c>
      <c r="X379" s="361" t="e">
        <f t="shared" si="169"/>
        <v>#N/A</v>
      </c>
      <c r="Y379" s="361" t="e">
        <f t="shared" si="169"/>
        <v>#N/A</v>
      </c>
      <c r="Z379" s="361" t="e">
        <f t="shared" si="169"/>
        <v>#N/A</v>
      </c>
      <c r="AA379" s="361" t="e">
        <f t="shared" si="169"/>
        <v>#N/A</v>
      </c>
      <c r="AB379" s="361" t="e">
        <f t="shared" si="169"/>
        <v>#N/A</v>
      </c>
      <c r="AC379" s="361" t="e">
        <f t="shared" si="169"/>
        <v>#N/A</v>
      </c>
      <c r="AD379" s="361" t="e">
        <f t="shared" si="169"/>
        <v>#N/A</v>
      </c>
      <c r="AE379" s="361" t="e">
        <f t="shared" si="169"/>
        <v>#N/A</v>
      </c>
      <c r="AF379" s="361" t="e">
        <f t="shared" si="169"/>
        <v>#N/A</v>
      </c>
      <c r="AG379" s="361" t="e">
        <f t="shared" si="169"/>
        <v>#N/A</v>
      </c>
      <c r="AH379" s="361" t="e">
        <f t="shared" si="169"/>
        <v>#N/A</v>
      </c>
      <c r="AI379" s="361" t="e">
        <f t="shared" si="169"/>
        <v>#N/A</v>
      </c>
      <c r="AJ379" s="361" t="e">
        <f t="shared" si="169"/>
        <v>#N/A</v>
      </c>
      <c r="AK379" s="361" t="e">
        <f t="shared" si="169"/>
        <v>#N/A</v>
      </c>
      <c r="AL379" s="361" t="e">
        <f t="shared" si="169"/>
        <v>#N/A</v>
      </c>
      <c r="AM379" s="361" t="e">
        <f t="shared" si="169"/>
        <v>#N/A</v>
      </c>
      <c r="AN379" s="361" t="e">
        <f t="shared" si="169"/>
        <v>#N/A</v>
      </c>
      <c r="AO379" s="361" t="e">
        <f t="shared" si="169"/>
        <v>#N/A</v>
      </c>
      <c r="AP379" s="361" t="e">
        <f t="shared" si="169"/>
        <v>#N/A</v>
      </c>
      <c r="AQ379" s="361" t="e">
        <f t="shared" si="169"/>
        <v>#N/A</v>
      </c>
    </row>
    <row r="380" spans="1:44" s="317" customFormat="1" ht="14.25" hidden="1">
      <c r="A380" s="1011" t="s">
        <v>329</v>
      </c>
      <c r="B380" s="1012"/>
      <c r="C380" s="1050"/>
      <c r="E380" s="360" t="e">
        <f t="shared" ref="E380:AQ380" si="170">IF(E376="",NA(),IF(E350&lt;=$B365,E376*$D368/100,IF(E350&lt;=$C365,E376*$E368/100,IF(E350&lt;=$D365,E376*$F368/100,IF(E350&lt;=$E365,E376*$G368/100,IF(E350&lt;=$F365,E376*$H368/100,IF(E350&lt;=$G365,E376*$I368/100,IF(E350&lt;=$H365,E376*$J368/100,IF(E350&lt;=$I365,E376*$K368/100,IF(E350&lt;=$J365,E376*$L368/100,IF(E350&lt;=$K365,E376*$M368/100,IF(E350&lt;=$L365,E376*$N368/100,IF(E350&lt;=$M365,E376*$O368/100,IF(E350&lt;=$N365,E376*$P368/100,IF(E350&lt;=$O365,E376*$Q368/100,IF(E350&lt;=$P365,E376*$R368/100,IF(E350&lt;=$Q365,E376*$S368/100,IF(E350&lt;=$R365,E376*$T368/100,IF(E350&lt;=$S365,E376*$U368/100,IF(E350&lt;=$T365,E376*$V368/100,IF(E350&lt;=$U365,E376*$W368/100,E376*$X368/100)))))))))))))))))))))</f>
        <v>#N/A</v>
      </c>
      <c r="F380" s="360" t="e">
        <f t="shared" si="170"/>
        <v>#N/A</v>
      </c>
      <c r="G380" s="360" t="e">
        <f t="shared" si="170"/>
        <v>#N/A</v>
      </c>
      <c r="H380" s="360" t="e">
        <f t="shared" si="170"/>
        <v>#N/A</v>
      </c>
      <c r="I380" s="360" t="e">
        <f t="shared" si="170"/>
        <v>#N/A</v>
      </c>
      <c r="J380" s="360" t="e">
        <f t="shared" si="170"/>
        <v>#N/A</v>
      </c>
      <c r="K380" s="360" t="e">
        <f t="shared" si="170"/>
        <v>#N/A</v>
      </c>
      <c r="L380" s="360" t="e">
        <f t="shared" si="170"/>
        <v>#N/A</v>
      </c>
      <c r="M380" s="360" t="e">
        <f t="shared" si="170"/>
        <v>#N/A</v>
      </c>
      <c r="N380" s="360" t="e">
        <f t="shared" si="170"/>
        <v>#N/A</v>
      </c>
      <c r="O380" s="360" t="e">
        <f t="shared" si="170"/>
        <v>#N/A</v>
      </c>
      <c r="P380" s="360" t="e">
        <f t="shared" si="170"/>
        <v>#N/A</v>
      </c>
      <c r="Q380" s="360" t="e">
        <f t="shared" si="170"/>
        <v>#N/A</v>
      </c>
      <c r="R380" s="360" t="e">
        <f t="shared" si="170"/>
        <v>#N/A</v>
      </c>
      <c r="S380" s="360" t="e">
        <f t="shared" si="170"/>
        <v>#N/A</v>
      </c>
      <c r="T380" s="360" t="e">
        <f t="shared" si="170"/>
        <v>#N/A</v>
      </c>
      <c r="U380" s="360" t="e">
        <f t="shared" si="170"/>
        <v>#N/A</v>
      </c>
      <c r="V380" s="360" t="e">
        <f t="shared" si="170"/>
        <v>#N/A</v>
      </c>
      <c r="W380" s="360" t="e">
        <f t="shared" si="170"/>
        <v>#N/A</v>
      </c>
      <c r="X380" s="360" t="e">
        <f t="shared" si="170"/>
        <v>#N/A</v>
      </c>
      <c r="Y380" s="360" t="e">
        <f t="shared" si="170"/>
        <v>#N/A</v>
      </c>
      <c r="Z380" s="360" t="e">
        <f t="shared" si="170"/>
        <v>#N/A</v>
      </c>
      <c r="AA380" s="360" t="e">
        <f t="shared" si="170"/>
        <v>#N/A</v>
      </c>
      <c r="AB380" s="360" t="e">
        <f t="shared" si="170"/>
        <v>#N/A</v>
      </c>
      <c r="AC380" s="360" t="e">
        <f t="shared" si="170"/>
        <v>#N/A</v>
      </c>
      <c r="AD380" s="360" t="e">
        <f t="shared" si="170"/>
        <v>#N/A</v>
      </c>
      <c r="AE380" s="360" t="e">
        <f t="shared" si="170"/>
        <v>#N/A</v>
      </c>
      <c r="AF380" s="360" t="e">
        <f t="shared" si="170"/>
        <v>#N/A</v>
      </c>
      <c r="AG380" s="360" t="e">
        <f t="shared" si="170"/>
        <v>#N/A</v>
      </c>
      <c r="AH380" s="360" t="e">
        <f t="shared" si="170"/>
        <v>#N/A</v>
      </c>
      <c r="AI380" s="360" t="e">
        <f t="shared" si="170"/>
        <v>#N/A</v>
      </c>
      <c r="AJ380" s="360" t="e">
        <f t="shared" si="170"/>
        <v>#N/A</v>
      </c>
      <c r="AK380" s="360" t="e">
        <f t="shared" si="170"/>
        <v>#N/A</v>
      </c>
      <c r="AL380" s="360" t="e">
        <f t="shared" si="170"/>
        <v>#N/A</v>
      </c>
      <c r="AM380" s="360" t="e">
        <f t="shared" si="170"/>
        <v>#N/A</v>
      </c>
      <c r="AN380" s="360" t="e">
        <f t="shared" si="170"/>
        <v>#N/A</v>
      </c>
      <c r="AO380" s="360" t="e">
        <f t="shared" si="170"/>
        <v>#N/A</v>
      </c>
      <c r="AP380" s="360" t="e">
        <f t="shared" si="170"/>
        <v>#N/A</v>
      </c>
      <c r="AQ380" s="360" t="e">
        <f t="shared" si="170"/>
        <v>#N/A</v>
      </c>
    </row>
    <row r="381" spans="1:44" s="317" customFormat="1" ht="15" hidden="1" thickBot="1">
      <c r="A381" s="1014" t="s">
        <v>330</v>
      </c>
      <c r="B381" s="1015"/>
      <c r="C381" s="1015"/>
      <c r="E381" s="362" t="e">
        <f>IF(E380="",NA(),ROUND(E378/E380*100,1))</f>
        <v>#N/A</v>
      </c>
      <c r="F381" s="362" t="e">
        <f t="shared" ref="F381:AQ381" si="171">IF(F380="",NA(),ROUND(F378/F380*100,1))</f>
        <v>#N/A</v>
      </c>
      <c r="G381" s="362" t="e">
        <f t="shared" si="171"/>
        <v>#N/A</v>
      </c>
      <c r="H381" s="362" t="e">
        <f t="shared" si="171"/>
        <v>#N/A</v>
      </c>
      <c r="I381" s="362" t="e">
        <f t="shared" si="171"/>
        <v>#N/A</v>
      </c>
      <c r="J381" s="362" t="e">
        <f t="shared" si="171"/>
        <v>#N/A</v>
      </c>
      <c r="K381" s="362" t="e">
        <f t="shared" si="171"/>
        <v>#N/A</v>
      </c>
      <c r="L381" s="362" t="e">
        <f t="shared" si="171"/>
        <v>#N/A</v>
      </c>
      <c r="M381" s="362" t="e">
        <f t="shared" si="171"/>
        <v>#N/A</v>
      </c>
      <c r="N381" s="362" t="e">
        <f t="shared" si="171"/>
        <v>#N/A</v>
      </c>
      <c r="O381" s="362" t="e">
        <f t="shared" si="171"/>
        <v>#N/A</v>
      </c>
      <c r="P381" s="362" t="e">
        <f t="shared" si="171"/>
        <v>#N/A</v>
      </c>
      <c r="Q381" s="362" t="e">
        <f t="shared" si="171"/>
        <v>#N/A</v>
      </c>
      <c r="R381" s="362" t="e">
        <f t="shared" si="171"/>
        <v>#N/A</v>
      </c>
      <c r="S381" s="362" t="e">
        <f t="shared" si="171"/>
        <v>#N/A</v>
      </c>
      <c r="T381" s="362" t="e">
        <f t="shared" si="171"/>
        <v>#N/A</v>
      </c>
      <c r="U381" s="362" t="e">
        <f t="shared" si="171"/>
        <v>#N/A</v>
      </c>
      <c r="V381" s="362" t="e">
        <f t="shared" si="171"/>
        <v>#N/A</v>
      </c>
      <c r="W381" s="362" t="e">
        <f t="shared" si="171"/>
        <v>#N/A</v>
      </c>
      <c r="X381" s="362" t="e">
        <f t="shared" si="171"/>
        <v>#N/A</v>
      </c>
      <c r="Y381" s="362" t="e">
        <f t="shared" si="171"/>
        <v>#N/A</v>
      </c>
      <c r="Z381" s="362" t="e">
        <f t="shared" si="171"/>
        <v>#N/A</v>
      </c>
      <c r="AA381" s="362" t="e">
        <f t="shared" si="171"/>
        <v>#N/A</v>
      </c>
      <c r="AB381" s="362" t="e">
        <f t="shared" si="171"/>
        <v>#N/A</v>
      </c>
      <c r="AC381" s="362" t="e">
        <f t="shared" si="171"/>
        <v>#N/A</v>
      </c>
      <c r="AD381" s="362" t="e">
        <f t="shared" si="171"/>
        <v>#N/A</v>
      </c>
      <c r="AE381" s="362" t="e">
        <f t="shared" si="171"/>
        <v>#N/A</v>
      </c>
      <c r="AF381" s="362" t="e">
        <f t="shared" si="171"/>
        <v>#N/A</v>
      </c>
      <c r="AG381" s="362" t="e">
        <f t="shared" si="171"/>
        <v>#N/A</v>
      </c>
      <c r="AH381" s="362" t="e">
        <f t="shared" si="171"/>
        <v>#N/A</v>
      </c>
      <c r="AI381" s="362" t="e">
        <f t="shared" si="171"/>
        <v>#N/A</v>
      </c>
      <c r="AJ381" s="362" t="e">
        <f t="shared" si="171"/>
        <v>#N/A</v>
      </c>
      <c r="AK381" s="362" t="e">
        <f t="shared" si="171"/>
        <v>#N/A</v>
      </c>
      <c r="AL381" s="362" t="e">
        <f t="shared" si="171"/>
        <v>#N/A</v>
      </c>
      <c r="AM381" s="362" t="e">
        <f t="shared" si="171"/>
        <v>#N/A</v>
      </c>
      <c r="AN381" s="362" t="e">
        <f t="shared" si="171"/>
        <v>#N/A</v>
      </c>
      <c r="AO381" s="362" t="e">
        <f t="shared" si="171"/>
        <v>#N/A</v>
      </c>
      <c r="AP381" s="362" t="e">
        <f t="shared" si="171"/>
        <v>#N/A</v>
      </c>
      <c r="AQ381" s="362" t="e">
        <f t="shared" si="171"/>
        <v>#N/A</v>
      </c>
      <c r="AR381" s="362"/>
    </row>
    <row r="382" spans="1:44" s="317" customFormat="1" ht="14.25" hidden="1"/>
    <row r="383" spans="1:44" s="317" customFormat="1" ht="21" hidden="1" customHeight="1" thickBot="1">
      <c r="A383" s="316" t="s">
        <v>354</v>
      </c>
    </row>
    <row r="384" spans="1:44" s="317" customFormat="1" ht="12.95" hidden="1" customHeight="1" thickBot="1">
      <c r="A384" s="1016" t="s">
        <v>286</v>
      </c>
      <c r="B384" s="1017"/>
      <c r="C384" s="1017"/>
      <c r="D384" s="1022" t="s">
        <v>429</v>
      </c>
      <c r="E384" s="1022"/>
      <c r="F384" s="1023"/>
      <c r="H384" s="318" t="s">
        <v>294</v>
      </c>
      <c r="I384" s="1022"/>
      <c r="J384" s="1023"/>
      <c r="L384" s="363" t="s">
        <v>295</v>
      </c>
      <c r="M384" s="1057"/>
      <c r="N384" s="1058"/>
      <c r="O384" s="364"/>
      <c r="P384" s="1059" t="s">
        <v>297</v>
      </c>
      <c r="Q384" s="1060"/>
      <c r="R384" s="365"/>
      <c r="S384" s="365"/>
      <c r="T384" s="365"/>
    </row>
    <row r="385" spans="1:44" s="317" customFormat="1" ht="12.95" hidden="1" customHeight="1" thickBot="1">
      <c r="L385" s="366" t="s">
        <v>296</v>
      </c>
      <c r="M385" s="1072"/>
      <c r="N385" s="1073"/>
      <c r="P385" s="1028"/>
      <c r="Q385" s="1029"/>
      <c r="R385" s="1029"/>
      <c r="S385" s="1029"/>
      <c r="T385" s="1029"/>
      <c r="U385" s="1029"/>
      <c r="V385" s="1029"/>
      <c r="W385" s="1029"/>
      <c r="X385" s="1030"/>
    </row>
    <row r="386" spans="1:44" s="317" customFormat="1" ht="14.25" hidden="1">
      <c r="A386" s="1037" t="s">
        <v>63</v>
      </c>
      <c r="B386" s="1038"/>
      <c r="C386" s="1038"/>
      <c r="D386" s="321" t="s">
        <v>49</v>
      </c>
      <c r="E386" s="321" t="s">
        <v>14</v>
      </c>
      <c r="F386" s="321" t="s">
        <v>16</v>
      </c>
      <c r="G386" s="321" t="s">
        <v>50</v>
      </c>
      <c r="H386" s="321" t="s">
        <v>51</v>
      </c>
      <c r="I386" s="322" t="s">
        <v>54</v>
      </c>
      <c r="J386" s="323" t="s">
        <v>53</v>
      </c>
      <c r="K386" s="324"/>
      <c r="P386" s="1031"/>
      <c r="Q386" s="1032"/>
      <c r="R386" s="1032"/>
      <c r="S386" s="1032"/>
      <c r="T386" s="1032"/>
      <c r="U386" s="1032"/>
      <c r="V386" s="1032"/>
      <c r="W386" s="1032"/>
      <c r="X386" s="1033"/>
      <c r="Z386" s="326"/>
      <c r="AA386" s="326"/>
    </row>
    <row r="387" spans="1:44" s="317" customFormat="1" ht="14.25" hidden="1">
      <c r="A387" s="1011" t="s">
        <v>166</v>
      </c>
      <c r="B387" s="1012"/>
      <c r="C387" s="1012"/>
      <c r="D387" s="373" t="str">
        <f>IF(D388+D389=0,"",D388+D389)</f>
        <v/>
      </c>
      <c r="E387" s="373" t="str">
        <f>IF(E388+E389=0,"",E388+E389)</f>
        <v/>
      </c>
      <c r="F387" s="373" t="str">
        <f>IF(F388+F389=0,"",F388+F389)</f>
        <v/>
      </c>
      <c r="G387" s="373" t="str">
        <f>IF(G388+G389=0,"",G388+G389)</f>
        <v/>
      </c>
      <c r="H387" s="373" t="str">
        <f>IF(H388+H389=0,"",H388+H389)</f>
        <v/>
      </c>
      <c r="I387" s="327"/>
      <c r="J387" s="373" t="str">
        <f>IF(SUM(D387:I387)=0,"",SUM(D387:I387))</f>
        <v/>
      </c>
      <c r="K387" s="324"/>
      <c r="P387" s="1031"/>
      <c r="Q387" s="1032"/>
      <c r="R387" s="1032"/>
      <c r="S387" s="1032"/>
      <c r="T387" s="1032"/>
      <c r="U387" s="1032"/>
      <c r="V387" s="1032"/>
      <c r="W387" s="1032"/>
      <c r="X387" s="1033"/>
      <c r="Z387" s="326"/>
      <c r="AA387" s="326"/>
    </row>
    <row r="388" spans="1:44" s="317" customFormat="1" ht="14.25" hidden="1">
      <c r="A388" s="1011" t="s">
        <v>95</v>
      </c>
      <c r="B388" s="1012"/>
      <c r="C388" s="1012"/>
      <c r="D388" s="373"/>
      <c r="E388" s="373"/>
      <c r="F388" s="373"/>
      <c r="G388" s="373"/>
      <c r="H388" s="373"/>
      <c r="I388" s="327"/>
      <c r="J388" s="373" t="str">
        <f>IF(SUM(D388:I388)=0,"",SUM(D388:I388))</f>
        <v/>
      </c>
      <c r="K388" s="330"/>
      <c r="P388" s="1031"/>
      <c r="Q388" s="1032"/>
      <c r="R388" s="1032"/>
      <c r="S388" s="1032"/>
      <c r="T388" s="1032"/>
      <c r="U388" s="1032"/>
      <c r="V388" s="1032"/>
      <c r="W388" s="1032"/>
      <c r="X388" s="1033"/>
      <c r="Y388" s="1013"/>
      <c r="Z388" s="1013"/>
      <c r="AA388" s="1013"/>
    </row>
    <row r="389" spans="1:44" s="317" customFormat="1" ht="14.25" hidden="1">
      <c r="A389" s="1011" t="s">
        <v>52</v>
      </c>
      <c r="B389" s="1012"/>
      <c r="C389" s="1012"/>
      <c r="D389" s="373"/>
      <c r="E389" s="373"/>
      <c r="F389" s="373"/>
      <c r="G389" s="373"/>
      <c r="H389" s="373"/>
      <c r="I389" s="327"/>
      <c r="J389" s="373" t="str">
        <f>IF(SUM(D389:I389)=0,"",SUM(D389:I389))</f>
        <v/>
      </c>
      <c r="K389" s="330"/>
      <c r="P389" s="1031"/>
      <c r="Q389" s="1032"/>
      <c r="R389" s="1032"/>
      <c r="S389" s="1032"/>
      <c r="T389" s="1032"/>
      <c r="U389" s="1032"/>
      <c r="V389" s="1032"/>
      <c r="W389" s="1032"/>
      <c r="X389" s="1033"/>
      <c r="Y389" s="1013"/>
      <c r="Z389" s="1013"/>
      <c r="AA389" s="1013"/>
    </row>
    <row r="390" spans="1:44" s="317" customFormat="1" ht="15" hidden="1" thickBot="1">
      <c r="A390" s="1014" t="s">
        <v>165</v>
      </c>
      <c r="B390" s="1015"/>
      <c r="C390" s="1015"/>
      <c r="D390" s="373"/>
      <c r="E390" s="373"/>
      <c r="F390" s="373"/>
      <c r="G390" s="373"/>
      <c r="H390" s="373"/>
      <c r="I390" s="373" t="str">
        <f>IF(SUM(E393:AQ393)=0,"",SUM(E393:AQ393))</f>
        <v/>
      </c>
      <c r="J390" s="373" t="str">
        <f>IF(SUM(D390:I390)=0,"",SUM(D390:I390))</f>
        <v/>
      </c>
      <c r="K390" s="330"/>
      <c r="O390" s="364"/>
      <c r="P390" s="1034"/>
      <c r="Q390" s="1035"/>
      <c r="R390" s="1035"/>
      <c r="S390" s="1035"/>
      <c r="T390" s="1035"/>
      <c r="U390" s="1035"/>
      <c r="V390" s="1035"/>
      <c r="W390" s="1035"/>
      <c r="X390" s="1036"/>
      <c r="Y390" s="1013"/>
      <c r="Z390" s="1013"/>
      <c r="AA390" s="1013"/>
    </row>
    <row r="391" spans="1:44" s="317" customFormat="1" ht="10.5" hidden="1" customHeight="1" thickBot="1"/>
    <row r="392" spans="1:44" s="317" customFormat="1" ht="14.25" hidden="1">
      <c r="A392" s="1056" t="s">
        <v>17</v>
      </c>
      <c r="B392" s="1038"/>
      <c r="C392" s="1038"/>
      <c r="D392" s="321">
        <v>1</v>
      </c>
      <c r="E392" s="321">
        <v>2</v>
      </c>
      <c r="F392" s="321">
        <v>3</v>
      </c>
      <c r="G392" s="321">
        <v>4</v>
      </c>
      <c r="H392" s="321">
        <v>5</v>
      </c>
      <c r="I392" s="321">
        <v>6</v>
      </c>
      <c r="J392" s="321">
        <v>7</v>
      </c>
      <c r="K392" s="321">
        <v>8</v>
      </c>
      <c r="L392" s="321">
        <v>9</v>
      </c>
      <c r="M392" s="321">
        <v>10</v>
      </c>
      <c r="N392" s="321">
        <v>11</v>
      </c>
      <c r="O392" s="321">
        <v>12</v>
      </c>
      <c r="P392" s="321">
        <v>13</v>
      </c>
      <c r="Q392" s="321">
        <v>14</v>
      </c>
      <c r="R392" s="321">
        <v>15</v>
      </c>
      <c r="S392" s="321">
        <v>16</v>
      </c>
      <c r="T392" s="321">
        <v>17</v>
      </c>
      <c r="U392" s="321">
        <v>18</v>
      </c>
      <c r="V392" s="321">
        <v>19</v>
      </c>
      <c r="W392" s="321">
        <v>20</v>
      </c>
      <c r="X392" s="321">
        <v>21</v>
      </c>
      <c r="Y392" s="321">
        <v>22</v>
      </c>
      <c r="Z392" s="321">
        <v>23</v>
      </c>
      <c r="AA392" s="321">
        <v>24</v>
      </c>
      <c r="AB392" s="321">
        <v>25</v>
      </c>
      <c r="AC392" s="321">
        <v>26</v>
      </c>
      <c r="AD392" s="321">
        <v>27</v>
      </c>
      <c r="AE392" s="321">
        <v>28</v>
      </c>
      <c r="AF392" s="321">
        <v>29</v>
      </c>
      <c r="AG392" s="321">
        <v>30</v>
      </c>
      <c r="AH392" s="321">
        <v>31</v>
      </c>
      <c r="AI392" s="321">
        <v>32</v>
      </c>
      <c r="AJ392" s="321">
        <v>33</v>
      </c>
      <c r="AK392" s="321">
        <v>34</v>
      </c>
      <c r="AL392" s="321">
        <v>35</v>
      </c>
      <c r="AM392" s="321">
        <v>36</v>
      </c>
      <c r="AN392" s="321">
        <v>37</v>
      </c>
      <c r="AO392" s="321">
        <v>38</v>
      </c>
      <c r="AP392" s="321">
        <v>39</v>
      </c>
      <c r="AQ392" s="323">
        <v>40</v>
      </c>
    </row>
    <row r="393" spans="1:44" s="317" customFormat="1" ht="14.25" hidden="1">
      <c r="A393" s="1011" t="s">
        <v>209</v>
      </c>
      <c r="B393" s="1012"/>
      <c r="C393" s="1012"/>
      <c r="D393" s="332"/>
      <c r="E393" s="329"/>
      <c r="F393" s="329"/>
      <c r="G393" s="329"/>
      <c r="H393" s="329"/>
      <c r="I393" s="329"/>
      <c r="J393" s="329"/>
      <c r="K393" s="329"/>
      <c r="L393" s="329"/>
      <c r="M393" s="329"/>
      <c r="N393" s="329"/>
      <c r="O393" s="329"/>
      <c r="P393" s="329"/>
      <c r="Q393" s="329"/>
      <c r="R393" s="329"/>
      <c r="S393" s="329"/>
      <c r="T393" s="329"/>
      <c r="U393" s="329"/>
      <c r="V393" s="329"/>
      <c r="W393" s="329"/>
      <c r="X393" s="329"/>
      <c r="Y393" s="329"/>
      <c r="Z393" s="329"/>
      <c r="AA393" s="329"/>
      <c r="AB393" s="329"/>
      <c r="AC393" s="329"/>
      <c r="AD393" s="329"/>
      <c r="AE393" s="329"/>
      <c r="AF393" s="329"/>
      <c r="AG393" s="329"/>
      <c r="AH393" s="329"/>
      <c r="AI393" s="329"/>
      <c r="AJ393" s="329"/>
      <c r="AK393" s="329"/>
      <c r="AL393" s="329"/>
      <c r="AM393" s="329"/>
      <c r="AN393" s="329"/>
      <c r="AO393" s="329"/>
      <c r="AP393" s="329"/>
      <c r="AQ393" s="333"/>
    </row>
    <row r="394" spans="1:44" s="317" customFormat="1" ht="14.25" hidden="1">
      <c r="A394" s="1063" t="s">
        <v>1</v>
      </c>
      <c r="B394" s="1064"/>
      <c r="C394" s="1065" t="s">
        <v>65</v>
      </c>
      <c r="D394" s="334"/>
      <c r="E394" s="335"/>
      <c r="F394" s="335"/>
      <c r="G394" s="335"/>
      <c r="H394" s="335"/>
      <c r="I394" s="335"/>
      <c r="J394" s="335"/>
      <c r="K394" s="335"/>
      <c r="L394" s="335"/>
      <c r="M394" s="335"/>
      <c r="N394" s="335"/>
      <c r="O394" s="335"/>
      <c r="P394" s="335"/>
      <c r="Q394" s="335"/>
      <c r="R394" s="335"/>
      <c r="S394" s="335"/>
      <c r="T394" s="335"/>
      <c r="U394" s="335"/>
      <c r="V394" s="335"/>
      <c r="W394" s="335"/>
      <c r="X394" s="335"/>
      <c r="Y394" s="335"/>
      <c r="Z394" s="335"/>
      <c r="AA394" s="335"/>
      <c r="AB394" s="335"/>
      <c r="AC394" s="335"/>
      <c r="AD394" s="335"/>
      <c r="AE394" s="335"/>
      <c r="AF394" s="335"/>
      <c r="AG394" s="335"/>
      <c r="AH394" s="335"/>
      <c r="AI394" s="335"/>
      <c r="AJ394" s="335"/>
      <c r="AK394" s="335"/>
      <c r="AL394" s="336"/>
      <c r="AM394" s="336"/>
      <c r="AN394" s="336"/>
      <c r="AO394" s="335"/>
      <c r="AP394" s="335"/>
      <c r="AQ394" s="337"/>
      <c r="AR394" s="344"/>
    </row>
    <row r="395" spans="1:44" s="317" customFormat="1" ht="14.25" hidden="1">
      <c r="A395" s="1063" t="s">
        <v>2</v>
      </c>
      <c r="B395" s="1064"/>
      <c r="C395" s="1065"/>
      <c r="D395" s="334"/>
      <c r="E395" s="335"/>
      <c r="F395" s="335"/>
      <c r="G395" s="335"/>
      <c r="H395" s="335"/>
      <c r="I395" s="335"/>
      <c r="J395" s="335"/>
      <c r="K395" s="335"/>
      <c r="L395" s="335"/>
      <c r="M395" s="335"/>
      <c r="N395" s="335"/>
      <c r="O395" s="335"/>
      <c r="P395" s="335"/>
      <c r="Q395" s="335"/>
      <c r="R395" s="335"/>
      <c r="S395" s="335"/>
      <c r="T395" s="335"/>
      <c r="U395" s="335"/>
      <c r="V395" s="335"/>
      <c r="W395" s="335"/>
      <c r="X395" s="335"/>
      <c r="Y395" s="335"/>
      <c r="Z395" s="335"/>
      <c r="AA395" s="335"/>
      <c r="AB395" s="335"/>
      <c r="AC395" s="335"/>
      <c r="AD395" s="335"/>
      <c r="AE395" s="335"/>
      <c r="AF395" s="335"/>
      <c r="AG395" s="335"/>
      <c r="AH395" s="335"/>
      <c r="AI395" s="335"/>
      <c r="AJ395" s="335"/>
      <c r="AK395" s="335"/>
      <c r="AL395" s="335"/>
      <c r="AM395" s="335"/>
      <c r="AN395" s="335"/>
      <c r="AO395" s="335"/>
      <c r="AP395" s="338"/>
      <c r="AQ395" s="339"/>
      <c r="AR395" s="344"/>
    </row>
    <row r="396" spans="1:44" s="317" customFormat="1" ht="14.25" hidden="1">
      <c r="A396" s="1011" t="s">
        <v>265</v>
      </c>
      <c r="B396" s="1012"/>
      <c r="C396" s="1012"/>
      <c r="D396" s="340"/>
      <c r="E396" s="341"/>
      <c r="F396" s="341"/>
      <c r="G396" s="341"/>
      <c r="H396" s="341"/>
      <c r="I396" s="341"/>
      <c r="J396" s="341"/>
      <c r="K396" s="341"/>
      <c r="L396" s="341"/>
      <c r="M396" s="341"/>
      <c r="N396" s="341"/>
      <c r="O396" s="341"/>
      <c r="P396" s="341"/>
      <c r="Q396" s="341"/>
      <c r="R396" s="341"/>
      <c r="S396" s="341"/>
      <c r="T396" s="341"/>
      <c r="U396" s="341"/>
      <c r="V396" s="341"/>
      <c r="W396" s="341"/>
      <c r="X396" s="341"/>
      <c r="Y396" s="341"/>
      <c r="Z396" s="341"/>
      <c r="AA396" s="341"/>
      <c r="AB396" s="341"/>
      <c r="AC396" s="341"/>
      <c r="AD396" s="341"/>
      <c r="AE396" s="341"/>
      <c r="AF396" s="341"/>
      <c r="AG396" s="341"/>
      <c r="AH396" s="341"/>
      <c r="AI396" s="341"/>
      <c r="AJ396" s="341"/>
      <c r="AK396" s="341"/>
      <c r="AL396" s="336"/>
      <c r="AM396" s="336"/>
      <c r="AN396" s="336"/>
      <c r="AO396" s="341"/>
      <c r="AP396" s="341"/>
      <c r="AQ396" s="342"/>
    </row>
    <row r="397" spans="1:44" s="317" customFormat="1" ht="14.25" hidden="1">
      <c r="A397" s="1011" t="s">
        <v>302</v>
      </c>
      <c r="B397" s="1012"/>
      <c r="C397" s="1012"/>
      <c r="D397" s="343"/>
      <c r="E397" s="374">
        <f>IFERROR(E416,"")</f>
        <v>0</v>
      </c>
      <c r="F397" s="374">
        <f t="shared" ref="F397:AQ397" si="172">IFERROR(F416,"")</f>
        <v>7</v>
      </c>
      <c r="G397" s="374">
        <f t="shared" si="172"/>
        <v>9.4</v>
      </c>
      <c r="H397" s="374">
        <f t="shared" si="172"/>
        <v>13.8</v>
      </c>
      <c r="I397" s="374">
        <f t="shared" si="172"/>
        <v>17.100000000000001</v>
      </c>
      <c r="J397" s="374">
        <f t="shared" si="172"/>
        <v>19.3</v>
      </c>
      <c r="K397" s="374">
        <f t="shared" si="172"/>
        <v>21.3</v>
      </c>
      <c r="L397" s="374">
        <f t="shared" si="172"/>
        <v>23.5</v>
      </c>
      <c r="M397" s="374">
        <f t="shared" si="172"/>
        <v>25.4</v>
      </c>
      <c r="N397" s="374">
        <f t="shared" si="172"/>
        <v>27</v>
      </c>
      <c r="O397" s="374">
        <f t="shared" si="172"/>
        <v>28</v>
      </c>
      <c r="P397" s="374">
        <f t="shared" si="172"/>
        <v>29.5</v>
      </c>
      <c r="Q397" s="374">
        <f t="shared" si="172"/>
        <v>31</v>
      </c>
      <c r="R397" s="374">
        <f t="shared" si="172"/>
        <v>32.5</v>
      </c>
      <c r="S397" s="374">
        <f t="shared" si="172"/>
        <v>34.1</v>
      </c>
      <c r="T397" s="374">
        <f t="shared" si="172"/>
        <v>35.1</v>
      </c>
      <c r="U397" s="374">
        <f t="shared" si="172"/>
        <v>35.9</v>
      </c>
      <c r="V397" s="374">
        <f t="shared" si="172"/>
        <v>36.9</v>
      </c>
      <c r="W397" s="374">
        <f t="shared" si="172"/>
        <v>37.799999999999997</v>
      </c>
      <c r="X397" s="374">
        <f t="shared" si="172"/>
        <v>38.5</v>
      </c>
      <c r="Y397" s="374">
        <f t="shared" si="172"/>
        <v>39.4</v>
      </c>
      <c r="Z397" s="374">
        <f t="shared" si="172"/>
        <v>39.799999999999997</v>
      </c>
      <c r="AA397" s="374">
        <f t="shared" si="172"/>
        <v>39.9</v>
      </c>
      <c r="AB397" s="374">
        <f t="shared" si="172"/>
        <v>0</v>
      </c>
      <c r="AC397" s="374">
        <f t="shared" si="172"/>
        <v>0</v>
      </c>
      <c r="AD397" s="374">
        <f t="shared" si="172"/>
        <v>40.6</v>
      </c>
      <c r="AE397" s="374">
        <f t="shared" si="172"/>
        <v>0</v>
      </c>
      <c r="AF397" s="374">
        <f t="shared" si="172"/>
        <v>40.9</v>
      </c>
      <c r="AG397" s="374">
        <f t="shared" si="172"/>
        <v>0</v>
      </c>
      <c r="AH397" s="374">
        <f t="shared" si="172"/>
        <v>0</v>
      </c>
      <c r="AI397" s="374" t="str">
        <f t="shared" si="172"/>
        <v/>
      </c>
      <c r="AJ397" s="374" t="str">
        <f t="shared" si="172"/>
        <v/>
      </c>
      <c r="AK397" s="374" t="str">
        <f t="shared" si="172"/>
        <v/>
      </c>
      <c r="AL397" s="374" t="str">
        <f t="shared" si="172"/>
        <v/>
      </c>
      <c r="AM397" s="374" t="str">
        <f t="shared" si="172"/>
        <v/>
      </c>
      <c r="AN397" s="374" t="str">
        <f t="shared" si="172"/>
        <v/>
      </c>
      <c r="AO397" s="374" t="str">
        <f t="shared" si="172"/>
        <v/>
      </c>
      <c r="AP397" s="374" t="str">
        <f t="shared" si="172"/>
        <v/>
      </c>
      <c r="AQ397" s="374" t="str">
        <f t="shared" si="172"/>
        <v/>
      </c>
    </row>
    <row r="398" spans="1:44" s="317" customFormat="1" ht="14.25" hidden="1" customHeight="1">
      <c r="A398" s="1011" t="s">
        <v>303</v>
      </c>
      <c r="B398" s="1012"/>
      <c r="C398" s="1012"/>
      <c r="D398" s="343"/>
      <c r="E398" s="374">
        <f>IFERROR(E417,"")</f>
        <v>27.1</v>
      </c>
      <c r="F398" s="374">
        <f t="shared" ref="F398:AQ398" si="173">IFERROR(F417,"")</f>
        <v>21.5</v>
      </c>
      <c r="G398" s="374">
        <f t="shared" si="173"/>
        <v>22</v>
      </c>
      <c r="H398" s="374">
        <f t="shared" si="173"/>
        <v>20.5</v>
      </c>
      <c r="I398" s="374">
        <f t="shared" si="173"/>
        <v>19.399999999999999</v>
      </c>
      <c r="J398" s="374">
        <f t="shared" si="173"/>
        <v>18.899999999999999</v>
      </c>
      <c r="K398" s="374">
        <f t="shared" si="173"/>
        <v>17.8</v>
      </c>
      <c r="L398" s="374">
        <f t="shared" si="173"/>
        <v>17</v>
      </c>
      <c r="M398" s="374">
        <f t="shared" si="173"/>
        <v>15.8</v>
      </c>
      <c r="N398" s="374">
        <f t="shared" si="173"/>
        <v>15.5</v>
      </c>
      <c r="O398" s="374">
        <f t="shared" si="173"/>
        <v>15.5</v>
      </c>
      <c r="P398" s="374">
        <f t="shared" si="173"/>
        <v>14.4</v>
      </c>
      <c r="Q398" s="374">
        <f t="shared" si="173"/>
        <v>13.9</v>
      </c>
      <c r="R398" s="374">
        <f t="shared" si="173"/>
        <v>13.2</v>
      </c>
      <c r="S398" s="374">
        <f t="shared" si="173"/>
        <v>12.6</v>
      </c>
      <c r="T398" s="374">
        <f t="shared" si="173"/>
        <v>12.2</v>
      </c>
      <c r="U398" s="374">
        <f t="shared" si="173"/>
        <v>11.7</v>
      </c>
      <c r="V398" s="374">
        <f t="shared" si="173"/>
        <v>11.2</v>
      </c>
      <c r="W398" s="374">
        <f t="shared" si="173"/>
        <v>10.9</v>
      </c>
      <c r="X398" s="374">
        <f t="shared" si="173"/>
        <v>10.6</v>
      </c>
      <c r="Y398" s="374" t="str">
        <f t="shared" si="173"/>
        <v/>
      </c>
      <c r="Z398" s="374" t="str">
        <f t="shared" si="173"/>
        <v/>
      </c>
      <c r="AA398" s="374">
        <f t="shared" si="173"/>
        <v>9.8000000000000007</v>
      </c>
      <c r="AB398" s="374" t="str">
        <f t="shared" si="173"/>
        <v/>
      </c>
      <c r="AC398" s="374">
        <f t="shared" si="173"/>
        <v>50.1</v>
      </c>
      <c r="AD398" s="374">
        <f t="shared" si="173"/>
        <v>9.8000000000000007</v>
      </c>
      <c r="AE398" s="374" t="str">
        <f t="shared" si="173"/>
        <v/>
      </c>
      <c r="AF398" s="374">
        <f t="shared" si="173"/>
        <v>10.6</v>
      </c>
      <c r="AG398" s="374" t="str">
        <f t="shared" si="173"/>
        <v/>
      </c>
      <c r="AH398" s="374" t="str">
        <f t="shared" si="173"/>
        <v/>
      </c>
      <c r="AI398" s="374" t="str">
        <f t="shared" si="173"/>
        <v/>
      </c>
      <c r="AJ398" s="374" t="str">
        <f t="shared" si="173"/>
        <v/>
      </c>
      <c r="AK398" s="374" t="str">
        <f t="shared" si="173"/>
        <v/>
      </c>
      <c r="AL398" s="374" t="str">
        <f t="shared" si="173"/>
        <v/>
      </c>
      <c r="AM398" s="374" t="str">
        <f t="shared" si="173"/>
        <v/>
      </c>
      <c r="AN398" s="374" t="str">
        <f t="shared" si="173"/>
        <v/>
      </c>
      <c r="AO398" s="374" t="str">
        <f t="shared" si="173"/>
        <v/>
      </c>
      <c r="AP398" s="374" t="str">
        <f t="shared" si="173"/>
        <v/>
      </c>
      <c r="AQ398" s="374" t="str">
        <f t="shared" si="173"/>
        <v/>
      </c>
    </row>
    <row r="399" spans="1:44" s="317" customFormat="1" ht="14.25" hidden="1">
      <c r="A399" s="1011" t="s">
        <v>304</v>
      </c>
      <c r="B399" s="1012"/>
      <c r="C399" s="1012"/>
      <c r="D399" s="343"/>
      <c r="E399" s="374">
        <f>IFERROR(E418,"")</f>
        <v>27.135000000000002</v>
      </c>
      <c r="F399" s="374">
        <f t="shared" ref="F399:AQ400" si="174">IFERROR(F418,"")</f>
        <v>28.484999999999999</v>
      </c>
      <c r="G399" s="374">
        <f t="shared" si="174"/>
        <v>31.4</v>
      </c>
      <c r="H399" s="374">
        <f t="shared" si="174"/>
        <v>34.299999999999997</v>
      </c>
      <c r="I399" s="374">
        <f t="shared" si="174"/>
        <v>36.5</v>
      </c>
      <c r="J399" s="374">
        <f t="shared" si="174"/>
        <v>38.200000000000003</v>
      </c>
      <c r="K399" s="374">
        <f t="shared" si="174"/>
        <v>39.1</v>
      </c>
      <c r="L399" s="374">
        <f t="shared" si="174"/>
        <v>40.5</v>
      </c>
      <c r="M399" s="374">
        <f t="shared" si="174"/>
        <v>41.2</v>
      </c>
      <c r="N399" s="374">
        <f t="shared" si="174"/>
        <v>42.5</v>
      </c>
      <c r="O399" s="374">
        <f t="shared" si="174"/>
        <v>43.5</v>
      </c>
      <c r="P399" s="374">
        <f t="shared" si="174"/>
        <v>43.9</v>
      </c>
      <c r="Q399" s="374">
        <f t="shared" si="174"/>
        <v>44.9</v>
      </c>
      <c r="R399" s="374">
        <f t="shared" si="174"/>
        <v>45.7</v>
      </c>
      <c r="S399" s="374">
        <f t="shared" si="174"/>
        <v>46.7</v>
      </c>
      <c r="T399" s="374">
        <f t="shared" si="174"/>
        <v>47.3</v>
      </c>
      <c r="U399" s="374">
        <f t="shared" si="174"/>
        <v>47.6</v>
      </c>
      <c r="V399" s="374">
        <f t="shared" si="174"/>
        <v>48.1</v>
      </c>
      <c r="W399" s="374">
        <f t="shared" si="174"/>
        <v>48.704999999999998</v>
      </c>
      <c r="X399" s="374">
        <f t="shared" si="174"/>
        <v>49.1</v>
      </c>
      <c r="Y399" s="374">
        <f t="shared" si="174"/>
        <v>0</v>
      </c>
      <c r="Z399" s="374">
        <f t="shared" si="174"/>
        <v>0</v>
      </c>
      <c r="AA399" s="374">
        <f t="shared" si="174"/>
        <v>49.66</v>
      </c>
      <c r="AB399" s="374">
        <f t="shared" si="174"/>
        <v>0</v>
      </c>
      <c r="AC399" s="374">
        <f t="shared" si="174"/>
        <v>50.1</v>
      </c>
      <c r="AD399" s="374">
        <f t="shared" si="174"/>
        <v>50.357480314960632</v>
      </c>
      <c r="AE399" s="374">
        <f t="shared" si="174"/>
        <v>0</v>
      </c>
      <c r="AF399" s="374">
        <f t="shared" si="174"/>
        <v>51.509448818897638</v>
      </c>
      <c r="AG399" s="374">
        <f t="shared" si="174"/>
        <v>0</v>
      </c>
      <c r="AH399" s="374" t="str">
        <f t="shared" si="174"/>
        <v/>
      </c>
      <c r="AI399" s="374" t="str">
        <f t="shared" si="174"/>
        <v/>
      </c>
      <c r="AJ399" s="374" t="str">
        <f t="shared" si="174"/>
        <v/>
      </c>
      <c r="AK399" s="374" t="str">
        <f t="shared" si="174"/>
        <v/>
      </c>
      <c r="AL399" s="374" t="str">
        <f t="shared" si="174"/>
        <v/>
      </c>
      <c r="AM399" s="374" t="str">
        <f t="shared" si="174"/>
        <v/>
      </c>
      <c r="AN399" s="374" t="str">
        <f t="shared" si="174"/>
        <v/>
      </c>
      <c r="AO399" s="374" t="str">
        <f t="shared" si="174"/>
        <v/>
      </c>
      <c r="AP399" s="374" t="str">
        <f t="shared" si="174"/>
        <v/>
      </c>
      <c r="AQ399" s="374" t="str">
        <f t="shared" si="174"/>
        <v/>
      </c>
    </row>
    <row r="400" spans="1:44" s="317" customFormat="1" ht="15" hidden="1" thickBot="1">
      <c r="A400" s="1074" t="s">
        <v>305</v>
      </c>
      <c r="B400" s="1075"/>
      <c r="C400" s="1075"/>
      <c r="D400" s="345"/>
      <c r="E400" s="374">
        <f>IFERROR(E419,"")</f>
        <v>0</v>
      </c>
      <c r="F400" s="374">
        <f t="shared" ref="F400:T400" si="175">IFERROR(F419,"")</f>
        <v>25.4</v>
      </c>
      <c r="G400" s="374">
        <f t="shared" si="175"/>
        <v>33.9</v>
      </c>
      <c r="H400" s="374">
        <f t="shared" si="175"/>
        <v>40.9</v>
      </c>
      <c r="I400" s="374">
        <f t="shared" si="175"/>
        <v>48.5</v>
      </c>
      <c r="J400" s="374">
        <f t="shared" si="175"/>
        <v>53.5</v>
      </c>
      <c r="K400" s="374">
        <f t="shared" si="175"/>
        <v>58.3</v>
      </c>
      <c r="L400" s="374">
        <f t="shared" si="175"/>
        <v>62</v>
      </c>
      <c r="M400" s="374">
        <f t="shared" si="175"/>
        <v>65.8</v>
      </c>
      <c r="N400" s="374">
        <f t="shared" si="175"/>
        <v>68.2</v>
      </c>
      <c r="O400" s="374">
        <f t="shared" si="175"/>
        <v>70.3</v>
      </c>
      <c r="P400" s="374">
        <f t="shared" si="175"/>
        <v>72.5</v>
      </c>
      <c r="Q400" s="374">
        <f t="shared" si="175"/>
        <v>74</v>
      </c>
      <c r="R400" s="374">
        <f t="shared" si="175"/>
        <v>74.7</v>
      </c>
      <c r="S400" s="374">
        <f t="shared" si="175"/>
        <v>76.400000000000006</v>
      </c>
      <c r="T400" s="374">
        <f t="shared" si="175"/>
        <v>77.2</v>
      </c>
      <c r="U400" s="374">
        <f t="shared" si="174"/>
        <v>78.2</v>
      </c>
      <c r="V400" s="374">
        <f t="shared" si="174"/>
        <v>78.8</v>
      </c>
      <c r="W400" s="374">
        <f t="shared" si="174"/>
        <v>79.2</v>
      </c>
      <c r="X400" s="374">
        <f t="shared" si="174"/>
        <v>79.7</v>
      </c>
      <c r="Y400" s="374">
        <f t="shared" si="174"/>
        <v>80.400000000000006</v>
      </c>
      <c r="Z400" s="374">
        <f t="shared" si="174"/>
        <v>80.5</v>
      </c>
      <c r="AA400" s="374">
        <f t="shared" si="174"/>
        <v>80.5</v>
      </c>
      <c r="AB400" s="374">
        <f t="shared" si="174"/>
        <v>0</v>
      </c>
      <c r="AC400" s="374">
        <f t="shared" si="174"/>
        <v>0</v>
      </c>
      <c r="AD400" s="374">
        <f t="shared" si="174"/>
        <v>0</v>
      </c>
      <c r="AE400" s="374">
        <f t="shared" si="174"/>
        <v>0</v>
      </c>
      <c r="AF400" s="374">
        <f t="shared" si="174"/>
        <v>0</v>
      </c>
      <c r="AG400" s="374">
        <f t="shared" si="174"/>
        <v>0</v>
      </c>
      <c r="AH400" s="374" t="str">
        <f t="shared" si="174"/>
        <v/>
      </c>
      <c r="AI400" s="374" t="str">
        <f t="shared" si="174"/>
        <v/>
      </c>
      <c r="AJ400" s="374" t="str">
        <f t="shared" si="174"/>
        <v/>
      </c>
      <c r="AK400" s="374" t="str">
        <f t="shared" si="174"/>
        <v/>
      </c>
      <c r="AL400" s="374" t="str">
        <f t="shared" si="174"/>
        <v/>
      </c>
      <c r="AM400" s="374" t="str">
        <f t="shared" si="174"/>
        <v/>
      </c>
      <c r="AN400" s="374" t="str">
        <f t="shared" si="174"/>
        <v/>
      </c>
      <c r="AO400" s="374" t="str">
        <f t="shared" si="174"/>
        <v/>
      </c>
      <c r="AP400" s="374" t="str">
        <f t="shared" si="174"/>
        <v/>
      </c>
      <c r="AQ400" s="374" t="str">
        <f t="shared" si="174"/>
        <v/>
      </c>
      <c r="AR400" s="344"/>
    </row>
    <row r="401" spans="1:43" hidden="1"/>
    <row r="402" spans="1:43" s="317" customFormat="1" ht="14.25" hidden="1">
      <c r="A402" s="346"/>
      <c r="B402" s="346" t="s">
        <v>175</v>
      </c>
      <c r="C402" s="346" t="s">
        <v>176</v>
      </c>
      <c r="D402" s="347" t="s">
        <v>177</v>
      </c>
      <c r="E402" s="346" t="s">
        <v>178</v>
      </c>
      <c r="F402" s="346" t="s">
        <v>179</v>
      </c>
      <c r="G402" s="346" t="s">
        <v>180</v>
      </c>
      <c r="H402" s="346" t="s">
        <v>181</v>
      </c>
      <c r="I402" s="346" t="s">
        <v>182</v>
      </c>
      <c r="J402" s="346" t="s">
        <v>183</v>
      </c>
      <c r="K402" s="346" t="s">
        <v>184</v>
      </c>
      <c r="L402" s="346" t="s">
        <v>306</v>
      </c>
      <c r="M402" s="346" t="s">
        <v>307</v>
      </c>
      <c r="N402" s="346" t="s">
        <v>308</v>
      </c>
      <c r="O402" s="346" t="s">
        <v>309</v>
      </c>
      <c r="P402" s="346" t="s">
        <v>310</v>
      </c>
      <c r="Q402" s="346" t="s">
        <v>311</v>
      </c>
      <c r="R402" s="346" t="s">
        <v>312</v>
      </c>
      <c r="S402" s="346" t="s">
        <v>313</v>
      </c>
      <c r="T402" s="346" t="s">
        <v>314</v>
      </c>
      <c r="U402" s="346" t="s">
        <v>315</v>
      </c>
    </row>
    <row r="403" spans="1:43" s="317" customFormat="1" ht="14.25" hidden="1">
      <c r="A403" s="348" t="s">
        <v>185</v>
      </c>
      <c r="B403" s="348" t="str">
        <f t="array" aca="1" ref="B403" ca="1">IFERROR(OFFSET(INDEX(393:393,SMALL(IF(393:393&lt;&gt;"",COLUMN(393:393)),COLUMN())),-1,0),"")</f>
        <v/>
      </c>
      <c r="C403" s="348" t="str">
        <f t="array" aca="1" ref="C403" ca="1">IFERROR(OFFSET(INDEX(393:393,SMALL(IF(393:393&lt;&gt;"",COLUMN(393:393)),COLUMN())),-1,0),"")</f>
        <v/>
      </c>
      <c r="D403" s="348" t="str">
        <f t="array" aca="1" ref="D403" ca="1">IFERROR(OFFSET(INDEX(393:393,SMALL(IF(393:393&lt;&gt;"",COLUMN(393:393)),COLUMN())),-1,0),"")</f>
        <v/>
      </c>
      <c r="E403" s="348" t="str">
        <f t="array" aca="1" ref="E403" ca="1">IFERROR(OFFSET(INDEX(393:393,SMALL(IF(393:393&lt;&gt;"",COLUMN(393:393)),COLUMN())),-1,0),"")</f>
        <v/>
      </c>
      <c r="F403" s="348" t="str">
        <f t="array" aca="1" ref="F403" ca="1">IFERROR(OFFSET(INDEX(393:393,SMALL(IF(393:393&lt;&gt;"",COLUMN(393:393)),COLUMN())),-1,0),"")</f>
        <v/>
      </c>
      <c r="G403" s="348" t="str">
        <f t="array" aca="1" ref="G403" ca="1">IFERROR(OFFSET(INDEX(393:393,SMALL(IF(393:393&lt;&gt;"",COLUMN(393:393)),COLUMN())),-1,0),"")</f>
        <v/>
      </c>
      <c r="H403" s="348" t="str">
        <f t="array" aca="1" ref="H403" ca="1">IFERROR(OFFSET(INDEX(393:393,SMALL(IF(393:393&lt;&gt;"",COLUMN(393:393)),COLUMN())),-1,0),"")</f>
        <v/>
      </c>
      <c r="I403" s="348" t="str">
        <f t="array" aca="1" ref="I403" ca="1">IFERROR(OFFSET(INDEX(393:393,SMALL(IF(393:393&lt;&gt;"",COLUMN(393:393)),COLUMN())),-1,0),"")</f>
        <v/>
      </c>
      <c r="J403" s="348" t="str">
        <f t="array" aca="1" ref="J403" ca="1">IFERROR(OFFSET(INDEX(393:393,SMALL(IF(393:393&lt;&gt;"",COLUMN(393:393)),COLUMN())),-1,0),"")</f>
        <v/>
      </c>
      <c r="K403" s="348" t="str">
        <f t="array" aca="1" ref="K403" ca="1">IFERROR(OFFSET(INDEX(393:393,SMALL(IF(393:393&lt;&gt;"",COLUMN(393:393)),COLUMN())),-1,0),"")</f>
        <v/>
      </c>
      <c r="L403" s="348" t="str">
        <f t="array" aca="1" ref="L403" ca="1">IFERROR(OFFSET(INDEX(393:393,SMALL(IF(393:393&lt;&gt;"",COLUMN(393:393)),COLUMN())),-1,0),"")</f>
        <v/>
      </c>
      <c r="M403" s="348" t="str">
        <f t="array" aca="1" ref="M403" ca="1">IFERROR(OFFSET(INDEX(393:393,SMALL(IF(393:393&lt;&gt;"",COLUMN(393:393)),COLUMN())),-1,0),"")</f>
        <v/>
      </c>
      <c r="N403" s="348" t="str">
        <f t="array" aca="1" ref="N403" ca="1">IFERROR(OFFSET(INDEX(393:393,SMALL(IF(393:393&lt;&gt;"",COLUMN(393:393)),COLUMN())),-1,0),"")</f>
        <v/>
      </c>
      <c r="O403" s="348" t="str">
        <f t="array" aca="1" ref="O403" ca="1">IFERROR(OFFSET(INDEX(393:393,SMALL(IF(393:393&lt;&gt;"",COLUMN(393:393)),COLUMN())),-1,0),"")</f>
        <v/>
      </c>
      <c r="P403" s="348" t="str">
        <f t="array" aca="1" ref="P403" ca="1">IFERROR(OFFSET(INDEX(393:393,SMALL(IF(393:393&lt;&gt;"",COLUMN(393:393)),COLUMN())),-1,0),"")</f>
        <v/>
      </c>
      <c r="Q403" s="348" t="str">
        <f t="array" aca="1" ref="Q403" ca="1">IFERROR(OFFSET(INDEX(393:393,SMALL(IF(393:393&lt;&gt;"",COLUMN(393:393)),COLUMN())),-1,0),"")</f>
        <v/>
      </c>
      <c r="R403" s="348" t="str">
        <f t="array" aca="1" ref="R403" ca="1">IFERROR(OFFSET(INDEX(393:393,SMALL(IF(393:393&lt;&gt;"",COLUMN(393:393)),COLUMN())),-1,0),"")</f>
        <v/>
      </c>
      <c r="S403" s="348" t="str">
        <f t="array" aca="1" ref="S403" ca="1">IFERROR(OFFSET(INDEX(393:393,SMALL(IF(393:393&lt;&gt;"",COLUMN(393:393)),COLUMN())),-1,0),"")</f>
        <v/>
      </c>
      <c r="T403" s="348" t="str">
        <f t="array" aca="1" ref="T403" ca="1">IFERROR(OFFSET(INDEX(393:393,SMALL(IF(393:393&lt;&gt;"",COLUMN(393:393)),COLUMN())),-1,0),"")</f>
        <v/>
      </c>
      <c r="U403" s="348" t="str">
        <f t="array" aca="1" ref="U403" ca="1">IFERROR(OFFSET(INDEX(393:393,SMALL(IF(393:393&lt;&gt;"",COLUMN(393:393)),COLUMN())),-1,0),"")</f>
        <v/>
      </c>
    </row>
    <row r="404" spans="1:43" s="317" customFormat="1" ht="14.25" hidden="1">
      <c r="A404" s="348" t="str">
        <f t="array" ref="A404">IFERROR(INDEX(393:393,SMALL(IF(393:393&lt;&gt;"",COLUMN(393:393)),COLUMN())),"")</f>
        <v>追水量（L)</v>
      </c>
      <c r="B404" s="348" t="str">
        <f t="array" ref="B404">IFERROR(INDEX(393:393,SMALL(IF(393:393&lt;&gt;"",COLUMN(393:393)),COLUMN())),"")</f>
        <v/>
      </c>
      <c r="C404" s="348" t="str">
        <f t="array" ref="C404">IFERROR(INDEX(393:393,SMALL(IF(393:393&lt;&gt;"",COLUMN(393:393)),COLUMN())),"")</f>
        <v/>
      </c>
      <c r="D404" s="348" t="str">
        <f t="array" ref="D404">IFERROR(INDEX(393:393,SMALL(IF(393:393&lt;&gt;"",COLUMN(393:393)),COLUMN())),"")</f>
        <v/>
      </c>
      <c r="E404" s="348" t="str">
        <f t="array" ref="E404">IFERROR(INDEX(393:393,SMALL(IF(393:393&lt;&gt;"",COLUMN(393:393)),COLUMN())),"")</f>
        <v/>
      </c>
      <c r="F404" s="348" t="str">
        <f t="array" ref="F404">IFERROR(INDEX(393:393,SMALL(IF(393:393&lt;&gt;"",COLUMN(393:393)),COLUMN())),"")</f>
        <v/>
      </c>
      <c r="G404" s="348" t="str">
        <f t="array" ref="G404">IFERROR(INDEX(393:393,SMALL(IF(393:393&lt;&gt;"",COLUMN(393:393)),COLUMN())),"")</f>
        <v/>
      </c>
      <c r="H404" s="348" t="str">
        <f t="array" ref="H404">IFERROR(INDEX(393:393,SMALL(IF(393:393&lt;&gt;"",COLUMN(393:393)),COLUMN())),"")</f>
        <v/>
      </c>
      <c r="I404" s="348" t="str">
        <f t="array" ref="I404">IFERROR(INDEX(393:393,SMALL(IF(393:393&lt;&gt;"",COLUMN(393:393)),COLUMN())),"")</f>
        <v/>
      </c>
      <c r="J404" s="348" t="str">
        <f t="array" ref="J404">IFERROR(INDEX(393:393,SMALL(IF(393:393&lt;&gt;"",COLUMN(393:393)),COLUMN())),"")</f>
        <v/>
      </c>
      <c r="K404" s="348" t="str">
        <f t="array" ref="K404">IFERROR(INDEX(393:393,SMALL(IF(393:393&lt;&gt;"",COLUMN(393:393)),COLUMN())),"")</f>
        <v/>
      </c>
      <c r="L404" s="348" t="str">
        <f t="array" ref="L404">IFERROR(INDEX(393:393,SMALL(IF(393:393&lt;&gt;"",COLUMN(393:393)),COLUMN())),"")</f>
        <v/>
      </c>
      <c r="M404" s="348" t="str">
        <f t="array" ref="M404">IFERROR(INDEX(393:393,SMALL(IF(393:393&lt;&gt;"",COLUMN(393:393)),COLUMN())),"")</f>
        <v/>
      </c>
      <c r="N404" s="348" t="str">
        <f t="array" ref="N404">IFERROR(INDEX(393:393,SMALL(IF(393:393&lt;&gt;"",COLUMN(393:393)),COLUMN())),"")</f>
        <v/>
      </c>
      <c r="O404" s="348" t="str">
        <f t="array" ref="O404">IFERROR(INDEX(393:393,SMALL(IF(393:393&lt;&gt;"",COLUMN(393:393)),COLUMN())),"")</f>
        <v/>
      </c>
      <c r="P404" s="348" t="str">
        <f t="array" ref="P404">IFERROR(INDEX(393:393,SMALL(IF(393:393&lt;&gt;"",COLUMN(393:393)),COLUMN())),"")</f>
        <v/>
      </c>
      <c r="Q404" s="348" t="str">
        <f t="array" ref="Q404">IFERROR(INDEX(393:393,SMALL(IF(393:393&lt;&gt;"",COLUMN(393:393)),COLUMN())),"")</f>
        <v/>
      </c>
      <c r="R404" s="348" t="str">
        <f t="array" ref="R404">IFERROR(INDEX(393:393,SMALL(IF(393:393&lt;&gt;"",COLUMN(393:393)),COLUMN())),"")</f>
        <v/>
      </c>
      <c r="S404" s="348" t="str">
        <f t="array" ref="S404">IFERROR(INDEX(393:393,SMALL(IF(393:393&lt;&gt;"",COLUMN(393:393)),COLUMN())),"")</f>
        <v/>
      </c>
      <c r="T404" s="348" t="str">
        <f t="array" ref="T404">IFERROR(INDEX(393:393,SMALL(IF(393:393&lt;&gt;"",COLUMN(393:393)),COLUMN())),"")</f>
        <v/>
      </c>
      <c r="U404" s="348" t="str">
        <f t="array" ref="U404">IFERROR(INDEX(393:393,SMALL(IF(393:393&lt;&gt;"",COLUMN(393:393)),COLUMN())),"")</f>
        <v/>
      </c>
    </row>
    <row r="405" spans="1:43" s="317" customFormat="1" ht="14.25" hidden="1">
      <c r="A405" s="1053" t="s">
        <v>186</v>
      </c>
      <c r="B405" s="1053"/>
      <c r="C405" s="1053"/>
      <c r="D405" s="349" t="s">
        <v>187</v>
      </c>
      <c r="E405" s="349" t="s">
        <v>188</v>
      </c>
      <c r="F405" s="349" t="s">
        <v>189</v>
      </c>
      <c r="G405" s="349" t="s">
        <v>190</v>
      </c>
      <c r="H405" s="349" t="s">
        <v>191</v>
      </c>
      <c r="I405" s="349" t="s">
        <v>192</v>
      </c>
      <c r="J405" s="349" t="s">
        <v>193</v>
      </c>
      <c r="K405" s="349" t="s">
        <v>194</v>
      </c>
      <c r="L405" s="347" t="s">
        <v>195</v>
      </c>
      <c r="M405" s="347" t="s">
        <v>196</v>
      </c>
      <c r="N405" s="347" t="s">
        <v>197</v>
      </c>
      <c r="O405" s="347" t="s">
        <v>316</v>
      </c>
      <c r="P405" s="347" t="s">
        <v>317</v>
      </c>
      <c r="Q405" s="347" t="s">
        <v>318</v>
      </c>
      <c r="R405" s="347" t="s">
        <v>319</v>
      </c>
      <c r="S405" s="347" t="s">
        <v>320</v>
      </c>
      <c r="T405" s="347" t="s">
        <v>321</v>
      </c>
      <c r="U405" s="347" t="s">
        <v>322</v>
      </c>
      <c r="V405" s="347" t="s">
        <v>323</v>
      </c>
      <c r="W405" s="347" t="s">
        <v>324</v>
      </c>
      <c r="X405" s="347" t="s">
        <v>325</v>
      </c>
    </row>
    <row r="406" spans="1:43" s="317" customFormat="1" ht="14.25" hidden="1">
      <c r="A406" s="1054"/>
      <c r="B406" s="1054"/>
      <c r="C406" s="1054"/>
      <c r="D406" s="350" t="e">
        <f>SUM(D386:G386)/SUM(D383:G383)*100</f>
        <v>#DIV/0!</v>
      </c>
      <c r="E406" s="350" t="e">
        <f>(SUM(D386:G386)+SUM(B404:B404))/SUM(D383:G383)*100</f>
        <v>#DIV/0!</v>
      </c>
      <c r="F406" s="350" t="e">
        <f>(SUM(D386:G386)+SUM(B404:C404))/SUM(D383:G383)*100</f>
        <v>#DIV/0!</v>
      </c>
      <c r="G406" s="350" t="e">
        <f>(SUM(D386:G386)+SUM(B404:D404))/SUM(D383:G383)*100</f>
        <v>#DIV/0!</v>
      </c>
      <c r="H406" s="350" t="e">
        <f>(SUM(D386:G386)+SUM(B404:E404))/SUM(D383:G383)*100</f>
        <v>#DIV/0!</v>
      </c>
      <c r="I406" s="351" t="e">
        <f>(SUM(D386:G386)+SUM(B404:F404))/SUM(D383:G383)*100</f>
        <v>#DIV/0!</v>
      </c>
      <c r="J406" s="350" t="e">
        <f>(SUM(D386:G386)+SUM(B404:G404))/SUM(D383:G383)*100</f>
        <v>#DIV/0!</v>
      </c>
      <c r="K406" s="350" t="e">
        <f>(SUM(D386:G386)+SUM(B404:H404))/SUM(D383:G383)*100</f>
        <v>#DIV/0!</v>
      </c>
      <c r="L406" s="350" t="e">
        <f>(SUM(D386:G386)+SUM(B404:I404))/SUM(D383:G383)*100</f>
        <v>#DIV/0!</v>
      </c>
      <c r="M406" s="350" t="e">
        <f>(SUM(D386:G386)+SUM(B404:J404))/SUM(D383:G383)*100</f>
        <v>#DIV/0!</v>
      </c>
      <c r="N406" s="350" t="e">
        <f>(SUM(D386:G386)+SUM(B404:K404))/SUM(D383:G383)*100</f>
        <v>#DIV/0!</v>
      </c>
      <c r="O406" s="352" t="e">
        <f>(SUM(D386:G386)+SUM(B404:L404))/SUM(D383:G383)*100</f>
        <v>#DIV/0!</v>
      </c>
      <c r="P406" s="353" t="e">
        <f>(SUM(D386:G386)+SUM(B404:M404))/SUM(D383:G383)*100</f>
        <v>#DIV/0!</v>
      </c>
      <c r="Q406" s="353" t="e">
        <f>(SUM(D386:G386)+SUM(B404:N404))/SUM(D383:G383)*100</f>
        <v>#DIV/0!</v>
      </c>
      <c r="R406" s="353" t="e">
        <f>(SUM(D386:G386)+SUM(B404:O404))/SUM(D383:G383)*100</f>
        <v>#DIV/0!</v>
      </c>
      <c r="S406" s="353" t="e">
        <f>(SUM(D386:G386)+SUM(B404:P404))/SUM(D383:G383)*100</f>
        <v>#DIV/0!</v>
      </c>
      <c r="T406" s="353" t="e">
        <f>(SUM(D386:G386)+SUM(B404:Q404))/SUM(D383:G383)*100</f>
        <v>#DIV/0!</v>
      </c>
      <c r="U406" s="353" t="e">
        <f>(SUM(D386:G386)+SUM(B404:R404))/SUM(D383:G383)*100</f>
        <v>#DIV/0!</v>
      </c>
      <c r="V406" s="353" t="e">
        <f>(SUM(D386:G386)+SUM(B404:S404))/SUM(D383:G383)*100</f>
        <v>#DIV/0!</v>
      </c>
      <c r="W406" s="353" t="e">
        <f>(SUM(D386:G386)+SUM(B404:T404))/SUM(D383:G383)*100</f>
        <v>#DIV/0!</v>
      </c>
      <c r="X406" s="353" t="e">
        <f>(SUM(D386:G386)+SUM(B404:U404))/SUM(D383:G383)*100</f>
        <v>#DIV/0!</v>
      </c>
    </row>
    <row r="407" spans="1:43" s="317" customFormat="1" ht="14.25" hidden="1"/>
    <row r="408" spans="1:43" s="317" customFormat="1" ht="14.25" hidden="1">
      <c r="A408" s="1046" t="s">
        <v>129</v>
      </c>
      <c r="B408" s="1047"/>
      <c r="C408" s="1047"/>
      <c r="E408" s="354" t="e">
        <f t="shared" ref="E408:AQ408" si="176">IF(E394="",IF(E395="",NA(),E395/-10),E394)</f>
        <v>#N/A</v>
      </c>
      <c r="F408" s="354" t="e">
        <f t="shared" si="176"/>
        <v>#N/A</v>
      </c>
      <c r="G408" s="354" t="e">
        <f t="shared" si="176"/>
        <v>#N/A</v>
      </c>
      <c r="H408" s="354" t="e">
        <f t="shared" si="176"/>
        <v>#N/A</v>
      </c>
      <c r="I408" s="354" t="e">
        <f t="shared" si="176"/>
        <v>#N/A</v>
      </c>
      <c r="J408" s="354" t="e">
        <f t="shared" si="176"/>
        <v>#N/A</v>
      </c>
      <c r="K408" s="354" t="e">
        <f t="shared" si="176"/>
        <v>#N/A</v>
      </c>
      <c r="L408" s="354" t="e">
        <f t="shared" si="176"/>
        <v>#N/A</v>
      </c>
      <c r="M408" s="354" t="e">
        <f t="shared" si="176"/>
        <v>#N/A</v>
      </c>
      <c r="N408" s="354" t="e">
        <f t="shared" si="176"/>
        <v>#N/A</v>
      </c>
      <c r="O408" s="354" t="e">
        <f t="shared" si="176"/>
        <v>#N/A</v>
      </c>
      <c r="P408" s="354" t="e">
        <f t="shared" si="176"/>
        <v>#N/A</v>
      </c>
      <c r="Q408" s="354" t="e">
        <f t="shared" si="176"/>
        <v>#N/A</v>
      </c>
      <c r="R408" s="354" t="e">
        <f t="shared" si="176"/>
        <v>#N/A</v>
      </c>
      <c r="S408" s="354" t="e">
        <f t="shared" si="176"/>
        <v>#N/A</v>
      </c>
      <c r="T408" s="354" t="e">
        <f t="shared" si="176"/>
        <v>#N/A</v>
      </c>
      <c r="U408" s="354" t="e">
        <f t="shared" si="176"/>
        <v>#N/A</v>
      </c>
      <c r="V408" s="354" t="e">
        <f t="shared" si="176"/>
        <v>#N/A</v>
      </c>
      <c r="W408" s="354" t="e">
        <f t="shared" si="176"/>
        <v>#N/A</v>
      </c>
      <c r="X408" s="354" t="e">
        <f t="shared" si="176"/>
        <v>#N/A</v>
      </c>
      <c r="Y408" s="354" t="e">
        <f t="shared" si="176"/>
        <v>#N/A</v>
      </c>
      <c r="Z408" s="354" t="e">
        <f t="shared" si="176"/>
        <v>#N/A</v>
      </c>
      <c r="AA408" s="354" t="e">
        <f t="shared" si="176"/>
        <v>#N/A</v>
      </c>
      <c r="AB408" s="354" t="e">
        <f t="shared" si="176"/>
        <v>#N/A</v>
      </c>
      <c r="AC408" s="354" t="e">
        <f t="shared" si="176"/>
        <v>#N/A</v>
      </c>
      <c r="AD408" s="354" t="e">
        <f t="shared" si="176"/>
        <v>#N/A</v>
      </c>
      <c r="AE408" s="354" t="e">
        <f t="shared" si="176"/>
        <v>#N/A</v>
      </c>
      <c r="AF408" s="354" t="e">
        <f t="shared" si="176"/>
        <v>#N/A</v>
      </c>
      <c r="AG408" s="354" t="e">
        <f t="shared" si="176"/>
        <v>#N/A</v>
      </c>
      <c r="AH408" s="354" t="e">
        <f t="shared" si="176"/>
        <v>#N/A</v>
      </c>
      <c r="AI408" s="354" t="e">
        <f t="shared" si="176"/>
        <v>#N/A</v>
      </c>
      <c r="AJ408" s="354" t="e">
        <f t="shared" si="176"/>
        <v>#N/A</v>
      </c>
      <c r="AK408" s="354" t="e">
        <f t="shared" si="176"/>
        <v>#N/A</v>
      </c>
      <c r="AL408" s="354" t="e">
        <f t="shared" si="176"/>
        <v>#N/A</v>
      </c>
      <c r="AM408" s="354" t="e">
        <f t="shared" si="176"/>
        <v>#N/A</v>
      </c>
      <c r="AN408" s="354" t="e">
        <f t="shared" si="176"/>
        <v>#N/A</v>
      </c>
      <c r="AO408" s="354" t="e">
        <f t="shared" si="176"/>
        <v>#N/A</v>
      </c>
      <c r="AP408" s="354" t="e">
        <f t="shared" si="176"/>
        <v>#N/A</v>
      </c>
      <c r="AQ408" s="354" t="e">
        <f t="shared" si="176"/>
        <v>#N/A</v>
      </c>
    </row>
    <row r="409" spans="1:43" s="317" customFormat="1" ht="14.25" hidden="1">
      <c r="A409" s="1048" t="s">
        <v>44</v>
      </c>
      <c r="B409" s="1048"/>
      <c r="C409" s="1049"/>
      <c r="E409" s="355" t="e">
        <f>IF(E408="",NA(),E408*(-10))</f>
        <v>#N/A</v>
      </c>
      <c r="F409" s="355" t="e">
        <f t="shared" ref="F409:AQ409" si="177">IF(F408="",NA(),F408*(-10))</f>
        <v>#N/A</v>
      </c>
      <c r="G409" s="355" t="e">
        <f t="shared" si="177"/>
        <v>#N/A</v>
      </c>
      <c r="H409" s="355" t="e">
        <f t="shared" si="177"/>
        <v>#N/A</v>
      </c>
      <c r="I409" s="355" t="e">
        <f t="shared" si="177"/>
        <v>#N/A</v>
      </c>
      <c r="J409" s="355" t="e">
        <f t="shared" si="177"/>
        <v>#N/A</v>
      </c>
      <c r="K409" s="355" t="e">
        <f t="shared" si="177"/>
        <v>#N/A</v>
      </c>
      <c r="L409" s="355" t="e">
        <f t="shared" si="177"/>
        <v>#N/A</v>
      </c>
      <c r="M409" s="355" t="e">
        <f t="shared" si="177"/>
        <v>#N/A</v>
      </c>
      <c r="N409" s="355" t="e">
        <f t="shared" si="177"/>
        <v>#N/A</v>
      </c>
      <c r="O409" s="355" t="e">
        <f t="shared" si="177"/>
        <v>#N/A</v>
      </c>
      <c r="P409" s="355" t="e">
        <f t="shared" si="177"/>
        <v>#N/A</v>
      </c>
      <c r="Q409" s="355" t="e">
        <f t="shared" si="177"/>
        <v>#N/A</v>
      </c>
      <c r="R409" s="355" t="e">
        <f t="shared" si="177"/>
        <v>#N/A</v>
      </c>
      <c r="S409" s="355" t="e">
        <f t="shared" si="177"/>
        <v>#N/A</v>
      </c>
      <c r="T409" s="355" t="e">
        <f t="shared" si="177"/>
        <v>#N/A</v>
      </c>
      <c r="U409" s="355" t="e">
        <f t="shared" si="177"/>
        <v>#N/A</v>
      </c>
      <c r="V409" s="355" t="e">
        <f t="shared" si="177"/>
        <v>#N/A</v>
      </c>
      <c r="W409" s="355" t="e">
        <f t="shared" si="177"/>
        <v>#N/A</v>
      </c>
      <c r="X409" s="355" t="e">
        <f t="shared" si="177"/>
        <v>#N/A</v>
      </c>
      <c r="Y409" s="355" t="e">
        <f t="shared" si="177"/>
        <v>#N/A</v>
      </c>
      <c r="Z409" s="355" t="e">
        <f t="shared" si="177"/>
        <v>#N/A</v>
      </c>
      <c r="AA409" s="355" t="e">
        <f t="shared" si="177"/>
        <v>#N/A</v>
      </c>
      <c r="AB409" s="355" t="e">
        <f t="shared" si="177"/>
        <v>#N/A</v>
      </c>
      <c r="AC409" s="355" t="e">
        <f t="shared" si="177"/>
        <v>#N/A</v>
      </c>
      <c r="AD409" s="355" t="e">
        <f t="shared" si="177"/>
        <v>#N/A</v>
      </c>
      <c r="AE409" s="355" t="e">
        <f t="shared" si="177"/>
        <v>#N/A</v>
      </c>
      <c r="AF409" s="355" t="e">
        <f t="shared" si="177"/>
        <v>#N/A</v>
      </c>
      <c r="AG409" s="355" t="e">
        <f t="shared" si="177"/>
        <v>#N/A</v>
      </c>
      <c r="AH409" s="355" t="e">
        <f t="shared" si="177"/>
        <v>#N/A</v>
      </c>
      <c r="AI409" s="355" t="e">
        <f t="shared" si="177"/>
        <v>#N/A</v>
      </c>
      <c r="AJ409" s="355" t="e">
        <f t="shared" si="177"/>
        <v>#N/A</v>
      </c>
      <c r="AK409" s="355" t="e">
        <f t="shared" si="177"/>
        <v>#N/A</v>
      </c>
      <c r="AL409" s="355" t="e">
        <f t="shared" si="177"/>
        <v>#N/A</v>
      </c>
      <c r="AM409" s="355" t="e">
        <f t="shared" si="177"/>
        <v>#N/A</v>
      </c>
      <c r="AN409" s="355" t="e">
        <f t="shared" si="177"/>
        <v>#N/A</v>
      </c>
      <c r="AO409" s="355" t="e">
        <f t="shared" si="177"/>
        <v>#N/A</v>
      </c>
      <c r="AP409" s="355" t="e">
        <f t="shared" si="177"/>
        <v>#N/A</v>
      </c>
      <c r="AQ409" s="355" t="e">
        <f t="shared" si="177"/>
        <v>#N/A</v>
      </c>
    </row>
    <row r="410" spans="1:43" s="317" customFormat="1" ht="14.25" hidden="1">
      <c r="A410" s="356"/>
      <c r="B410" s="1012" t="s">
        <v>35</v>
      </c>
      <c r="C410" s="1050"/>
      <c r="E410" s="357" t="e">
        <f>IF(E408="",NA(),ROUND(1443/(1443+E409),4))</f>
        <v>#N/A</v>
      </c>
      <c r="F410" s="357" t="e">
        <f t="shared" ref="F410:AQ410" si="178">IF(F408="",NA(),ROUND(1443/(1443+F409),4))</f>
        <v>#N/A</v>
      </c>
      <c r="G410" s="357" t="e">
        <f t="shared" si="178"/>
        <v>#N/A</v>
      </c>
      <c r="H410" s="357" t="e">
        <f t="shared" si="178"/>
        <v>#N/A</v>
      </c>
      <c r="I410" s="357" t="e">
        <f t="shared" si="178"/>
        <v>#N/A</v>
      </c>
      <c r="J410" s="357" t="e">
        <f t="shared" si="178"/>
        <v>#N/A</v>
      </c>
      <c r="K410" s="357" t="e">
        <f t="shared" si="178"/>
        <v>#N/A</v>
      </c>
      <c r="L410" s="357" t="e">
        <f t="shared" si="178"/>
        <v>#N/A</v>
      </c>
      <c r="M410" s="357" t="e">
        <f t="shared" si="178"/>
        <v>#N/A</v>
      </c>
      <c r="N410" s="357" t="e">
        <f t="shared" si="178"/>
        <v>#N/A</v>
      </c>
      <c r="O410" s="357" t="e">
        <f t="shared" si="178"/>
        <v>#N/A</v>
      </c>
      <c r="P410" s="357" t="e">
        <f t="shared" si="178"/>
        <v>#N/A</v>
      </c>
      <c r="Q410" s="357" t="e">
        <f t="shared" si="178"/>
        <v>#N/A</v>
      </c>
      <c r="R410" s="357" t="e">
        <f t="shared" si="178"/>
        <v>#N/A</v>
      </c>
      <c r="S410" s="357" t="e">
        <f t="shared" si="178"/>
        <v>#N/A</v>
      </c>
      <c r="T410" s="357" t="e">
        <f t="shared" si="178"/>
        <v>#N/A</v>
      </c>
      <c r="U410" s="357" t="e">
        <f t="shared" si="178"/>
        <v>#N/A</v>
      </c>
      <c r="V410" s="357" t="e">
        <f t="shared" si="178"/>
        <v>#N/A</v>
      </c>
      <c r="W410" s="357" t="e">
        <f t="shared" si="178"/>
        <v>#N/A</v>
      </c>
      <c r="X410" s="357" t="e">
        <f t="shared" si="178"/>
        <v>#N/A</v>
      </c>
      <c r="Y410" s="357" t="e">
        <f t="shared" si="178"/>
        <v>#N/A</v>
      </c>
      <c r="Z410" s="357" t="e">
        <f t="shared" si="178"/>
        <v>#N/A</v>
      </c>
      <c r="AA410" s="357" t="e">
        <f t="shared" si="178"/>
        <v>#N/A</v>
      </c>
      <c r="AB410" s="357" t="e">
        <f t="shared" si="178"/>
        <v>#N/A</v>
      </c>
      <c r="AC410" s="357" t="e">
        <f t="shared" si="178"/>
        <v>#N/A</v>
      </c>
      <c r="AD410" s="357" t="e">
        <f t="shared" si="178"/>
        <v>#N/A</v>
      </c>
      <c r="AE410" s="357" t="e">
        <f t="shared" si="178"/>
        <v>#N/A</v>
      </c>
      <c r="AF410" s="357" t="e">
        <f t="shared" si="178"/>
        <v>#N/A</v>
      </c>
      <c r="AG410" s="357" t="e">
        <f t="shared" si="178"/>
        <v>#N/A</v>
      </c>
      <c r="AH410" s="357" t="e">
        <f t="shared" si="178"/>
        <v>#N/A</v>
      </c>
      <c r="AI410" s="357" t="e">
        <f t="shared" si="178"/>
        <v>#N/A</v>
      </c>
      <c r="AJ410" s="357" t="e">
        <f t="shared" si="178"/>
        <v>#N/A</v>
      </c>
      <c r="AK410" s="357" t="e">
        <f t="shared" si="178"/>
        <v>#N/A</v>
      </c>
      <c r="AL410" s="357" t="e">
        <f t="shared" si="178"/>
        <v>#N/A</v>
      </c>
      <c r="AM410" s="357" t="e">
        <f t="shared" si="178"/>
        <v>#N/A</v>
      </c>
      <c r="AN410" s="357" t="e">
        <f t="shared" si="178"/>
        <v>#N/A</v>
      </c>
      <c r="AO410" s="357" t="e">
        <f t="shared" si="178"/>
        <v>#N/A</v>
      </c>
      <c r="AP410" s="357" t="e">
        <f t="shared" si="178"/>
        <v>#N/A</v>
      </c>
      <c r="AQ410" s="357" t="e">
        <f t="shared" si="178"/>
        <v>#N/A</v>
      </c>
    </row>
    <row r="411" spans="1:43" s="317" customFormat="1" ht="14.25" hidden="1">
      <c r="A411" s="356"/>
      <c r="B411" s="1012" t="s">
        <v>36</v>
      </c>
      <c r="C411" s="1050"/>
      <c r="E411" s="357" t="e">
        <v>#N/A</v>
      </c>
      <c r="F411" s="357" t="e">
        <v>#N/A</v>
      </c>
      <c r="G411" s="357" t="e">
        <v>#N/A</v>
      </c>
      <c r="H411" s="357" t="e">
        <v>#N/A</v>
      </c>
      <c r="I411" s="357" t="e">
        <v>#N/A</v>
      </c>
      <c r="J411" s="357" t="e">
        <v>#N/A</v>
      </c>
      <c r="K411" s="357" t="e">
        <v>#N/A</v>
      </c>
      <c r="L411" s="357" t="e">
        <v>#N/A</v>
      </c>
      <c r="M411" s="357" t="e">
        <v>#N/A</v>
      </c>
      <c r="N411" s="357" t="e">
        <v>#N/A</v>
      </c>
      <c r="O411" s="357" t="e">
        <v>#N/A</v>
      </c>
      <c r="P411" s="357" t="e">
        <v>#N/A</v>
      </c>
      <c r="Q411" s="357" t="e">
        <v>#N/A</v>
      </c>
      <c r="R411" s="357" t="e">
        <v>#N/A</v>
      </c>
      <c r="S411" s="357" t="e">
        <v>#N/A</v>
      </c>
      <c r="T411" s="357" t="e">
        <v>#N/A</v>
      </c>
      <c r="U411" s="357" t="e">
        <v>#N/A</v>
      </c>
      <c r="V411" s="357" t="e">
        <v>#N/A</v>
      </c>
      <c r="W411" s="357" t="e">
        <v>#N/A</v>
      </c>
      <c r="X411" s="357" t="e">
        <v>#N/A</v>
      </c>
      <c r="Y411" s="357" t="e">
        <v>#N/A</v>
      </c>
      <c r="Z411" s="357" t="e">
        <v>#N/A</v>
      </c>
      <c r="AA411" s="357" t="e">
        <v>#N/A</v>
      </c>
      <c r="AB411" s="357" t="e">
        <v>#N/A</v>
      </c>
      <c r="AC411" s="357" t="e">
        <v>#N/A</v>
      </c>
      <c r="AD411" s="357" t="e">
        <v>#N/A</v>
      </c>
      <c r="AE411" s="357" t="e">
        <v>#N/A</v>
      </c>
      <c r="AF411" s="357" t="e">
        <v>#N/A</v>
      </c>
      <c r="AG411" s="357" t="e">
        <v>#N/A</v>
      </c>
      <c r="AH411" s="357" t="e">
        <v>#N/A</v>
      </c>
      <c r="AI411" s="357" t="e">
        <v>#N/A</v>
      </c>
      <c r="AJ411" s="357" t="e">
        <v>#N/A</v>
      </c>
      <c r="AK411" s="357" t="e">
        <v>#N/A</v>
      </c>
      <c r="AL411" s="357" t="e">
        <v>#N/A</v>
      </c>
      <c r="AM411" s="357" t="e">
        <v>#N/A</v>
      </c>
      <c r="AN411" s="357" t="e">
        <v>#N/A</v>
      </c>
      <c r="AO411" s="357" t="e">
        <v>#N/A</v>
      </c>
      <c r="AP411" s="357" t="e">
        <v>#N/A</v>
      </c>
      <c r="AQ411" s="357" t="e">
        <v>#N/A</v>
      </c>
    </row>
    <row r="412" spans="1:43" s="317" customFormat="1" ht="14.25" hidden="1">
      <c r="A412" s="1012" t="s">
        <v>3</v>
      </c>
      <c r="B412" s="1012"/>
      <c r="C412" s="1012"/>
      <c r="E412" s="358" t="e">
        <f>IFERROR(ROUNDDOWN((E410-E411)*260+0.21,1),NA())</f>
        <v>#N/A</v>
      </c>
      <c r="F412" s="358" t="e">
        <f t="shared" ref="F412:AQ412" si="179">IFERROR(ROUNDDOWN((F410-F411)*260+0.21,1),NA())</f>
        <v>#N/A</v>
      </c>
      <c r="G412" s="358" t="e">
        <f t="shared" si="179"/>
        <v>#N/A</v>
      </c>
      <c r="H412" s="358" t="e">
        <f t="shared" si="179"/>
        <v>#N/A</v>
      </c>
      <c r="I412" s="358" t="e">
        <f t="shared" si="179"/>
        <v>#N/A</v>
      </c>
      <c r="J412" s="358" t="e">
        <f t="shared" si="179"/>
        <v>#N/A</v>
      </c>
      <c r="K412" s="358" t="e">
        <f t="shared" si="179"/>
        <v>#N/A</v>
      </c>
      <c r="L412" s="358" t="e">
        <f t="shared" si="179"/>
        <v>#N/A</v>
      </c>
      <c r="M412" s="358" t="e">
        <f t="shared" si="179"/>
        <v>#N/A</v>
      </c>
      <c r="N412" s="358" t="e">
        <f t="shared" si="179"/>
        <v>#N/A</v>
      </c>
      <c r="O412" s="358" t="e">
        <f t="shared" si="179"/>
        <v>#N/A</v>
      </c>
      <c r="P412" s="358" t="e">
        <f t="shared" si="179"/>
        <v>#N/A</v>
      </c>
      <c r="Q412" s="358" t="e">
        <f t="shared" si="179"/>
        <v>#N/A</v>
      </c>
      <c r="R412" s="358" t="e">
        <f t="shared" si="179"/>
        <v>#N/A</v>
      </c>
      <c r="S412" s="358" t="e">
        <f t="shared" si="179"/>
        <v>#N/A</v>
      </c>
      <c r="T412" s="358" t="e">
        <f t="shared" si="179"/>
        <v>#N/A</v>
      </c>
      <c r="U412" s="358" t="e">
        <f t="shared" si="179"/>
        <v>#N/A</v>
      </c>
      <c r="V412" s="358" t="e">
        <f t="shared" si="179"/>
        <v>#N/A</v>
      </c>
      <c r="W412" s="358" t="e">
        <f t="shared" si="179"/>
        <v>#N/A</v>
      </c>
      <c r="X412" s="358" t="e">
        <f t="shared" si="179"/>
        <v>#N/A</v>
      </c>
      <c r="Y412" s="358" t="e">
        <f t="shared" si="179"/>
        <v>#N/A</v>
      </c>
      <c r="Z412" s="358" t="e">
        <f t="shared" si="179"/>
        <v>#N/A</v>
      </c>
      <c r="AA412" s="358" t="e">
        <f t="shared" si="179"/>
        <v>#N/A</v>
      </c>
      <c r="AB412" s="358" t="e">
        <f t="shared" si="179"/>
        <v>#N/A</v>
      </c>
      <c r="AC412" s="358" t="e">
        <f t="shared" si="179"/>
        <v>#N/A</v>
      </c>
      <c r="AD412" s="358" t="e">
        <f t="shared" si="179"/>
        <v>#N/A</v>
      </c>
      <c r="AE412" s="358" t="e">
        <f t="shared" si="179"/>
        <v>#N/A</v>
      </c>
      <c r="AF412" s="358" t="e">
        <f t="shared" si="179"/>
        <v>#N/A</v>
      </c>
      <c r="AG412" s="358" t="e">
        <f t="shared" si="179"/>
        <v>#N/A</v>
      </c>
      <c r="AH412" s="358" t="e">
        <f t="shared" si="179"/>
        <v>#N/A</v>
      </c>
      <c r="AI412" s="358" t="e">
        <f t="shared" si="179"/>
        <v>#N/A</v>
      </c>
      <c r="AJ412" s="358" t="e">
        <f t="shared" si="179"/>
        <v>#N/A</v>
      </c>
      <c r="AK412" s="358" t="e">
        <f t="shared" si="179"/>
        <v>#N/A</v>
      </c>
      <c r="AL412" s="358" t="e">
        <f t="shared" si="179"/>
        <v>#N/A</v>
      </c>
      <c r="AM412" s="358" t="e">
        <f t="shared" si="179"/>
        <v>#N/A</v>
      </c>
      <c r="AN412" s="358" t="e">
        <f t="shared" si="179"/>
        <v>#N/A</v>
      </c>
      <c r="AO412" s="358" t="e">
        <f t="shared" si="179"/>
        <v>#N/A</v>
      </c>
      <c r="AP412" s="358" t="e">
        <f t="shared" si="179"/>
        <v>#N/A</v>
      </c>
      <c r="AQ412" s="358" t="e">
        <f t="shared" si="179"/>
        <v>#N/A</v>
      </c>
    </row>
    <row r="413" spans="1:43" s="317" customFormat="1" ht="14.25" hidden="1">
      <c r="A413" s="1012" t="s">
        <v>326</v>
      </c>
      <c r="B413" s="1012"/>
      <c r="C413" s="1012"/>
      <c r="E413" s="359" t="e">
        <f t="shared" ref="E413:AQ413" si="180">IF(E396="",NA(),ROUNDDOWN(E396*1.5848,1))</f>
        <v>#N/A</v>
      </c>
      <c r="F413" s="359" t="e">
        <f t="shared" si="180"/>
        <v>#N/A</v>
      </c>
      <c r="G413" s="359" t="e">
        <f t="shared" si="180"/>
        <v>#N/A</v>
      </c>
      <c r="H413" s="359" t="e">
        <f t="shared" si="180"/>
        <v>#N/A</v>
      </c>
      <c r="I413" s="359" t="e">
        <f t="shared" si="180"/>
        <v>#N/A</v>
      </c>
      <c r="J413" s="359" t="e">
        <f t="shared" si="180"/>
        <v>#N/A</v>
      </c>
      <c r="K413" s="359" t="e">
        <f t="shared" si="180"/>
        <v>#N/A</v>
      </c>
      <c r="L413" s="359" t="e">
        <f t="shared" si="180"/>
        <v>#N/A</v>
      </c>
      <c r="M413" s="359" t="e">
        <f t="shared" si="180"/>
        <v>#N/A</v>
      </c>
      <c r="N413" s="359" t="e">
        <f t="shared" si="180"/>
        <v>#N/A</v>
      </c>
      <c r="O413" s="359" t="e">
        <f t="shared" si="180"/>
        <v>#N/A</v>
      </c>
      <c r="P413" s="359" t="e">
        <f t="shared" si="180"/>
        <v>#N/A</v>
      </c>
      <c r="Q413" s="359" t="e">
        <f t="shared" si="180"/>
        <v>#N/A</v>
      </c>
      <c r="R413" s="359" t="e">
        <f t="shared" si="180"/>
        <v>#N/A</v>
      </c>
      <c r="S413" s="359" t="e">
        <f t="shared" si="180"/>
        <v>#N/A</v>
      </c>
      <c r="T413" s="359" t="e">
        <f t="shared" si="180"/>
        <v>#N/A</v>
      </c>
      <c r="U413" s="359" t="e">
        <f t="shared" si="180"/>
        <v>#N/A</v>
      </c>
      <c r="V413" s="359" t="e">
        <f t="shared" si="180"/>
        <v>#N/A</v>
      </c>
      <c r="W413" s="359" t="e">
        <f t="shared" si="180"/>
        <v>#N/A</v>
      </c>
      <c r="X413" s="359" t="e">
        <f t="shared" si="180"/>
        <v>#N/A</v>
      </c>
      <c r="Y413" s="359" t="e">
        <f t="shared" si="180"/>
        <v>#N/A</v>
      </c>
      <c r="Z413" s="359" t="e">
        <f t="shared" si="180"/>
        <v>#N/A</v>
      </c>
      <c r="AA413" s="359" t="e">
        <f t="shared" si="180"/>
        <v>#N/A</v>
      </c>
      <c r="AB413" s="359" t="e">
        <f t="shared" si="180"/>
        <v>#N/A</v>
      </c>
      <c r="AC413" s="359" t="e">
        <f t="shared" si="180"/>
        <v>#N/A</v>
      </c>
      <c r="AD413" s="359" t="e">
        <f t="shared" si="180"/>
        <v>#N/A</v>
      </c>
      <c r="AE413" s="359" t="e">
        <f t="shared" si="180"/>
        <v>#N/A</v>
      </c>
      <c r="AF413" s="359" t="e">
        <f t="shared" si="180"/>
        <v>#N/A</v>
      </c>
      <c r="AG413" s="359" t="e">
        <f t="shared" si="180"/>
        <v>#N/A</v>
      </c>
      <c r="AH413" s="359" t="e">
        <f t="shared" si="180"/>
        <v>#N/A</v>
      </c>
      <c r="AI413" s="359" t="e">
        <f t="shared" si="180"/>
        <v>#N/A</v>
      </c>
      <c r="AJ413" s="359" t="e">
        <f t="shared" si="180"/>
        <v>#N/A</v>
      </c>
      <c r="AK413" s="359" t="e">
        <f t="shared" si="180"/>
        <v>#N/A</v>
      </c>
      <c r="AL413" s="359" t="e">
        <f t="shared" si="180"/>
        <v>#N/A</v>
      </c>
      <c r="AM413" s="359" t="e">
        <f t="shared" si="180"/>
        <v>#N/A</v>
      </c>
      <c r="AN413" s="359" t="e">
        <f t="shared" si="180"/>
        <v>#N/A</v>
      </c>
      <c r="AO413" s="359" t="e">
        <f t="shared" si="180"/>
        <v>#N/A</v>
      </c>
      <c r="AP413" s="359" t="e">
        <f t="shared" si="180"/>
        <v>#N/A</v>
      </c>
      <c r="AQ413" s="359" t="e">
        <f t="shared" si="180"/>
        <v>#N/A</v>
      </c>
    </row>
    <row r="414" spans="1:43" s="317" customFormat="1" ht="14.25" hidden="1">
      <c r="A414" s="1012" t="s">
        <v>162</v>
      </c>
      <c r="B414" s="1012"/>
      <c r="C414" s="1012"/>
      <c r="E414" s="359" t="e">
        <f>IF(E412="",NA(),ROUNDDOWN(E412+E413,1))</f>
        <v>#N/A</v>
      </c>
      <c r="F414" s="359" t="e">
        <f t="shared" ref="F414:AQ414" si="181">IF(F412="",NA(),ROUNDDOWN(F412+F413,1))</f>
        <v>#N/A</v>
      </c>
      <c r="G414" s="359" t="e">
        <f t="shared" si="181"/>
        <v>#N/A</v>
      </c>
      <c r="H414" s="359" t="e">
        <f t="shared" si="181"/>
        <v>#N/A</v>
      </c>
      <c r="I414" s="359" t="e">
        <f t="shared" si="181"/>
        <v>#N/A</v>
      </c>
      <c r="J414" s="359" t="e">
        <f t="shared" si="181"/>
        <v>#N/A</v>
      </c>
      <c r="K414" s="359" t="e">
        <f t="shared" si="181"/>
        <v>#N/A</v>
      </c>
      <c r="L414" s="359" t="e">
        <f t="shared" si="181"/>
        <v>#N/A</v>
      </c>
      <c r="M414" s="359" t="e">
        <f t="shared" si="181"/>
        <v>#N/A</v>
      </c>
      <c r="N414" s="359" t="e">
        <f t="shared" si="181"/>
        <v>#N/A</v>
      </c>
      <c r="O414" s="359" t="e">
        <f t="shared" si="181"/>
        <v>#N/A</v>
      </c>
      <c r="P414" s="359" t="e">
        <f t="shared" si="181"/>
        <v>#N/A</v>
      </c>
      <c r="Q414" s="359" t="e">
        <f t="shared" si="181"/>
        <v>#N/A</v>
      </c>
      <c r="R414" s="359" t="e">
        <f t="shared" si="181"/>
        <v>#N/A</v>
      </c>
      <c r="S414" s="359" t="e">
        <f t="shared" si="181"/>
        <v>#N/A</v>
      </c>
      <c r="T414" s="359" t="e">
        <f t="shared" si="181"/>
        <v>#N/A</v>
      </c>
      <c r="U414" s="359" t="e">
        <f t="shared" si="181"/>
        <v>#N/A</v>
      </c>
      <c r="V414" s="359" t="e">
        <f t="shared" si="181"/>
        <v>#N/A</v>
      </c>
      <c r="W414" s="359" t="e">
        <f t="shared" si="181"/>
        <v>#N/A</v>
      </c>
      <c r="X414" s="359" t="e">
        <f t="shared" si="181"/>
        <v>#N/A</v>
      </c>
      <c r="Y414" s="359" t="e">
        <f t="shared" si="181"/>
        <v>#N/A</v>
      </c>
      <c r="Z414" s="359" t="e">
        <f t="shared" si="181"/>
        <v>#N/A</v>
      </c>
      <c r="AA414" s="359" t="e">
        <f t="shared" si="181"/>
        <v>#N/A</v>
      </c>
      <c r="AB414" s="359" t="e">
        <f t="shared" si="181"/>
        <v>#N/A</v>
      </c>
      <c r="AC414" s="359" t="e">
        <f t="shared" si="181"/>
        <v>#N/A</v>
      </c>
      <c r="AD414" s="359" t="e">
        <f t="shared" si="181"/>
        <v>#N/A</v>
      </c>
      <c r="AE414" s="359" t="e">
        <f t="shared" si="181"/>
        <v>#N/A</v>
      </c>
      <c r="AF414" s="359" t="e">
        <f t="shared" si="181"/>
        <v>#N/A</v>
      </c>
      <c r="AG414" s="359" t="e">
        <f t="shared" si="181"/>
        <v>#N/A</v>
      </c>
      <c r="AH414" s="359" t="e">
        <f t="shared" si="181"/>
        <v>#N/A</v>
      </c>
      <c r="AI414" s="359" t="e">
        <f t="shared" si="181"/>
        <v>#N/A</v>
      </c>
      <c r="AJ414" s="359" t="e">
        <f t="shared" si="181"/>
        <v>#N/A</v>
      </c>
      <c r="AK414" s="359" t="e">
        <f t="shared" si="181"/>
        <v>#N/A</v>
      </c>
      <c r="AL414" s="359" t="e">
        <f t="shared" si="181"/>
        <v>#N/A</v>
      </c>
      <c r="AM414" s="359" t="e">
        <f t="shared" si="181"/>
        <v>#N/A</v>
      </c>
      <c r="AN414" s="359" t="e">
        <f t="shared" si="181"/>
        <v>#N/A</v>
      </c>
      <c r="AO414" s="359" t="e">
        <f t="shared" si="181"/>
        <v>#N/A</v>
      </c>
      <c r="AP414" s="359" t="e">
        <f t="shared" si="181"/>
        <v>#N/A</v>
      </c>
      <c r="AQ414" s="359" t="e">
        <f t="shared" si="181"/>
        <v>#N/A</v>
      </c>
    </row>
    <row r="415" spans="1:43" s="317" customFormat="1" ht="14.25" hidden="1">
      <c r="A415" s="1012" t="s">
        <v>198</v>
      </c>
      <c r="B415" s="1012"/>
      <c r="C415" s="1012"/>
      <c r="E415" s="360" t="e">
        <f>IF(E396="",NA(),IF(E392&lt;=$B403,E396*$D406/100,IF(E392&lt;=$C403,E396*$E406/100,IF(E392&lt;=$D403,E396*$F406/100,IF(E392&lt;=$E403,E396*$G406/100,IF(E392&lt;=$F403,E396*$H406/100,IF(E392&lt;=$G403,E396*$I406/100,IF(E392&lt;=$H403,E396*$J406/100,IF(E392&lt;=$I403,E396*$K406/100,IF(E392&lt;=$J403,E396*$L406/100,IF(E392&lt;=$K403,E396*$M406/100,IF(E392&lt;=$L403,E396*$N406/100,IF(E392&lt;=$M403,E396*$O406/100,IF(E392&lt;=$N403,E396*$P406/100,IF(E392&lt;=$O403,E396*$Q406/100,IF(E392&lt;=$P403,E396*$R406/100,IF(E392&lt;=$Q403,E396*$S406/100,IF(E392&lt;=$R403,E396*$T406/100,IF(E392&lt;=$S403,E396*$U406/100,IF(E392&lt;=$T403,E396*$V406/100,IF(E392&lt;=$U403,E396*$W406/100,E396*$X406/100)))))))))))))))))))))</f>
        <v>#N/A</v>
      </c>
      <c r="F415" s="360" t="e">
        <f t="shared" ref="F415:AQ415" si="182">IF(F396="",NA(),IF(F392&lt;=$B403,F396*$D406/100,IF(F392&lt;=$C403,F396*$E406/100,IF(F392&lt;=$D403,F396*$F406/100,IF(F392&lt;=$E403,F396*$G406/100,IF(F392&lt;=$F403,F396*$H406/100,IF(F392&lt;=$G403,F396*$I406/100,IF(F392&lt;=$H403,F396*$J406/100,IF(F392&lt;=$I403,F396*$K406/100,IF(F392&lt;=$J403,F396*$L406/100,IF(F392&lt;=$K403,F396*$M406/100,IF(F392&lt;=$L403,F396*$N406/100,IF(F392&lt;=$M403,F396*$O406/100,IF(F392&lt;=$N403,F396*$P406/100,IF(F392&lt;=$O403,F396*$Q406/100,IF(F392&lt;=$P403,F396*$R406/100,IF(F392&lt;=$Q403,F396*$S406/100,IF(F392&lt;=$R403,F396*$T406/100,IF(F392&lt;=$S403,F396*$U406/100,IF(F392&lt;=$T403,F396*$V406/100,IF(F392&lt;=$U403,F396*$W406/100,F396*$X406/100)))))))))))))))))))))</f>
        <v>#N/A</v>
      </c>
      <c r="G415" s="360" t="e">
        <f>IF(G396="",NA(),IF(G392&lt;=$B403,G396*$D406/100,IF(G392&lt;=$C403,G396*$E406/100,IF(G392&lt;=$D403,G396*$F406/100,IF(G392&lt;=$E403,G396*$G406/100,IF(G392&lt;=$F403,G396*$H406/100,IF(G392&lt;=$G403,G396*$I406/100,IF(G392&lt;=$H403,G396*$J406/100,IF(G392&lt;=$I403,G396*$K406/100,IF(G392&lt;=$J403,G396*$L406/100,IF(G392&lt;=$K403,G396*$M406/100,IF(G392&lt;=$L403,G396*$N406/100,IF(G392&lt;=$M403,G396*$O406/100,IF(G392&lt;=$N403,G396*$P406/100,IF(G392&lt;=$O403,G396*$Q406/100,IF(G392&lt;=$P403,G396*$R406/100,IF(G392&lt;=$Q403,G396*$S406/100,IF(G392&lt;=$R403,G396*$T406/100,IF(G392&lt;=$S403,G396*$U406/100,IF(G392&lt;=$T403,G396*$V406/100,IF(G392&lt;=$U403,G396*$W406/100,G396*$X406/100)))))))))))))))))))))</f>
        <v>#N/A</v>
      </c>
      <c r="H415" s="360" t="e">
        <f t="shared" si="182"/>
        <v>#N/A</v>
      </c>
      <c r="I415" s="360" t="e">
        <f t="shared" si="182"/>
        <v>#N/A</v>
      </c>
      <c r="J415" s="360" t="e">
        <f t="shared" si="182"/>
        <v>#N/A</v>
      </c>
      <c r="K415" s="360" t="e">
        <f t="shared" si="182"/>
        <v>#N/A</v>
      </c>
      <c r="L415" s="360" t="e">
        <f t="shared" si="182"/>
        <v>#N/A</v>
      </c>
      <c r="M415" s="360" t="e">
        <f t="shared" si="182"/>
        <v>#N/A</v>
      </c>
      <c r="N415" s="360" t="e">
        <f t="shared" si="182"/>
        <v>#N/A</v>
      </c>
      <c r="O415" s="360" t="e">
        <f t="shared" si="182"/>
        <v>#N/A</v>
      </c>
      <c r="P415" s="360" t="e">
        <f t="shared" si="182"/>
        <v>#N/A</v>
      </c>
      <c r="Q415" s="360" t="e">
        <f t="shared" si="182"/>
        <v>#N/A</v>
      </c>
      <c r="R415" s="360" t="e">
        <f t="shared" si="182"/>
        <v>#N/A</v>
      </c>
      <c r="S415" s="360" t="e">
        <f t="shared" si="182"/>
        <v>#N/A</v>
      </c>
      <c r="T415" s="360" t="e">
        <f t="shared" si="182"/>
        <v>#N/A</v>
      </c>
      <c r="U415" s="360" t="e">
        <f t="shared" si="182"/>
        <v>#N/A</v>
      </c>
      <c r="V415" s="360" t="e">
        <f t="shared" si="182"/>
        <v>#N/A</v>
      </c>
      <c r="W415" s="360" t="e">
        <f t="shared" si="182"/>
        <v>#N/A</v>
      </c>
      <c r="X415" s="360" t="e">
        <f t="shared" si="182"/>
        <v>#N/A</v>
      </c>
      <c r="Y415" s="360" t="e">
        <f t="shared" si="182"/>
        <v>#N/A</v>
      </c>
      <c r="Z415" s="360" t="e">
        <f t="shared" si="182"/>
        <v>#N/A</v>
      </c>
      <c r="AA415" s="360" t="e">
        <f t="shared" si="182"/>
        <v>#N/A</v>
      </c>
      <c r="AB415" s="360" t="e">
        <f t="shared" si="182"/>
        <v>#N/A</v>
      </c>
      <c r="AC415" s="360" t="e">
        <f t="shared" si="182"/>
        <v>#N/A</v>
      </c>
      <c r="AD415" s="360" t="e">
        <f t="shared" si="182"/>
        <v>#N/A</v>
      </c>
      <c r="AE415" s="360" t="e">
        <f t="shared" si="182"/>
        <v>#N/A</v>
      </c>
      <c r="AF415" s="360" t="e">
        <f t="shared" si="182"/>
        <v>#N/A</v>
      </c>
      <c r="AG415" s="360" t="e">
        <f t="shared" si="182"/>
        <v>#N/A</v>
      </c>
      <c r="AH415" s="360" t="e">
        <f t="shared" si="182"/>
        <v>#N/A</v>
      </c>
      <c r="AI415" s="360" t="e">
        <f t="shared" si="182"/>
        <v>#N/A</v>
      </c>
      <c r="AJ415" s="360" t="e">
        <f t="shared" si="182"/>
        <v>#N/A</v>
      </c>
      <c r="AK415" s="360" t="e">
        <f t="shared" si="182"/>
        <v>#N/A</v>
      </c>
      <c r="AL415" s="360" t="e">
        <f t="shared" si="182"/>
        <v>#N/A</v>
      </c>
      <c r="AM415" s="360" t="e">
        <f t="shared" si="182"/>
        <v>#N/A</v>
      </c>
      <c r="AN415" s="360" t="e">
        <f t="shared" si="182"/>
        <v>#N/A</v>
      </c>
      <c r="AO415" s="360" t="e">
        <f t="shared" si="182"/>
        <v>#N/A</v>
      </c>
      <c r="AP415" s="360" t="e">
        <f t="shared" si="182"/>
        <v>#N/A</v>
      </c>
      <c r="AQ415" s="360" t="e">
        <f t="shared" si="182"/>
        <v>#N/A</v>
      </c>
    </row>
    <row r="416" spans="1:43" s="317" customFormat="1" ht="14.25" hidden="1">
      <c r="A416" s="1011" t="s">
        <v>302</v>
      </c>
      <c r="B416" s="1012"/>
      <c r="C416" s="1050"/>
      <c r="E416" s="361"/>
      <c r="F416" s="384">
        <v>7</v>
      </c>
      <c r="G416" s="385">
        <v>9.4</v>
      </c>
      <c r="H416" s="384">
        <v>13.8</v>
      </c>
      <c r="I416" s="385">
        <v>17.100000000000001</v>
      </c>
      <c r="J416" s="384">
        <v>19.3</v>
      </c>
      <c r="K416" s="385">
        <v>21.3</v>
      </c>
      <c r="L416" s="384">
        <v>23.5</v>
      </c>
      <c r="M416" s="385">
        <v>25.4</v>
      </c>
      <c r="N416" s="384">
        <v>27</v>
      </c>
      <c r="O416" s="385">
        <v>28</v>
      </c>
      <c r="P416" s="384">
        <v>29.5</v>
      </c>
      <c r="Q416" s="385">
        <v>31</v>
      </c>
      <c r="R416" s="384">
        <v>32.5</v>
      </c>
      <c r="S416" s="385">
        <v>34.1</v>
      </c>
      <c r="T416" s="384">
        <v>35.1</v>
      </c>
      <c r="U416" s="385">
        <v>35.9</v>
      </c>
      <c r="V416" s="384">
        <v>36.9</v>
      </c>
      <c r="W416" s="385">
        <v>37.799999999999997</v>
      </c>
      <c r="X416" s="384">
        <v>38.5</v>
      </c>
      <c r="Y416" s="385">
        <v>39.4</v>
      </c>
      <c r="Z416" s="384">
        <v>39.799999999999997</v>
      </c>
      <c r="AA416" s="385">
        <v>39.9</v>
      </c>
      <c r="AB416" s="384"/>
      <c r="AC416" s="385"/>
      <c r="AD416" s="361">
        <v>40.6</v>
      </c>
      <c r="AE416" s="361"/>
      <c r="AF416" s="361">
        <v>40.9</v>
      </c>
      <c r="AG416" s="361"/>
      <c r="AH416" s="361"/>
      <c r="AI416" s="361" t="e">
        <f t="shared" ref="AI416:AQ416" si="183">IF(AI415="",NA(),ROUND(AI415*1.5848,1))</f>
        <v>#N/A</v>
      </c>
      <c r="AJ416" s="361" t="e">
        <f t="shared" si="183"/>
        <v>#N/A</v>
      </c>
      <c r="AK416" s="361" t="e">
        <f t="shared" si="183"/>
        <v>#N/A</v>
      </c>
      <c r="AL416" s="361" t="e">
        <f t="shared" si="183"/>
        <v>#N/A</v>
      </c>
      <c r="AM416" s="361" t="e">
        <f t="shared" si="183"/>
        <v>#N/A</v>
      </c>
      <c r="AN416" s="361" t="e">
        <f t="shared" si="183"/>
        <v>#N/A</v>
      </c>
      <c r="AO416" s="361" t="e">
        <f t="shared" si="183"/>
        <v>#N/A</v>
      </c>
      <c r="AP416" s="361" t="e">
        <f t="shared" si="183"/>
        <v>#N/A</v>
      </c>
      <c r="AQ416" s="361" t="e">
        <f t="shared" si="183"/>
        <v>#N/A</v>
      </c>
    </row>
    <row r="417" spans="1:44" s="317" customFormat="1" ht="14.25" hidden="1">
      <c r="A417" s="1011" t="s">
        <v>303</v>
      </c>
      <c r="B417" s="1012"/>
      <c r="C417" s="1050"/>
      <c r="E417" s="361">
        <f>IF(E418="",NA(),ROUND(E418-E416,1))</f>
        <v>27.1</v>
      </c>
      <c r="F417" s="361">
        <f t="shared" ref="F417:AQ417" si="184">IF(F418="",NA(),ROUND(F418-F416,1))</f>
        <v>21.5</v>
      </c>
      <c r="G417" s="361">
        <f t="shared" si="184"/>
        <v>22</v>
      </c>
      <c r="H417" s="361">
        <f t="shared" si="184"/>
        <v>20.5</v>
      </c>
      <c r="I417" s="361">
        <f t="shared" si="184"/>
        <v>19.399999999999999</v>
      </c>
      <c r="J417" s="361">
        <f t="shared" si="184"/>
        <v>18.899999999999999</v>
      </c>
      <c r="K417" s="361">
        <f t="shared" si="184"/>
        <v>17.8</v>
      </c>
      <c r="L417" s="361">
        <f t="shared" si="184"/>
        <v>17</v>
      </c>
      <c r="M417" s="361">
        <f t="shared" si="184"/>
        <v>15.8</v>
      </c>
      <c r="N417" s="361">
        <f t="shared" si="184"/>
        <v>15.5</v>
      </c>
      <c r="O417" s="361">
        <f t="shared" si="184"/>
        <v>15.5</v>
      </c>
      <c r="P417" s="361">
        <f t="shared" si="184"/>
        <v>14.4</v>
      </c>
      <c r="Q417" s="361">
        <f t="shared" si="184"/>
        <v>13.9</v>
      </c>
      <c r="R417" s="361">
        <f t="shared" si="184"/>
        <v>13.2</v>
      </c>
      <c r="S417" s="361">
        <f t="shared" si="184"/>
        <v>12.6</v>
      </c>
      <c r="T417" s="361">
        <f t="shared" si="184"/>
        <v>12.2</v>
      </c>
      <c r="U417" s="361">
        <f t="shared" si="184"/>
        <v>11.7</v>
      </c>
      <c r="V417" s="361">
        <f t="shared" si="184"/>
        <v>11.2</v>
      </c>
      <c r="W417" s="361">
        <f t="shared" si="184"/>
        <v>10.9</v>
      </c>
      <c r="X417" s="361">
        <f t="shared" si="184"/>
        <v>10.6</v>
      </c>
      <c r="Y417" s="361" t="e">
        <f t="shared" si="184"/>
        <v>#N/A</v>
      </c>
      <c r="Z417" s="361" t="e">
        <f t="shared" si="184"/>
        <v>#N/A</v>
      </c>
      <c r="AA417" s="361">
        <f t="shared" si="184"/>
        <v>9.8000000000000007</v>
      </c>
      <c r="AB417" s="361" t="e">
        <f t="shared" si="184"/>
        <v>#N/A</v>
      </c>
      <c r="AC417" s="361">
        <f t="shared" si="184"/>
        <v>50.1</v>
      </c>
      <c r="AD417" s="361">
        <f t="shared" si="184"/>
        <v>9.8000000000000007</v>
      </c>
      <c r="AE417" s="361" t="e">
        <f t="shared" si="184"/>
        <v>#N/A</v>
      </c>
      <c r="AF417" s="361">
        <f t="shared" si="184"/>
        <v>10.6</v>
      </c>
      <c r="AG417" s="361" t="e">
        <f t="shared" si="184"/>
        <v>#N/A</v>
      </c>
      <c r="AH417" s="361" t="e">
        <f t="shared" si="184"/>
        <v>#N/A</v>
      </c>
      <c r="AI417" s="361" t="e">
        <f t="shared" si="184"/>
        <v>#N/A</v>
      </c>
      <c r="AJ417" s="361" t="e">
        <f t="shared" si="184"/>
        <v>#N/A</v>
      </c>
      <c r="AK417" s="361" t="e">
        <f t="shared" si="184"/>
        <v>#N/A</v>
      </c>
      <c r="AL417" s="361" t="e">
        <f t="shared" si="184"/>
        <v>#N/A</v>
      </c>
      <c r="AM417" s="361" t="e">
        <f t="shared" si="184"/>
        <v>#N/A</v>
      </c>
      <c r="AN417" s="361" t="e">
        <f t="shared" si="184"/>
        <v>#N/A</v>
      </c>
      <c r="AO417" s="361" t="e">
        <f t="shared" si="184"/>
        <v>#N/A</v>
      </c>
      <c r="AP417" s="361" t="e">
        <f t="shared" si="184"/>
        <v>#N/A</v>
      </c>
      <c r="AQ417" s="361" t="e">
        <f t="shared" si="184"/>
        <v>#N/A</v>
      </c>
    </row>
    <row r="418" spans="1:44" s="317" customFormat="1" ht="14.25" hidden="1">
      <c r="A418" s="1011" t="s">
        <v>304</v>
      </c>
      <c r="B418" s="1012"/>
      <c r="C418" s="1050"/>
      <c r="E418" s="360">
        <v>27.135000000000002</v>
      </c>
      <c r="F418" s="360">
        <v>28.484999999999999</v>
      </c>
      <c r="G418" s="380">
        <v>31.4</v>
      </c>
      <c r="H418" s="377">
        <v>34.299999999999997</v>
      </c>
      <c r="I418" s="376">
        <v>36.5</v>
      </c>
      <c r="J418" s="377">
        <v>38.200000000000003</v>
      </c>
      <c r="K418" s="376">
        <v>39.1</v>
      </c>
      <c r="L418" s="377">
        <v>40.5</v>
      </c>
      <c r="M418" s="376">
        <v>41.2</v>
      </c>
      <c r="N418" s="377">
        <v>42.5</v>
      </c>
      <c r="O418" s="376">
        <v>43.5</v>
      </c>
      <c r="P418" s="377">
        <v>43.9</v>
      </c>
      <c r="Q418" s="376">
        <v>44.9</v>
      </c>
      <c r="R418" s="377">
        <v>45.7</v>
      </c>
      <c r="S418" s="376">
        <v>46.7</v>
      </c>
      <c r="T418" s="377">
        <v>47.3</v>
      </c>
      <c r="U418" s="376">
        <v>47.6</v>
      </c>
      <c r="V418" s="377">
        <v>48.1</v>
      </c>
      <c r="W418" s="376">
        <v>48.704999999999998</v>
      </c>
      <c r="X418" s="377">
        <v>49.1</v>
      </c>
      <c r="Y418" s="376"/>
      <c r="Z418" s="377"/>
      <c r="AA418" s="376">
        <v>49.66</v>
      </c>
      <c r="AB418" s="377"/>
      <c r="AC418" s="360">
        <v>50.1</v>
      </c>
      <c r="AD418" s="360">
        <v>50.357480314960632</v>
      </c>
      <c r="AE418" s="360"/>
      <c r="AF418" s="360">
        <v>51.509448818897638</v>
      </c>
      <c r="AG418" s="360"/>
      <c r="AH418" s="360" t="e">
        <f t="shared" ref="AH418:AQ418" si="185">IF(AH414="",NA(),IF(AH392&lt;=$B403,AH414*$D406/100,IF(AH392&lt;=$C403,AH414*$E406/100,IF(AH392&lt;=$D403,AH414*$F406/100,IF(AH392&lt;=$E403,AH414*$G406/100,IF(AH392&lt;=$F403,AH414*$H406/100,IF(AH392&lt;=$G403,AH414*$I406/100,IF(AH392&lt;=$H403,AH414*$J406/100,IF(AH392&lt;=$I403,AH414*$K406/100,IF(AH392&lt;=$J403,AH414*$L406/100,IF(AH392&lt;=$K403,AH414*$M406/100,IF(AH392&lt;=$L403,AH414*$N406/100,IF(AH392&lt;=$M403,AH414*$O406/100,IF(AH392&lt;=$N403,AH414*$P406/100,IF(AH392&lt;=$O403,AH414*$Q406/100,IF(AH392&lt;=$P403,AH414*$R406/100,IF(AH392&lt;=$Q403,AH414*$S406/100,IF(AH392&lt;=$R403,AH414*$T406/100,IF(AH392&lt;=$S403,AH414*$U406/100,IF(AH392&lt;=$T403,AH414*$V406/100,IF(AH392&lt;=$U403,AH414*$W406/100,AH414*$X406/100)))))))))))))))))))))</f>
        <v>#N/A</v>
      </c>
      <c r="AI418" s="360" t="e">
        <f t="shared" si="185"/>
        <v>#N/A</v>
      </c>
      <c r="AJ418" s="360" t="e">
        <f t="shared" si="185"/>
        <v>#N/A</v>
      </c>
      <c r="AK418" s="360" t="e">
        <f t="shared" si="185"/>
        <v>#N/A</v>
      </c>
      <c r="AL418" s="360" t="e">
        <f t="shared" si="185"/>
        <v>#N/A</v>
      </c>
      <c r="AM418" s="360" t="e">
        <f t="shared" si="185"/>
        <v>#N/A</v>
      </c>
      <c r="AN418" s="360" t="e">
        <f t="shared" si="185"/>
        <v>#N/A</v>
      </c>
      <c r="AO418" s="360" t="e">
        <f t="shared" si="185"/>
        <v>#N/A</v>
      </c>
      <c r="AP418" s="360" t="e">
        <f t="shared" si="185"/>
        <v>#N/A</v>
      </c>
      <c r="AQ418" s="360" t="e">
        <f t="shared" si="185"/>
        <v>#N/A</v>
      </c>
    </row>
    <row r="419" spans="1:44" s="317" customFormat="1" ht="15" hidden="1" thickBot="1">
      <c r="A419" s="1014" t="s">
        <v>305</v>
      </c>
      <c r="B419" s="1015"/>
      <c r="C419" s="1015"/>
      <c r="E419" s="362">
        <f>IF(E418="",NA(),ROUND(E416/E418*100,1))</f>
        <v>0</v>
      </c>
      <c r="F419" s="382">
        <v>25.4</v>
      </c>
      <c r="G419" s="381">
        <v>33.9</v>
      </c>
      <c r="H419" s="382">
        <v>40.9</v>
      </c>
      <c r="I419" s="381">
        <v>48.5</v>
      </c>
      <c r="J419" s="382">
        <v>53.5</v>
      </c>
      <c r="K419" s="381">
        <v>58.3</v>
      </c>
      <c r="L419" s="382">
        <v>62</v>
      </c>
      <c r="M419" s="381">
        <v>65.8</v>
      </c>
      <c r="N419" s="382">
        <v>68.2</v>
      </c>
      <c r="O419" s="381">
        <v>70.3</v>
      </c>
      <c r="P419" s="382">
        <v>72.5</v>
      </c>
      <c r="Q419" s="381">
        <v>74</v>
      </c>
      <c r="R419" s="382">
        <v>74.7</v>
      </c>
      <c r="S419" s="381">
        <v>76.400000000000006</v>
      </c>
      <c r="T419" s="382">
        <v>77.2</v>
      </c>
      <c r="U419" s="381">
        <v>78.2</v>
      </c>
      <c r="V419" s="382">
        <v>78.8</v>
      </c>
      <c r="W419" s="381">
        <v>79.2</v>
      </c>
      <c r="X419" s="382">
        <v>79.7</v>
      </c>
      <c r="Y419" s="381">
        <v>80.400000000000006</v>
      </c>
      <c r="Z419" s="382">
        <v>80.5</v>
      </c>
      <c r="AA419" s="381">
        <v>80.5</v>
      </c>
      <c r="AB419" s="383"/>
      <c r="AC419" s="362"/>
      <c r="AD419" s="362"/>
      <c r="AE419" s="362"/>
      <c r="AF419" s="362"/>
      <c r="AG419" s="362"/>
      <c r="AH419" s="362" t="e">
        <f t="shared" ref="AH419:AQ419" si="186">IF(AH418="",NA(),ROUND(AH416/AH418*100,1))</f>
        <v>#N/A</v>
      </c>
      <c r="AI419" s="362" t="e">
        <f t="shared" si="186"/>
        <v>#N/A</v>
      </c>
      <c r="AJ419" s="362" t="e">
        <f t="shared" si="186"/>
        <v>#N/A</v>
      </c>
      <c r="AK419" s="362" t="e">
        <f t="shared" si="186"/>
        <v>#N/A</v>
      </c>
      <c r="AL419" s="362" t="e">
        <f t="shared" si="186"/>
        <v>#N/A</v>
      </c>
      <c r="AM419" s="362" t="e">
        <f t="shared" si="186"/>
        <v>#N/A</v>
      </c>
      <c r="AN419" s="362" t="e">
        <f t="shared" si="186"/>
        <v>#N/A</v>
      </c>
      <c r="AO419" s="362" t="e">
        <f t="shared" si="186"/>
        <v>#N/A</v>
      </c>
      <c r="AP419" s="362" t="e">
        <f t="shared" si="186"/>
        <v>#N/A</v>
      </c>
      <c r="AQ419" s="362" t="e">
        <f t="shared" si="186"/>
        <v>#N/A</v>
      </c>
      <c r="AR419" s="362"/>
    </row>
    <row r="420" spans="1:44" s="317" customFormat="1" ht="14.25" hidden="1"/>
    <row r="421" spans="1:44" s="317" customFormat="1" ht="21" hidden="1" customHeight="1" thickBot="1">
      <c r="A421" s="316" t="s">
        <v>422</v>
      </c>
    </row>
    <row r="422" spans="1:44" s="317" customFormat="1" ht="12.95" hidden="1" customHeight="1" thickBot="1">
      <c r="A422" s="1016" t="s">
        <v>286</v>
      </c>
      <c r="B422" s="1017"/>
      <c r="C422" s="1017"/>
      <c r="D422" s="1022" t="s">
        <v>428</v>
      </c>
      <c r="E422" s="1022"/>
      <c r="F422" s="1023"/>
      <c r="H422" s="318" t="s">
        <v>294</v>
      </c>
      <c r="I422" s="1022"/>
      <c r="J422" s="1023"/>
      <c r="L422" s="363" t="s">
        <v>295</v>
      </c>
      <c r="M422" s="1057"/>
      <c r="N422" s="1058"/>
      <c r="O422" s="364"/>
      <c r="P422" s="1059" t="s">
        <v>297</v>
      </c>
      <c r="Q422" s="1060"/>
      <c r="R422" s="365"/>
      <c r="S422" s="365"/>
      <c r="T422" s="365"/>
    </row>
    <row r="423" spans="1:44" s="317" customFormat="1" ht="12.95" hidden="1" customHeight="1" thickBot="1">
      <c r="L423" s="366" t="s">
        <v>296</v>
      </c>
      <c r="M423" s="1072"/>
      <c r="N423" s="1073"/>
      <c r="P423" s="1028"/>
      <c r="Q423" s="1029"/>
      <c r="R423" s="1029"/>
      <c r="S423" s="1029"/>
      <c r="T423" s="1029"/>
      <c r="U423" s="1029"/>
      <c r="V423" s="1029"/>
      <c r="W423" s="1029"/>
      <c r="X423" s="1030"/>
    </row>
    <row r="424" spans="1:44" s="317" customFormat="1" ht="14.25" hidden="1">
      <c r="A424" s="1037" t="s">
        <v>63</v>
      </c>
      <c r="B424" s="1038"/>
      <c r="C424" s="1038"/>
      <c r="D424" s="321" t="s">
        <v>49</v>
      </c>
      <c r="E424" s="321" t="s">
        <v>14</v>
      </c>
      <c r="F424" s="321" t="s">
        <v>16</v>
      </c>
      <c r="G424" s="321" t="s">
        <v>50</v>
      </c>
      <c r="H424" s="321" t="s">
        <v>51</v>
      </c>
      <c r="I424" s="322" t="s">
        <v>54</v>
      </c>
      <c r="J424" s="323" t="s">
        <v>53</v>
      </c>
      <c r="K424" s="324"/>
      <c r="P424" s="1031"/>
      <c r="Q424" s="1032"/>
      <c r="R424" s="1032"/>
      <c r="S424" s="1032"/>
      <c r="T424" s="1032"/>
      <c r="U424" s="1032"/>
      <c r="V424" s="1032"/>
      <c r="W424" s="1032"/>
      <c r="X424" s="1033"/>
      <c r="Z424" s="326"/>
      <c r="AA424" s="326"/>
    </row>
    <row r="425" spans="1:44" s="317" customFormat="1" ht="14.25" hidden="1">
      <c r="A425" s="1011" t="s">
        <v>166</v>
      </c>
      <c r="B425" s="1012"/>
      <c r="C425" s="1012"/>
      <c r="D425" s="373" t="str">
        <f>IF(D426+D427=0,"",D426+D427)</f>
        <v/>
      </c>
      <c r="E425" s="373" t="str">
        <f>IF(E426+E427=0,"",E426+E427)</f>
        <v/>
      </c>
      <c r="F425" s="373" t="str">
        <f>IF(F426+F427=0,"",F426+F427)</f>
        <v/>
      </c>
      <c r="G425" s="373" t="str">
        <f>IF(G426+G427=0,"",G426+G427)</f>
        <v/>
      </c>
      <c r="H425" s="373" t="str">
        <f>IF(H426+H427=0,"",H426+H427)</f>
        <v/>
      </c>
      <c r="I425" s="327"/>
      <c r="J425" s="373" t="str">
        <f>IF(SUM(D425:I425)=0,"",SUM(D425:I425))</f>
        <v/>
      </c>
      <c r="K425" s="324"/>
      <c r="P425" s="1031"/>
      <c r="Q425" s="1032"/>
      <c r="R425" s="1032"/>
      <c r="S425" s="1032"/>
      <c r="T425" s="1032"/>
      <c r="U425" s="1032"/>
      <c r="V425" s="1032"/>
      <c r="W425" s="1032"/>
      <c r="X425" s="1033"/>
      <c r="Z425" s="326"/>
      <c r="AA425" s="326"/>
    </row>
    <row r="426" spans="1:44" s="317" customFormat="1" ht="14.25" hidden="1">
      <c r="A426" s="1011" t="s">
        <v>95</v>
      </c>
      <c r="B426" s="1012"/>
      <c r="C426" s="1012"/>
      <c r="D426" s="373"/>
      <c r="E426" s="373"/>
      <c r="F426" s="373"/>
      <c r="G426" s="373"/>
      <c r="H426" s="373"/>
      <c r="I426" s="327"/>
      <c r="J426" s="373" t="str">
        <f>IF(SUM(D426:I426)=0,"",SUM(D426:I426))</f>
        <v/>
      </c>
      <c r="K426" s="330"/>
      <c r="P426" s="1031"/>
      <c r="Q426" s="1032"/>
      <c r="R426" s="1032"/>
      <c r="S426" s="1032"/>
      <c r="T426" s="1032"/>
      <c r="U426" s="1032"/>
      <c r="V426" s="1032"/>
      <c r="W426" s="1032"/>
      <c r="X426" s="1033"/>
      <c r="Y426" s="1013"/>
      <c r="Z426" s="1013"/>
      <c r="AA426" s="1013"/>
    </row>
    <row r="427" spans="1:44" s="317" customFormat="1" ht="14.25" hidden="1">
      <c r="A427" s="1011" t="s">
        <v>52</v>
      </c>
      <c r="B427" s="1012"/>
      <c r="C427" s="1012"/>
      <c r="D427" s="373"/>
      <c r="E427" s="373"/>
      <c r="F427" s="373"/>
      <c r="G427" s="373"/>
      <c r="H427" s="373"/>
      <c r="I427" s="327"/>
      <c r="J427" s="373" t="str">
        <f>IF(SUM(D427:I427)=0,"",SUM(D427:I427))</f>
        <v/>
      </c>
      <c r="K427" s="330"/>
      <c r="P427" s="1031"/>
      <c r="Q427" s="1032"/>
      <c r="R427" s="1032"/>
      <c r="S427" s="1032"/>
      <c r="T427" s="1032"/>
      <c r="U427" s="1032"/>
      <c r="V427" s="1032"/>
      <c r="W427" s="1032"/>
      <c r="X427" s="1033"/>
      <c r="Y427" s="1013"/>
      <c r="Z427" s="1013"/>
      <c r="AA427" s="1013"/>
    </row>
    <row r="428" spans="1:44" s="317" customFormat="1" ht="15" hidden="1" thickBot="1">
      <c r="A428" s="1014" t="s">
        <v>165</v>
      </c>
      <c r="B428" s="1015"/>
      <c r="C428" s="1015"/>
      <c r="D428" s="373"/>
      <c r="E428" s="373"/>
      <c r="F428" s="373"/>
      <c r="G428" s="373"/>
      <c r="H428" s="373"/>
      <c r="I428" s="373" t="str">
        <f>IF(SUM(E431:AQ431)=0,"",SUM(E431:AQ431))</f>
        <v/>
      </c>
      <c r="J428" s="373" t="str">
        <f>IF(SUM(D428:I428)=0,"",SUM(D428:I428))</f>
        <v/>
      </c>
      <c r="K428" s="330"/>
      <c r="O428" s="364"/>
      <c r="P428" s="1034"/>
      <c r="Q428" s="1035"/>
      <c r="R428" s="1035"/>
      <c r="S428" s="1035"/>
      <c r="T428" s="1035"/>
      <c r="U428" s="1035"/>
      <c r="V428" s="1035"/>
      <c r="W428" s="1035"/>
      <c r="X428" s="1036"/>
      <c r="Y428" s="1013"/>
      <c r="Z428" s="1013"/>
      <c r="AA428" s="1013"/>
    </row>
    <row r="429" spans="1:44" s="317" customFormat="1" ht="10.5" hidden="1" customHeight="1" thickBot="1"/>
    <row r="430" spans="1:44" s="317" customFormat="1" ht="14.25" hidden="1">
      <c r="A430" s="1056" t="s">
        <v>17</v>
      </c>
      <c r="B430" s="1038"/>
      <c r="C430" s="1038"/>
      <c r="D430" s="321">
        <v>1</v>
      </c>
      <c r="E430" s="321">
        <v>2</v>
      </c>
      <c r="F430" s="321">
        <v>3</v>
      </c>
      <c r="G430" s="321">
        <v>4</v>
      </c>
      <c r="H430" s="321">
        <v>5</v>
      </c>
      <c r="I430" s="321">
        <v>6</v>
      </c>
      <c r="J430" s="321">
        <v>7</v>
      </c>
      <c r="K430" s="321">
        <v>8</v>
      </c>
      <c r="L430" s="321">
        <v>9</v>
      </c>
      <c r="M430" s="321">
        <v>10</v>
      </c>
      <c r="N430" s="321">
        <v>11</v>
      </c>
      <c r="O430" s="321">
        <v>12</v>
      </c>
      <c r="P430" s="321">
        <v>13</v>
      </c>
      <c r="Q430" s="321">
        <v>14</v>
      </c>
      <c r="R430" s="321">
        <v>15</v>
      </c>
      <c r="S430" s="321">
        <v>16</v>
      </c>
      <c r="T430" s="321">
        <v>17</v>
      </c>
      <c r="U430" s="321">
        <v>18</v>
      </c>
      <c r="V430" s="321">
        <v>19</v>
      </c>
      <c r="W430" s="321">
        <v>20</v>
      </c>
      <c r="X430" s="321">
        <v>21</v>
      </c>
      <c r="Y430" s="321">
        <v>22</v>
      </c>
      <c r="Z430" s="321">
        <v>23</v>
      </c>
      <c r="AA430" s="321">
        <v>24</v>
      </c>
      <c r="AB430" s="321">
        <v>25</v>
      </c>
      <c r="AC430" s="321">
        <v>26</v>
      </c>
      <c r="AD430" s="321">
        <v>27</v>
      </c>
      <c r="AE430" s="321">
        <v>28</v>
      </c>
      <c r="AF430" s="321">
        <v>29</v>
      </c>
      <c r="AG430" s="321">
        <v>30</v>
      </c>
      <c r="AH430" s="321">
        <v>31</v>
      </c>
      <c r="AI430" s="321">
        <v>32</v>
      </c>
      <c r="AJ430" s="321">
        <v>33</v>
      </c>
      <c r="AK430" s="321">
        <v>34</v>
      </c>
      <c r="AL430" s="321">
        <v>35</v>
      </c>
      <c r="AM430" s="321">
        <v>36</v>
      </c>
      <c r="AN430" s="321">
        <v>37</v>
      </c>
      <c r="AO430" s="321">
        <v>38</v>
      </c>
      <c r="AP430" s="321">
        <v>39</v>
      </c>
      <c r="AQ430" s="323">
        <v>40</v>
      </c>
    </row>
    <row r="431" spans="1:44" s="317" customFormat="1" ht="14.25" hidden="1">
      <c r="A431" s="1011" t="s">
        <v>209</v>
      </c>
      <c r="B431" s="1012"/>
      <c r="C431" s="1012"/>
      <c r="D431" s="332"/>
      <c r="E431" s="329"/>
      <c r="F431" s="329"/>
      <c r="G431" s="329"/>
      <c r="H431" s="329"/>
      <c r="I431" s="329"/>
      <c r="J431" s="329"/>
      <c r="K431" s="329"/>
      <c r="L431" s="329"/>
      <c r="M431" s="329"/>
      <c r="N431" s="329"/>
      <c r="O431" s="329"/>
      <c r="P431" s="329"/>
      <c r="Q431" s="329"/>
      <c r="R431" s="329"/>
      <c r="S431" s="329"/>
      <c r="T431" s="329"/>
      <c r="U431" s="329"/>
      <c r="V431" s="329"/>
      <c r="W431" s="329"/>
      <c r="X431" s="329"/>
      <c r="Y431" s="329"/>
      <c r="Z431" s="329"/>
      <c r="AA431" s="329"/>
      <c r="AB431" s="329"/>
      <c r="AC431" s="329"/>
      <c r="AD431" s="329"/>
      <c r="AE431" s="329"/>
      <c r="AF431" s="329"/>
      <c r="AG431" s="329"/>
      <c r="AH431" s="329"/>
      <c r="AI431" s="329"/>
      <c r="AJ431" s="329"/>
      <c r="AK431" s="329"/>
      <c r="AL431" s="329"/>
      <c r="AM431" s="329"/>
      <c r="AN431" s="329"/>
      <c r="AO431" s="329"/>
      <c r="AP431" s="329"/>
      <c r="AQ431" s="333"/>
    </row>
    <row r="432" spans="1:44" s="317" customFormat="1" ht="14.25" hidden="1">
      <c r="A432" s="1063" t="s">
        <v>1</v>
      </c>
      <c r="B432" s="1064"/>
      <c r="C432" s="1065" t="s">
        <v>65</v>
      </c>
      <c r="D432" s="334"/>
      <c r="E432" s="335"/>
      <c r="F432" s="335"/>
      <c r="G432" s="335"/>
      <c r="H432" s="335"/>
      <c r="I432" s="335"/>
      <c r="J432" s="335"/>
      <c r="K432" s="335"/>
      <c r="L432" s="335"/>
      <c r="M432" s="335"/>
      <c r="N432" s="335"/>
      <c r="O432" s="335"/>
      <c r="P432" s="335"/>
      <c r="Q432" s="335"/>
      <c r="R432" s="335"/>
      <c r="S432" s="335"/>
      <c r="T432" s="335"/>
      <c r="U432" s="335"/>
      <c r="V432" s="335"/>
      <c r="W432" s="335"/>
      <c r="X432" s="335"/>
      <c r="Y432" s="335"/>
      <c r="Z432" s="335"/>
      <c r="AA432" s="335"/>
      <c r="AB432" s="335"/>
      <c r="AC432" s="335"/>
      <c r="AD432" s="335"/>
      <c r="AE432" s="335"/>
      <c r="AF432" s="335"/>
      <c r="AG432" s="335"/>
      <c r="AH432" s="335"/>
      <c r="AI432" s="335"/>
      <c r="AJ432" s="335"/>
      <c r="AK432" s="335"/>
      <c r="AL432" s="336"/>
      <c r="AM432" s="336"/>
      <c r="AN432" s="336"/>
      <c r="AO432" s="335"/>
      <c r="AP432" s="335"/>
      <c r="AQ432" s="337"/>
      <c r="AR432" s="344"/>
    </row>
    <row r="433" spans="1:44" s="317" customFormat="1" ht="14.25" hidden="1">
      <c r="A433" s="1063" t="s">
        <v>2</v>
      </c>
      <c r="B433" s="1064"/>
      <c r="C433" s="1065"/>
      <c r="D433" s="334"/>
      <c r="E433" s="335"/>
      <c r="F433" s="335"/>
      <c r="G433" s="335"/>
      <c r="H433" s="335"/>
      <c r="I433" s="335"/>
      <c r="J433" s="335"/>
      <c r="K433" s="335"/>
      <c r="L433" s="335"/>
      <c r="M433" s="335"/>
      <c r="N433" s="335"/>
      <c r="O433" s="335"/>
      <c r="P433" s="335"/>
      <c r="Q433" s="335"/>
      <c r="R433" s="335"/>
      <c r="S433" s="335"/>
      <c r="T433" s="335"/>
      <c r="U433" s="335"/>
      <c r="V433" s="335"/>
      <c r="W433" s="335"/>
      <c r="X433" s="335"/>
      <c r="Y433" s="335"/>
      <c r="Z433" s="335"/>
      <c r="AA433" s="335"/>
      <c r="AB433" s="335"/>
      <c r="AC433" s="335"/>
      <c r="AD433" s="335"/>
      <c r="AE433" s="335"/>
      <c r="AF433" s="335"/>
      <c r="AG433" s="335"/>
      <c r="AH433" s="335"/>
      <c r="AI433" s="335"/>
      <c r="AJ433" s="335"/>
      <c r="AK433" s="335"/>
      <c r="AL433" s="335"/>
      <c r="AM433" s="335"/>
      <c r="AN433" s="335"/>
      <c r="AO433" s="335"/>
      <c r="AP433" s="338"/>
      <c r="AQ433" s="339"/>
      <c r="AR433" s="344"/>
    </row>
    <row r="434" spans="1:44" s="317" customFormat="1" ht="14.25" hidden="1">
      <c r="A434" s="1011" t="s">
        <v>265</v>
      </c>
      <c r="B434" s="1012"/>
      <c r="C434" s="1012"/>
      <c r="D434" s="340"/>
      <c r="E434" s="341"/>
      <c r="F434" s="341"/>
      <c r="G434" s="341"/>
      <c r="H434" s="341"/>
      <c r="I434" s="341"/>
      <c r="J434" s="341"/>
      <c r="K434" s="341"/>
      <c r="L434" s="341"/>
      <c r="M434" s="341"/>
      <c r="N434" s="341"/>
      <c r="O434" s="341"/>
      <c r="P434" s="341"/>
      <c r="Q434" s="341"/>
      <c r="R434" s="341"/>
      <c r="S434" s="341"/>
      <c r="T434" s="341"/>
      <c r="U434" s="341"/>
      <c r="V434" s="341"/>
      <c r="W434" s="341"/>
      <c r="X434" s="341"/>
      <c r="Y434" s="341"/>
      <c r="Z434" s="341"/>
      <c r="AA434" s="341"/>
      <c r="AB434" s="341"/>
      <c r="AC434" s="341"/>
      <c r="AD434" s="341"/>
      <c r="AE434" s="341"/>
      <c r="AF434" s="341"/>
      <c r="AG434" s="341"/>
      <c r="AH434" s="341"/>
      <c r="AI434" s="341"/>
      <c r="AJ434" s="341"/>
      <c r="AK434" s="341"/>
      <c r="AL434" s="336"/>
      <c r="AM434" s="336"/>
      <c r="AN434" s="336"/>
      <c r="AO434" s="341"/>
      <c r="AP434" s="341"/>
      <c r="AQ434" s="342"/>
    </row>
    <row r="435" spans="1:44" s="317" customFormat="1" ht="14.25" hidden="1">
      <c r="A435" s="1011" t="s">
        <v>302</v>
      </c>
      <c r="B435" s="1012"/>
      <c r="C435" s="1012"/>
      <c r="D435" s="343"/>
      <c r="E435" s="374">
        <f>IFERROR(E454,"")</f>
        <v>0</v>
      </c>
      <c r="F435" s="374">
        <f t="shared" ref="F435:AQ435" si="187">IFERROR(F454,"")</f>
        <v>5.3</v>
      </c>
      <c r="G435" s="374">
        <f t="shared" si="187"/>
        <v>0</v>
      </c>
      <c r="H435" s="374">
        <f t="shared" si="187"/>
        <v>6</v>
      </c>
      <c r="I435" s="374">
        <f t="shared" si="187"/>
        <v>6.8</v>
      </c>
      <c r="J435" s="374">
        <f t="shared" si="187"/>
        <v>8.1999999999999993</v>
      </c>
      <c r="K435" s="374">
        <f t="shared" si="187"/>
        <v>11.9</v>
      </c>
      <c r="L435" s="374">
        <f t="shared" si="187"/>
        <v>0</v>
      </c>
      <c r="M435" s="374">
        <f t="shared" si="187"/>
        <v>15.8</v>
      </c>
      <c r="N435" s="374">
        <f t="shared" si="187"/>
        <v>18.600000000000001</v>
      </c>
      <c r="O435" s="374">
        <f t="shared" si="187"/>
        <v>20</v>
      </c>
      <c r="P435" s="374">
        <f t="shared" si="187"/>
        <v>21.9</v>
      </c>
      <c r="Q435" s="374">
        <f t="shared" si="187"/>
        <v>23.8</v>
      </c>
      <c r="R435" s="374">
        <f t="shared" si="187"/>
        <v>24.8</v>
      </c>
      <c r="S435" s="374">
        <f t="shared" si="187"/>
        <v>25.9</v>
      </c>
      <c r="T435" s="374">
        <f t="shared" si="187"/>
        <v>27.1</v>
      </c>
      <c r="U435" s="374">
        <f t="shared" si="187"/>
        <v>28</v>
      </c>
      <c r="V435" s="374">
        <f t="shared" si="187"/>
        <v>28.9</v>
      </c>
      <c r="W435" s="374">
        <f t="shared" si="187"/>
        <v>29.7</v>
      </c>
      <c r="X435" s="374">
        <f t="shared" si="187"/>
        <v>30.2</v>
      </c>
      <c r="Y435" s="374">
        <f t="shared" si="187"/>
        <v>30.8</v>
      </c>
      <c r="Z435" s="374">
        <f t="shared" si="187"/>
        <v>31.3</v>
      </c>
      <c r="AA435" s="374">
        <f t="shared" si="187"/>
        <v>31.7</v>
      </c>
      <c r="AB435" s="374">
        <f t="shared" si="187"/>
        <v>32.1</v>
      </c>
      <c r="AC435" s="374">
        <f t="shared" si="187"/>
        <v>32.6</v>
      </c>
      <c r="AD435" s="374">
        <f t="shared" si="187"/>
        <v>33</v>
      </c>
      <c r="AE435" s="374">
        <f t="shared" si="187"/>
        <v>33.5</v>
      </c>
      <c r="AF435" s="374">
        <f t="shared" si="187"/>
        <v>34.1</v>
      </c>
      <c r="AG435" s="374">
        <f t="shared" si="187"/>
        <v>34.5</v>
      </c>
      <c r="AH435" s="374">
        <f t="shared" si="187"/>
        <v>0</v>
      </c>
      <c r="AI435" s="374">
        <f t="shared" si="187"/>
        <v>0</v>
      </c>
      <c r="AJ435" s="374">
        <f t="shared" si="187"/>
        <v>0</v>
      </c>
      <c r="AK435" s="374">
        <f t="shared" si="187"/>
        <v>0</v>
      </c>
      <c r="AL435" s="374">
        <f t="shared" si="187"/>
        <v>0</v>
      </c>
      <c r="AM435" s="374">
        <f t="shared" si="187"/>
        <v>0</v>
      </c>
      <c r="AN435" s="374">
        <f t="shared" si="187"/>
        <v>0</v>
      </c>
      <c r="AO435" s="374">
        <f t="shared" si="187"/>
        <v>0</v>
      </c>
      <c r="AP435" s="374">
        <f t="shared" si="187"/>
        <v>0</v>
      </c>
      <c r="AQ435" s="374">
        <f t="shared" si="187"/>
        <v>0</v>
      </c>
    </row>
    <row r="436" spans="1:44" s="317" customFormat="1" ht="14.25" hidden="1" customHeight="1">
      <c r="A436" s="1011" t="s">
        <v>303</v>
      </c>
      <c r="B436" s="1012"/>
      <c r="C436" s="1012"/>
      <c r="D436" s="343"/>
      <c r="E436" s="374" t="str">
        <f t="shared" ref="E436:AQ436" si="188">IFERROR(E455,"")</f>
        <v/>
      </c>
      <c r="F436" s="374">
        <f t="shared" si="188"/>
        <v>17.5</v>
      </c>
      <c r="G436" s="374">
        <f t="shared" si="188"/>
        <v>24.1</v>
      </c>
      <c r="H436" s="374">
        <f t="shared" si="188"/>
        <v>19.600000000000001</v>
      </c>
      <c r="I436" s="374" t="str">
        <f t="shared" si="188"/>
        <v/>
      </c>
      <c r="J436" s="374">
        <f t="shared" si="188"/>
        <v>20.399999999999999</v>
      </c>
      <c r="K436" s="374" t="str">
        <f t="shared" si="188"/>
        <v/>
      </c>
      <c r="L436" s="374">
        <f t="shared" si="188"/>
        <v>31.7</v>
      </c>
      <c r="M436" s="374">
        <f t="shared" si="188"/>
        <v>17.2</v>
      </c>
      <c r="N436" s="374" t="str">
        <f t="shared" si="188"/>
        <v/>
      </c>
      <c r="O436" s="374">
        <f t="shared" si="188"/>
        <v>14.5</v>
      </c>
      <c r="P436" s="374">
        <f t="shared" si="188"/>
        <v>13.4</v>
      </c>
      <c r="Q436" s="374">
        <f t="shared" si="188"/>
        <v>12.1</v>
      </c>
      <c r="R436" s="374">
        <f t="shared" si="188"/>
        <v>11.9</v>
      </c>
      <c r="S436" s="374">
        <f t="shared" si="188"/>
        <v>11.7</v>
      </c>
      <c r="T436" s="374">
        <f t="shared" si="188"/>
        <v>11</v>
      </c>
      <c r="U436" s="374">
        <f t="shared" si="188"/>
        <v>10.4</v>
      </c>
      <c r="V436" s="374">
        <f t="shared" si="188"/>
        <v>9.9</v>
      </c>
      <c r="W436" s="374">
        <f t="shared" si="188"/>
        <v>9.6</v>
      </c>
      <c r="X436" s="374">
        <f t="shared" si="188"/>
        <v>9.1</v>
      </c>
      <c r="Y436" s="374">
        <f t="shared" si="188"/>
        <v>9.1</v>
      </c>
      <c r="Z436" s="374">
        <f t="shared" si="188"/>
        <v>8.6999999999999993</v>
      </c>
      <c r="AA436" s="374">
        <f t="shared" si="188"/>
        <v>8.6</v>
      </c>
      <c r="AB436" s="374">
        <f t="shared" si="188"/>
        <v>8.1999999999999993</v>
      </c>
      <c r="AC436" s="374">
        <f t="shared" si="188"/>
        <v>8.1999999999999993</v>
      </c>
      <c r="AD436" s="374">
        <f t="shared" si="188"/>
        <v>8.1</v>
      </c>
      <c r="AE436" s="374">
        <f t="shared" si="188"/>
        <v>7.8</v>
      </c>
      <c r="AF436" s="374">
        <f t="shared" si="188"/>
        <v>7.7</v>
      </c>
      <c r="AG436" s="374">
        <f t="shared" si="188"/>
        <v>7.6</v>
      </c>
      <c r="AH436" s="374" t="str">
        <f t="shared" si="188"/>
        <v/>
      </c>
      <c r="AI436" s="374" t="str">
        <f t="shared" si="188"/>
        <v/>
      </c>
      <c r="AJ436" s="374" t="str">
        <f t="shared" si="188"/>
        <v/>
      </c>
      <c r="AK436" s="374" t="str">
        <f t="shared" si="188"/>
        <v/>
      </c>
      <c r="AL436" s="374" t="str">
        <f t="shared" si="188"/>
        <v/>
      </c>
      <c r="AM436" s="374" t="str">
        <f t="shared" si="188"/>
        <v/>
      </c>
      <c r="AN436" s="374" t="str">
        <f t="shared" si="188"/>
        <v/>
      </c>
      <c r="AO436" s="374" t="str">
        <f t="shared" si="188"/>
        <v/>
      </c>
      <c r="AP436" s="374" t="str">
        <f t="shared" si="188"/>
        <v/>
      </c>
      <c r="AQ436" s="374" t="str">
        <f t="shared" si="188"/>
        <v/>
      </c>
    </row>
    <row r="437" spans="1:44" s="317" customFormat="1" ht="14.25" hidden="1">
      <c r="A437" s="1011" t="s">
        <v>304</v>
      </c>
      <c r="B437" s="1012"/>
      <c r="C437" s="1012"/>
      <c r="D437" s="343"/>
      <c r="E437" s="374">
        <f t="shared" ref="E437:AQ437" si="189">IFERROR(E456,"")</f>
        <v>0</v>
      </c>
      <c r="F437" s="374">
        <f t="shared" si="189"/>
        <v>22.8</v>
      </c>
      <c r="G437" s="374">
        <f t="shared" si="189"/>
        <v>24.113066666666668</v>
      </c>
      <c r="H437" s="374">
        <f t="shared" si="189"/>
        <v>25.603199999999998</v>
      </c>
      <c r="I437" s="374">
        <f t="shared" si="189"/>
        <v>0</v>
      </c>
      <c r="J437" s="374">
        <f t="shared" si="189"/>
        <v>28.572916666666675</v>
      </c>
      <c r="K437" s="374">
        <f t="shared" si="189"/>
        <v>0</v>
      </c>
      <c r="L437" s="374">
        <f t="shared" si="189"/>
        <v>31.687500000000004</v>
      </c>
      <c r="M437" s="374">
        <f t="shared" si="189"/>
        <v>33.041666666666671</v>
      </c>
      <c r="N437" s="374">
        <f t="shared" si="189"/>
        <v>0</v>
      </c>
      <c r="O437" s="374">
        <f t="shared" si="189"/>
        <v>34.531250000000007</v>
      </c>
      <c r="P437" s="374">
        <f t="shared" si="189"/>
        <v>35.343750000000007</v>
      </c>
      <c r="Q437" s="374">
        <f t="shared" si="189"/>
        <v>35.885416666666671</v>
      </c>
      <c r="R437" s="374">
        <f t="shared" si="189"/>
        <v>36.697916666666671</v>
      </c>
      <c r="S437" s="374">
        <f t="shared" si="189"/>
        <v>37.645833333333343</v>
      </c>
      <c r="T437" s="374">
        <f t="shared" si="189"/>
        <v>38.052083333333343</v>
      </c>
      <c r="U437" s="374">
        <f t="shared" si="189"/>
        <v>38.357380952380957</v>
      </c>
      <c r="V437" s="374">
        <f t="shared" si="189"/>
        <v>38.771309523809528</v>
      </c>
      <c r="W437" s="374">
        <f t="shared" si="189"/>
        <v>39.323214285714286</v>
      </c>
      <c r="X437" s="374">
        <f t="shared" si="189"/>
        <v>39.323214285714286</v>
      </c>
      <c r="Y437" s="374">
        <f t="shared" si="189"/>
        <v>39.875119047619044</v>
      </c>
      <c r="Z437" s="374">
        <f t="shared" si="189"/>
        <v>40.013095238095239</v>
      </c>
      <c r="AA437" s="374">
        <f t="shared" si="189"/>
        <v>40.289047619047622</v>
      </c>
      <c r="AB437" s="374">
        <f t="shared" si="189"/>
        <v>40.289047619047622</v>
      </c>
      <c r="AC437" s="374">
        <f t="shared" si="189"/>
        <v>40.840952380952388</v>
      </c>
      <c r="AD437" s="374">
        <f t="shared" si="189"/>
        <v>41.116904761904763</v>
      </c>
      <c r="AE437" s="374">
        <f t="shared" si="189"/>
        <v>41.254880952380951</v>
      </c>
      <c r="AF437" s="374">
        <f t="shared" si="189"/>
        <v>41.806785714285716</v>
      </c>
      <c r="AG437" s="374">
        <f t="shared" si="189"/>
        <v>42.082738095238099</v>
      </c>
      <c r="AH437" s="374">
        <f t="shared" si="189"/>
        <v>0</v>
      </c>
      <c r="AI437" s="374">
        <f t="shared" si="189"/>
        <v>0</v>
      </c>
      <c r="AJ437" s="374">
        <f t="shared" si="189"/>
        <v>0</v>
      </c>
      <c r="AK437" s="374">
        <f t="shared" si="189"/>
        <v>0</v>
      </c>
      <c r="AL437" s="374">
        <f t="shared" si="189"/>
        <v>0</v>
      </c>
      <c r="AM437" s="374" t="str">
        <f t="shared" si="189"/>
        <v/>
      </c>
      <c r="AN437" s="374" t="str">
        <f t="shared" si="189"/>
        <v/>
      </c>
      <c r="AO437" s="374" t="str">
        <f t="shared" si="189"/>
        <v/>
      </c>
      <c r="AP437" s="374" t="str">
        <f t="shared" si="189"/>
        <v/>
      </c>
      <c r="AQ437" s="374" t="str">
        <f t="shared" si="189"/>
        <v/>
      </c>
    </row>
    <row r="438" spans="1:44" s="317" customFormat="1" ht="15" hidden="1" thickBot="1">
      <c r="A438" s="1074" t="s">
        <v>305</v>
      </c>
      <c r="B438" s="1075"/>
      <c r="C438" s="1075"/>
      <c r="D438" s="345"/>
      <c r="E438" s="374" t="str">
        <f t="shared" ref="E438:AQ438" si="190">IFERROR(E457,"")</f>
        <v/>
      </c>
      <c r="F438" s="374">
        <f t="shared" si="190"/>
        <v>0</v>
      </c>
      <c r="G438" s="374"/>
      <c r="H438" s="374"/>
      <c r="I438" s="374">
        <f t="shared" si="190"/>
        <v>23.3</v>
      </c>
      <c r="J438" s="374">
        <f t="shared" si="190"/>
        <v>27.4</v>
      </c>
      <c r="K438" s="374">
        <f t="shared" si="190"/>
        <v>35.700000000000003</v>
      </c>
      <c r="L438" s="374">
        <f t="shared" si="190"/>
        <v>43.2</v>
      </c>
      <c r="M438" s="374">
        <f t="shared" si="190"/>
        <v>45.6</v>
      </c>
      <c r="N438" s="374">
        <f t="shared" si="190"/>
        <v>50.4</v>
      </c>
      <c r="O438" s="374">
        <f t="shared" si="190"/>
        <v>54.2</v>
      </c>
      <c r="P438" s="374">
        <f t="shared" si="190"/>
        <v>58.6</v>
      </c>
      <c r="Q438" s="374">
        <f t="shared" si="190"/>
        <v>61.8</v>
      </c>
      <c r="R438" s="374">
        <f t="shared" si="190"/>
        <v>63.3</v>
      </c>
      <c r="S438" s="374">
        <f t="shared" si="190"/>
        <v>65.5</v>
      </c>
      <c r="T438" s="374">
        <f t="shared" si="190"/>
        <v>66.7</v>
      </c>
      <c r="U438" s="374">
        <f t="shared" si="190"/>
        <v>68.400000000000006</v>
      </c>
      <c r="V438" s="374">
        <f t="shared" si="190"/>
        <v>69.599999999999994</v>
      </c>
      <c r="W438" s="374">
        <f t="shared" si="190"/>
        <v>71</v>
      </c>
      <c r="X438" s="374">
        <f t="shared" si="190"/>
        <v>72.099999999999994</v>
      </c>
      <c r="Y438" s="374">
        <f t="shared" si="190"/>
        <v>72.900000000000006</v>
      </c>
      <c r="Z438" s="374">
        <f t="shared" si="190"/>
        <v>73.099999999999994</v>
      </c>
      <c r="AA438" s="374">
        <f t="shared" si="190"/>
        <v>74.3</v>
      </c>
      <c r="AB438" s="374">
        <f t="shared" si="190"/>
        <v>74.900000000000006</v>
      </c>
      <c r="AC438" s="374">
        <f t="shared" si="190"/>
        <v>75</v>
      </c>
      <c r="AD438" s="374">
        <f t="shared" si="190"/>
        <v>0</v>
      </c>
      <c r="AE438" s="374">
        <f t="shared" si="190"/>
        <v>0</v>
      </c>
      <c r="AF438" s="374">
        <f t="shared" si="190"/>
        <v>0</v>
      </c>
      <c r="AG438" s="374">
        <f t="shared" si="190"/>
        <v>0</v>
      </c>
      <c r="AH438" s="374">
        <f t="shared" si="190"/>
        <v>0</v>
      </c>
      <c r="AI438" s="374">
        <f t="shared" si="190"/>
        <v>0</v>
      </c>
      <c r="AJ438" s="374">
        <f t="shared" si="190"/>
        <v>0</v>
      </c>
      <c r="AK438" s="374">
        <f t="shared" si="190"/>
        <v>0</v>
      </c>
      <c r="AL438" s="374">
        <f t="shared" si="190"/>
        <v>0</v>
      </c>
      <c r="AM438" s="374" t="str">
        <f t="shared" si="190"/>
        <v/>
      </c>
      <c r="AN438" s="374" t="str">
        <f t="shared" si="190"/>
        <v/>
      </c>
      <c r="AO438" s="374" t="str">
        <f t="shared" si="190"/>
        <v/>
      </c>
      <c r="AP438" s="374" t="str">
        <f t="shared" si="190"/>
        <v/>
      </c>
      <c r="AQ438" s="374" t="str">
        <f t="shared" si="190"/>
        <v/>
      </c>
      <c r="AR438" s="344"/>
    </row>
    <row r="439" spans="1:44" hidden="1"/>
    <row r="440" spans="1:44" s="317" customFormat="1" ht="14.25" hidden="1">
      <c r="A440" s="346"/>
      <c r="B440" s="346" t="s">
        <v>175</v>
      </c>
      <c r="C440" s="346" t="s">
        <v>176</v>
      </c>
      <c r="D440" s="347" t="s">
        <v>177</v>
      </c>
      <c r="E440" s="346" t="s">
        <v>178</v>
      </c>
      <c r="F440" s="346" t="s">
        <v>179</v>
      </c>
      <c r="G440" s="346" t="s">
        <v>180</v>
      </c>
      <c r="H440" s="346" t="s">
        <v>181</v>
      </c>
      <c r="I440" s="346" t="s">
        <v>182</v>
      </c>
      <c r="J440" s="346" t="s">
        <v>183</v>
      </c>
      <c r="K440" s="346" t="s">
        <v>184</v>
      </c>
      <c r="L440" s="346" t="s">
        <v>306</v>
      </c>
      <c r="M440" s="346" t="s">
        <v>307</v>
      </c>
      <c r="N440" s="346" t="s">
        <v>308</v>
      </c>
      <c r="O440" s="346" t="s">
        <v>309</v>
      </c>
      <c r="P440" s="346" t="s">
        <v>310</v>
      </c>
      <c r="Q440" s="346" t="s">
        <v>311</v>
      </c>
      <c r="R440" s="346" t="s">
        <v>312</v>
      </c>
      <c r="S440" s="346" t="s">
        <v>313</v>
      </c>
      <c r="T440" s="346" t="s">
        <v>314</v>
      </c>
      <c r="U440" s="346" t="s">
        <v>315</v>
      </c>
    </row>
    <row r="441" spans="1:44" s="317" customFormat="1" ht="14.25" hidden="1">
      <c r="A441" s="348" t="s">
        <v>185</v>
      </c>
      <c r="B441" s="348" t="str">
        <f t="array" aca="1" ref="B441" ca="1">IFERROR(OFFSET(INDEX(431:431,SMALL(IF(431:431&lt;&gt;"",COLUMN(431:431)),COLUMN())),-1,0),"")</f>
        <v/>
      </c>
      <c r="C441" s="348" t="str">
        <f t="array" aca="1" ref="C441" ca="1">IFERROR(OFFSET(INDEX(431:431,SMALL(IF(431:431&lt;&gt;"",COLUMN(431:431)),COLUMN())),-1,0),"")</f>
        <v/>
      </c>
      <c r="D441" s="348" t="str">
        <f t="array" aca="1" ref="D441" ca="1">IFERROR(OFFSET(INDEX(431:431,SMALL(IF(431:431&lt;&gt;"",COLUMN(431:431)),COLUMN())),-1,0),"")</f>
        <v/>
      </c>
      <c r="E441" s="348" t="str">
        <f t="array" aca="1" ref="E441" ca="1">IFERROR(OFFSET(INDEX(431:431,SMALL(IF(431:431&lt;&gt;"",COLUMN(431:431)),COLUMN())),-1,0),"")</f>
        <v/>
      </c>
      <c r="F441" s="348" t="str">
        <f t="array" aca="1" ref="F441" ca="1">IFERROR(OFFSET(INDEX(431:431,SMALL(IF(431:431&lt;&gt;"",COLUMN(431:431)),COLUMN())),-1,0),"")</f>
        <v/>
      </c>
      <c r="G441" s="348" t="str">
        <f t="array" aca="1" ref="G441" ca="1">IFERROR(OFFSET(INDEX(431:431,SMALL(IF(431:431&lt;&gt;"",COLUMN(431:431)),COLUMN())),-1,0),"")</f>
        <v/>
      </c>
      <c r="H441" s="348" t="str">
        <f t="array" aca="1" ref="H441" ca="1">IFERROR(OFFSET(INDEX(431:431,SMALL(IF(431:431&lt;&gt;"",COLUMN(431:431)),COLUMN())),-1,0),"")</f>
        <v/>
      </c>
      <c r="I441" s="348" t="str">
        <f t="array" aca="1" ref="I441" ca="1">IFERROR(OFFSET(INDEX(431:431,SMALL(IF(431:431&lt;&gt;"",COLUMN(431:431)),COLUMN())),-1,0),"")</f>
        <v/>
      </c>
      <c r="J441" s="348" t="str">
        <f t="array" aca="1" ref="J441" ca="1">IFERROR(OFFSET(INDEX(431:431,SMALL(IF(431:431&lt;&gt;"",COLUMN(431:431)),COLUMN())),-1,0),"")</f>
        <v/>
      </c>
      <c r="K441" s="348" t="str">
        <f t="array" aca="1" ref="K441" ca="1">IFERROR(OFFSET(INDEX(431:431,SMALL(IF(431:431&lt;&gt;"",COLUMN(431:431)),COLUMN())),-1,0),"")</f>
        <v/>
      </c>
      <c r="L441" s="348" t="str">
        <f t="array" aca="1" ref="L441" ca="1">IFERROR(OFFSET(INDEX(431:431,SMALL(IF(431:431&lt;&gt;"",COLUMN(431:431)),COLUMN())),-1,0),"")</f>
        <v/>
      </c>
      <c r="M441" s="348" t="str">
        <f t="array" aca="1" ref="M441" ca="1">IFERROR(OFFSET(INDEX(431:431,SMALL(IF(431:431&lt;&gt;"",COLUMN(431:431)),COLUMN())),-1,0),"")</f>
        <v/>
      </c>
      <c r="N441" s="348" t="str">
        <f t="array" aca="1" ref="N441" ca="1">IFERROR(OFFSET(INDEX(431:431,SMALL(IF(431:431&lt;&gt;"",COLUMN(431:431)),COLUMN())),-1,0),"")</f>
        <v/>
      </c>
      <c r="O441" s="348" t="str">
        <f t="array" aca="1" ref="O441" ca="1">IFERROR(OFFSET(INDEX(431:431,SMALL(IF(431:431&lt;&gt;"",COLUMN(431:431)),COLUMN())),-1,0),"")</f>
        <v/>
      </c>
      <c r="P441" s="348" t="str">
        <f t="array" aca="1" ref="P441" ca="1">IFERROR(OFFSET(INDEX(431:431,SMALL(IF(431:431&lt;&gt;"",COLUMN(431:431)),COLUMN())),-1,0),"")</f>
        <v/>
      </c>
      <c r="Q441" s="348" t="str">
        <f t="array" aca="1" ref="Q441" ca="1">IFERROR(OFFSET(INDEX(431:431,SMALL(IF(431:431&lt;&gt;"",COLUMN(431:431)),COLUMN())),-1,0),"")</f>
        <v/>
      </c>
      <c r="R441" s="348" t="str">
        <f t="array" aca="1" ref="R441" ca="1">IFERROR(OFFSET(INDEX(431:431,SMALL(IF(431:431&lt;&gt;"",COLUMN(431:431)),COLUMN())),-1,0),"")</f>
        <v/>
      </c>
      <c r="S441" s="348" t="str">
        <f t="array" aca="1" ref="S441" ca="1">IFERROR(OFFSET(INDEX(431:431,SMALL(IF(431:431&lt;&gt;"",COLUMN(431:431)),COLUMN())),-1,0),"")</f>
        <v/>
      </c>
      <c r="T441" s="348" t="str">
        <f t="array" aca="1" ref="T441" ca="1">IFERROR(OFFSET(INDEX(431:431,SMALL(IF(431:431&lt;&gt;"",COLUMN(431:431)),COLUMN())),-1,0),"")</f>
        <v/>
      </c>
      <c r="U441" s="348" t="str">
        <f t="array" aca="1" ref="U441" ca="1">IFERROR(OFFSET(INDEX(431:431,SMALL(IF(431:431&lt;&gt;"",COLUMN(431:431)),COLUMN())),-1,0),"")</f>
        <v/>
      </c>
    </row>
    <row r="442" spans="1:44" s="317" customFormat="1" ht="14.25" hidden="1">
      <c r="A442" s="348" t="str">
        <f t="array" ref="A442">IFERROR(INDEX(431:431,SMALL(IF(431:431&lt;&gt;"",COLUMN(431:431)),COLUMN())),"")</f>
        <v>追水量（L)</v>
      </c>
      <c r="B442" s="348" t="str">
        <f t="array" ref="B442">IFERROR(INDEX(431:431,SMALL(IF(431:431&lt;&gt;"",COLUMN(431:431)),COLUMN())),"")</f>
        <v/>
      </c>
      <c r="C442" s="348" t="str">
        <f t="array" ref="C442">IFERROR(INDEX(431:431,SMALL(IF(431:431&lt;&gt;"",COLUMN(431:431)),COLUMN())),"")</f>
        <v/>
      </c>
      <c r="D442" s="348" t="str">
        <f t="array" ref="D442">IFERROR(INDEX(431:431,SMALL(IF(431:431&lt;&gt;"",COLUMN(431:431)),COLUMN())),"")</f>
        <v/>
      </c>
      <c r="E442" s="348" t="str">
        <f t="array" ref="E442">IFERROR(INDEX(431:431,SMALL(IF(431:431&lt;&gt;"",COLUMN(431:431)),COLUMN())),"")</f>
        <v/>
      </c>
      <c r="F442" s="348" t="str">
        <f t="array" ref="F442">IFERROR(INDEX(431:431,SMALL(IF(431:431&lt;&gt;"",COLUMN(431:431)),COLUMN())),"")</f>
        <v/>
      </c>
      <c r="G442" s="348" t="str">
        <f t="array" ref="G442">IFERROR(INDEX(431:431,SMALL(IF(431:431&lt;&gt;"",COLUMN(431:431)),COLUMN())),"")</f>
        <v/>
      </c>
      <c r="H442" s="348" t="str">
        <f t="array" ref="H442">IFERROR(INDEX(431:431,SMALL(IF(431:431&lt;&gt;"",COLUMN(431:431)),COLUMN())),"")</f>
        <v/>
      </c>
      <c r="I442" s="348" t="str">
        <f t="array" ref="I442">IFERROR(INDEX(431:431,SMALL(IF(431:431&lt;&gt;"",COLUMN(431:431)),COLUMN())),"")</f>
        <v/>
      </c>
      <c r="J442" s="348" t="str">
        <f t="array" ref="J442">IFERROR(INDEX(431:431,SMALL(IF(431:431&lt;&gt;"",COLUMN(431:431)),COLUMN())),"")</f>
        <v/>
      </c>
      <c r="K442" s="348" t="str">
        <f t="array" ref="K442">IFERROR(INDEX(431:431,SMALL(IF(431:431&lt;&gt;"",COLUMN(431:431)),COLUMN())),"")</f>
        <v/>
      </c>
      <c r="L442" s="348" t="str">
        <f t="array" ref="L442">IFERROR(INDEX(431:431,SMALL(IF(431:431&lt;&gt;"",COLUMN(431:431)),COLUMN())),"")</f>
        <v/>
      </c>
      <c r="M442" s="348" t="str">
        <f t="array" ref="M442">IFERROR(INDEX(431:431,SMALL(IF(431:431&lt;&gt;"",COLUMN(431:431)),COLUMN())),"")</f>
        <v/>
      </c>
      <c r="N442" s="348" t="str">
        <f t="array" ref="N442">IFERROR(INDEX(431:431,SMALL(IF(431:431&lt;&gt;"",COLUMN(431:431)),COLUMN())),"")</f>
        <v/>
      </c>
      <c r="O442" s="348" t="str">
        <f t="array" ref="O442">IFERROR(INDEX(431:431,SMALL(IF(431:431&lt;&gt;"",COLUMN(431:431)),COLUMN())),"")</f>
        <v/>
      </c>
      <c r="P442" s="348" t="str">
        <f t="array" ref="P442">IFERROR(INDEX(431:431,SMALL(IF(431:431&lt;&gt;"",COLUMN(431:431)),COLUMN())),"")</f>
        <v/>
      </c>
      <c r="Q442" s="348" t="str">
        <f t="array" ref="Q442">IFERROR(INDEX(431:431,SMALL(IF(431:431&lt;&gt;"",COLUMN(431:431)),COLUMN())),"")</f>
        <v/>
      </c>
      <c r="R442" s="348" t="str">
        <f t="array" ref="R442">IFERROR(INDEX(431:431,SMALL(IF(431:431&lt;&gt;"",COLUMN(431:431)),COLUMN())),"")</f>
        <v/>
      </c>
      <c r="S442" s="348" t="str">
        <f t="array" ref="S442">IFERROR(INDEX(431:431,SMALL(IF(431:431&lt;&gt;"",COLUMN(431:431)),COLUMN())),"")</f>
        <v/>
      </c>
      <c r="T442" s="348" t="str">
        <f t="array" ref="T442">IFERROR(INDEX(431:431,SMALL(IF(431:431&lt;&gt;"",COLUMN(431:431)),COLUMN())),"")</f>
        <v/>
      </c>
      <c r="U442" s="348" t="str">
        <f t="array" ref="U442">IFERROR(INDEX(431:431,SMALL(IF(431:431&lt;&gt;"",COLUMN(431:431)),COLUMN())),"")</f>
        <v/>
      </c>
    </row>
    <row r="443" spans="1:44" s="317" customFormat="1" ht="14.25" hidden="1">
      <c r="A443" s="1053" t="s">
        <v>186</v>
      </c>
      <c r="B443" s="1053"/>
      <c r="C443" s="1053"/>
      <c r="D443" s="349" t="s">
        <v>187</v>
      </c>
      <c r="E443" s="349" t="s">
        <v>188</v>
      </c>
      <c r="F443" s="349" t="s">
        <v>189</v>
      </c>
      <c r="G443" s="349" t="s">
        <v>190</v>
      </c>
      <c r="H443" s="349" t="s">
        <v>191</v>
      </c>
      <c r="I443" s="349" t="s">
        <v>192</v>
      </c>
      <c r="J443" s="349" t="s">
        <v>193</v>
      </c>
      <c r="K443" s="349" t="s">
        <v>194</v>
      </c>
      <c r="L443" s="347" t="s">
        <v>195</v>
      </c>
      <c r="M443" s="347" t="s">
        <v>196</v>
      </c>
      <c r="N443" s="347" t="s">
        <v>197</v>
      </c>
      <c r="O443" s="347" t="s">
        <v>316</v>
      </c>
      <c r="P443" s="347" t="s">
        <v>317</v>
      </c>
      <c r="Q443" s="347" t="s">
        <v>318</v>
      </c>
      <c r="R443" s="347" t="s">
        <v>319</v>
      </c>
      <c r="S443" s="347" t="s">
        <v>320</v>
      </c>
      <c r="T443" s="347" t="s">
        <v>321</v>
      </c>
      <c r="U443" s="347" t="s">
        <v>322</v>
      </c>
      <c r="V443" s="347" t="s">
        <v>323</v>
      </c>
      <c r="W443" s="347" t="s">
        <v>324</v>
      </c>
      <c r="X443" s="347" t="s">
        <v>325</v>
      </c>
    </row>
    <row r="444" spans="1:44" s="317" customFormat="1" ht="14.25" hidden="1">
      <c r="A444" s="1054"/>
      <c r="B444" s="1054"/>
      <c r="C444" s="1054"/>
      <c r="D444" s="350" t="e">
        <f>SUM(D424:G424)/SUM(D421:G421)*100</f>
        <v>#DIV/0!</v>
      </c>
      <c r="E444" s="350" t="e">
        <f>(SUM(D424:G424)+SUM(B442:B442))/SUM(D421:G421)*100</f>
        <v>#DIV/0!</v>
      </c>
      <c r="F444" s="350" t="e">
        <f>(SUM(D424:G424)+SUM(B442:C442))/SUM(D421:G421)*100</f>
        <v>#DIV/0!</v>
      </c>
      <c r="G444" s="350" t="e">
        <f>(SUM(D424:G424)+SUM(B442:D442))/SUM(D421:G421)*100</f>
        <v>#DIV/0!</v>
      </c>
      <c r="H444" s="350" t="e">
        <f>(SUM(D424:G424)+SUM(B442:E442))/SUM(D421:G421)*100</f>
        <v>#DIV/0!</v>
      </c>
      <c r="I444" s="351" t="e">
        <f>(SUM(D424:G424)+SUM(B442:F442))/SUM(D421:G421)*100</f>
        <v>#DIV/0!</v>
      </c>
      <c r="J444" s="350" t="e">
        <f>(SUM(D424:G424)+SUM(B442:G442))/SUM(D421:G421)*100</f>
        <v>#DIV/0!</v>
      </c>
      <c r="K444" s="350" t="e">
        <f>(SUM(D424:G424)+SUM(B442:H442))/SUM(D421:G421)*100</f>
        <v>#DIV/0!</v>
      </c>
      <c r="L444" s="350" t="e">
        <f>(SUM(D424:G424)+SUM(B442:I442))/SUM(D421:G421)*100</f>
        <v>#DIV/0!</v>
      </c>
      <c r="M444" s="350" t="e">
        <f>(SUM(D424:G424)+SUM(B442:J442))/SUM(D421:G421)*100</f>
        <v>#DIV/0!</v>
      </c>
      <c r="N444" s="350" t="e">
        <f>(SUM(D424:G424)+SUM(B442:K442))/SUM(D421:G421)*100</f>
        <v>#DIV/0!</v>
      </c>
      <c r="O444" s="352" t="e">
        <f>(SUM(D424:G424)+SUM(B442:L442))/SUM(D421:G421)*100</f>
        <v>#DIV/0!</v>
      </c>
      <c r="P444" s="353" t="e">
        <f>(SUM(D424:G424)+SUM(B442:M442))/SUM(D421:G421)*100</f>
        <v>#DIV/0!</v>
      </c>
      <c r="Q444" s="353" t="e">
        <f>(SUM(D424:G424)+SUM(B442:N442))/SUM(D421:G421)*100</f>
        <v>#DIV/0!</v>
      </c>
      <c r="R444" s="353" t="e">
        <f>(SUM(D424:G424)+SUM(B442:O442))/SUM(D421:G421)*100</f>
        <v>#DIV/0!</v>
      </c>
      <c r="S444" s="353" t="e">
        <f>(SUM(D424:G424)+SUM(B442:P442))/SUM(D421:G421)*100</f>
        <v>#DIV/0!</v>
      </c>
      <c r="T444" s="353" t="e">
        <f>(SUM(D424:G424)+SUM(B442:Q442))/SUM(D421:G421)*100</f>
        <v>#DIV/0!</v>
      </c>
      <c r="U444" s="353" t="e">
        <f>(SUM(D424:G424)+SUM(B442:R442))/SUM(D421:G421)*100</f>
        <v>#DIV/0!</v>
      </c>
      <c r="V444" s="353" t="e">
        <f>(SUM(D424:G424)+SUM(B442:S442))/SUM(D421:G421)*100</f>
        <v>#DIV/0!</v>
      </c>
      <c r="W444" s="353" t="e">
        <f>(SUM(D424:G424)+SUM(B442:T442))/SUM(D421:G421)*100</f>
        <v>#DIV/0!</v>
      </c>
      <c r="X444" s="353" t="e">
        <f>(SUM(D424:G424)+SUM(B442:U442))/SUM(D421:G421)*100</f>
        <v>#DIV/0!</v>
      </c>
    </row>
    <row r="445" spans="1:44" s="317" customFormat="1" ht="14.25" hidden="1"/>
    <row r="446" spans="1:44" s="317" customFormat="1" ht="14.25" hidden="1">
      <c r="A446" s="1046" t="s">
        <v>129</v>
      </c>
      <c r="B446" s="1047"/>
      <c r="C446" s="1047"/>
      <c r="E446" s="354" t="e">
        <f t="shared" ref="E446:AQ446" si="191">IF(E432="",IF(E433="",NA(),E433/-10),E432)</f>
        <v>#N/A</v>
      </c>
      <c r="F446" s="354" t="e">
        <f t="shared" si="191"/>
        <v>#N/A</v>
      </c>
      <c r="G446" s="354" t="e">
        <f t="shared" si="191"/>
        <v>#N/A</v>
      </c>
      <c r="H446" s="354" t="e">
        <f t="shared" si="191"/>
        <v>#N/A</v>
      </c>
      <c r="I446" s="354" t="e">
        <f t="shared" si="191"/>
        <v>#N/A</v>
      </c>
      <c r="J446" s="354" t="e">
        <f t="shared" si="191"/>
        <v>#N/A</v>
      </c>
      <c r="K446" s="354" t="e">
        <f t="shared" si="191"/>
        <v>#N/A</v>
      </c>
      <c r="L446" s="354" t="e">
        <f t="shared" si="191"/>
        <v>#N/A</v>
      </c>
      <c r="M446" s="354" t="e">
        <f t="shared" si="191"/>
        <v>#N/A</v>
      </c>
      <c r="N446" s="354" t="e">
        <f t="shared" si="191"/>
        <v>#N/A</v>
      </c>
      <c r="O446" s="354" t="e">
        <f t="shared" si="191"/>
        <v>#N/A</v>
      </c>
      <c r="P446" s="354" t="e">
        <f t="shared" si="191"/>
        <v>#N/A</v>
      </c>
      <c r="Q446" s="354" t="e">
        <f t="shared" si="191"/>
        <v>#N/A</v>
      </c>
      <c r="R446" s="354" t="e">
        <f t="shared" si="191"/>
        <v>#N/A</v>
      </c>
      <c r="S446" s="354" t="e">
        <f t="shared" si="191"/>
        <v>#N/A</v>
      </c>
      <c r="T446" s="354" t="e">
        <f t="shared" si="191"/>
        <v>#N/A</v>
      </c>
      <c r="U446" s="354" t="e">
        <f t="shared" si="191"/>
        <v>#N/A</v>
      </c>
      <c r="V446" s="354" t="e">
        <f t="shared" si="191"/>
        <v>#N/A</v>
      </c>
      <c r="W446" s="354" t="e">
        <f t="shared" si="191"/>
        <v>#N/A</v>
      </c>
      <c r="X446" s="354" t="e">
        <f t="shared" si="191"/>
        <v>#N/A</v>
      </c>
      <c r="Y446" s="354" t="e">
        <f t="shared" si="191"/>
        <v>#N/A</v>
      </c>
      <c r="Z446" s="354" t="e">
        <f t="shared" si="191"/>
        <v>#N/A</v>
      </c>
      <c r="AA446" s="354" t="e">
        <f t="shared" si="191"/>
        <v>#N/A</v>
      </c>
      <c r="AB446" s="354" t="e">
        <f t="shared" si="191"/>
        <v>#N/A</v>
      </c>
      <c r="AC446" s="354" t="e">
        <f t="shared" si="191"/>
        <v>#N/A</v>
      </c>
      <c r="AD446" s="354" t="e">
        <f t="shared" si="191"/>
        <v>#N/A</v>
      </c>
      <c r="AE446" s="354" t="e">
        <f t="shared" si="191"/>
        <v>#N/A</v>
      </c>
      <c r="AF446" s="354" t="e">
        <f t="shared" si="191"/>
        <v>#N/A</v>
      </c>
      <c r="AG446" s="354" t="e">
        <f t="shared" si="191"/>
        <v>#N/A</v>
      </c>
      <c r="AH446" s="354" t="e">
        <f t="shared" si="191"/>
        <v>#N/A</v>
      </c>
      <c r="AI446" s="354" t="e">
        <f t="shared" si="191"/>
        <v>#N/A</v>
      </c>
      <c r="AJ446" s="354" t="e">
        <f t="shared" si="191"/>
        <v>#N/A</v>
      </c>
      <c r="AK446" s="354" t="e">
        <f t="shared" si="191"/>
        <v>#N/A</v>
      </c>
      <c r="AL446" s="354" t="e">
        <f t="shared" si="191"/>
        <v>#N/A</v>
      </c>
      <c r="AM446" s="354" t="e">
        <f t="shared" si="191"/>
        <v>#N/A</v>
      </c>
      <c r="AN446" s="354" t="e">
        <f t="shared" si="191"/>
        <v>#N/A</v>
      </c>
      <c r="AO446" s="354" t="e">
        <f t="shared" si="191"/>
        <v>#N/A</v>
      </c>
      <c r="AP446" s="354" t="e">
        <f t="shared" si="191"/>
        <v>#N/A</v>
      </c>
      <c r="AQ446" s="354" t="e">
        <f t="shared" si="191"/>
        <v>#N/A</v>
      </c>
    </row>
    <row r="447" spans="1:44" s="317" customFormat="1" ht="14.25" hidden="1">
      <c r="A447" s="1048" t="s">
        <v>44</v>
      </c>
      <c r="B447" s="1048"/>
      <c r="C447" s="1049"/>
      <c r="E447" s="355" t="e">
        <f>IF(E446="",NA(),E446*(-10))</f>
        <v>#N/A</v>
      </c>
      <c r="F447" s="355" t="e">
        <f t="shared" ref="F447:AQ447" si="192">IF(F446="",NA(),F446*(-10))</f>
        <v>#N/A</v>
      </c>
      <c r="G447" s="355" t="e">
        <f t="shared" si="192"/>
        <v>#N/A</v>
      </c>
      <c r="H447" s="355" t="e">
        <f t="shared" si="192"/>
        <v>#N/A</v>
      </c>
      <c r="I447" s="355" t="e">
        <f t="shared" si="192"/>
        <v>#N/A</v>
      </c>
      <c r="J447" s="355" t="e">
        <f t="shared" si="192"/>
        <v>#N/A</v>
      </c>
      <c r="K447" s="355" t="e">
        <f t="shared" si="192"/>
        <v>#N/A</v>
      </c>
      <c r="L447" s="355" t="e">
        <f t="shared" si="192"/>
        <v>#N/A</v>
      </c>
      <c r="M447" s="355" t="e">
        <f t="shared" si="192"/>
        <v>#N/A</v>
      </c>
      <c r="N447" s="355" t="e">
        <f t="shared" si="192"/>
        <v>#N/A</v>
      </c>
      <c r="O447" s="355" t="e">
        <f t="shared" si="192"/>
        <v>#N/A</v>
      </c>
      <c r="P447" s="355" t="e">
        <f t="shared" si="192"/>
        <v>#N/A</v>
      </c>
      <c r="Q447" s="355" t="e">
        <f t="shared" si="192"/>
        <v>#N/A</v>
      </c>
      <c r="R447" s="355" t="e">
        <f t="shared" si="192"/>
        <v>#N/A</v>
      </c>
      <c r="S447" s="355" t="e">
        <f t="shared" si="192"/>
        <v>#N/A</v>
      </c>
      <c r="T447" s="355" t="e">
        <f t="shared" si="192"/>
        <v>#N/A</v>
      </c>
      <c r="U447" s="355" t="e">
        <f t="shared" si="192"/>
        <v>#N/A</v>
      </c>
      <c r="V447" s="355" t="e">
        <f t="shared" si="192"/>
        <v>#N/A</v>
      </c>
      <c r="W447" s="355" t="e">
        <f t="shared" si="192"/>
        <v>#N/A</v>
      </c>
      <c r="X447" s="355" t="e">
        <f t="shared" si="192"/>
        <v>#N/A</v>
      </c>
      <c r="Y447" s="355" t="e">
        <f t="shared" si="192"/>
        <v>#N/A</v>
      </c>
      <c r="Z447" s="355" t="e">
        <f t="shared" si="192"/>
        <v>#N/A</v>
      </c>
      <c r="AA447" s="355" t="e">
        <f t="shared" si="192"/>
        <v>#N/A</v>
      </c>
      <c r="AB447" s="355" t="e">
        <f t="shared" si="192"/>
        <v>#N/A</v>
      </c>
      <c r="AC447" s="355" t="e">
        <f t="shared" si="192"/>
        <v>#N/A</v>
      </c>
      <c r="AD447" s="355" t="e">
        <f t="shared" si="192"/>
        <v>#N/A</v>
      </c>
      <c r="AE447" s="355" t="e">
        <f t="shared" si="192"/>
        <v>#N/A</v>
      </c>
      <c r="AF447" s="355" t="e">
        <f t="shared" si="192"/>
        <v>#N/A</v>
      </c>
      <c r="AG447" s="355" t="e">
        <f t="shared" si="192"/>
        <v>#N/A</v>
      </c>
      <c r="AH447" s="355" t="e">
        <f t="shared" si="192"/>
        <v>#N/A</v>
      </c>
      <c r="AI447" s="355" t="e">
        <f t="shared" si="192"/>
        <v>#N/A</v>
      </c>
      <c r="AJ447" s="355" t="e">
        <f t="shared" si="192"/>
        <v>#N/A</v>
      </c>
      <c r="AK447" s="355" t="e">
        <f t="shared" si="192"/>
        <v>#N/A</v>
      </c>
      <c r="AL447" s="355" t="e">
        <f t="shared" si="192"/>
        <v>#N/A</v>
      </c>
      <c r="AM447" s="355" t="e">
        <f t="shared" si="192"/>
        <v>#N/A</v>
      </c>
      <c r="AN447" s="355" t="e">
        <f t="shared" si="192"/>
        <v>#N/A</v>
      </c>
      <c r="AO447" s="355" t="e">
        <f t="shared" si="192"/>
        <v>#N/A</v>
      </c>
      <c r="AP447" s="355" t="e">
        <f t="shared" si="192"/>
        <v>#N/A</v>
      </c>
      <c r="AQ447" s="355" t="e">
        <f t="shared" si="192"/>
        <v>#N/A</v>
      </c>
    </row>
    <row r="448" spans="1:44" s="317" customFormat="1" ht="14.25" hidden="1">
      <c r="A448" s="356"/>
      <c r="B448" s="1012" t="s">
        <v>35</v>
      </c>
      <c r="C448" s="1050"/>
      <c r="E448" s="357" t="e">
        <f>IF(E446="",NA(),ROUND(1443/(1443+E447),4))</f>
        <v>#N/A</v>
      </c>
      <c r="F448" s="357" t="e">
        <f t="shared" ref="F448:AQ448" si="193">IF(F446="",NA(),ROUND(1443/(1443+F447),4))</f>
        <v>#N/A</v>
      </c>
      <c r="G448" s="357" t="e">
        <f t="shared" si="193"/>
        <v>#N/A</v>
      </c>
      <c r="H448" s="357" t="e">
        <f t="shared" si="193"/>
        <v>#N/A</v>
      </c>
      <c r="I448" s="357" t="e">
        <f t="shared" si="193"/>
        <v>#N/A</v>
      </c>
      <c r="J448" s="357" t="e">
        <f t="shared" si="193"/>
        <v>#N/A</v>
      </c>
      <c r="K448" s="357" t="e">
        <f t="shared" si="193"/>
        <v>#N/A</v>
      </c>
      <c r="L448" s="357" t="e">
        <f t="shared" si="193"/>
        <v>#N/A</v>
      </c>
      <c r="M448" s="357" t="e">
        <f t="shared" si="193"/>
        <v>#N/A</v>
      </c>
      <c r="N448" s="357" t="e">
        <f t="shared" si="193"/>
        <v>#N/A</v>
      </c>
      <c r="O448" s="357" t="e">
        <f t="shared" si="193"/>
        <v>#N/A</v>
      </c>
      <c r="P448" s="357" t="e">
        <f t="shared" si="193"/>
        <v>#N/A</v>
      </c>
      <c r="Q448" s="357" t="e">
        <f t="shared" si="193"/>
        <v>#N/A</v>
      </c>
      <c r="R448" s="357" t="e">
        <f t="shared" si="193"/>
        <v>#N/A</v>
      </c>
      <c r="S448" s="357" t="e">
        <f t="shared" si="193"/>
        <v>#N/A</v>
      </c>
      <c r="T448" s="357" t="e">
        <f t="shared" si="193"/>
        <v>#N/A</v>
      </c>
      <c r="U448" s="357" t="e">
        <f t="shared" si="193"/>
        <v>#N/A</v>
      </c>
      <c r="V448" s="357" t="e">
        <f t="shared" si="193"/>
        <v>#N/A</v>
      </c>
      <c r="W448" s="357" t="e">
        <f t="shared" si="193"/>
        <v>#N/A</v>
      </c>
      <c r="X448" s="357" t="e">
        <f t="shared" si="193"/>
        <v>#N/A</v>
      </c>
      <c r="Y448" s="357" t="e">
        <f t="shared" si="193"/>
        <v>#N/A</v>
      </c>
      <c r="Z448" s="357" t="e">
        <f t="shared" si="193"/>
        <v>#N/A</v>
      </c>
      <c r="AA448" s="357" t="e">
        <f t="shared" si="193"/>
        <v>#N/A</v>
      </c>
      <c r="AB448" s="357" t="e">
        <f t="shared" si="193"/>
        <v>#N/A</v>
      </c>
      <c r="AC448" s="357" t="e">
        <f t="shared" si="193"/>
        <v>#N/A</v>
      </c>
      <c r="AD448" s="357" t="e">
        <f t="shared" si="193"/>
        <v>#N/A</v>
      </c>
      <c r="AE448" s="357" t="e">
        <f t="shared" si="193"/>
        <v>#N/A</v>
      </c>
      <c r="AF448" s="357" t="e">
        <f t="shared" si="193"/>
        <v>#N/A</v>
      </c>
      <c r="AG448" s="357" t="e">
        <f t="shared" si="193"/>
        <v>#N/A</v>
      </c>
      <c r="AH448" s="357" t="e">
        <f t="shared" si="193"/>
        <v>#N/A</v>
      </c>
      <c r="AI448" s="357" t="e">
        <f t="shared" si="193"/>
        <v>#N/A</v>
      </c>
      <c r="AJ448" s="357" t="e">
        <f t="shared" si="193"/>
        <v>#N/A</v>
      </c>
      <c r="AK448" s="357" t="e">
        <f t="shared" si="193"/>
        <v>#N/A</v>
      </c>
      <c r="AL448" s="357" t="e">
        <f t="shared" si="193"/>
        <v>#N/A</v>
      </c>
      <c r="AM448" s="357" t="e">
        <f t="shared" si="193"/>
        <v>#N/A</v>
      </c>
      <c r="AN448" s="357" t="e">
        <f t="shared" si="193"/>
        <v>#N/A</v>
      </c>
      <c r="AO448" s="357" t="e">
        <f t="shared" si="193"/>
        <v>#N/A</v>
      </c>
      <c r="AP448" s="357" t="e">
        <f t="shared" si="193"/>
        <v>#N/A</v>
      </c>
      <c r="AQ448" s="357" t="e">
        <f t="shared" si="193"/>
        <v>#N/A</v>
      </c>
    </row>
    <row r="449" spans="1:44" s="317" customFormat="1" ht="14.25" hidden="1">
      <c r="A449" s="356"/>
      <c r="B449" s="1012" t="s">
        <v>36</v>
      </c>
      <c r="C449" s="1050"/>
      <c r="E449" s="357" t="e">
        <v>#N/A</v>
      </c>
      <c r="F449" s="357" t="e">
        <v>#N/A</v>
      </c>
      <c r="G449" s="357" t="e">
        <v>#N/A</v>
      </c>
      <c r="H449" s="357" t="e">
        <v>#N/A</v>
      </c>
      <c r="I449" s="357" t="e">
        <v>#N/A</v>
      </c>
      <c r="J449" s="357" t="e">
        <v>#N/A</v>
      </c>
      <c r="K449" s="357" t="e">
        <v>#N/A</v>
      </c>
      <c r="L449" s="357" t="e">
        <v>#N/A</v>
      </c>
      <c r="M449" s="357" t="e">
        <v>#N/A</v>
      </c>
      <c r="N449" s="357" t="e">
        <v>#N/A</v>
      </c>
      <c r="O449" s="357" t="e">
        <v>#N/A</v>
      </c>
      <c r="P449" s="357" t="e">
        <v>#N/A</v>
      </c>
      <c r="Q449" s="357" t="e">
        <v>#N/A</v>
      </c>
      <c r="R449" s="357" t="e">
        <v>#N/A</v>
      </c>
      <c r="S449" s="357" t="e">
        <v>#N/A</v>
      </c>
      <c r="T449" s="357" t="e">
        <v>#N/A</v>
      </c>
      <c r="U449" s="357" t="e">
        <v>#N/A</v>
      </c>
      <c r="V449" s="357" t="e">
        <v>#N/A</v>
      </c>
      <c r="W449" s="357" t="e">
        <v>#N/A</v>
      </c>
      <c r="X449" s="357" t="e">
        <v>#N/A</v>
      </c>
      <c r="Y449" s="357" t="e">
        <v>#N/A</v>
      </c>
      <c r="Z449" s="357" t="e">
        <v>#N/A</v>
      </c>
      <c r="AA449" s="357" t="e">
        <v>#N/A</v>
      </c>
      <c r="AB449" s="357" t="e">
        <v>#N/A</v>
      </c>
      <c r="AC449" s="357" t="e">
        <v>#N/A</v>
      </c>
      <c r="AD449" s="357" t="e">
        <v>#N/A</v>
      </c>
      <c r="AE449" s="357" t="e">
        <v>#N/A</v>
      </c>
      <c r="AF449" s="357" t="e">
        <v>#N/A</v>
      </c>
      <c r="AG449" s="357" t="e">
        <v>#N/A</v>
      </c>
      <c r="AH449" s="357" t="e">
        <v>#N/A</v>
      </c>
      <c r="AI449" s="357" t="e">
        <v>#N/A</v>
      </c>
      <c r="AJ449" s="357" t="e">
        <v>#N/A</v>
      </c>
      <c r="AK449" s="357" t="e">
        <v>#N/A</v>
      </c>
      <c r="AL449" s="357" t="e">
        <v>#N/A</v>
      </c>
      <c r="AM449" s="357" t="e">
        <v>#N/A</v>
      </c>
      <c r="AN449" s="357" t="e">
        <v>#N/A</v>
      </c>
      <c r="AO449" s="357" t="e">
        <v>#N/A</v>
      </c>
      <c r="AP449" s="357" t="e">
        <v>#N/A</v>
      </c>
      <c r="AQ449" s="357" t="e">
        <v>#N/A</v>
      </c>
    </row>
    <row r="450" spans="1:44" s="317" customFormat="1" ht="14.25" hidden="1">
      <c r="A450" s="1012" t="s">
        <v>3</v>
      </c>
      <c r="B450" s="1012"/>
      <c r="C450" s="1012"/>
      <c r="E450" s="358" t="e">
        <f>IFERROR(ROUNDDOWN((E448-E449)*260+0.21,1),NA())</f>
        <v>#N/A</v>
      </c>
      <c r="F450" s="358" t="e">
        <f t="shared" ref="F450:AQ450" si="194">IFERROR(ROUNDDOWN((F448-F449)*260+0.21,1),NA())</f>
        <v>#N/A</v>
      </c>
      <c r="G450" s="358" t="e">
        <f t="shared" si="194"/>
        <v>#N/A</v>
      </c>
      <c r="H450" s="358" t="e">
        <f t="shared" si="194"/>
        <v>#N/A</v>
      </c>
      <c r="I450" s="358" t="e">
        <f t="shared" si="194"/>
        <v>#N/A</v>
      </c>
      <c r="J450" s="358" t="e">
        <f t="shared" si="194"/>
        <v>#N/A</v>
      </c>
      <c r="K450" s="358" t="e">
        <f t="shared" si="194"/>
        <v>#N/A</v>
      </c>
      <c r="L450" s="358" t="e">
        <f t="shared" si="194"/>
        <v>#N/A</v>
      </c>
      <c r="M450" s="358" t="e">
        <f t="shared" si="194"/>
        <v>#N/A</v>
      </c>
      <c r="N450" s="358" t="e">
        <f t="shared" si="194"/>
        <v>#N/A</v>
      </c>
      <c r="O450" s="358" t="e">
        <f t="shared" si="194"/>
        <v>#N/A</v>
      </c>
      <c r="P450" s="358" t="e">
        <f t="shared" si="194"/>
        <v>#N/A</v>
      </c>
      <c r="Q450" s="358" t="e">
        <f t="shared" si="194"/>
        <v>#N/A</v>
      </c>
      <c r="R450" s="358" t="e">
        <f t="shared" si="194"/>
        <v>#N/A</v>
      </c>
      <c r="S450" s="358" t="e">
        <f t="shared" si="194"/>
        <v>#N/A</v>
      </c>
      <c r="T450" s="358" t="e">
        <f t="shared" si="194"/>
        <v>#N/A</v>
      </c>
      <c r="U450" s="358" t="e">
        <f t="shared" si="194"/>
        <v>#N/A</v>
      </c>
      <c r="V450" s="358" t="e">
        <f t="shared" si="194"/>
        <v>#N/A</v>
      </c>
      <c r="W450" s="358" t="e">
        <f t="shared" si="194"/>
        <v>#N/A</v>
      </c>
      <c r="X450" s="358" t="e">
        <f t="shared" si="194"/>
        <v>#N/A</v>
      </c>
      <c r="Y450" s="358" t="e">
        <f t="shared" si="194"/>
        <v>#N/A</v>
      </c>
      <c r="Z450" s="358" t="e">
        <f t="shared" si="194"/>
        <v>#N/A</v>
      </c>
      <c r="AA450" s="358" t="e">
        <f t="shared" si="194"/>
        <v>#N/A</v>
      </c>
      <c r="AB450" s="358" t="e">
        <f t="shared" si="194"/>
        <v>#N/A</v>
      </c>
      <c r="AC450" s="358" t="e">
        <f t="shared" si="194"/>
        <v>#N/A</v>
      </c>
      <c r="AD450" s="358" t="e">
        <f t="shared" si="194"/>
        <v>#N/A</v>
      </c>
      <c r="AE450" s="358" t="e">
        <f t="shared" si="194"/>
        <v>#N/A</v>
      </c>
      <c r="AF450" s="358" t="e">
        <f t="shared" si="194"/>
        <v>#N/A</v>
      </c>
      <c r="AG450" s="358" t="e">
        <f t="shared" si="194"/>
        <v>#N/A</v>
      </c>
      <c r="AH450" s="358" t="e">
        <f t="shared" si="194"/>
        <v>#N/A</v>
      </c>
      <c r="AI450" s="358" t="e">
        <f t="shared" si="194"/>
        <v>#N/A</v>
      </c>
      <c r="AJ450" s="358" t="e">
        <f t="shared" si="194"/>
        <v>#N/A</v>
      </c>
      <c r="AK450" s="358" t="e">
        <f t="shared" si="194"/>
        <v>#N/A</v>
      </c>
      <c r="AL450" s="358" t="e">
        <f t="shared" si="194"/>
        <v>#N/A</v>
      </c>
      <c r="AM450" s="358" t="e">
        <f t="shared" si="194"/>
        <v>#N/A</v>
      </c>
      <c r="AN450" s="358" t="e">
        <f t="shared" si="194"/>
        <v>#N/A</v>
      </c>
      <c r="AO450" s="358" t="e">
        <f t="shared" si="194"/>
        <v>#N/A</v>
      </c>
      <c r="AP450" s="358" t="e">
        <f t="shared" si="194"/>
        <v>#N/A</v>
      </c>
      <c r="AQ450" s="358" t="e">
        <f t="shared" si="194"/>
        <v>#N/A</v>
      </c>
    </row>
    <row r="451" spans="1:44" s="317" customFormat="1" ht="14.25" hidden="1">
      <c r="A451" s="1012" t="s">
        <v>326</v>
      </c>
      <c r="B451" s="1012"/>
      <c r="C451" s="1012"/>
      <c r="E451" s="359" t="e">
        <f t="shared" ref="E451:AQ451" si="195">IF(E434="",NA(),ROUNDDOWN(E434*1.5848,1))</f>
        <v>#N/A</v>
      </c>
      <c r="F451" s="359" t="e">
        <f t="shared" si="195"/>
        <v>#N/A</v>
      </c>
      <c r="G451" s="359" t="e">
        <f t="shared" si="195"/>
        <v>#N/A</v>
      </c>
      <c r="H451" s="359" t="e">
        <f t="shared" si="195"/>
        <v>#N/A</v>
      </c>
      <c r="I451" s="359" t="e">
        <f t="shared" si="195"/>
        <v>#N/A</v>
      </c>
      <c r="J451" s="359" t="e">
        <f t="shared" si="195"/>
        <v>#N/A</v>
      </c>
      <c r="K451" s="359" t="e">
        <f t="shared" si="195"/>
        <v>#N/A</v>
      </c>
      <c r="L451" s="359" t="e">
        <f t="shared" si="195"/>
        <v>#N/A</v>
      </c>
      <c r="M451" s="359" t="e">
        <f t="shared" si="195"/>
        <v>#N/A</v>
      </c>
      <c r="N451" s="359" t="e">
        <f t="shared" si="195"/>
        <v>#N/A</v>
      </c>
      <c r="O451" s="359" t="e">
        <f t="shared" si="195"/>
        <v>#N/A</v>
      </c>
      <c r="P451" s="359" t="e">
        <f t="shared" si="195"/>
        <v>#N/A</v>
      </c>
      <c r="Q451" s="359" t="e">
        <f t="shared" si="195"/>
        <v>#N/A</v>
      </c>
      <c r="R451" s="359" t="e">
        <f t="shared" si="195"/>
        <v>#N/A</v>
      </c>
      <c r="S451" s="359" t="e">
        <f t="shared" si="195"/>
        <v>#N/A</v>
      </c>
      <c r="T451" s="359" t="e">
        <f t="shared" si="195"/>
        <v>#N/A</v>
      </c>
      <c r="U451" s="359" t="e">
        <f t="shared" si="195"/>
        <v>#N/A</v>
      </c>
      <c r="V451" s="359" t="e">
        <f t="shared" si="195"/>
        <v>#N/A</v>
      </c>
      <c r="W451" s="359" t="e">
        <f t="shared" si="195"/>
        <v>#N/A</v>
      </c>
      <c r="X451" s="359" t="e">
        <f t="shared" si="195"/>
        <v>#N/A</v>
      </c>
      <c r="Y451" s="359" t="e">
        <f t="shared" si="195"/>
        <v>#N/A</v>
      </c>
      <c r="Z451" s="359" t="e">
        <f t="shared" si="195"/>
        <v>#N/A</v>
      </c>
      <c r="AA451" s="359" t="e">
        <f t="shared" si="195"/>
        <v>#N/A</v>
      </c>
      <c r="AB451" s="359" t="e">
        <f t="shared" si="195"/>
        <v>#N/A</v>
      </c>
      <c r="AC451" s="359" t="e">
        <f t="shared" si="195"/>
        <v>#N/A</v>
      </c>
      <c r="AD451" s="359" t="e">
        <f t="shared" si="195"/>
        <v>#N/A</v>
      </c>
      <c r="AE451" s="359" t="e">
        <f t="shared" si="195"/>
        <v>#N/A</v>
      </c>
      <c r="AF451" s="359" t="e">
        <f t="shared" si="195"/>
        <v>#N/A</v>
      </c>
      <c r="AG451" s="359" t="e">
        <f t="shared" si="195"/>
        <v>#N/A</v>
      </c>
      <c r="AH451" s="359" t="e">
        <f t="shared" si="195"/>
        <v>#N/A</v>
      </c>
      <c r="AI451" s="359" t="e">
        <f t="shared" si="195"/>
        <v>#N/A</v>
      </c>
      <c r="AJ451" s="359" t="e">
        <f t="shared" si="195"/>
        <v>#N/A</v>
      </c>
      <c r="AK451" s="359" t="e">
        <f t="shared" si="195"/>
        <v>#N/A</v>
      </c>
      <c r="AL451" s="359" t="e">
        <f t="shared" si="195"/>
        <v>#N/A</v>
      </c>
      <c r="AM451" s="359" t="e">
        <f t="shared" si="195"/>
        <v>#N/A</v>
      </c>
      <c r="AN451" s="359" t="e">
        <f t="shared" si="195"/>
        <v>#N/A</v>
      </c>
      <c r="AO451" s="359" t="e">
        <f t="shared" si="195"/>
        <v>#N/A</v>
      </c>
      <c r="AP451" s="359" t="e">
        <f t="shared" si="195"/>
        <v>#N/A</v>
      </c>
      <c r="AQ451" s="359" t="e">
        <f t="shared" si="195"/>
        <v>#N/A</v>
      </c>
    </row>
    <row r="452" spans="1:44" s="317" customFormat="1" ht="14.25" hidden="1">
      <c r="A452" s="1012" t="s">
        <v>162</v>
      </c>
      <c r="B452" s="1012"/>
      <c r="C452" s="1012"/>
      <c r="E452" s="359" t="e">
        <f>IF(E450="",NA(),ROUNDDOWN(E450+E451,1))</f>
        <v>#N/A</v>
      </c>
      <c r="F452" s="359" t="e">
        <f t="shared" ref="F452:AQ452" si="196">IF(F450="",NA(),ROUNDDOWN(F450+F451,1))</f>
        <v>#N/A</v>
      </c>
      <c r="G452" s="359" t="e">
        <f t="shared" si="196"/>
        <v>#N/A</v>
      </c>
      <c r="H452" s="359" t="e">
        <f t="shared" si="196"/>
        <v>#N/A</v>
      </c>
      <c r="I452" s="359" t="e">
        <f t="shared" si="196"/>
        <v>#N/A</v>
      </c>
      <c r="J452" s="359" t="e">
        <f t="shared" si="196"/>
        <v>#N/A</v>
      </c>
      <c r="K452" s="359" t="e">
        <f t="shared" si="196"/>
        <v>#N/A</v>
      </c>
      <c r="L452" s="359" t="e">
        <f t="shared" si="196"/>
        <v>#N/A</v>
      </c>
      <c r="M452" s="359" t="e">
        <f t="shared" si="196"/>
        <v>#N/A</v>
      </c>
      <c r="N452" s="359" t="e">
        <f t="shared" si="196"/>
        <v>#N/A</v>
      </c>
      <c r="O452" s="359" t="e">
        <f t="shared" si="196"/>
        <v>#N/A</v>
      </c>
      <c r="P452" s="359" t="e">
        <f t="shared" si="196"/>
        <v>#N/A</v>
      </c>
      <c r="Q452" s="359" t="e">
        <f t="shared" si="196"/>
        <v>#N/A</v>
      </c>
      <c r="R452" s="359" t="e">
        <f t="shared" si="196"/>
        <v>#N/A</v>
      </c>
      <c r="S452" s="359" t="e">
        <f t="shared" si="196"/>
        <v>#N/A</v>
      </c>
      <c r="T452" s="359" t="e">
        <f t="shared" si="196"/>
        <v>#N/A</v>
      </c>
      <c r="U452" s="359" t="e">
        <f t="shared" si="196"/>
        <v>#N/A</v>
      </c>
      <c r="V452" s="359" t="e">
        <f t="shared" si="196"/>
        <v>#N/A</v>
      </c>
      <c r="W452" s="359" t="e">
        <f t="shared" si="196"/>
        <v>#N/A</v>
      </c>
      <c r="X452" s="359" t="e">
        <f t="shared" si="196"/>
        <v>#N/A</v>
      </c>
      <c r="Y452" s="359" t="e">
        <f t="shared" si="196"/>
        <v>#N/A</v>
      </c>
      <c r="Z452" s="359" t="e">
        <f t="shared" si="196"/>
        <v>#N/A</v>
      </c>
      <c r="AA452" s="359" t="e">
        <f t="shared" si="196"/>
        <v>#N/A</v>
      </c>
      <c r="AB452" s="359" t="e">
        <f t="shared" si="196"/>
        <v>#N/A</v>
      </c>
      <c r="AC452" s="359" t="e">
        <f t="shared" si="196"/>
        <v>#N/A</v>
      </c>
      <c r="AD452" s="359" t="e">
        <f t="shared" si="196"/>
        <v>#N/A</v>
      </c>
      <c r="AE452" s="359" t="e">
        <f t="shared" si="196"/>
        <v>#N/A</v>
      </c>
      <c r="AF452" s="359" t="e">
        <f t="shared" si="196"/>
        <v>#N/A</v>
      </c>
      <c r="AG452" s="359" t="e">
        <f t="shared" si="196"/>
        <v>#N/A</v>
      </c>
      <c r="AH452" s="359" t="e">
        <f t="shared" si="196"/>
        <v>#N/A</v>
      </c>
      <c r="AI452" s="359" t="e">
        <f t="shared" si="196"/>
        <v>#N/A</v>
      </c>
      <c r="AJ452" s="359" t="e">
        <f t="shared" si="196"/>
        <v>#N/A</v>
      </c>
      <c r="AK452" s="359" t="e">
        <f t="shared" si="196"/>
        <v>#N/A</v>
      </c>
      <c r="AL452" s="359" t="e">
        <f t="shared" si="196"/>
        <v>#N/A</v>
      </c>
      <c r="AM452" s="359" t="e">
        <f t="shared" si="196"/>
        <v>#N/A</v>
      </c>
      <c r="AN452" s="359" t="e">
        <f t="shared" si="196"/>
        <v>#N/A</v>
      </c>
      <c r="AO452" s="359" t="e">
        <f t="shared" si="196"/>
        <v>#N/A</v>
      </c>
      <c r="AP452" s="359" t="e">
        <f t="shared" si="196"/>
        <v>#N/A</v>
      </c>
      <c r="AQ452" s="359" t="e">
        <f t="shared" si="196"/>
        <v>#N/A</v>
      </c>
    </row>
    <row r="453" spans="1:44" s="317" customFormat="1" ht="14.25" hidden="1">
      <c r="A453" s="1012" t="s">
        <v>198</v>
      </c>
      <c r="B453" s="1012"/>
      <c r="C453" s="1012"/>
      <c r="E453" s="360" t="e">
        <f>IF(E434="",NA(),IF(E430&lt;=$B441,E434*$D444/100,IF(E430&lt;=$C441,E434*$E444/100,IF(E430&lt;=$D441,E434*$F444/100,IF(E430&lt;=$E441,E434*$G444/100,IF(E430&lt;=$F441,E434*$H444/100,IF(E430&lt;=$G441,E434*$I444/100,IF(E430&lt;=$H441,E434*$J444/100,IF(E430&lt;=$I441,E434*$K444/100,IF(E430&lt;=$J441,E434*$L444/100,IF(E430&lt;=$K441,E434*$M444/100,IF(E430&lt;=$L441,E434*$N444/100,IF(E430&lt;=$M441,E434*$O444/100,IF(E430&lt;=$N441,E434*$P444/100,IF(E430&lt;=$O441,E434*$Q444/100,IF(E430&lt;=$P441,E434*$R444/100,IF(E430&lt;=$Q441,E434*$S444/100,IF(E430&lt;=$R441,E434*$T444/100,IF(E430&lt;=$S441,E434*$U444/100,IF(E430&lt;=$T441,E434*$V444/100,IF(E430&lt;=$U441,E434*$W444/100,E434*$X444/100)))))))))))))))))))))</f>
        <v>#N/A</v>
      </c>
      <c r="F453" s="360" t="e">
        <f t="shared" ref="F453:AQ453" si="197">IF(F434="",NA(),IF(F430&lt;=$B441,F434*$D444/100,IF(F430&lt;=$C441,F434*$E444/100,IF(F430&lt;=$D441,F434*$F444/100,IF(F430&lt;=$E441,F434*$G444/100,IF(F430&lt;=$F441,F434*$H444/100,IF(F430&lt;=$G441,F434*$I444/100,IF(F430&lt;=$H441,F434*$J444/100,IF(F430&lt;=$I441,F434*$K444/100,IF(F430&lt;=$J441,F434*$L444/100,IF(F430&lt;=$K441,F434*$M444/100,IF(F430&lt;=$L441,F434*$N444/100,IF(F430&lt;=$M441,F434*$O444/100,IF(F430&lt;=$N441,F434*$P444/100,IF(F430&lt;=$O441,F434*$Q444/100,IF(F430&lt;=$P441,F434*$R444/100,IF(F430&lt;=$Q441,F434*$S444/100,IF(F430&lt;=$R441,F434*$T444/100,IF(F430&lt;=$S441,F434*$U444/100,IF(F430&lt;=$T441,F434*$V444/100,IF(F430&lt;=$U441,F434*$W444/100,F434*$X444/100)))))))))))))))))))))</f>
        <v>#N/A</v>
      </c>
      <c r="G453" s="360" t="e">
        <f>IF(G434="",NA(),IF(G430&lt;=$B441,G434*$D444/100,IF(G430&lt;=$C441,G434*$E444/100,IF(G430&lt;=$D441,G434*$F444/100,IF(G430&lt;=$E441,G434*$G444/100,IF(G430&lt;=$F441,G434*$H444/100,IF(G430&lt;=$G441,G434*$I444/100,IF(G430&lt;=$H441,G434*$J444/100,IF(G430&lt;=$I441,G434*$K444/100,IF(G430&lt;=$J441,G434*$L444/100,IF(G430&lt;=$K441,G434*$M444/100,IF(G430&lt;=$L441,G434*$N444/100,IF(G430&lt;=$M441,G434*$O444/100,IF(G430&lt;=$N441,G434*$P444/100,IF(G430&lt;=$O441,G434*$Q444/100,IF(G430&lt;=$P441,G434*$R444/100,IF(G430&lt;=$Q441,G434*$S444/100,IF(G430&lt;=$R441,G434*$T444/100,IF(G430&lt;=$S441,G434*$U444/100,IF(G430&lt;=$T441,G434*$V444/100,IF(G430&lt;=$U441,G434*$W444/100,G434*$X444/100)))))))))))))))))))))</f>
        <v>#N/A</v>
      </c>
      <c r="H453" s="360" t="e">
        <f t="shared" si="197"/>
        <v>#N/A</v>
      </c>
      <c r="I453" s="360" t="e">
        <f t="shared" si="197"/>
        <v>#N/A</v>
      </c>
      <c r="J453" s="360" t="e">
        <f t="shared" si="197"/>
        <v>#N/A</v>
      </c>
      <c r="K453" s="360" t="e">
        <f t="shared" si="197"/>
        <v>#N/A</v>
      </c>
      <c r="L453" s="360" t="e">
        <f t="shared" si="197"/>
        <v>#N/A</v>
      </c>
      <c r="M453" s="360" t="e">
        <f>IF(M434="",NA(),IF(M430&lt;=$B441,M434*$D444/100,IF(M430&lt;=$C441,M434*$E444/100,IF(M430&lt;=$D441,M434*$F444/100,IF(M430&lt;=$E441,M434*$G444/100,IF(M430&lt;=$F441,M434*$H444/100,IF(M430&lt;=$G441,M434*$I444/100,IF(M430&lt;=$H441,M434*$J444/100,IF(M430&lt;=$I441,M434*$K444/100,IF(M430&lt;=$J441,M434*$L444/100,IF(M430&lt;=$K441,M434*$M444/100,IF(M430&lt;=$L441,M434*$N444/100,IF(M430&lt;=$M441,M434*$O444/100,IF(M430&lt;=$N441,M434*$P444/100,IF(M430&lt;=$O441,M434*$Q444/100,IF(M430&lt;=$P441,M434*$R444/100,IF(M430&lt;=$Q441,M434*$S444/100,IF(M430&lt;=$R441,M434*$T444/100,IF(M430&lt;=$S441,M434*$U444/100,IF(M430&lt;=$T441,M434*$V444/100,IF(M430&lt;=$U441,M434*$W444/100,M434*$X444/100)))))))))))))))))))))</f>
        <v>#N/A</v>
      </c>
      <c r="N453" s="360" t="e">
        <f t="shared" si="197"/>
        <v>#N/A</v>
      </c>
      <c r="O453" s="360" t="e">
        <f t="shared" si="197"/>
        <v>#N/A</v>
      </c>
      <c r="P453" s="360" t="e">
        <f t="shared" si="197"/>
        <v>#N/A</v>
      </c>
      <c r="Q453" s="360" t="e">
        <f t="shared" si="197"/>
        <v>#N/A</v>
      </c>
      <c r="R453" s="360" t="e">
        <f t="shared" si="197"/>
        <v>#N/A</v>
      </c>
      <c r="S453" s="360" t="e">
        <f t="shared" si="197"/>
        <v>#N/A</v>
      </c>
      <c r="T453" s="360" t="e">
        <f t="shared" si="197"/>
        <v>#N/A</v>
      </c>
      <c r="U453" s="360" t="e">
        <f t="shared" si="197"/>
        <v>#N/A</v>
      </c>
      <c r="V453" s="360" t="e">
        <f t="shared" si="197"/>
        <v>#N/A</v>
      </c>
      <c r="W453" s="360" t="e">
        <f t="shared" si="197"/>
        <v>#N/A</v>
      </c>
      <c r="X453" s="360" t="e">
        <f t="shared" si="197"/>
        <v>#N/A</v>
      </c>
      <c r="Y453" s="360" t="e">
        <f t="shared" si="197"/>
        <v>#N/A</v>
      </c>
      <c r="Z453" s="360" t="e">
        <f t="shared" si="197"/>
        <v>#N/A</v>
      </c>
      <c r="AA453" s="360" t="e">
        <f t="shared" si="197"/>
        <v>#N/A</v>
      </c>
      <c r="AB453" s="360" t="e">
        <f t="shared" si="197"/>
        <v>#N/A</v>
      </c>
      <c r="AC453" s="360" t="e">
        <f t="shared" si="197"/>
        <v>#N/A</v>
      </c>
      <c r="AD453" s="360" t="e">
        <f t="shared" si="197"/>
        <v>#N/A</v>
      </c>
      <c r="AE453" s="360" t="e">
        <f t="shared" si="197"/>
        <v>#N/A</v>
      </c>
      <c r="AF453" s="360" t="e">
        <f t="shared" si="197"/>
        <v>#N/A</v>
      </c>
      <c r="AG453" s="360" t="e">
        <f t="shared" si="197"/>
        <v>#N/A</v>
      </c>
      <c r="AH453" s="360" t="e">
        <f t="shared" si="197"/>
        <v>#N/A</v>
      </c>
      <c r="AI453" s="360" t="e">
        <f t="shared" si="197"/>
        <v>#N/A</v>
      </c>
      <c r="AJ453" s="360" t="e">
        <f t="shared" si="197"/>
        <v>#N/A</v>
      </c>
      <c r="AK453" s="360" t="e">
        <f t="shared" si="197"/>
        <v>#N/A</v>
      </c>
      <c r="AL453" s="360" t="e">
        <f t="shared" si="197"/>
        <v>#N/A</v>
      </c>
      <c r="AM453" s="360" t="e">
        <f t="shared" si="197"/>
        <v>#N/A</v>
      </c>
      <c r="AN453" s="360" t="e">
        <f t="shared" si="197"/>
        <v>#N/A</v>
      </c>
      <c r="AO453" s="360" t="e">
        <f t="shared" si="197"/>
        <v>#N/A</v>
      </c>
      <c r="AP453" s="360" t="e">
        <f t="shared" si="197"/>
        <v>#N/A</v>
      </c>
      <c r="AQ453" s="360" t="e">
        <f t="shared" si="197"/>
        <v>#N/A</v>
      </c>
    </row>
    <row r="454" spans="1:44" s="317" customFormat="1" ht="14.25" hidden="1">
      <c r="A454" s="1011" t="s">
        <v>302</v>
      </c>
      <c r="B454" s="1012"/>
      <c r="C454" s="1050"/>
      <c r="E454" s="361"/>
      <c r="F454" s="361">
        <v>5.3</v>
      </c>
      <c r="G454" s="385"/>
      <c r="H454" s="384">
        <v>6</v>
      </c>
      <c r="I454" s="385">
        <v>6.8</v>
      </c>
      <c r="J454" s="384">
        <v>8.1999999999999993</v>
      </c>
      <c r="K454" s="385">
        <v>11.9</v>
      </c>
      <c r="L454" s="384"/>
      <c r="M454" s="385">
        <v>15.8</v>
      </c>
      <c r="N454" s="384">
        <v>18.600000000000001</v>
      </c>
      <c r="O454" s="385">
        <v>20</v>
      </c>
      <c r="P454" s="384">
        <v>21.9</v>
      </c>
      <c r="Q454" s="385">
        <v>23.8</v>
      </c>
      <c r="R454" s="384">
        <v>24.8</v>
      </c>
      <c r="S454" s="385">
        <v>25.9</v>
      </c>
      <c r="T454" s="384">
        <v>27.1</v>
      </c>
      <c r="U454" s="385">
        <v>28</v>
      </c>
      <c r="V454" s="384">
        <v>28.9</v>
      </c>
      <c r="W454" s="385">
        <v>29.7</v>
      </c>
      <c r="X454" s="384">
        <v>30.2</v>
      </c>
      <c r="Y454" s="385">
        <v>30.8</v>
      </c>
      <c r="Z454" s="384">
        <v>31.3</v>
      </c>
      <c r="AA454" s="385">
        <v>31.7</v>
      </c>
      <c r="AB454" s="384">
        <v>32.1</v>
      </c>
      <c r="AC454" s="385">
        <v>32.6</v>
      </c>
      <c r="AD454" s="384">
        <v>33</v>
      </c>
      <c r="AE454" s="385">
        <v>33.5</v>
      </c>
      <c r="AF454" s="384">
        <v>34.1</v>
      </c>
      <c r="AG454" s="385">
        <v>34.5</v>
      </c>
      <c r="AH454" s="384"/>
      <c r="AI454" s="385"/>
      <c r="AJ454" s="384"/>
      <c r="AK454" s="385"/>
      <c r="AL454" s="384"/>
      <c r="AM454" s="361"/>
      <c r="AN454" s="361"/>
      <c r="AO454" s="361"/>
      <c r="AP454" s="361"/>
      <c r="AQ454" s="361"/>
    </row>
    <row r="455" spans="1:44" s="317" customFormat="1" ht="14.25" hidden="1">
      <c r="A455" s="1011" t="s">
        <v>303</v>
      </c>
      <c r="B455" s="1012"/>
      <c r="C455" s="1050"/>
      <c r="E455" s="361" t="e">
        <f>IF(E456="",NA(),ROUND(E456-E454,1))</f>
        <v>#N/A</v>
      </c>
      <c r="F455" s="361">
        <f t="shared" ref="F455:AQ455" si="198">IF(F456="",NA(),ROUND(F456-F454,1))</f>
        <v>17.5</v>
      </c>
      <c r="G455" s="361">
        <f t="shared" si="198"/>
        <v>24.1</v>
      </c>
      <c r="H455" s="361">
        <f t="shared" si="198"/>
        <v>19.600000000000001</v>
      </c>
      <c r="I455" s="361" t="e">
        <f t="shared" si="198"/>
        <v>#N/A</v>
      </c>
      <c r="J455" s="361">
        <f t="shared" si="198"/>
        <v>20.399999999999999</v>
      </c>
      <c r="K455" s="361" t="e">
        <f t="shared" si="198"/>
        <v>#N/A</v>
      </c>
      <c r="L455" s="361">
        <f t="shared" si="198"/>
        <v>31.7</v>
      </c>
      <c r="M455" s="361">
        <f t="shared" si="198"/>
        <v>17.2</v>
      </c>
      <c r="N455" s="361" t="e">
        <f t="shared" si="198"/>
        <v>#N/A</v>
      </c>
      <c r="O455" s="361">
        <f t="shared" si="198"/>
        <v>14.5</v>
      </c>
      <c r="P455" s="361">
        <f t="shared" si="198"/>
        <v>13.4</v>
      </c>
      <c r="Q455" s="361">
        <f t="shared" si="198"/>
        <v>12.1</v>
      </c>
      <c r="R455" s="361">
        <f t="shared" si="198"/>
        <v>11.9</v>
      </c>
      <c r="S455" s="361">
        <f t="shared" si="198"/>
        <v>11.7</v>
      </c>
      <c r="T455" s="361">
        <f t="shared" si="198"/>
        <v>11</v>
      </c>
      <c r="U455" s="361">
        <f t="shared" si="198"/>
        <v>10.4</v>
      </c>
      <c r="V455" s="361">
        <f t="shared" si="198"/>
        <v>9.9</v>
      </c>
      <c r="W455" s="361">
        <f t="shared" si="198"/>
        <v>9.6</v>
      </c>
      <c r="X455" s="361">
        <f t="shared" si="198"/>
        <v>9.1</v>
      </c>
      <c r="Y455" s="361">
        <f t="shared" si="198"/>
        <v>9.1</v>
      </c>
      <c r="Z455" s="361">
        <f t="shared" si="198"/>
        <v>8.6999999999999993</v>
      </c>
      <c r="AA455" s="361">
        <f t="shared" si="198"/>
        <v>8.6</v>
      </c>
      <c r="AB455" s="361">
        <f t="shared" si="198"/>
        <v>8.1999999999999993</v>
      </c>
      <c r="AC455" s="361">
        <f t="shared" si="198"/>
        <v>8.1999999999999993</v>
      </c>
      <c r="AD455" s="361">
        <f t="shared" si="198"/>
        <v>8.1</v>
      </c>
      <c r="AE455" s="361">
        <f t="shared" si="198"/>
        <v>7.8</v>
      </c>
      <c r="AF455" s="361">
        <f t="shared" si="198"/>
        <v>7.7</v>
      </c>
      <c r="AG455" s="361">
        <f t="shared" si="198"/>
        <v>7.6</v>
      </c>
      <c r="AH455" s="361" t="e">
        <f t="shared" si="198"/>
        <v>#N/A</v>
      </c>
      <c r="AI455" s="361" t="e">
        <f t="shared" si="198"/>
        <v>#N/A</v>
      </c>
      <c r="AJ455" s="361" t="e">
        <f t="shared" si="198"/>
        <v>#N/A</v>
      </c>
      <c r="AK455" s="361" t="e">
        <f t="shared" si="198"/>
        <v>#N/A</v>
      </c>
      <c r="AL455" s="361" t="e">
        <f t="shared" si="198"/>
        <v>#N/A</v>
      </c>
      <c r="AM455" s="361" t="e">
        <f t="shared" si="198"/>
        <v>#N/A</v>
      </c>
      <c r="AN455" s="361" t="e">
        <f t="shared" si="198"/>
        <v>#N/A</v>
      </c>
      <c r="AO455" s="361" t="e">
        <f t="shared" si="198"/>
        <v>#N/A</v>
      </c>
      <c r="AP455" s="361" t="e">
        <f t="shared" si="198"/>
        <v>#N/A</v>
      </c>
      <c r="AQ455" s="361" t="e">
        <f t="shared" si="198"/>
        <v>#N/A</v>
      </c>
    </row>
    <row r="456" spans="1:44" s="317" customFormat="1" ht="14.25" hidden="1">
      <c r="A456" s="1011" t="s">
        <v>304</v>
      </c>
      <c r="B456" s="1012"/>
      <c r="C456" s="1050"/>
      <c r="E456" s="375"/>
      <c r="F456" s="375">
        <v>22.8</v>
      </c>
      <c r="G456" s="376">
        <v>24.113066666666668</v>
      </c>
      <c r="H456" s="377">
        <v>25.603199999999998</v>
      </c>
      <c r="I456" s="376"/>
      <c r="J456" s="377">
        <v>28.572916666666675</v>
      </c>
      <c r="K456" s="376"/>
      <c r="L456" s="377">
        <v>31.687500000000004</v>
      </c>
      <c r="M456" s="376">
        <v>33.041666666666671</v>
      </c>
      <c r="N456" s="377"/>
      <c r="O456" s="376">
        <v>34.531250000000007</v>
      </c>
      <c r="P456" s="377">
        <v>35.343750000000007</v>
      </c>
      <c r="Q456" s="376">
        <v>35.885416666666671</v>
      </c>
      <c r="R456" s="377">
        <v>36.697916666666671</v>
      </c>
      <c r="S456" s="376">
        <v>37.645833333333343</v>
      </c>
      <c r="T456" s="377">
        <v>38.052083333333343</v>
      </c>
      <c r="U456" s="376">
        <v>38.357380952380957</v>
      </c>
      <c r="V456" s="377">
        <v>38.771309523809528</v>
      </c>
      <c r="W456" s="376">
        <v>39.323214285714286</v>
      </c>
      <c r="X456" s="377">
        <v>39.323214285714286</v>
      </c>
      <c r="Y456" s="376">
        <v>39.875119047619044</v>
      </c>
      <c r="Z456" s="377">
        <v>40.013095238095239</v>
      </c>
      <c r="AA456" s="376">
        <v>40.289047619047622</v>
      </c>
      <c r="AB456" s="377">
        <v>40.289047619047622</v>
      </c>
      <c r="AC456" s="376">
        <v>40.840952380952388</v>
      </c>
      <c r="AD456" s="377">
        <v>41.116904761904763</v>
      </c>
      <c r="AE456" s="376">
        <v>41.254880952380951</v>
      </c>
      <c r="AF456" s="377">
        <v>41.806785714285716</v>
      </c>
      <c r="AG456" s="376">
        <v>42.082738095238099</v>
      </c>
      <c r="AH456" s="377"/>
      <c r="AI456" s="376"/>
      <c r="AJ456" s="377"/>
      <c r="AK456" s="376"/>
      <c r="AL456" s="377"/>
      <c r="AM456" s="375" t="e">
        <f>IF(AM452="",NA(),IF(AM430&lt;=$B441,AM452*$D444/100,IF(AM430&lt;=$C441,AM452*$E444/100,IF(AM430&lt;=$D441,AM452*$F444/100,IF(AM430&lt;=$E441,AM452*$G444/100,IF(AM430&lt;=$F441,AM452*$H444/100,IF(AM430&lt;=$G441,AM452*$I444/100,IF(AM430&lt;=$H441,AM452*$J444/100,IF(AM430&lt;=$I441,AM452*$K444/100,IF(AM430&lt;=$J441,AM452*$L444/100,IF(AM430&lt;=$K441,AM452*$M444/100,IF(AM430&lt;=$L441,AM452*$N444/100,IF(AM430&lt;=$M441,AM452*$O444/100,IF(AM430&lt;=$N441,AM452*$P444/100,IF(AM430&lt;=$O441,AM452*$Q444/100,IF(AM430&lt;=$P441,AM452*$R444/100,IF(AM430&lt;=$Q441,AM452*$S444/100,IF(AM430&lt;=$R441,AM452*$T444/100,IF(AM430&lt;=$S441,AM452*$U444/100,IF(AM430&lt;=$T441,AM452*$V444/100,IF(AM430&lt;=$U441,AM452*$W444/100,AM452*$X444/100)))))))))))))))))))))</f>
        <v>#N/A</v>
      </c>
      <c r="AN456" s="375" t="e">
        <f>IF(AN452="",NA(),IF(AN430&lt;=$B441,AN452*$D444/100,IF(AN430&lt;=$C441,AN452*$E444/100,IF(AN430&lt;=$D441,AN452*$F444/100,IF(AN430&lt;=$E441,AN452*$G444/100,IF(AN430&lt;=$F441,AN452*$H444/100,IF(AN430&lt;=$G441,AN452*$I444/100,IF(AN430&lt;=$H441,AN452*$J444/100,IF(AN430&lt;=$I441,AN452*$K444/100,IF(AN430&lt;=$J441,AN452*$L444/100,IF(AN430&lt;=$K441,AN452*$M444/100,IF(AN430&lt;=$L441,AN452*$N444/100,IF(AN430&lt;=$M441,AN452*$O444/100,IF(AN430&lt;=$N441,AN452*$P444/100,IF(AN430&lt;=$O441,AN452*$Q444/100,IF(AN430&lt;=$P441,AN452*$R444/100,IF(AN430&lt;=$Q441,AN452*$S444/100,IF(AN430&lt;=$R441,AN452*$T444/100,IF(AN430&lt;=$S441,AN452*$U444/100,IF(AN430&lt;=$T441,AN452*$V444/100,IF(AN430&lt;=$U441,AN452*$W444/100,AN452*$X444/100)))))))))))))))))))))</f>
        <v>#N/A</v>
      </c>
      <c r="AO456" s="375" t="e">
        <f>IF(AO452="",NA(),IF(AO430&lt;=$B441,AO452*$D444/100,IF(AO430&lt;=$C441,AO452*$E444/100,IF(AO430&lt;=$D441,AO452*$F444/100,IF(AO430&lt;=$E441,AO452*$G444/100,IF(AO430&lt;=$F441,AO452*$H444/100,IF(AO430&lt;=$G441,AO452*$I444/100,IF(AO430&lt;=$H441,AO452*$J444/100,IF(AO430&lt;=$I441,AO452*$K444/100,IF(AO430&lt;=$J441,AO452*$L444/100,IF(AO430&lt;=$K441,AO452*$M444/100,IF(AO430&lt;=$L441,AO452*$N444/100,IF(AO430&lt;=$M441,AO452*$O444/100,IF(AO430&lt;=$N441,AO452*$P444/100,IF(AO430&lt;=$O441,AO452*$Q444/100,IF(AO430&lt;=$P441,AO452*$R444/100,IF(AO430&lt;=$Q441,AO452*$S444/100,IF(AO430&lt;=$R441,AO452*$T444/100,IF(AO430&lt;=$S441,AO452*$U444/100,IF(AO430&lt;=$T441,AO452*$V444/100,IF(AO430&lt;=$U441,AO452*$W444/100,AO452*$X444/100)))))))))))))))))))))</f>
        <v>#N/A</v>
      </c>
      <c r="AP456" s="375" t="e">
        <f>IF(AP452="",NA(),IF(AP430&lt;=$B441,AP452*$D444/100,IF(AP430&lt;=$C441,AP452*$E444/100,IF(AP430&lt;=$D441,AP452*$F444/100,IF(AP430&lt;=$E441,AP452*$G444/100,IF(AP430&lt;=$F441,AP452*$H444/100,IF(AP430&lt;=$G441,AP452*$I444/100,IF(AP430&lt;=$H441,AP452*$J444/100,IF(AP430&lt;=$I441,AP452*$K444/100,IF(AP430&lt;=$J441,AP452*$L444/100,IF(AP430&lt;=$K441,AP452*$M444/100,IF(AP430&lt;=$L441,AP452*$N444/100,IF(AP430&lt;=$M441,AP452*$O444/100,IF(AP430&lt;=$N441,AP452*$P444/100,IF(AP430&lt;=$O441,AP452*$Q444/100,IF(AP430&lt;=$P441,AP452*$R444/100,IF(AP430&lt;=$Q441,AP452*$S444/100,IF(AP430&lt;=$R441,AP452*$T444/100,IF(AP430&lt;=$S441,AP452*$U444/100,IF(AP430&lt;=$T441,AP452*$V444/100,IF(AP430&lt;=$U441,AP452*$W444/100,AP452*$X444/100)))))))))))))))))))))</f>
        <v>#N/A</v>
      </c>
      <c r="AQ456" s="375" t="e">
        <f>IF(AQ452="",NA(),IF(AQ430&lt;=$B441,AQ452*$D444/100,IF(AQ430&lt;=$C441,AQ452*$E444/100,IF(AQ430&lt;=$D441,AQ452*$F444/100,IF(AQ430&lt;=$E441,AQ452*$G444/100,IF(AQ430&lt;=$F441,AQ452*$H444/100,IF(AQ430&lt;=$G441,AQ452*$I444/100,IF(AQ430&lt;=$H441,AQ452*$J444/100,IF(AQ430&lt;=$I441,AQ452*$K444/100,IF(AQ430&lt;=$J441,AQ452*$L444/100,IF(AQ430&lt;=$K441,AQ452*$M444/100,IF(AQ430&lt;=$L441,AQ452*$N444/100,IF(AQ430&lt;=$M441,AQ452*$O444/100,IF(AQ430&lt;=$N441,AQ452*$P444/100,IF(AQ430&lt;=$O441,AQ452*$Q444/100,IF(AQ430&lt;=$P441,AQ452*$R444/100,IF(AQ430&lt;=$Q441,AQ452*$S444/100,IF(AQ430&lt;=$R441,AQ452*$T444/100,IF(AQ430&lt;=$S441,AQ452*$U444/100,IF(AQ430&lt;=$T441,AQ452*$V444/100,IF(AQ430&lt;=$U441,AQ452*$W444/100,AQ452*$X444/100)))))))))))))))))))))</f>
        <v>#N/A</v>
      </c>
    </row>
    <row r="457" spans="1:44" s="317" customFormat="1" ht="15" hidden="1" thickBot="1">
      <c r="A457" s="1014" t="s">
        <v>305</v>
      </c>
      <c r="B457" s="1015"/>
      <c r="C457" s="1015"/>
      <c r="E457" s="362" t="e">
        <f>IF(E456="",NA(),ROUND(E454/E456*100,1))</f>
        <v>#N/A</v>
      </c>
      <c r="F457" s="362"/>
      <c r="G457" s="362">
        <v>21.6</v>
      </c>
      <c r="H457" s="362">
        <v>23.4</v>
      </c>
      <c r="I457" s="379">
        <v>23.3</v>
      </c>
      <c r="J457" s="378">
        <v>27.4</v>
      </c>
      <c r="K457" s="379">
        <v>35.700000000000003</v>
      </c>
      <c r="L457" s="378">
        <v>43.2</v>
      </c>
      <c r="M457" s="379">
        <v>45.6</v>
      </c>
      <c r="N457" s="378">
        <v>50.4</v>
      </c>
      <c r="O457" s="379">
        <v>54.2</v>
      </c>
      <c r="P457" s="378">
        <v>58.6</v>
      </c>
      <c r="Q457" s="379">
        <v>61.8</v>
      </c>
      <c r="R457" s="378">
        <v>63.3</v>
      </c>
      <c r="S457" s="379">
        <v>65.5</v>
      </c>
      <c r="T457" s="378">
        <v>66.7</v>
      </c>
      <c r="U457" s="379">
        <v>68.400000000000006</v>
      </c>
      <c r="V457" s="378">
        <v>69.599999999999994</v>
      </c>
      <c r="W457" s="379">
        <v>71</v>
      </c>
      <c r="X457" s="378">
        <v>72.099999999999994</v>
      </c>
      <c r="Y457" s="379">
        <v>72.900000000000006</v>
      </c>
      <c r="Z457" s="378">
        <v>73.099999999999994</v>
      </c>
      <c r="AA457" s="379">
        <v>74.3</v>
      </c>
      <c r="AB457" s="378">
        <v>74.900000000000006</v>
      </c>
      <c r="AC457" s="379">
        <v>75</v>
      </c>
      <c r="AD457" s="378"/>
      <c r="AE457" s="379"/>
      <c r="AF457" s="378"/>
      <c r="AG457" s="379"/>
      <c r="AH457" s="378"/>
      <c r="AI457" s="379"/>
      <c r="AJ457" s="378"/>
      <c r="AK457" s="379"/>
      <c r="AL457" s="378"/>
      <c r="AM457" s="362" t="e">
        <f>IF(AM456="",NA(),ROUND(AM454/AM456*100,1))</f>
        <v>#N/A</v>
      </c>
      <c r="AN457" s="362" t="e">
        <f>IF(AN456="",NA(),ROUND(AN454/AN456*100,1))</f>
        <v>#N/A</v>
      </c>
      <c r="AO457" s="362" t="e">
        <f>IF(AO456="",NA(),ROUND(AO454/AO456*100,1))</f>
        <v>#N/A</v>
      </c>
      <c r="AP457" s="362" t="e">
        <f>IF(AP456="",NA(),ROUND(AP454/AP456*100,1))</f>
        <v>#N/A</v>
      </c>
      <c r="AQ457" s="362" t="e">
        <f>IF(AQ456="",NA(),ROUND(AQ454/AQ456*100,1))</f>
        <v>#N/A</v>
      </c>
      <c r="AR457" s="362"/>
    </row>
    <row r="458" spans="1:44" s="317" customFormat="1" ht="14.25" hidden="1"/>
    <row r="459" spans="1:44" s="317" customFormat="1" ht="14.25" hidden="1">
      <c r="A459" s="317" t="s">
        <v>355</v>
      </c>
      <c r="B459" s="1076" t="s">
        <v>423</v>
      </c>
      <c r="C459" s="1076"/>
      <c r="D459" s="317">
        <v>1</v>
      </c>
      <c r="E459" s="317">
        <v>2</v>
      </c>
      <c r="F459" s="317">
        <v>3</v>
      </c>
      <c r="G459" s="317">
        <v>4</v>
      </c>
      <c r="H459" s="317">
        <v>5</v>
      </c>
      <c r="I459" s="317">
        <v>6</v>
      </c>
      <c r="J459" s="317">
        <v>7</v>
      </c>
      <c r="K459" s="317">
        <v>8</v>
      </c>
      <c r="L459" s="317">
        <v>9</v>
      </c>
      <c r="M459" s="317">
        <v>10</v>
      </c>
      <c r="N459" s="317">
        <v>11</v>
      </c>
      <c r="O459" s="317">
        <v>12</v>
      </c>
      <c r="P459" s="317">
        <v>13</v>
      </c>
      <c r="Q459" s="317">
        <v>14</v>
      </c>
      <c r="R459" s="317">
        <v>15</v>
      </c>
      <c r="S459" s="317">
        <v>16</v>
      </c>
      <c r="T459" s="317">
        <v>17</v>
      </c>
      <c r="U459" s="317">
        <v>18</v>
      </c>
      <c r="V459" s="317">
        <v>19</v>
      </c>
      <c r="W459" s="317">
        <v>20</v>
      </c>
      <c r="X459" s="317">
        <v>21</v>
      </c>
      <c r="Y459" s="317">
        <v>22</v>
      </c>
      <c r="Z459" s="317">
        <v>23</v>
      </c>
      <c r="AA459" s="317">
        <v>24</v>
      </c>
      <c r="AB459" s="317">
        <v>25</v>
      </c>
      <c r="AC459" s="317">
        <v>26</v>
      </c>
      <c r="AD459" s="317">
        <v>27</v>
      </c>
      <c r="AE459" s="317">
        <v>28</v>
      </c>
      <c r="AF459" s="317">
        <v>29</v>
      </c>
      <c r="AG459" s="317">
        <v>30</v>
      </c>
      <c r="AH459" s="317">
        <v>31</v>
      </c>
      <c r="AI459" s="317">
        <v>32</v>
      </c>
      <c r="AJ459" s="317">
        <v>33</v>
      </c>
      <c r="AK459" s="317">
        <v>34</v>
      </c>
      <c r="AL459" s="317">
        <v>35</v>
      </c>
      <c r="AM459" s="317">
        <v>36</v>
      </c>
      <c r="AN459" s="317">
        <v>37</v>
      </c>
      <c r="AO459" s="317">
        <v>38</v>
      </c>
      <c r="AP459" s="317">
        <v>39</v>
      </c>
      <c r="AQ459" s="317">
        <v>40</v>
      </c>
    </row>
    <row r="460" spans="1:44" hidden="1">
      <c r="B460" s="967" t="s">
        <v>355</v>
      </c>
      <c r="C460" s="967"/>
      <c r="E460" t="s">
        <v>356</v>
      </c>
      <c r="F460">
        <v>24.133333333333336</v>
      </c>
      <c r="G460">
        <v>29.025000000000002</v>
      </c>
      <c r="H460">
        <v>32.9</v>
      </c>
      <c r="I460">
        <v>36.587499999999999</v>
      </c>
      <c r="J460">
        <v>41.121052631578948</v>
      </c>
      <c r="K460">
        <v>46.711764705882345</v>
      </c>
      <c r="L460">
        <v>51.188888888888897</v>
      </c>
      <c r="M460">
        <v>55.055555555555557</v>
      </c>
      <c r="N460">
        <v>58.524999999999999</v>
      </c>
      <c r="O460">
        <v>61.929999999999993</v>
      </c>
      <c r="P460">
        <v>65.086363636363657</v>
      </c>
      <c r="Q460">
        <v>67.104761904761901</v>
      </c>
      <c r="R460">
        <v>69.247619047619025</v>
      </c>
      <c r="S460">
        <v>70.60526315789474</v>
      </c>
      <c r="T460">
        <v>72.257142857142838</v>
      </c>
      <c r="U460">
        <v>73.257142857142853</v>
      </c>
      <c r="V460">
        <v>74.536363636363632</v>
      </c>
      <c r="W460">
        <v>75.271428571428572</v>
      </c>
      <c r="X460">
        <v>76.218181818181833</v>
      </c>
      <c r="Y460">
        <v>76.825000000000017</v>
      </c>
      <c r="Z460">
        <v>77.650000000000006</v>
      </c>
      <c r="AA460">
        <v>77.772222222222226</v>
      </c>
      <c r="AB460">
        <v>78.158823529411762</v>
      </c>
      <c r="AC460">
        <v>78.67647058823529</v>
      </c>
      <c r="AD460">
        <v>79.2</v>
      </c>
      <c r="AE460">
        <v>79.899999999999991</v>
      </c>
      <c r="AF460">
        <v>80.142857142857139</v>
      </c>
      <c r="AG460">
        <v>80.7</v>
      </c>
    </row>
    <row r="461" spans="1:44" hidden="1"/>
    <row r="462" spans="1:44" hidden="1">
      <c r="A462" t="s">
        <v>424</v>
      </c>
      <c r="B462" s="967" t="s">
        <v>425</v>
      </c>
      <c r="C462" s="967"/>
      <c r="D462">
        <v>1</v>
      </c>
      <c r="E462">
        <v>2</v>
      </c>
      <c r="F462">
        <v>3</v>
      </c>
      <c r="G462">
        <v>4</v>
      </c>
      <c r="H462">
        <v>5</v>
      </c>
      <c r="I462">
        <v>6</v>
      </c>
      <c r="J462">
        <v>7</v>
      </c>
      <c r="K462">
        <v>8</v>
      </c>
      <c r="L462">
        <v>9</v>
      </c>
      <c r="M462">
        <v>10</v>
      </c>
      <c r="N462">
        <v>11</v>
      </c>
      <c r="O462">
        <v>12</v>
      </c>
      <c r="P462">
        <v>13</v>
      </c>
      <c r="Q462">
        <v>14</v>
      </c>
      <c r="R462">
        <v>15</v>
      </c>
      <c r="S462">
        <v>16</v>
      </c>
      <c r="T462">
        <v>17</v>
      </c>
      <c r="U462">
        <v>18</v>
      </c>
      <c r="V462">
        <v>19</v>
      </c>
      <c r="W462">
        <v>20</v>
      </c>
      <c r="X462">
        <v>21</v>
      </c>
      <c r="Y462">
        <v>22</v>
      </c>
      <c r="Z462">
        <v>23</v>
      </c>
      <c r="AA462">
        <v>24</v>
      </c>
      <c r="AB462">
        <v>25</v>
      </c>
      <c r="AC462">
        <v>26</v>
      </c>
      <c r="AD462">
        <v>27</v>
      </c>
      <c r="AE462">
        <v>28</v>
      </c>
      <c r="AF462">
        <v>29</v>
      </c>
      <c r="AG462">
        <v>30</v>
      </c>
      <c r="AH462">
        <v>31</v>
      </c>
      <c r="AI462">
        <v>32</v>
      </c>
      <c r="AJ462">
        <v>33</v>
      </c>
      <c r="AK462">
        <v>34</v>
      </c>
      <c r="AL462">
        <v>35</v>
      </c>
      <c r="AM462">
        <v>36</v>
      </c>
      <c r="AN462">
        <v>37</v>
      </c>
      <c r="AO462">
        <v>38</v>
      </c>
      <c r="AP462">
        <v>39</v>
      </c>
      <c r="AQ462">
        <v>40</v>
      </c>
    </row>
    <row r="463" spans="1:44" hidden="1">
      <c r="B463" s="967" t="s">
        <v>426</v>
      </c>
      <c r="C463" s="967"/>
      <c r="F463">
        <v>24.97</v>
      </c>
      <c r="G463">
        <v>27.307494444444444</v>
      </c>
      <c r="H463">
        <v>29.743182205513779</v>
      </c>
      <c r="I463">
        <v>31.662791587811398</v>
      </c>
      <c r="J463">
        <v>33.020864129558824</v>
      </c>
      <c r="K463">
        <v>34.834514930009398</v>
      </c>
      <c r="L463">
        <v>35.724651175730237</v>
      </c>
      <c r="M463">
        <v>36.625600528661984</v>
      </c>
      <c r="N463">
        <v>37.582914118268107</v>
      </c>
      <c r="O463">
        <v>38.617073395578849</v>
      </c>
      <c r="P463">
        <v>39.460063145750112</v>
      </c>
      <c r="Q463">
        <v>40.476775660064312</v>
      </c>
      <c r="R463">
        <v>40.99421424699495</v>
      </c>
      <c r="S463">
        <v>41.45538624664173</v>
      </c>
      <c r="T463">
        <v>42.188824142048034</v>
      </c>
      <c r="U463">
        <v>42.995974867105019</v>
      </c>
      <c r="V463">
        <v>43.48771579184308</v>
      </c>
      <c r="W463">
        <v>44.196344866872565</v>
      </c>
      <c r="X463">
        <v>44.411181004984655</v>
      </c>
      <c r="Y463">
        <v>44.957962494420556</v>
      </c>
      <c r="Z463">
        <v>44.938094052655792</v>
      </c>
      <c r="AA463">
        <v>45.397418444275409</v>
      </c>
      <c r="AD463">
        <v>46.281574772320127</v>
      </c>
      <c r="AE463">
        <v>46.564983401449823</v>
      </c>
    </row>
    <row r="464" spans="1:44" hidden="1"/>
    <row r="465" spans="1:43" hidden="1">
      <c r="A465" t="s">
        <v>427</v>
      </c>
      <c r="B465" s="967" t="s">
        <v>425</v>
      </c>
      <c r="C465" s="967"/>
      <c r="D465">
        <v>1</v>
      </c>
      <c r="E465">
        <v>2</v>
      </c>
      <c r="F465">
        <v>3</v>
      </c>
      <c r="G465">
        <v>4</v>
      </c>
      <c r="H465">
        <v>5</v>
      </c>
      <c r="I465">
        <v>6</v>
      </c>
      <c r="J465">
        <v>7</v>
      </c>
      <c r="K465">
        <v>8</v>
      </c>
      <c r="L465">
        <v>9</v>
      </c>
      <c r="M465">
        <v>10</v>
      </c>
      <c r="N465">
        <v>11</v>
      </c>
      <c r="O465">
        <v>12</v>
      </c>
      <c r="P465">
        <v>13</v>
      </c>
      <c r="Q465">
        <v>14</v>
      </c>
      <c r="R465">
        <v>15</v>
      </c>
      <c r="S465">
        <v>16</v>
      </c>
      <c r="T465">
        <v>17</v>
      </c>
      <c r="U465">
        <v>18</v>
      </c>
      <c r="V465">
        <v>19</v>
      </c>
      <c r="W465">
        <v>20</v>
      </c>
      <c r="X465">
        <v>21</v>
      </c>
      <c r="Y465">
        <v>22</v>
      </c>
      <c r="Z465">
        <v>23</v>
      </c>
      <c r="AA465">
        <v>24</v>
      </c>
      <c r="AB465">
        <v>25</v>
      </c>
      <c r="AC465">
        <v>26</v>
      </c>
      <c r="AD465">
        <v>27</v>
      </c>
      <c r="AE465">
        <v>28</v>
      </c>
      <c r="AF465">
        <v>29</v>
      </c>
      <c r="AG465">
        <v>30</v>
      </c>
      <c r="AH465">
        <v>31</v>
      </c>
      <c r="AI465">
        <v>32</v>
      </c>
      <c r="AJ465">
        <v>33</v>
      </c>
      <c r="AK465">
        <v>34</v>
      </c>
      <c r="AL465">
        <v>35</v>
      </c>
      <c r="AM465">
        <v>36</v>
      </c>
      <c r="AN465">
        <v>37</v>
      </c>
      <c r="AO465">
        <v>38</v>
      </c>
      <c r="AP465">
        <v>39</v>
      </c>
      <c r="AQ465">
        <v>40</v>
      </c>
    </row>
    <row r="466" spans="1:43" hidden="1">
      <c r="B466" s="968" t="s">
        <v>427</v>
      </c>
      <c r="C466" s="968"/>
      <c r="F466">
        <v>6.0333333333333341</v>
      </c>
      <c r="G466">
        <v>7.95</v>
      </c>
      <c r="H466">
        <v>9.8499999999999979</v>
      </c>
      <c r="I466">
        <v>11.668750000000003</v>
      </c>
      <c r="J466">
        <v>13.65263157894737</v>
      </c>
      <c r="K466">
        <v>16.317647058823528</v>
      </c>
      <c r="L466">
        <v>18.31666666666667</v>
      </c>
      <c r="M466">
        <v>20.194444444444446</v>
      </c>
      <c r="N466">
        <v>22.029999999999998</v>
      </c>
      <c r="O466">
        <v>23.94</v>
      </c>
      <c r="P466">
        <v>25.704545454545453</v>
      </c>
      <c r="Q466">
        <v>27.18095238095238</v>
      </c>
      <c r="R466">
        <v>28.414285714285718</v>
      </c>
      <c r="S466">
        <v>29.278947368421051</v>
      </c>
      <c r="T466">
        <v>30.5</v>
      </c>
      <c r="U466">
        <v>31.519047619047619</v>
      </c>
      <c r="V466">
        <v>32.427272727272722</v>
      </c>
      <c r="W466">
        <v>33.280952380952378</v>
      </c>
      <c r="X466">
        <v>33.863636363636367</v>
      </c>
      <c r="Y466">
        <v>34.549999999999997</v>
      </c>
      <c r="Z466">
        <v>34.905000000000001</v>
      </c>
      <c r="AA466">
        <v>35.31111111111111</v>
      </c>
      <c r="AC466">
        <v>36.51764705882352</v>
      </c>
      <c r="AD466">
        <v>36.653333333333329</v>
      </c>
      <c r="AE466">
        <v>36.980000000000004</v>
      </c>
      <c r="AF466">
        <v>37.100000000000009</v>
      </c>
    </row>
  </sheetData>
  <sheetProtection password="BD3E" sheet="1" formatCells="0"/>
  <protectedRanges>
    <protectedRange sqref="B197:U197 A198:U198 B155:U155 A156:U156 B113:U113 A114:U114 B71:U71 A72:U72 B25:U25 A26:U26 B239:U239 A240:U240 B281:U281 A282:U282 B323:U323 A324:U324 B365:U365 A366:U366 B403:U403 A404:U404 B441:U441 A442:U442" name="範囲1_21_21_22_22_21_21_21_21"/>
    <protectedRange sqref="A25 A71 D116:E116 H116 A113 A155 A197 A239 A281 A323 A365 A403 A441 D27:X27 D199:X199 D196:U196 D154:U154 D157:X157 D112:U112 D115:X115 D70:U70 D73:X73 D24:U24 D238:U238 D241:X241 D280:U280 D283:X283 D322:U322 D325:X325 D364:U364 D367:X367 D402:U402 D405:X405 D440:U440 D443:X443 D74:E74 H74 D28:E28 H28 D158:E158 H158 D200:E200 H200 D242:E242 H242 D284:E284 H284 D326:E326 H326 D368:E368 H368 D406:E406 H406 D444:E444 H444" name="範囲1_21_21_22_22_87"/>
    <protectedRange sqref="F116:G116 F74:G74 F28:G28 F158:G158 F200:G200 F242:G242 F284:G284 F326:G326 F368:G368 F406:G406 F444:G444" name="範囲1_21_21_22_22_1_1_3"/>
  </protectedRanges>
  <mergeCells count="469">
    <mergeCell ref="B462:C462"/>
    <mergeCell ref="B463:C463"/>
    <mergeCell ref="B466:C466"/>
    <mergeCell ref="B465:C465"/>
    <mergeCell ref="A454:C454"/>
    <mergeCell ref="A455:C455"/>
    <mergeCell ref="A456:C456"/>
    <mergeCell ref="A457:C457"/>
    <mergeCell ref="B448:C448"/>
    <mergeCell ref="B449:C449"/>
    <mergeCell ref="A450:C450"/>
    <mergeCell ref="A451:C451"/>
    <mergeCell ref="A452:C452"/>
    <mergeCell ref="A453:C453"/>
    <mergeCell ref="B459:C459"/>
    <mergeCell ref="B460:C460"/>
    <mergeCell ref="A436:C436"/>
    <mergeCell ref="A437:C437"/>
    <mergeCell ref="A438:C438"/>
    <mergeCell ref="A443:C444"/>
    <mergeCell ref="A446:C446"/>
    <mergeCell ref="A447:C447"/>
    <mergeCell ref="A431:C431"/>
    <mergeCell ref="A432:B432"/>
    <mergeCell ref="C432:C433"/>
    <mergeCell ref="A433:B433"/>
    <mergeCell ref="A434:C434"/>
    <mergeCell ref="A435:C435"/>
    <mergeCell ref="Y426:AA426"/>
    <mergeCell ref="A427:C427"/>
    <mergeCell ref="Y427:AA427"/>
    <mergeCell ref="A428:C428"/>
    <mergeCell ref="Y428:AA428"/>
    <mergeCell ref="A430:C430"/>
    <mergeCell ref="I422:J422"/>
    <mergeCell ref="M422:N422"/>
    <mergeCell ref="P422:Q422"/>
    <mergeCell ref="M423:N423"/>
    <mergeCell ref="P423:X428"/>
    <mergeCell ref="A424:C424"/>
    <mergeCell ref="A425:C425"/>
    <mergeCell ref="A426:C426"/>
    <mergeCell ref="A416:C416"/>
    <mergeCell ref="A417:C417"/>
    <mergeCell ref="A418:C418"/>
    <mergeCell ref="A419:C419"/>
    <mergeCell ref="A422:C422"/>
    <mergeCell ref="D422:F422"/>
    <mergeCell ref="B410:C410"/>
    <mergeCell ref="B411:C411"/>
    <mergeCell ref="A412:C412"/>
    <mergeCell ref="A413:C413"/>
    <mergeCell ref="A414:C414"/>
    <mergeCell ref="A415:C415"/>
    <mergeCell ref="A398:C398"/>
    <mergeCell ref="A399:C399"/>
    <mergeCell ref="A400:C400"/>
    <mergeCell ref="A405:C406"/>
    <mergeCell ref="A408:C408"/>
    <mergeCell ref="A409:C409"/>
    <mergeCell ref="A393:C393"/>
    <mergeCell ref="A394:B394"/>
    <mergeCell ref="C394:C395"/>
    <mergeCell ref="A395:B395"/>
    <mergeCell ref="A396:C396"/>
    <mergeCell ref="A397:C397"/>
    <mergeCell ref="Y388:AA388"/>
    <mergeCell ref="A389:C389"/>
    <mergeCell ref="Y389:AA389"/>
    <mergeCell ref="A390:C390"/>
    <mergeCell ref="Y390:AA390"/>
    <mergeCell ref="A392:C392"/>
    <mergeCell ref="I384:J384"/>
    <mergeCell ref="M384:N384"/>
    <mergeCell ref="P384:Q384"/>
    <mergeCell ref="M385:N385"/>
    <mergeCell ref="P385:X390"/>
    <mergeCell ref="A386:C386"/>
    <mergeCell ref="A387:C387"/>
    <mergeCell ref="A388:C388"/>
    <mergeCell ref="A378:C378"/>
    <mergeCell ref="A379:C379"/>
    <mergeCell ref="A380:C380"/>
    <mergeCell ref="A381:C381"/>
    <mergeCell ref="A384:C384"/>
    <mergeCell ref="D384:F384"/>
    <mergeCell ref="B372:C372"/>
    <mergeCell ref="B373:C373"/>
    <mergeCell ref="A374:C374"/>
    <mergeCell ref="A375:C375"/>
    <mergeCell ref="A376:C376"/>
    <mergeCell ref="A377:C377"/>
    <mergeCell ref="A356:C356"/>
    <mergeCell ref="A357:C357"/>
    <mergeCell ref="A358:C358"/>
    <mergeCell ref="A367:C368"/>
    <mergeCell ref="A370:C370"/>
    <mergeCell ref="A371:C371"/>
    <mergeCell ref="A351:C351"/>
    <mergeCell ref="A352:B352"/>
    <mergeCell ref="C352:C353"/>
    <mergeCell ref="A353:B353"/>
    <mergeCell ref="A354:C354"/>
    <mergeCell ref="A355:C355"/>
    <mergeCell ref="A359:C359"/>
    <mergeCell ref="A360:C360"/>
    <mergeCell ref="A361:C361"/>
    <mergeCell ref="A362:C362"/>
    <mergeCell ref="Y346:AA346"/>
    <mergeCell ref="A347:C347"/>
    <mergeCell ref="Y347:AA347"/>
    <mergeCell ref="A348:C348"/>
    <mergeCell ref="Y348:AA348"/>
    <mergeCell ref="A350:C350"/>
    <mergeCell ref="I342:J342"/>
    <mergeCell ref="M342:N342"/>
    <mergeCell ref="P342:Q342"/>
    <mergeCell ref="M343:N343"/>
    <mergeCell ref="P343:X348"/>
    <mergeCell ref="A344:C344"/>
    <mergeCell ref="A345:C345"/>
    <mergeCell ref="A346:C346"/>
    <mergeCell ref="A336:C336"/>
    <mergeCell ref="A337:C337"/>
    <mergeCell ref="A338:C338"/>
    <mergeCell ref="A339:C339"/>
    <mergeCell ref="A342:C342"/>
    <mergeCell ref="D342:F342"/>
    <mergeCell ref="B330:C330"/>
    <mergeCell ref="B331:C331"/>
    <mergeCell ref="A332:C332"/>
    <mergeCell ref="A333:C333"/>
    <mergeCell ref="A334:C334"/>
    <mergeCell ref="A335:C335"/>
    <mergeCell ref="A314:C314"/>
    <mergeCell ref="A315:C315"/>
    <mergeCell ref="A316:C316"/>
    <mergeCell ref="A325:C326"/>
    <mergeCell ref="A328:C328"/>
    <mergeCell ref="A329:C329"/>
    <mergeCell ref="A309:C309"/>
    <mergeCell ref="A310:B310"/>
    <mergeCell ref="C310:C311"/>
    <mergeCell ref="A311:B311"/>
    <mergeCell ref="A312:C312"/>
    <mergeCell ref="A313:C313"/>
    <mergeCell ref="A317:C317"/>
    <mergeCell ref="A318:C318"/>
    <mergeCell ref="A319:C319"/>
    <mergeCell ref="A320:C320"/>
    <mergeCell ref="Y304:AA304"/>
    <mergeCell ref="A305:C305"/>
    <mergeCell ref="Y305:AA305"/>
    <mergeCell ref="A306:C306"/>
    <mergeCell ref="Y306:AA306"/>
    <mergeCell ref="A308:C308"/>
    <mergeCell ref="I300:J300"/>
    <mergeCell ref="M300:N300"/>
    <mergeCell ref="P300:Q300"/>
    <mergeCell ref="M301:N301"/>
    <mergeCell ref="P301:X306"/>
    <mergeCell ref="A302:C302"/>
    <mergeCell ref="A303:C303"/>
    <mergeCell ref="A304:C304"/>
    <mergeCell ref="A294:C294"/>
    <mergeCell ref="A295:C295"/>
    <mergeCell ref="A296:C296"/>
    <mergeCell ref="A297:C297"/>
    <mergeCell ref="A300:C300"/>
    <mergeCell ref="D300:F300"/>
    <mergeCell ref="B288:C288"/>
    <mergeCell ref="B289:C289"/>
    <mergeCell ref="A290:C290"/>
    <mergeCell ref="A291:C291"/>
    <mergeCell ref="A292:C292"/>
    <mergeCell ref="A293:C293"/>
    <mergeCell ref="A272:C272"/>
    <mergeCell ref="A273:C273"/>
    <mergeCell ref="A274:C274"/>
    <mergeCell ref="A283:C284"/>
    <mergeCell ref="A286:C286"/>
    <mergeCell ref="A287:C287"/>
    <mergeCell ref="A267:C267"/>
    <mergeCell ref="A268:B268"/>
    <mergeCell ref="C268:C269"/>
    <mergeCell ref="A269:B269"/>
    <mergeCell ref="A270:C270"/>
    <mergeCell ref="A271:C271"/>
    <mergeCell ref="A275:C275"/>
    <mergeCell ref="A276:C276"/>
    <mergeCell ref="A277:C277"/>
    <mergeCell ref="A278:C278"/>
    <mergeCell ref="Y262:AA262"/>
    <mergeCell ref="A263:C263"/>
    <mergeCell ref="Y263:AA263"/>
    <mergeCell ref="A264:C264"/>
    <mergeCell ref="Y264:AA264"/>
    <mergeCell ref="A266:C266"/>
    <mergeCell ref="I258:J258"/>
    <mergeCell ref="M258:N258"/>
    <mergeCell ref="P258:Q258"/>
    <mergeCell ref="M259:N259"/>
    <mergeCell ref="P259:X264"/>
    <mergeCell ref="A260:C260"/>
    <mergeCell ref="A261:C261"/>
    <mergeCell ref="A262:C262"/>
    <mergeCell ref="A252:C252"/>
    <mergeCell ref="A253:C253"/>
    <mergeCell ref="A254:C254"/>
    <mergeCell ref="A255:C255"/>
    <mergeCell ref="A258:C258"/>
    <mergeCell ref="D258:F258"/>
    <mergeCell ref="B246:C246"/>
    <mergeCell ref="B247:C247"/>
    <mergeCell ref="A248:C248"/>
    <mergeCell ref="A249:C249"/>
    <mergeCell ref="A250:C250"/>
    <mergeCell ref="A251:C251"/>
    <mergeCell ref="A230:C230"/>
    <mergeCell ref="A231:C231"/>
    <mergeCell ref="A232:C232"/>
    <mergeCell ref="A241:C242"/>
    <mergeCell ref="A244:C244"/>
    <mergeCell ref="A245:C245"/>
    <mergeCell ref="A225:C225"/>
    <mergeCell ref="A226:B226"/>
    <mergeCell ref="C226:C227"/>
    <mergeCell ref="A227:B227"/>
    <mergeCell ref="A228:C228"/>
    <mergeCell ref="A229:C229"/>
    <mergeCell ref="A233:C233"/>
    <mergeCell ref="A234:C234"/>
    <mergeCell ref="A235:C235"/>
    <mergeCell ref="A236:C236"/>
    <mergeCell ref="Y220:AA220"/>
    <mergeCell ref="A221:C221"/>
    <mergeCell ref="Y221:AA221"/>
    <mergeCell ref="A222:C222"/>
    <mergeCell ref="Y222:AA222"/>
    <mergeCell ref="A224:C224"/>
    <mergeCell ref="I216:J216"/>
    <mergeCell ref="M216:N216"/>
    <mergeCell ref="P216:Q216"/>
    <mergeCell ref="M217:N217"/>
    <mergeCell ref="P217:X222"/>
    <mergeCell ref="A218:C218"/>
    <mergeCell ref="A219:C219"/>
    <mergeCell ref="A220:C220"/>
    <mergeCell ref="A210:C210"/>
    <mergeCell ref="A211:C211"/>
    <mergeCell ref="A212:C212"/>
    <mergeCell ref="A213:C213"/>
    <mergeCell ref="A216:C216"/>
    <mergeCell ref="D216:F216"/>
    <mergeCell ref="B204:C204"/>
    <mergeCell ref="B205:C205"/>
    <mergeCell ref="A206:C206"/>
    <mergeCell ref="A207:C207"/>
    <mergeCell ref="A208:C208"/>
    <mergeCell ref="A209:C209"/>
    <mergeCell ref="A188:C188"/>
    <mergeCell ref="A189:C189"/>
    <mergeCell ref="A190:C190"/>
    <mergeCell ref="A199:C200"/>
    <mergeCell ref="A202:C202"/>
    <mergeCell ref="A203:C203"/>
    <mergeCell ref="A183:C183"/>
    <mergeCell ref="A184:B184"/>
    <mergeCell ref="C184:C185"/>
    <mergeCell ref="A185:B185"/>
    <mergeCell ref="A186:C186"/>
    <mergeCell ref="A187:C187"/>
    <mergeCell ref="A191:C191"/>
    <mergeCell ref="A192:C192"/>
    <mergeCell ref="A193:C193"/>
    <mergeCell ref="A194:C194"/>
    <mergeCell ref="Y178:AA178"/>
    <mergeCell ref="A179:C179"/>
    <mergeCell ref="Y179:AA179"/>
    <mergeCell ref="A180:C180"/>
    <mergeCell ref="Y180:AA180"/>
    <mergeCell ref="A182:C182"/>
    <mergeCell ref="I174:J174"/>
    <mergeCell ref="M174:N174"/>
    <mergeCell ref="P174:Q174"/>
    <mergeCell ref="M175:N175"/>
    <mergeCell ref="P175:X180"/>
    <mergeCell ref="A176:C176"/>
    <mergeCell ref="A177:C177"/>
    <mergeCell ref="A178:C178"/>
    <mergeCell ref="A168:C168"/>
    <mergeCell ref="A169:C169"/>
    <mergeCell ref="A170:C170"/>
    <mergeCell ref="A171:C171"/>
    <mergeCell ref="A174:C174"/>
    <mergeCell ref="D174:F174"/>
    <mergeCell ref="B162:C162"/>
    <mergeCell ref="B163:C163"/>
    <mergeCell ref="A164:C164"/>
    <mergeCell ref="A165:C165"/>
    <mergeCell ref="A166:C166"/>
    <mergeCell ref="A167:C167"/>
    <mergeCell ref="A146:C146"/>
    <mergeCell ref="A147:C147"/>
    <mergeCell ref="A148:C148"/>
    <mergeCell ref="A157:C158"/>
    <mergeCell ref="A160:C160"/>
    <mergeCell ref="A161:C161"/>
    <mergeCell ref="A141:C141"/>
    <mergeCell ref="A142:B142"/>
    <mergeCell ref="C142:C143"/>
    <mergeCell ref="A143:B143"/>
    <mergeCell ref="A144:C144"/>
    <mergeCell ref="A145:C145"/>
    <mergeCell ref="A149:C149"/>
    <mergeCell ref="A150:C150"/>
    <mergeCell ref="A151:C151"/>
    <mergeCell ref="A152:C152"/>
    <mergeCell ref="Y136:AA136"/>
    <mergeCell ref="A137:C137"/>
    <mergeCell ref="Y137:AA137"/>
    <mergeCell ref="A138:C138"/>
    <mergeCell ref="Y138:AA138"/>
    <mergeCell ref="A140:C140"/>
    <mergeCell ref="I132:J132"/>
    <mergeCell ref="M132:N132"/>
    <mergeCell ref="P132:Q132"/>
    <mergeCell ref="M133:N133"/>
    <mergeCell ref="P133:X138"/>
    <mergeCell ref="A134:C134"/>
    <mergeCell ref="A135:C135"/>
    <mergeCell ref="A136:C136"/>
    <mergeCell ref="A126:C126"/>
    <mergeCell ref="A127:C127"/>
    <mergeCell ref="A128:C128"/>
    <mergeCell ref="A129:C129"/>
    <mergeCell ref="A132:C132"/>
    <mergeCell ref="D132:F132"/>
    <mergeCell ref="B120:C120"/>
    <mergeCell ref="B121:C121"/>
    <mergeCell ref="A122:C122"/>
    <mergeCell ref="A123:C123"/>
    <mergeCell ref="A124:C124"/>
    <mergeCell ref="A125:C125"/>
    <mergeCell ref="A104:C104"/>
    <mergeCell ref="A105:C105"/>
    <mergeCell ref="A106:C106"/>
    <mergeCell ref="A115:C116"/>
    <mergeCell ref="A118:C118"/>
    <mergeCell ref="A119:C119"/>
    <mergeCell ref="A99:C99"/>
    <mergeCell ref="A100:B100"/>
    <mergeCell ref="C100:C101"/>
    <mergeCell ref="A101:B101"/>
    <mergeCell ref="A102:C102"/>
    <mergeCell ref="A103:C103"/>
    <mergeCell ref="A107:C107"/>
    <mergeCell ref="A108:C108"/>
    <mergeCell ref="A109:C109"/>
    <mergeCell ref="A110:C110"/>
    <mergeCell ref="Y94:AA94"/>
    <mergeCell ref="A95:C95"/>
    <mergeCell ref="Y95:AA95"/>
    <mergeCell ref="A96:C96"/>
    <mergeCell ref="Y96:AA96"/>
    <mergeCell ref="A98:C98"/>
    <mergeCell ref="I90:J90"/>
    <mergeCell ref="M90:N90"/>
    <mergeCell ref="P90:Q90"/>
    <mergeCell ref="M91:N91"/>
    <mergeCell ref="P91:X96"/>
    <mergeCell ref="A92:C92"/>
    <mergeCell ref="A93:C93"/>
    <mergeCell ref="A94:C94"/>
    <mergeCell ref="A84:C84"/>
    <mergeCell ref="A85:C85"/>
    <mergeCell ref="A86:C86"/>
    <mergeCell ref="A87:C87"/>
    <mergeCell ref="A90:C90"/>
    <mergeCell ref="D90:F90"/>
    <mergeCell ref="B78:C78"/>
    <mergeCell ref="B79:C79"/>
    <mergeCell ref="A80:C80"/>
    <mergeCell ref="A81:C81"/>
    <mergeCell ref="A82:C82"/>
    <mergeCell ref="A83:C83"/>
    <mergeCell ref="A62:C62"/>
    <mergeCell ref="A63:C63"/>
    <mergeCell ref="A64:C64"/>
    <mergeCell ref="A73:C74"/>
    <mergeCell ref="A76:C76"/>
    <mergeCell ref="A77:C77"/>
    <mergeCell ref="A57:C57"/>
    <mergeCell ref="A58:B58"/>
    <mergeCell ref="C58:C59"/>
    <mergeCell ref="A59:B59"/>
    <mergeCell ref="A60:C60"/>
    <mergeCell ref="A61:C61"/>
    <mergeCell ref="A68:C68"/>
    <mergeCell ref="A65:C65"/>
    <mergeCell ref="A66:C66"/>
    <mergeCell ref="A67:C67"/>
    <mergeCell ref="Y52:AA52"/>
    <mergeCell ref="A53:C53"/>
    <mergeCell ref="Y53:AA53"/>
    <mergeCell ref="A54:C54"/>
    <mergeCell ref="Y54:AA54"/>
    <mergeCell ref="A56:C56"/>
    <mergeCell ref="I48:J48"/>
    <mergeCell ref="M48:N48"/>
    <mergeCell ref="P48:Q48"/>
    <mergeCell ref="M49:N49"/>
    <mergeCell ref="P49:X54"/>
    <mergeCell ref="A50:C50"/>
    <mergeCell ref="A51:C51"/>
    <mergeCell ref="A52:C52"/>
    <mergeCell ref="A43:C43"/>
    <mergeCell ref="A44:C44"/>
    <mergeCell ref="A45:C45"/>
    <mergeCell ref="A48:C48"/>
    <mergeCell ref="D48:F48"/>
    <mergeCell ref="A36:C36"/>
    <mergeCell ref="A37:C37"/>
    <mergeCell ref="A38:C38"/>
    <mergeCell ref="A39:C39"/>
    <mergeCell ref="A40:C40"/>
    <mergeCell ref="A41:C41"/>
    <mergeCell ref="A35:C35"/>
    <mergeCell ref="A14:C14"/>
    <mergeCell ref="A15:C15"/>
    <mergeCell ref="A16:C16"/>
    <mergeCell ref="A17:C17"/>
    <mergeCell ref="A18:C18"/>
    <mergeCell ref="A27:C28"/>
    <mergeCell ref="A22:C22"/>
    <mergeCell ref="A42:C42"/>
    <mergeCell ref="C12:C13"/>
    <mergeCell ref="A13:B13"/>
    <mergeCell ref="A20:C20"/>
    <mergeCell ref="A21:C21"/>
    <mergeCell ref="A30:C30"/>
    <mergeCell ref="A31:C31"/>
    <mergeCell ref="B32:C32"/>
    <mergeCell ref="B33:C33"/>
    <mergeCell ref="A34:C34"/>
    <mergeCell ref="U1:W1"/>
    <mergeCell ref="R1:T1"/>
    <mergeCell ref="A19:C19"/>
    <mergeCell ref="A6:C6"/>
    <mergeCell ref="L6:O6"/>
    <mergeCell ref="Y6:AA6"/>
    <mergeCell ref="A7:C7"/>
    <mergeCell ref="L7:O7"/>
    <mergeCell ref="Y7:AA7"/>
    <mergeCell ref="A2:C2"/>
    <mergeCell ref="D2:F2"/>
    <mergeCell ref="I2:J2"/>
    <mergeCell ref="M2:N2"/>
    <mergeCell ref="R2:S2"/>
    <mergeCell ref="R3:X8"/>
    <mergeCell ref="A4:C4"/>
    <mergeCell ref="L4:O4"/>
    <mergeCell ref="A5:C5"/>
    <mergeCell ref="L5:O5"/>
    <mergeCell ref="A8:C8"/>
    <mergeCell ref="Y8:AA8"/>
    <mergeCell ref="A10:C10"/>
    <mergeCell ref="A11:C11"/>
    <mergeCell ref="A12:B12"/>
  </mergeCells>
  <phoneticPr fontId="1"/>
  <conditionalFormatting sqref="D58">
    <cfRule type="expression" dxfId="125" priority="271" stopIfTrue="1">
      <formula>IF(NOT(D$13=""),TRUE,FALSE)</formula>
    </cfRule>
    <cfRule type="expression" priority="272" stopIfTrue="1">
      <formula>D$12=""</formula>
    </cfRule>
  </conditionalFormatting>
  <conditionalFormatting sqref="D59:D67 D69:D73 D97:D101 D143 D185 D227 D269 D311 D353 D395 D433 D75:D92">
    <cfRule type="expression" dxfId="124" priority="267" stopIfTrue="1">
      <formula>IF(NOT(D$12=""),TRUE,FALSE)</formula>
    </cfRule>
    <cfRule type="expression" priority="268" stopIfTrue="1">
      <formula>D$13=""</formula>
    </cfRule>
  </conditionalFormatting>
  <conditionalFormatting sqref="D60">
    <cfRule type="expression" priority="273" stopIfTrue="1">
      <formula>D60=""</formula>
    </cfRule>
  </conditionalFormatting>
  <conditionalFormatting sqref="E100:AQ100">
    <cfRule type="expression" dxfId="123" priority="264" stopIfTrue="1">
      <formula>IF(NOT(E$101=""),TRUE,FALSE)</formula>
    </cfRule>
  </conditionalFormatting>
  <conditionalFormatting sqref="D13">
    <cfRule type="expression" dxfId="122" priority="277" stopIfTrue="1">
      <formula>IF(NOT(D$12=""),TRUE,FALSE)</formula>
    </cfRule>
  </conditionalFormatting>
  <conditionalFormatting sqref="D144:AQ144">
    <cfRule type="expression" priority="200" stopIfTrue="1">
      <formula>D144=""</formula>
    </cfRule>
  </conditionalFormatting>
  <conditionalFormatting sqref="D186:AQ186">
    <cfRule type="expression" priority="197" stopIfTrue="1">
      <formula>D186=""</formula>
    </cfRule>
  </conditionalFormatting>
  <conditionalFormatting sqref="D228:AQ228">
    <cfRule type="expression" priority="196" stopIfTrue="1">
      <formula>D228=""</formula>
    </cfRule>
  </conditionalFormatting>
  <conditionalFormatting sqref="D270:AQ270">
    <cfRule type="expression" priority="195" stopIfTrue="1">
      <formula>D270=""</formula>
    </cfRule>
  </conditionalFormatting>
  <conditionalFormatting sqref="D312:AQ312">
    <cfRule type="expression" priority="194" stopIfTrue="1">
      <formula>D312=""</formula>
    </cfRule>
  </conditionalFormatting>
  <conditionalFormatting sqref="D354:AQ354">
    <cfRule type="expression" priority="193" stopIfTrue="1">
      <formula>D354=""</formula>
    </cfRule>
  </conditionalFormatting>
  <conditionalFormatting sqref="D396:AQ396">
    <cfRule type="expression" priority="192" stopIfTrue="1">
      <formula>D396=""</formula>
    </cfRule>
  </conditionalFormatting>
  <conditionalFormatting sqref="D434:AQ434">
    <cfRule type="expression" priority="191" stopIfTrue="1">
      <formula>D434=""</formula>
    </cfRule>
  </conditionalFormatting>
  <conditionalFormatting sqref="E101:AQ101">
    <cfRule type="expression" dxfId="121" priority="266" stopIfTrue="1">
      <formula>IF(NOT(E$100=""),TRUE,FALSE)</formula>
    </cfRule>
  </conditionalFormatting>
  <conditionalFormatting sqref="E58:AQ58">
    <cfRule type="expression" dxfId="120" priority="258" stopIfTrue="1">
      <formula>IF(NOT(E$59=""),TRUE,FALSE)</formula>
    </cfRule>
  </conditionalFormatting>
  <conditionalFormatting sqref="E59:AQ59">
    <cfRule type="expression" dxfId="119" priority="259" stopIfTrue="1">
      <formula>IF(NOT(E$58=""),TRUE,FALSE)</formula>
    </cfRule>
  </conditionalFormatting>
  <conditionalFormatting sqref="E60:AQ60">
    <cfRule type="expression" priority="257" stopIfTrue="1">
      <formula>E60=""</formula>
    </cfRule>
  </conditionalFormatting>
  <conditionalFormatting sqref="E142:AQ142">
    <cfRule type="expression" dxfId="118" priority="189" stopIfTrue="1">
      <formula>IF(NOT(E$143=""),TRUE,FALSE)</formula>
    </cfRule>
  </conditionalFormatting>
  <conditionalFormatting sqref="E143:AQ143">
    <cfRule type="expression" dxfId="117" priority="190" stopIfTrue="1">
      <formula>IF(NOT(E$142=""),TRUE,FALSE)</formula>
    </cfRule>
  </conditionalFormatting>
  <conditionalFormatting sqref="E184:AQ184">
    <cfRule type="expression" dxfId="116" priority="198" stopIfTrue="1">
      <formula>IF(NOT(E$185=""),TRUE,FALSE)</formula>
    </cfRule>
  </conditionalFormatting>
  <conditionalFormatting sqref="E185:AQ185">
    <cfRule type="expression" dxfId="115" priority="199" stopIfTrue="1">
      <formula>IF(NOT(E$184=""),TRUE,FALSE)</formula>
    </cfRule>
  </conditionalFormatting>
  <conditionalFormatting sqref="E226:AQ226">
    <cfRule type="expression" dxfId="114" priority="186" stopIfTrue="1">
      <formula>IF(NOT(E$227=""),TRUE,FALSE)</formula>
    </cfRule>
  </conditionalFormatting>
  <conditionalFormatting sqref="E227:AQ227">
    <cfRule type="expression" dxfId="113" priority="187" stopIfTrue="1">
      <formula>IF(NOT(E$226=""),TRUE,FALSE)</formula>
    </cfRule>
  </conditionalFormatting>
  <conditionalFormatting sqref="E268:AQ268">
    <cfRule type="expression" dxfId="112" priority="184" stopIfTrue="1">
      <formula>IF(NOT(E$269=""),TRUE,FALSE)</formula>
    </cfRule>
  </conditionalFormatting>
  <conditionalFormatting sqref="E269:AQ269">
    <cfRule type="expression" dxfId="111" priority="185" stopIfTrue="1">
      <formula>IF(NOT(E$268=""),TRUE,FALSE)</formula>
    </cfRule>
  </conditionalFormatting>
  <conditionalFormatting sqref="E310:AQ310">
    <cfRule type="expression" dxfId="110" priority="182" stopIfTrue="1">
      <formula>IF(NOT(E$311=""),TRUE,FALSE)</formula>
    </cfRule>
  </conditionalFormatting>
  <conditionalFormatting sqref="E311:AQ311">
    <cfRule type="expression" dxfId="109" priority="183" stopIfTrue="1">
      <formula>IF(NOT(E$310=""),TRUE,FALSE)</formula>
    </cfRule>
  </conditionalFormatting>
  <conditionalFormatting sqref="E352:AQ352">
    <cfRule type="expression" dxfId="108" priority="180" stopIfTrue="1">
      <formula>IF(NOT(E$353=""),TRUE,FALSE)</formula>
    </cfRule>
  </conditionalFormatting>
  <conditionalFormatting sqref="E353:AQ353">
    <cfRule type="expression" dxfId="107" priority="181" stopIfTrue="1">
      <formula>IF(NOT(E$352=""),TRUE,FALSE)</formula>
    </cfRule>
  </conditionalFormatting>
  <conditionalFormatting sqref="E394:AQ394">
    <cfRule type="expression" dxfId="106" priority="178" stopIfTrue="1">
      <formula>IF(NOT(E$395=""),TRUE,FALSE)</formula>
    </cfRule>
  </conditionalFormatting>
  <conditionalFormatting sqref="E395:AQ395">
    <cfRule type="expression" dxfId="105" priority="179" stopIfTrue="1">
      <formula>IF(NOT(E$394=""),TRUE,FALSE)</formula>
    </cfRule>
  </conditionalFormatting>
  <conditionalFormatting sqref="E432:AQ432">
    <cfRule type="expression" dxfId="104" priority="176" stopIfTrue="1">
      <formula>IF(NOT(E$433=""),TRUE,FALSE)</formula>
    </cfRule>
  </conditionalFormatting>
  <conditionalFormatting sqref="E433:AQ433">
    <cfRule type="expression" dxfId="103" priority="177" stopIfTrue="1">
      <formula>IF(NOT(E$432=""),TRUE,FALSE)</formula>
    </cfRule>
  </conditionalFormatting>
  <conditionalFormatting sqref="D13">
    <cfRule type="expression" priority="355" stopIfTrue="1">
      <formula>D$13=""</formula>
    </cfRule>
  </conditionalFormatting>
  <conditionalFormatting sqref="E11:AQ11 E19:AQ21">
    <cfRule type="cellIs" dxfId="102" priority="173" operator="equal">
      <formula>0</formula>
    </cfRule>
  </conditionalFormatting>
  <conditionalFormatting sqref="D5:H8 E11:AQ11 E19:AQ19">
    <cfRule type="expression" dxfId="101" priority="169">
      <formula>IF($U$1="カラー","TRUE","FALSE")</formula>
    </cfRule>
  </conditionalFormatting>
  <conditionalFormatting sqref="J5:J8">
    <cfRule type="expression" dxfId="100" priority="167">
      <formula>IF($U$1="カラー","TRUE","FALSE")</formula>
    </cfRule>
  </conditionalFormatting>
  <conditionalFormatting sqref="I8">
    <cfRule type="expression" dxfId="99" priority="165">
      <formula>IF($U$1="カラー","TRUE","FALSE")</formula>
    </cfRule>
  </conditionalFormatting>
  <conditionalFormatting sqref="D2">
    <cfRule type="expression" dxfId="98" priority="163">
      <formula>IF($U$1="カラー","TRUE","FALSE")</formula>
    </cfRule>
  </conditionalFormatting>
  <conditionalFormatting sqref="D22:AQ22">
    <cfRule type="expression" dxfId="97" priority="154">
      <formula>IF($U$1="カラー","TRUE","FALSE")</formula>
    </cfRule>
  </conditionalFormatting>
  <conditionalFormatting sqref="E12:AQ14">
    <cfRule type="expression" dxfId="96" priority="157">
      <formula>IF($U$1="カラー","TRUE","FALSE")</formula>
    </cfRule>
  </conditionalFormatting>
  <conditionalFormatting sqref="D22:AQ22">
    <cfRule type="cellIs" dxfId="95" priority="156" operator="equal">
      <formula>0</formula>
    </cfRule>
  </conditionalFormatting>
  <conditionalFormatting sqref="E15:AQ15">
    <cfRule type="cellIs" dxfId="94" priority="153" operator="equal">
      <formula>0</formula>
    </cfRule>
  </conditionalFormatting>
  <conditionalFormatting sqref="E15:AQ15">
    <cfRule type="expression" dxfId="93" priority="151">
      <formula>IF($U$1="カラー","TRUE","FALSE")</formula>
    </cfRule>
  </conditionalFormatting>
  <conditionalFormatting sqref="E16:AQ22">
    <cfRule type="expression" dxfId="92" priority="148">
      <formula>IF($U$1="カラー","TRUE","FALSE")</formula>
    </cfRule>
  </conditionalFormatting>
  <conditionalFormatting sqref="E16:AQ22">
    <cfRule type="cellIs" dxfId="91" priority="150" operator="equal">
      <formula>0</formula>
    </cfRule>
  </conditionalFormatting>
  <conditionalFormatting sqref="D51:H51">
    <cfRule type="expression" dxfId="90" priority="145">
      <formula>IF($U$1="カラー","TRUE","FALSE")</formula>
    </cfRule>
  </conditionalFormatting>
  <conditionalFormatting sqref="J51:J54">
    <cfRule type="expression" dxfId="89" priority="143">
      <formula>IF($U$1="カラー","TRUE","FALSE")</formula>
    </cfRule>
  </conditionalFormatting>
  <conditionalFormatting sqref="I54">
    <cfRule type="expression" dxfId="88" priority="141">
      <formula>IF($U$1="カラー","TRUE","FALSE")</formula>
    </cfRule>
  </conditionalFormatting>
  <conditionalFormatting sqref="D93:H93">
    <cfRule type="expression" dxfId="87" priority="138">
      <formula>IF($U$1="カラー","TRUE","FALSE")</formula>
    </cfRule>
  </conditionalFormatting>
  <conditionalFormatting sqref="J93:J96">
    <cfRule type="expression" dxfId="86" priority="136">
      <formula>IF($U$1="カラー","TRUE","FALSE")</formula>
    </cfRule>
  </conditionalFormatting>
  <conditionalFormatting sqref="I96">
    <cfRule type="expression" dxfId="85" priority="134">
      <formula>IF($U$1="カラー","TRUE","FALSE")</formula>
    </cfRule>
  </conditionalFormatting>
  <conditionalFormatting sqref="D135:H135">
    <cfRule type="expression" dxfId="84" priority="131">
      <formula>IF($U$1="カラー","TRUE","FALSE")</formula>
    </cfRule>
  </conditionalFormatting>
  <conditionalFormatting sqref="J135:J138">
    <cfRule type="expression" dxfId="83" priority="129">
      <formula>IF($U$1="カラー","TRUE","FALSE")</formula>
    </cfRule>
  </conditionalFormatting>
  <conditionalFormatting sqref="I138">
    <cfRule type="expression" dxfId="82" priority="127">
      <formula>IF($U$1="カラー","TRUE","FALSE")</formula>
    </cfRule>
  </conditionalFormatting>
  <conditionalFormatting sqref="D177:H177">
    <cfRule type="expression" dxfId="81" priority="124">
      <formula>IF($U$1="カラー","TRUE","FALSE")</formula>
    </cfRule>
  </conditionalFormatting>
  <conditionalFormatting sqref="J177:J180">
    <cfRule type="expression" dxfId="80" priority="122">
      <formula>IF($U$1="カラー","TRUE","FALSE")</formula>
    </cfRule>
  </conditionalFormatting>
  <conditionalFormatting sqref="I180">
    <cfRule type="expression" dxfId="79" priority="120">
      <formula>IF($U$1="カラー","TRUE","FALSE")</formula>
    </cfRule>
  </conditionalFormatting>
  <conditionalFormatting sqref="D219:H219">
    <cfRule type="expression" dxfId="78" priority="117">
      <formula>IF($U$1="カラー","TRUE","FALSE")</formula>
    </cfRule>
  </conditionalFormatting>
  <conditionalFormatting sqref="J219:J222">
    <cfRule type="expression" dxfId="77" priority="115">
      <formula>IF($U$1="カラー","TRUE","FALSE")</formula>
    </cfRule>
  </conditionalFormatting>
  <conditionalFormatting sqref="I222">
    <cfRule type="expression" dxfId="76" priority="113">
      <formula>IF($U$1="カラー","TRUE","FALSE")</formula>
    </cfRule>
  </conditionalFormatting>
  <conditionalFormatting sqref="D261:H261">
    <cfRule type="expression" dxfId="75" priority="110">
      <formula>IF($U$1="カラー","TRUE","FALSE")</formula>
    </cfRule>
  </conditionalFormatting>
  <conditionalFormatting sqref="J261:J264">
    <cfRule type="expression" dxfId="74" priority="108">
      <formula>IF($U$1="カラー","TRUE","FALSE")</formula>
    </cfRule>
  </conditionalFormatting>
  <conditionalFormatting sqref="I264">
    <cfRule type="expression" dxfId="73" priority="106">
      <formula>IF($U$1="カラー","TRUE","FALSE")</formula>
    </cfRule>
  </conditionalFormatting>
  <conditionalFormatting sqref="D303:H303">
    <cfRule type="expression" dxfId="72" priority="103">
      <formula>IF($U$1="カラー","TRUE","FALSE")</formula>
    </cfRule>
  </conditionalFormatting>
  <conditionalFormatting sqref="J303:J306">
    <cfRule type="expression" dxfId="71" priority="101">
      <formula>IF($U$1="カラー","TRUE","FALSE")</formula>
    </cfRule>
  </conditionalFormatting>
  <conditionalFormatting sqref="I306">
    <cfRule type="expression" dxfId="70" priority="99">
      <formula>IF($U$1="カラー","TRUE","FALSE")</formula>
    </cfRule>
  </conditionalFormatting>
  <conditionalFormatting sqref="D345:H345">
    <cfRule type="expression" dxfId="69" priority="96">
      <formula>IF($U$1="カラー","TRUE","FALSE")</formula>
    </cfRule>
  </conditionalFormatting>
  <conditionalFormatting sqref="J345:J348">
    <cfRule type="expression" dxfId="68" priority="94">
      <formula>IF($U$1="カラー","TRUE","FALSE")</formula>
    </cfRule>
  </conditionalFormatting>
  <conditionalFormatting sqref="I348">
    <cfRule type="expression" dxfId="67" priority="92">
      <formula>IF($U$1="カラー","TRUE","FALSE")</formula>
    </cfRule>
  </conditionalFormatting>
  <conditionalFormatting sqref="D388:H390">
    <cfRule type="cellIs" dxfId="66" priority="91" operator="equal">
      <formula>0</formula>
    </cfRule>
  </conditionalFormatting>
  <conditionalFormatting sqref="D387:H390">
    <cfRule type="expression" dxfId="65" priority="89">
      <formula>IF($U$1="カラー","TRUE","FALSE")</formula>
    </cfRule>
  </conditionalFormatting>
  <conditionalFormatting sqref="J387:J390">
    <cfRule type="expression" dxfId="64" priority="87">
      <formula>IF($U$1="カラー","TRUE","FALSE")</formula>
    </cfRule>
  </conditionalFormatting>
  <conditionalFormatting sqref="I390">
    <cfRule type="expression" dxfId="63" priority="85">
      <formula>IF($U$1="カラー","TRUE","FALSE")</formula>
    </cfRule>
  </conditionalFormatting>
  <conditionalFormatting sqref="D426:H428">
    <cfRule type="cellIs" dxfId="62" priority="84" operator="equal">
      <formula>0</formula>
    </cfRule>
  </conditionalFormatting>
  <conditionalFormatting sqref="D425:H428">
    <cfRule type="expression" dxfId="61" priority="82">
      <formula>IF($U$1="カラー","TRUE","FALSE")</formula>
    </cfRule>
  </conditionalFormatting>
  <conditionalFormatting sqref="J425:J428">
    <cfRule type="expression" dxfId="60" priority="80">
      <formula>IF($U$1="カラー","TRUE","FALSE")</formula>
    </cfRule>
  </conditionalFormatting>
  <conditionalFormatting sqref="I428">
    <cfRule type="expression" dxfId="59" priority="78">
      <formula>IF($U$1="カラー","TRUE","FALSE")</formula>
    </cfRule>
  </conditionalFormatting>
  <conditionalFormatting sqref="E61:AQ68">
    <cfRule type="cellIs" dxfId="58" priority="77" operator="equal">
      <formula>0</formula>
    </cfRule>
  </conditionalFormatting>
  <conditionalFormatting sqref="E61:AQ68">
    <cfRule type="expression" dxfId="57" priority="75">
      <formula>IF($U$1="カラー","TRUE","FALSE")</formula>
    </cfRule>
  </conditionalFormatting>
  <conditionalFormatting sqref="E103:AQ109">
    <cfRule type="cellIs" dxfId="56" priority="71" operator="equal">
      <formula>0</formula>
    </cfRule>
  </conditionalFormatting>
  <conditionalFormatting sqref="E103:AQ109">
    <cfRule type="expression" dxfId="55" priority="69">
      <formula>IF($U$1="カラー","TRUE","FALSE")</formula>
    </cfRule>
  </conditionalFormatting>
  <conditionalFormatting sqref="E145:AQ151">
    <cfRule type="expression" dxfId="54" priority="66">
      <formula>IF($U$1="カラー","TRUE","FALSE")</formula>
    </cfRule>
  </conditionalFormatting>
  <conditionalFormatting sqref="E187:AQ193">
    <cfRule type="cellIs" dxfId="53" priority="65" operator="equal">
      <formula>0</formula>
    </cfRule>
  </conditionalFormatting>
  <conditionalFormatting sqref="E187:AQ193">
    <cfRule type="expression" dxfId="52" priority="63">
      <formula>IF($U$1="カラー","TRUE","FALSE")</formula>
    </cfRule>
  </conditionalFormatting>
  <conditionalFormatting sqref="E229:AQ235">
    <cfRule type="cellIs" dxfId="51" priority="62" operator="equal">
      <formula>0</formula>
    </cfRule>
  </conditionalFormatting>
  <conditionalFormatting sqref="E229:AQ235">
    <cfRule type="expression" dxfId="50" priority="60">
      <formula>IF($U$1="カラー","TRUE","FALSE")</formula>
    </cfRule>
  </conditionalFormatting>
  <conditionalFormatting sqref="E271:AQ277">
    <cfRule type="cellIs" dxfId="49" priority="59" operator="equal">
      <formula>0</formula>
    </cfRule>
  </conditionalFormatting>
  <conditionalFormatting sqref="E271:AQ277">
    <cfRule type="expression" dxfId="48" priority="57">
      <formula>IF($U$1="カラー","TRUE","FALSE")</formula>
    </cfRule>
  </conditionalFormatting>
  <conditionalFormatting sqref="E355:AQ361">
    <cfRule type="cellIs" dxfId="47" priority="53" operator="equal">
      <formula>0</formula>
    </cfRule>
  </conditionalFormatting>
  <conditionalFormatting sqref="E355:AQ361">
    <cfRule type="expression" dxfId="46" priority="51">
      <formula>IF($U$1="カラー","TRUE","FALSE")</formula>
    </cfRule>
  </conditionalFormatting>
  <conditionalFormatting sqref="E397:AQ400">
    <cfRule type="cellIs" dxfId="45" priority="50" operator="equal">
      <formula>0</formula>
    </cfRule>
  </conditionalFormatting>
  <conditionalFormatting sqref="E397:AQ400">
    <cfRule type="expression" dxfId="44" priority="48">
      <formula>IF($U$1="カラー","TRUE","FALSE")</formula>
    </cfRule>
  </conditionalFormatting>
  <conditionalFormatting sqref="E435:AQ438">
    <cfRule type="cellIs" dxfId="43" priority="47" operator="equal">
      <formula>0</formula>
    </cfRule>
  </conditionalFormatting>
  <conditionalFormatting sqref="E435:AQ438">
    <cfRule type="expression" dxfId="42" priority="45">
      <formula>IF($U$1="カラー","TRUE","FALSE")</formula>
    </cfRule>
  </conditionalFormatting>
  <conditionalFormatting sqref="E66:AQ66">
    <cfRule type="cellIs" dxfId="41" priority="42" operator="equal">
      <formula>0</formula>
    </cfRule>
  </conditionalFormatting>
  <conditionalFormatting sqref="E65:AQ65">
    <cfRule type="cellIs" dxfId="40" priority="41" operator="equal">
      <formula>0</formula>
    </cfRule>
  </conditionalFormatting>
  <conditionalFormatting sqref="E65:AQ65">
    <cfRule type="expression" dxfId="39" priority="40">
      <formula>IF($U$1="カラー","TRUE","FALSE")</formula>
    </cfRule>
  </conditionalFormatting>
  <conditionalFormatting sqref="D68:AQ68">
    <cfRule type="expression" dxfId="38" priority="38">
      <formula>IF($U$1="カラー","TRUE","FALSE")</formula>
    </cfRule>
  </conditionalFormatting>
  <conditionalFormatting sqref="D68:AQ68">
    <cfRule type="cellIs" dxfId="37" priority="39" operator="equal">
      <formula>0</formula>
    </cfRule>
  </conditionalFormatting>
  <conditionalFormatting sqref="E108:AQ108">
    <cfRule type="cellIs" dxfId="36" priority="37" operator="equal">
      <formula>0</formula>
    </cfRule>
  </conditionalFormatting>
  <conditionalFormatting sqref="E107:AQ107">
    <cfRule type="cellIs" dxfId="35" priority="36" operator="equal">
      <formula>0</formula>
    </cfRule>
  </conditionalFormatting>
  <conditionalFormatting sqref="E107:AQ107">
    <cfRule type="expression" dxfId="34" priority="35">
      <formula>IF($U$1="カラー","TRUE","FALSE")</formula>
    </cfRule>
  </conditionalFormatting>
  <conditionalFormatting sqref="E150:AQ150">
    <cfRule type="cellIs" dxfId="33" priority="34" operator="equal">
      <formula>0</formula>
    </cfRule>
  </conditionalFormatting>
  <conditionalFormatting sqref="E149:AQ149">
    <cfRule type="cellIs" dxfId="32" priority="33" operator="equal">
      <formula>0</formula>
    </cfRule>
  </conditionalFormatting>
  <conditionalFormatting sqref="E149:AQ149">
    <cfRule type="expression" dxfId="31" priority="32">
      <formula>IF($U$1="カラー","TRUE","FALSE")</formula>
    </cfRule>
  </conditionalFormatting>
  <conditionalFormatting sqref="E192:AQ192">
    <cfRule type="cellIs" dxfId="30" priority="31" operator="equal">
      <formula>0</formula>
    </cfRule>
  </conditionalFormatting>
  <conditionalFormatting sqref="E191:AQ191">
    <cfRule type="cellIs" dxfId="29" priority="30" operator="equal">
      <formula>0</formula>
    </cfRule>
  </conditionalFormatting>
  <conditionalFormatting sqref="E191:AQ191">
    <cfRule type="expression" dxfId="28" priority="29">
      <formula>IF($U$1="カラー","TRUE","FALSE")</formula>
    </cfRule>
  </conditionalFormatting>
  <conditionalFormatting sqref="E234:AQ234">
    <cfRule type="cellIs" dxfId="27" priority="28" operator="equal">
      <formula>0</formula>
    </cfRule>
  </conditionalFormatting>
  <conditionalFormatting sqref="E233:AQ233">
    <cfRule type="cellIs" dxfId="26" priority="27" operator="equal">
      <formula>0</formula>
    </cfRule>
  </conditionalFormatting>
  <conditionalFormatting sqref="E233:AQ233">
    <cfRule type="expression" dxfId="25" priority="26">
      <formula>IF($U$1="カラー","TRUE","FALSE")</formula>
    </cfRule>
  </conditionalFormatting>
  <conditionalFormatting sqref="E276:AQ276">
    <cfRule type="cellIs" dxfId="24" priority="25" operator="equal">
      <formula>0</formula>
    </cfRule>
  </conditionalFormatting>
  <conditionalFormatting sqref="E275:AQ275">
    <cfRule type="cellIs" dxfId="23" priority="24" operator="equal">
      <formula>0</formula>
    </cfRule>
  </conditionalFormatting>
  <conditionalFormatting sqref="E275:AQ275">
    <cfRule type="expression" dxfId="22" priority="23">
      <formula>IF($U$1="カラー","TRUE","FALSE")</formula>
    </cfRule>
  </conditionalFormatting>
  <conditionalFormatting sqref="E318:AQ318">
    <cfRule type="cellIs" dxfId="21" priority="22" operator="equal">
      <formula>0</formula>
    </cfRule>
  </conditionalFormatting>
  <conditionalFormatting sqref="E317:AQ317">
    <cfRule type="cellIs" dxfId="20" priority="21" operator="equal">
      <formula>0</formula>
    </cfRule>
  </conditionalFormatting>
  <conditionalFormatting sqref="E317:AQ317">
    <cfRule type="expression" dxfId="19" priority="20">
      <formula>IF($U$1="カラー","TRUE","FALSE")</formula>
    </cfRule>
  </conditionalFormatting>
  <conditionalFormatting sqref="E360:AQ360">
    <cfRule type="cellIs" dxfId="18" priority="19" operator="equal">
      <formula>0</formula>
    </cfRule>
  </conditionalFormatting>
  <conditionalFormatting sqref="E359:AQ359">
    <cfRule type="cellIs" dxfId="17" priority="18" operator="equal">
      <formula>0</formula>
    </cfRule>
  </conditionalFormatting>
  <conditionalFormatting sqref="E359:AQ359">
    <cfRule type="expression" dxfId="16" priority="17">
      <formula>IF($U$1="カラー","TRUE","FALSE")</formula>
    </cfRule>
  </conditionalFormatting>
  <conditionalFormatting sqref="D110:AQ110">
    <cfRule type="expression" dxfId="15" priority="15">
      <formula>IF($U$1="カラー","TRUE","FALSE")</formula>
    </cfRule>
  </conditionalFormatting>
  <conditionalFormatting sqref="D110:AQ110">
    <cfRule type="cellIs" dxfId="14" priority="16" operator="equal">
      <formula>0</formula>
    </cfRule>
  </conditionalFormatting>
  <conditionalFormatting sqref="D152:AQ152">
    <cfRule type="expression" dxfId="13" priority="13">
      <formula>IF($U$1="カラー","TRUE","FALSE")</formula>
    </cfRule>
  </conditionalFormatting>
  <conditionalFormatting sqref="D194:AQ194">
    <cfRule type="expression" dxfId="12" priority="11">
      <formula>IF($U$1="カラー","TRUE","FALSE")</formula>
    </cfRule>
  </conditionalFormatting>
  <conditionalFormatting sqref="D194:AQ194">
    <cfRule type="cellIs" dxfId="11" priority="12" operator="equal">
      <formula>0</formula>
    </cfRule>
  </conditionalFormatting>
  <conditionalFormatting sqref="D236:AQ236">
    <cfRule type="expression" dxfId="10" priority="9">
      <formula>IF($U$1="カラー","TRUE","FALSE")</formula>
    </cfRule>
  </conditionalFormatting>
  <conditionalFormatting sqref="D236:AQ236">
    <cfRule type="cellIs" dxfId="9" priority="10" operator="equal">
      <formula>0</formula>
    </cfRule>
  </conditionalFormatting>
  <conditionalFormatting sqref="D278:AQ278">
    <cfRule type="expression" dxfId="8" priority="7">
      <formula>IF($U$1="カラー","TRUE","FALSE")</formula>
    </cfRule>
  </conditionalFormatting>
  <conditionalFormatting sqref="D278:AQ278">
    <cfRule type="cellIs" dxfId="7" priority="8" operator="equal">
      <formula>0</formula>
    </cfRule>
  </conditionalFormatting>
  <conditionalFormatting sqref="D320:AQ320">
    <cfRule type="expression" dxfId="6" priority="5">
      <formula>IF($U$1="カラー","TRUE","FALSE")</formula>
    </cfRule>
  </conditionalFormatting>
  <conditionalFormatting sqref="D320:AQ320">
    <cfRule type="cellIs" dxfId="5" priority="6" operator="equal">
      <formula>0</formula>
    </cfRule>
  </conditionalFormatting>
  <conditionalFormatting sqref="D362:AQ362">
    <cfRule type="expression" dxfId="4" priority="3">
      <formula>IF($U$1="カラー","TRUE","FALSE")</formula>
    </cfRule>
  </conditionalFormatting>
  <conditionalFormatting sqref="D362:AQ362">
    <cfRule type="cellIs" dxfId="3" priority="4" operator="equal">
      <formula>0</formula>
    </cfRule>
  </conditionalFormatting>
  <conditionalFormatting sqref="E313:AQ319">
    <cfRule type="cellIs" dxfId="2" priority="2" operator="equal">
      <formula>0</formula>
    </cfRule>
  </conditionalFormatting>
  <conditionalFormatting sqref="E313:AQ319">
    <cfRule type="expression" dxfId="1" priority="1">
      <formula>IF($U$1="カラー","TRUE","FALSE")</formula>
    </cfRule>
  </conditionalFormatting>
  <conditionalFormatting sqref="D142 D184 D226 D268 D310 D352 D394 D432">
    <cfRule type="expression" dxfId="0" priority="440" stopIfTrue="1">
      <formula>IF(NOT(D$101=""),TRUE,FALSE)</formula>
    </cfRule>
    <cfRule type="expression" priority="441" stopIfTrue="1">
      <formula>D$12=""</formula>
    </cfRule>
  </conditionalFormatting>
  <dataValidations count="7">
    <dataValidation type="decimal" allowBlank="1" showInputMessage="1" showErrorMessage="1" sqref="E431:AQ431 F20:AQ20 D67:AQ67 E393:AQ393 E108:AQ108 D151:AQ151 E192:AQ192 D235:AQ235 E276:AQ276 D319:AQ319 D21 E20:E21 E57:AQ57 E66:AQ66 E99:AQ99 D109:AQ109 E141:AQ141 E150:AQ150 E183:AQ183 D193:AQ193 E225:AQ225 E234:AQ234 E267:AQ267 D277:AQ277 E309:AQ309 E318:AQ318 E351:AQ351 D361:AQ361 E360:AQ360" xr:uid="{6DB16167-E4BB-4008-8022-04AB70771FFA}">
      <formula1>0</formula1>
      <formula2>10000000000</formula2>
    </dataValidation>
    <dataValidation type="decimal" allowBlank="1" showInputMessage="1" showErrorMessage="1" error="入力できる数字は3～20までです（３以下の場合は日本酒度のほうに記入してください）。" sqref="D432:AQ432 D58:AQ58 D100:AQ100 D352:AQ352 D142:AQ142 D184:AQ184 D394:AQ394 D226:AQ226 D268:AQ268 D310:AQ310 D12" xr:uid="{9A60C32E-C1D1-4111-8275-A35AC1991677}">
      <formula1>3</formula1>
      <formula2>20</formula2>
    </dataValidation>
    <dataValidation type="decimal" allowBlank="1" showInputMessage="1" showErrorMessage="1" error="入力できる数字は0～22までです。" sqref="D434:AQ434 D14 D102:AQ102 D396:AQ396 D144:AQ144 D186:AQ186 D228:AQ228 D270:AQ270 D312:AQ312 D354:AQ354 D60:AQ60" xr:uid="{790B249B-737C-4402-B5B1-574F95A591BF}">
      <formula1>0</formula1>
      <formula2>22</formula2>
    </dataValidation>
    <dataValidation type="decimal" allowBlank="1" showInputMessage="1" showErrorMessage="1" error="入力できる数字は-30～30までです（-30以下の場合は、ボーメのほうに記入してください）。" sqref="D13 H101:AO101 AP58:AQ58 D59:AO59 AP100:AQ100 D143:AO143 D395:AO395 D185:AO185 AP142:AQ142 D353:AO353 AP184:AQ184 D227:AO227 AP394:AQ394 D269:AO269 AP226:AQ226 D311:AO311 AP268:AQ268 AP352:AQ352 AP310:AQ310 D433:AO433 AP432:AQ432 G102 D101:F101" xr:uid="{1D6DBD05-2B7B-4412-B130-96919EDD568B}">
      <formula1>-30</formula1>
      <formula2>30</formula2>
    </dataValidation>
    <dataValidation type="decimal" allowBlank="1" showInputMessage="1" showErrorMessage="1" error="入力できる数字は0～10000までです。" sqref="M8 P8 D94:H96 D426:H428 D52:H54 D136:H138 D388:H390 D178:H180 D220:H222 D262:H264 D304:H306 D346:H348" xr:uid="{AB6F023F-CFEE-43AD-9EAB-614A6B13AA11}">
      <formula1>0</formula1>
      <formula2>10000</formula2>
    </dataValidation>
    <dataValidation allowBlank="1" showInputMessage="1" showErrorMessage="1" error="入力できる数字は0～10000までです。" sqref="D6:D8 I54 I96 I138 I180 I222 I264 I306 I348 I390 I428 E6:H7 E8:I8" xr:uid="{C0ACD682-6EF1-436C-B0D7-BE27D0B3789C}"/>
    <dataValidation type="list" allowBlank="1" showInputMessage="1" showErrorMessage="1" sqref="U1" xr:uid="{D0E715F3-CEAE-4484-942F-CD078938B71B}">
      <formula1>"カラー,グレースケール"</formula1>
    </dataValidation>
  </dataValidations>
  <pageMargins left="0.7" right="0.7" top="0.75" bottom="0.75" header="0.3" footer="0.3"/>
  <pageSetup paperSize="9" scale="21"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3BE56-01F3-4BC0-995E-BEA64767EE00}">
  <sheetPr codeName="Sheet7">
    <pageSetUpPr fitToPage="1"/>
  </sheetPr>
  <dimension ref="A1"/>
  <sheetViews>
    <sheetView zoomScale="70" zoomScaleNormal="70" workbookViewId="0">
      <selection activeCell="I40" sqref="I40"/>
    </sheetView>
  </sheetViews>
  <sheetFormatPr defaultColWidth="9" defaultRowHeight="13.5"/>
  <cols>
    <col min="1" max="16384" width="9" style="368"/>
  </cols>
  <sheetData/>
  <sheetProtection algorithmName="SHA-512" hashValue="XevnI5NwNaSDuwC88KvaHBjgWrAlMsMuV4+g8H5Q/UpDR3iRWLLzwP6lLhtnBIPPze9kP3trDwyJ79gG5dnwxA==" saltValue="aBwNBSwkSlh+D1HFX+C/JQ==" spinCount="100000" sheet="1" formatCells="0"/>
  <phoneticPr fontId="1"/>
  <pageMargins left="0.31496062992125984" right="0.31496062992125984" top="0.35433070866141736" bottom="0.35433070866141736" header="0.31496062992125984" footer="0.31496062992125984"/>
  <pageSetup paperSize="9" scale="5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4AC0-F507-4215-8B20-C65ADA7FF5F5}">
  <sheetPr codeName="Sheet8"/>
  <dimension ref="A1:B20"/>
  <sheetViews>
    <sheetView view="pageBreakPreview" topLeftCell="A7" zoomScaleNormal="85" zoomScaleSheetLayoutView="100" workbookViewId="0">
      <selection activeCell="B7" sqref="B7"/>
    </sheetView>
  </sheetViews>
  <sheetFormatPr defaultRowHeight="13.5"/>
  <cols>
    <col min="1" max="1" width="46.5" customWidth="1"/>
    <col min="2" max="2" width="53.875" customWidth="1"/>
  </cols>
  <sheetData>
    <row r="1" spans="1:2" ht="18.75" customHeight="1">
      <c r="A1" s="439" t="s">
        <v>361</v>
      </c>
      <c r="B1" s="439" t="s">
        <v>362</v>
      </c>
    </row>
    <row r="2" spans="1:2" ht="200.1" customHeight="1">
      <c r="A2" s="264"/>
      <c r="B2" s="418" t="s">
        <v>406</v>
      </c>
    </row>
    <row r="3" spans="1:2" ht="200.1" customHeight="1">
      <c r="A3" s="264"/>
      <c r="B3" s="418" t="s">
        <v>407</v>
      </c>
    </row>
    <row r="4" spans="1:2" ht="217.5" customHeight="1">
      <c r="A4" s="264"/>
      <c r="B4" s="418" t="s">
        <v>439</v>
      </c>
    </row>
    <row r="5" spans="1:2" ht="200.1" customHeight="1">
      <c r="A5" s="264"/>
      <c r="B5" s="418" t="s">
        <v>364</v>
      </c>
    </row>
    <row r="6" spans="1:2" ht="200.1" customHeight="1">
      <c r="A6" s="264"/>
      <c r="B6" s="418" t="s">
        <v>365</v>
      </c>
    </row>
    <row r="7" spans="1:2" ht="200.1" customHeight="1">
      <c r="A7" s="264"/>
      <c r="B7" s="418" t="s">
        <v>445</v>
      </c>
    </row>
    <row r="8" spans="1:2" ht="183.95" customHeight="1">
      <c r="A8" s="264"/>
      <c r="B8" s="418" t="s">
        <v>440</v>
      </c>
    </row>
    <row r="9" spans="1:2" ht="200.1" customHeight="1">
      <c r="A9" s="264"/>
      <c r="B9" s="418" t="s">
        <v>363</v>
      </c>
    </row>
    <row r="10" spans="1:2" ht="200.1" customHeight="1">
      <c r="A10" s="264"/>
      <c r="B10" s="418" t="s">
        <v>430</v>
      </c>
    </row>
    <row r="11" spans="1:2" ht="200.1" customHeight="1"/>
    <row r="12" spans="1:2" ht="200.1" customHeight="1"/>
    <row r="13" spans="1:2" ht="200.1" customHeight="1"/>
    <row r="14" spans="1:2" ht="200.1" customHeight="1"/>
    <row r="15" spans="1:2" ht="200.1" customHeight="1"/>
    <row r="16" spans="1:2" ht="200.1" customHeight="1"/>
    <row r="17" ht="200.1" customHeight="1"/>
    <row r="18" ht="200.1" customHeight="1"/>
    <row r="19" ht="200.1" customHeight="1"/>
    <row r="20" ht="200.1" customHeight="1"/>
  </sheetData>
  <sheetProtection password="BD3E" sheet="1" objects="1" scenarios="1"/>
  <phoneticPr fontId="1"/>
  <pageMargins left="0.7" right="0.7" top="0.75" bottom="0.75" header="0.3" footer="0.3"/>
  <pageSetup paperSize="9" scale="8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I1003"/>
  <sheetViews>
    <sheetView workbookViewId="0">
      <selection activeCell="K3" sqref="K3:L5"/>
    </sheetView>
  </sheetViews>
  <sheetFormatPr defaultColWidth="10" defaultRowHeight="13.5"/>
  <cols>
    <col min="1" max="1" width="19" style="31" customWidth="1"/>
    <col min="2" max="2" width="10" style="13"/>
    <col min="3" max="3" width="10" style="32" customWidth="1"/>
    <col min="4" max="4" width="11.625" style="32" bestFit="1" customWidth="1"/>
    <col min="5" max="256" width="10" style="13"/>
    <col min="257" max="257" width="10" style="13" customWidth="1"/>
    <col min="258" max="258" width="10" style="13"/>
    <col min="259" max="259" width="10" style="13" customWidth="1"/>
    <col min="260" max="260" width="11.625" style="13" bestFit="1" customWidth="1"/>
    <col min="261" max="512" width="10" style="13"/>
    <col min="513" max="513" width="10" style="13" customWidth="1"/>
    <col min="514" max="514" width="10" style="13"/>
    <col min="515" max="515" width="10" style="13" customWidth="1"/>
    <col min="516" max="516" width="11.625" style="13" bestFit="1" customWidth="1"/>
    <col min="517" max="768" width="10" style="13"/>
    <col min="769" max="769" width="10" style="13" customWidth="1"/>
    <col min="770" max="770" width="10" style="13"/>
    <col min="771" max="771" width="10" style="13" customWidth="1"/>
    <col min="772" max="772" width="11.625" style="13" bestFit="1" customWidth="1"/>
    <col min="773" max="1024" width="10" style="13"/>
    <col min="1025" max="1025" width="10" style="13" customWidth="1"/>
    <col min="1026" max="1026" width="10" style="13"/>
    <col min="1027" max="1027" width="10" style="13" customWidth="1"/>
    <col min="1028" max="1028" width="11.625" style="13" bestFit="1" customWidth="1"/>
    <col min="1029" max="1280" width="10" style="13"/>
    <col min="1281" max="1281" width="10" style="13" customWidth="1"/>
    <col min="1282" max="1282" width="10" style="13"/>
    <col min="1283" max="1283" width="10" style="13" customWidth="1"/>
    <col min="1284" max="1284" width="11.625" style="13" bestFit="1" customWidth="1"/>
    <col min="1285" max="1536" width="10" style="13"/>
    <col min="1537" max="1537" width="10" style="13" customWidth="1"/>
    <col min="1538" max="1538" width="10" style="13"/>
    <col min="1539" max="1539" width="10" style="13" customWidth="1"/>
    <col min="1540" max="1540" width="11.625" style="13" bestFit="1" customWidth="1"/>
    <col min="1541" max="1792" width="10" style="13"/>
    <col min="1793" max="1793" width="10" style="13" customWidth="1"/>
    <col min="1794" max="1794" width="10" style="13"/>
    <col min="1795" max="1795" width="10" style="13" customWidth="1"/>
    <col min="1796" max="1796" width="11.625" style="13" bestFit="1" customWidth="1"/>
    <col min="1797" max="2048" width="10" style="13"/>
    <col min="2049" max="2049" width="10" style="13" customWidth="1"/>
    <col min="2050" max="2050" width="10" style="13"/>
    <col min="2051" max="2051" width="10" style="13" customWidth="1"/>
    <col min="2052" max="2052" width="11.625" style="13" bestFit="1" customWidth="1"/>
    <col min="2053" max="2304" width="10" style="13"/>
    <col min="2305" max="2305" width="10" style="13" customWidth="1"/>
    <col min="2306" max="2306" width="10" style="13"/>
    <col min="2307" max="2307" width="10" style="13" customWidth="1"/>
    <col min="2308" max="2308" width="11.625" style="13" bestFit="1" customWidth="1"/>
    <col min="2309" max="2560" width="10" style="13"/>
    <col min="2561" max="2561" width="10" style="13" customWidth="1"/>
    <col min="2562" max="2562" width="10" style="13"/>
    <col min="2563" max="2563" width="10" style="13" customWidth="1"/>
    <col min="2564" max="2564" width="11.625" style="13" bestFit="1" customWidth="1"/>
    <col min="2565" max="2816" width="10" style="13"/>
    <col min="2817" max="2817" width="10" style="13" customWidth="1"/>
    <col min="2818" max="2818" width="10" style="13"/>
    <col min="2819" max="2819" width="10" style="13" customWidth="1"/>
    <col min="2820" max="2820" width="11.625" style="13" bestFit="1" customWidth="1"/>
    <col min="2821" max="3072" width="10" style="13"/>
    <col min="3073" max="3073" width="10" style="13" customWidth="1"/>
    <col min="3074" max="3074" width="10" style="13"/>
    <col min="3075" max="3075" width="10" style="13" customWidth="1"/>
    <col min="3076" max="3076" width="11.625" style="13" bestFit="1" customWidth="1"/>
    <col min="3077" max="3328" width="10" style="13"/>
    <col min="3329" max="3329" width="10" style="13" customWidth="1"/>
    <col min="3330" max="3330" width="10" style="13"/>
    <col min="3331" max="3331" width="10" style="13" customWidth="1"/>
    <col min="3332" max="3332" width="11.625" style="13" bestFit="1" customWidth="1"/>
    <col min="3333" max="3584" width="10" style="13"/>
    <col min="3585" max="3585" width="10" style="13" customWidth="1"/>
    <col min="3586" max="3586" width="10" style="13"/>
    <col min="3587" max="3587" width="10" style="13" customWidth="1"/>
    <col min="3588" max="3588" width="11.625" style="13" bestFit="1" customWidth="1"/>
    <col min="3589" max="3840" width="10" style="13"/>
    <col min="3841" max="3841" width="10" style="13" customWidth="1"/>
    <col min="3842" max="3842" width="10" style="13"/>
    <col min="3843" max="3843" width="10" style="13" customWidth="1"/>
    <col min="3844" max="3844" width="11.625" style="13" bestFit="1" customWidth="1"/>
    <col min="3845" max="4096" width="10" style="13"/>
    <col min="4097" max="4097" width="10" style="13" customWidth="1"/>
    <col min="4098" max="4098" width="10" style="13"/>
    <col min="4099" max="4099" width="10" style="13" customWidth="1"/>
    <col min="4100" max="4100" width="11.625" style="13" bestFit="1" customWidth="1"/>
    <col min="4101" max="4352" width="10" style="13"/>
    <col min="4353" max="4353" width="10" style="13" customWidth="1"/>
    <col min="4354" max="4354" width="10" style="13"/>
    <col min="4355" max="4355" width="10" style="13" customWidth="1"/>
    <col min="4356" max="4356" width="11.625" style="13" bestFit="1" customWidth="1"/>
    <col min="4357" max="4608" width="10" style="13"/>
    <col min="4609" max="4609" width="10" style="13" customWidth="1"/>
    <col min="4610" max="4610" width="10" style="13"/>
    <col min="4611" max="4611" width="10" style="13" customWidth="1"/>
    <col min="4612" max="4612" width="11.625" style="13" bestFit="1" customWidth="1"/>
    <col min="4613" max="4864" width="10" style="13"/>
    <col min="4865" max="4865" width="10" style="13" customWidth="1"/>
    <col min="4866" max="4866" width="10" style="13"/>
    <col min="4867" max="4867" width="10" style="13" customWidth="1"/>
    <col min="4868" max="4868" width="11.625" style="13" bestFit="1" customWidth="1"/>
    <col min="4869" max="5120" width="10" style="13"/>
    <col min="5121" max="5121" width="10" style="13" customWidth="1"/>
    <col min="5122" max="5122" width="10" style="13"/>
    <col min="5123" max="5123" width="10" style="13" customWidth="1"/>
    <col min="5124" max="5124" width="11.625" style="13" bestFit="1" customWidth="1"/>
    <col min="5125" max="5376" width="10" style="13"/>
    <col min="5377" max="5377" width="10" style="13" customWidth="1"/>
    <col min="5378" max="5378" width="10" style="13"/>
    <col min="5379" max="5379" width="10" style="13" customWidth="1"/>
    <col min="5380" max="5380" width="11.625" style="13" bestFit="1" customWidth="1"/>
    <col min="5381" max="5632" width="10" style="13"/>
    <col min="5633" max="5633" width="10" style="13" customWidth="1"/>
    <col min="5634" max="5634" width="10" style="13"/>
    <col min="5635" max="5635" width="10" style="13" customWidth="1"/>
    <col min="5636" max="5636" width="11.625" style="13" bestFit="1" customWidth="1"/>
    <col min="5637" max="5888" width="10" style="13"/>
    <col min="5889" max="5889" width="10" style="13" customWidth="1"/>
    <col min="5890" max="5890" width="10" style="13"/>
    <col min="5891" max="5891" width="10" style="13" customWidth="1"/>
    <col min="5892" max="5892" width="11.625" style="13" bestFit="1" customWidth="1"/>
    <col min="5893" max="6144" width="10" style="13"/>
    <col min="6145" max="6145" width="10" style="13" customWidth="1"/>
    <col min="6146" max="6146" width="10" style="13"/>
    <col min="6147" max="6147" width="10" style="13" customWidth="1"/>
    <col min="6148" max="6148" width="11.625" style="13" bestFit="1" customWidth="1"/>
    <col min="6149" max="6400" width="10" style="13"/>
    <col min="6401" max="6401" width="10" style="13" customWidth="1"/>
    <col min="6402" max="6402" width="10" style="13"/>
    <col min="6403" max="6403" width="10" style="13" customWidth="1"/>
    <col min="6404" max="6404" width="11.625" style="13" bestFit="1" customWidth="1"/>
    <col min="6405" max="6656" width="10" style="13"/>
    <col min="6657" max="6657" width="10" style="13" customWidth="1"/>
    <col min="6658" max="6658" width="10" style="13"/>
    <col min="6659" max="6659" width="10" style="13" customWidth="1"/>
    <col min="6660" max="6660" width="11.625" style="13" bestFit="1" customWidth="1"/>
    <col min="6661" max="6912" width="10" style="13"/>
    <col min="6913" max="6913" width="10" style="13" customWidth="1"/>
    <col min="6914" max="6914" width="10" style="13"/>
    <col min="6915" max="6915" width="10" style="13" customWidth="1"/>
    <col min="6916" max="6916" width="11.625" style="13" bestFit="1" customWidth="1"/>
    <col min="6917" max="7168" width="10" style="13"/>
    <col min="7169" max="7169" width="10" style="13" customWidth="1"/>
    <col min="7170" max="7170" width="10" style="13"/>
    <col min="7171" max="7171" width="10" style="13" customWidth="1"/>
    <col min="7172" max="7172" width="11.625" style="13" bestFit="1" customWidth="1"/>
    <col min="7173" max="7424" width="10" style="13"/>
    <col min="7425" max="7425" width="10" style="13" customWidth="1"/>
    <col min="7426" max="7426" width="10" style="13"/>
    <col min="7427" max="7427" width="10" style="13" customWidth="1"/>
    <col min="7428" max="7428" width="11.625" style="13" bestFit="1" customWidth="1"/>
    <col min="7429" max="7680" width="10" style="13"/>
    <col min="7681" max="7681" width="10" style="13" customWidth="1"/>
    <col min="7682" max="7682" width="10" style="13"/>
    <col min="7683" max="7683" width="10" style="13" customWidth="1"/>
    <col min="7684" max="7684" width="11.625" style="13" bestFit="1" customWidth="1"/>
    <col min="7685" max="7936" width="10" style="13"/>
    <col min="7937" max="7937" width="10" style="13" customWidth="1"/>
    <col min="7938" max="7938" width="10" style="13"/>
    <col min="7939" max="7939" width="10" style="13" customWidth="1"/>
    <col min="7940" max="7940" width="11.625" style="13" bestFit="1" customWidth="1"/>
    <col min="7941" max="8192" width="10" style="13"/>
    <col min="8193" max="8193" width="10" style="13" customWidth="1"/>
    <col min="8194" max="8194" width="10" style="13"/>
    <col min="8195" max="8195" width="10" style="13" customWidth="1"/>
    <col min="8196" max="8196" width="11.625" style="13" bestFit="1" customWidth="1"/>
    <col min="8197" max="8448" width="10" style="13"/>
    <col min="8449" max="8449" width="10" style="13" customWidth="1"/>
    <col min="8450" max="8450" width="10" style="13"/>
    <col min="8451" max="8451" width="10" style="13" customWidth="1"/>
    <col min="8452" max="8452" width="11.625" style="13" bestFit="1" customWidth="1"/>
    <col min="8453" max="8704" width="10" style="13"/>
    <col min="8705" max="8705" width="10" style="13" customWidth="1"/>
    <col min="8706" max="8706" width="10" style="13"/>
    <col min="8707" max="8707" width="10" style="13" customWidth="1"/>
    <col min="8708" max="8708" width="11.625" style="13" bestFit="1" customWidth="1"/>
    <col min="8709" max="8960" width="10" style="13"/>
    <col min="8961" max="8961" width="10" style="13" customWidth="1"/>
    <col min="8962" max="8962" width="10" style="13"/>
    <col min="8963" max="8963" width="10" style="13" customWidth="1"/>
    <col min="8964" max="8964" width="11.625" style="13" bestFit="1" customWidth="1"/>
    <col min="8965" max="9216" width="10" style="13"/>
    <col min="9217" max="9217" width="10" style="13" customWidth="1"/>
    <col min="9218" max="9218" width="10" style="13"/>
    <col min="9219" max="9219" width="10" style="13" customWidth="1"/>
    <col min="9220" max="9220" width="11.625" style="13" bestFit="1" customWidth="1"/>
    <col min="9221" max="9472" width="10" style="13"/>
    <col min="9473" max="9473" width="10" style="13" customWidth="1"/>
    <col min="9474" max="9474" width="10" style="13"/>
    <col min="9475" max="9475" width="10" style="13" customWidth="1"/>
    <col min="9476" max="9476" width="11.625" style="13" bestFit="1" customWidth="1"/>
    <col min="9477" max="9728" width="10" style="13"/>
    <col min="9729" max="9729" width="10" style="13" customWidth="1"/>
    <col min="9730" max="9730" width="10" style="13"/>
    <col min="9731" max="9731" width="10" style="13" customWidth="1"/>
    <col min="9732" max="9732" width="11.625" style="13" bestFit="1" customWidth="1"/>
    <col min="9733" max="9984" width="10" style="13"/>
    <col min="9985" max="9985" width="10" style="13" customWidth="1"/>
    <col min="9986" max="9986" width="10" style="13"/>
    <col min="9987" max="9987" width="10" style="13" customWidth="1"/>
    <col min="9988" max="9988" width="11.625" style="13" bestFit="1" customWidth="1"/>
    <col min="9989" max="10240" width="10" style="13"/>
    <col min="10241" max="10241" width="10" style="13" customWidth="1"/>
    <col min="10242" max="10242" width="10" style="13"/>
    <col min="10243" max="10243" width="10" style="13" customWidth="1"/>
    <col min="10244" max="10244" width="11.625" style="13" bestFit="1" customWidth="1"/>
    <col min="10245" max="10496" width="10" style="13"/>
    <col min="10497" max="10497" width="10" style="13" customWidth="1"/>
    <col min="10498" max="10498" width="10" style="13"/>
    <col min="10499" max="10499" width="10" style="13" customWidth="1"/>
    <col min="10500" max="10500" width="11.625" style="13" bestFit="1" customWidth="1"/>
    <col min="10501" max="10752" width="10" style="13"/>
    <col min="10753" max="10753" width="10" style="13" customWidth="1"/>
    <col min="10754" max="10754" width="10" style="13"/>
    <col min="10755" max="10755" width="10" style="13" customWidth="1"/>
    <col min="10756" max="10756" width="11.625" style="13" bestFit="1" customWidth="1"/>
    <col min="10757" max="11008" width="10" style="13"/>
    <col min="11009" max="11009" width="10" style="13" customWidth="1"/>
    <col min="11010" max="11010" width="10" style="13"/>
    <col min="11011" max="11011" width="10" style="13" customWidth="1"/>
    <col min="11012" max="11012" width="11.625" style="13" bestFit="1" customWidth="1"/>
    <col min="11013" max="11264" width="10" style="13"/>
    <col min="11265" max="11265" width="10" style="13" customWidth="1"/>
    <col min="11266" max="11266" width="10" style="13"/>
    <col min="11267" max="11267" width="10" style="13" customWidth="1"/>
    <col min="11268" max="11268" width="11.625" style="13" bestFit="1" customWidth="1"/>
    <col min="11269" max="11520" width="10" style="13"/>
    <col min="11521" max="11521" width="10" style="13" customWidth="1"/>
    <col min="11522" max="11522" width="10" style="13"/>
    <col min="11523" max="11523" width="10" style="13" customWidth="1"/>
    <col min="11524" max="11524" width="11.625" style="13" bestFit="1" customWidth="1"/>
    <col min="11525" max="11776" width="10" style="13"/>
    <col min="11777" max="11777" width="10" style="13" customWidth="1"/>
    <col min="11778" max="11778" width="10" style="13"/>
    <col min="11779" max="11779" width="10" style="13" customWidth="1"/>
    <col min="11780" max="11780" width="11.625" style="13" bestFit="1" customWidth="1"/>
    <col min="11781" max="12032" width="10" style="13"/>
    <col min="12033" max="12033" width="10" style="13" customWidth="1"/>
    <col min="12034" max="12034" width="10" style="13"/>
    <col min="12035" max="12035" width="10" style="13" customWidth="1"/>
    <col min="12036" max="12036" width="11.625" style="13" bestFit="1" customWidth="1"/>
    <col min="12037" max="12288" width="10" style="13"/>
    <col min="12289" max="12289" width="10" style="13" customWidth="1"/>
    <col min="12290" max="12290" width="10" style="13"/>
    <col min="12291" max="12291" width="10" style="13" customWidth="1"/>
    <col min="12292" max="12292" width="11.625" style="13" bestFit="1" customWidth="1"/>
    <col min="12293" max="12544" width="10" style="13"/>
    <col min="12545" max="12545" width="10" style="13" customWidth="1"/>
    <col min="12546" max="12546" width="10" style="13"/>
    <col min="12547" max="12547" width="10" style="13" customWidth="1"/>
    <col min="12548" max="12548" width="11.625" style="13" bestFit="1" customWidth="1"/>
    <col min="12549" max="12800" width="10" style="13"/>
    <col min="12801" max="12801" width="10" style="13" customWidth="1"/>
    <col min="12802" max="12802" width="10" style="13"/>
    <col min="12803" max="12803" width="10" style="13" customWidth="1"/>
    <col min="12804" max="12804" width="11.625" style="13" bestFit="1" customWidth="1"/>
    <col min="12805" max="13056" width="10" style="13"/>
    <col min="13057" max="13057" width="10" style="13" customWidth="1"/>
    <col min="13058" max="13058" width="10" style="13"/>
    <col min="13059" max="13059" width="10" style="13" customWidth="1"/>
    <col min="13060" max="13060" width="11.625" style="13" bestFit="1" customWidth="1"/>
    <col min="13061" max="13312" width="10" style="13"/>
    <col min="13313" max="13313" width="10" style="13" customWidth="1"/>
    <col min="13314" max="13314" width="10" style="13"/>
    <col min="13315" max="13315" width="10" style="13" customWidth="1"/>
    <col min="13316" max="13316" width="11.625" style="13" bestFit="1" customWidth="1"/>
    <col min="13317" max="13568" width="10" style="13"/>
    <col min="13569" max="13569" width="10" style="13" customWidth="1"/>
    <col min="13570" max="13570" width="10" style="13"/>
    <col min="13571" max="13571" width="10" style="13" customWidth="1"/>
    <col min="13572" max="13572" width="11.625" style="13" bestFit="1" customWidth="1"/>
    <col min="13573" max="13824" width="10" style="13"/>
    <col min="13825" max="13825" width="10" style="13" customWidth="1"/>
    <col min="13826" max="13826" width="10" style="13"/>
    <col min="13827" max="13827" width="10" style="13" customWidth="1"/>
    <col min="13828" max="13828" width="11.625" style="13" bestFit="1" customWidth="1"/>
    <col min="13829" max="14080" width="10" style="13"/>
    <col min="14081" max="14081" width="10" style="13" customWidth="1"/>
    <col min="14082" max="14082" width="10" style="13"/>
    <col min="14083" max="14083" width="10" style="13" customWidth="1"/>
    <col min="14084" max="14084" width="11.625" style="13" bestFit="1" customWidth="1"/>
    <col min="14085" max="14336" width="10" style="13"/>
    <col min="14337" max="14337" width="10" style="13" customWidth="1"/>
    <col min="14338" max="14338" width="10" style="13"/>
    <col min="14339" max="14339" width="10" style="13" customWidth="1"/>
    <col min="14340" max="14340" width="11.625" style="13" bestFit="1" customWidth="1"/>
    <col min="14341" max="14592" width="10" style="13"/>
    <col min="14593" max="14593" width="10" style="13" customWidth="1"/>
    <col min="14594" max="14594" width="10" style="13"/>
    <col min="14595" max="14595" width="10" style="13" customWidth="1"/>
    <col min="14596" max="14596" width="11.625" style="13" bestFit="1" customWidth="1"/>
    <col min="14597" max="14848" width="10" style="13"/>
    <col min="14849" max="14849" width="10" style="13" customWidth="1"/>
    <col min="14850" max="14850" width="10" style="13"/>
    <col min="14851" max="14851" width="10" style="13" customWidth="1"/>
    <col min="14852" max="14852" width="11.625" style="13" bestFit="1" customWidth="1"/>
    <col min="14853" max="15104" width="10" style="13"/>
    <col min="15105" max="15105" width="10" style="13" customWidth="1"/>
    <col min="15106" max="15106" width="10" style="13"/>
    <col min="15107" max="15107" width="10" style="13" customWidth="1"/>
    <col min="15108" max="15108" width="11.625" style="13" bestFit="1" customWidth="1"/>
    <col min="15109" max="15360" width="10" style="13"/>
    <col min="15361" max="15361" width="10" style="13" customWidth="1"/>
    <col min="15362" max="15362" width="10" style="13"/>
    <col min="15363" max="15363" width="10" style="13" customWidth="1"/>
    <col min="15364" max="15364" width="11.625" style="13" bestFit="1" customWidth="1"/>
    <col min="15365" max="15616" width="10" style="13"/>
    <col min="15617" max="15617" width="10" style="13" customWidth="1"/>
    <col min="15618" max="15618" width="10" style="13"/>
    <col min="15619" max="15619" width="10" style="13" customWidth="1"/>
    <col min="15620" max="15620" width="11.625" style="13" bestFit="1" customWidth="1"/>
    <col min="15621" max="15872" width="10" style="13"/>
    <col min="15873" max="15873" width="10" style="13" customWidth="1"/>
    <col min="15874" max="15874" width="10" style="13"/>
    <col min="15875" max="15875" width="10" style="13" customWidth="1"/>
    <col min="15876" max="15876" width="11.625" style="13" bestFit="1" customWidth="1"/>
    <col min="15877" max="16128" width="10" style="13"/>
    <col min="16129" max="16129" width="10" style="13" customWidth="1"/>
    <col min="16130" max="16130" width="10" style="13"/>
    <col min="16131" max="16131" width="10" style="13" customWidth="1"/>
    <col min="16132" max="16132" width="11.625" style="13" bestFit="1" customWidth="1"/>
    <col min="16133" max="16384" width="10" style="13"/>
  </cols>
  <sheetData>
    <row r="1" spans="1:9">
      <c r="A1" s="31" t="s">
        <v>128</v>
      </c>
    </row>
    <row r="2" spans="1:9" s="7" customFormat="1" ht="12" thickBot="1">
      <c r="A2" s="7" t="s">
        <v>29</v>
      </c>
      <c r="B2" s="7" t="s">
        <v>30</v>
      </c>
      <c r="C2" s="8" t="s">
        <v>31</v>
      </c>
      <c r="D2" s="8" t="s">
        <v>32</v>
      </c>
      <c r="E2" s="33" t="s">
        <v>29</v>
      </c>
      <c r="F2" s="33" t="s">
        <v>33</v>
      </c>
      <c r="G2" s="34" t="s">
        <v>31</v>
      </c>
      <c r="H2" s="34" t="s">
        <v>32</v>
      </c>
      <c r="I2" s="35" t="s">
        <v>34</v>
      </c>
    </row>
    <row r="3" spans="1:9" ht="14.25" thickBot="1">
      <c r="A3" s="9">
        <v>0</v>
      </c>
      <c r="B3" s="10">
        <v>0.99909999999999999</v>
      </c>
      <c r="C3" s="11">
        <f>SLOPE(B3:B4,A3:A4)</f>
        <v>-1.5999999999993797E-3</v>
      </c>
      <c r="D3" s="12">
        <f>INTERCEPT(B3:B4,A3:A4)</f>
        <v>0.99909999999999999</v>
      </c>
      <c r="E3" s="9">
        <v>0</v>
      </c>
      <c r="F3" s="10">
        <v>1</v>
      </c>
      <c r="G3" s="11">
        <f>SLOPE(F3:F4,E3:E4)</f>
        <v>-1.6000000000004899E-3</v>
      </c>
      <c r="H3" s="12">
        <f>INTERCEPT(F3:F4,E3:E4)</f>
        <v>1</v>
      </c>
    </row>
    <row r="4" spans="1:9" ht="14.25" thickBot="1">
      <c r="A4" s="14">
        <v>0.1</v>
      </c>
      <c r="B4" s="15">
        <v>0.99894000000000005</v>
      </c>
      <c r="C4" s="11">
        <f t="shared" ref="C4:C67" si="0">SLOPE(B4:B5,A4:A5)</f>
        <v>-1.5000000000009448E-3</v>
      </c>
      <c r="D4" s="12">
        <f t="shared" ref="D4:D67" si="1">INTERCEPT(B4:B5,A4:A5)</f>
        <v>0.99909000000000014</v>
      </c>
      <c r="E4" s="14">
        <v>0.1</v>
      </c>
      <c r="F4" s="15">
        <v>0.99983999999999995</v>
      </c>
      <c r="G4" s="11">
        <f t="shared" ref="G4:G67" si="2">SLOPE(F4:F5,E4:E5)</f>
        <v>-1.4999999999998346E-3</v>
      </c>
      <c r="H4" s="12">
        <f t="shared" ref="H4:H67" si="3">INTERCEPT(F4:F5,E4:E5)</f>
        <v>0.99998999999999993</v>
      </c>
    </row>
    <row r="5" spans="1:9" ht="14.25" thickBot="1">
      <c r="A5" s="14">
        <v>0.2</v>
      </c>
      <c r="B5" s="15">
        <v>0.99878999999999996</v>
      </c>
      <c r="C5" s="11">
        <f t="shared" si="0"/>
        <v>-1.4999999999998352E-3</v>
      </c>
      <c r="D5" s="12">
        <f t="shared" si="1"/>
        <v>0.99909000000000003</v>
      </c>
      <c r="E5" s="14">
        <v>0.2</v>
      </c>
      <c r="F5" s="15">
        <v>0.99968999999999997</v>
      </c>
      <c r="G5" s="11">
        <f t="shared" si="2"/>
        <v>-1.4999999999998352E-3</v>
      </c>
      <c r="H5" s="12">
        <f t="shared" si="3"/>
        <v>0.99998999999999993</v>
      </c>
    </row>
    <row r="6" spans="1:9" ht="14.25" thickBot="1">
      <c r="A6" s="14">
        <v>0.3</v>
      </c>
      <c r="B6" s="15">
        <v>0.99863999999999997</v>
      </c>
      <c r="C6" s="11">
        <f t="shared" si="0"/>
        <v>-1.5999999999993795E-3</v>
      </c>
      <c r="D6" s="12">
        <f t="shared" si="1"/>
        <v>0.99911999999999979</v>
      </c>
      <c r="E6" s="14">
        <v>0.3</v>
      </c>
      <c r="F6" s="15">
        <v>0.99953999999999998</v>
      </c>
      <c r="G6" s="11">
        <f t="shared" si="2"/>
        <v>-1.5999999999993795E-3</v>
      </c>
      <c r="H6" s="12">
        <f t="shared" si="3"/>
        <v>1.0000199999999997</v>
      </c>
    </row>
    <row r="7" spans="1:9" ht="14.25" thickBot="1">
      <c r="A7" s="14">
        <v>0.4</v>
      </c>
      <c r="B7" s="15">
        <v>0.99848000000000003</v>
      </c>
      <c r="C7" s="11">
        <f t="shared" si="0"/>
        <v>-1.4999999999998352E-3</v>
      </c>
      <c r="D7" s="12">
        <f t="shared" si="1"/>
        <v>0.99907999999999997</v>
      </c>
      <c r="E7" s="14">
        <v>0.4</v>
      </c>
      <c r="F7" s="15">
        <v>0.99938000000000005</v>
      </c>
      <c r="G7" s="11">
        <f t="shared" si="2"/>
        <v>-1.5000000000009455E-3</v>
      </c>
      <c r="H7" s="12">
        <f t="shared" si="3"/>
        <v>0.99998000000000042</v>
      </c>
    </row>
    <row r="8" spans="1:9" ht="14.25" thickBot="1">
      <c r="A8" s="14">
        <v>0.5</v>
      </c>
      <c r="B8" s="15">
        <v>0.99833000000000005</v>
      </c>
      <c r="C8" s="11">
        <f t="shared" si="0"/>
        <v>-1.5000000000009455E-3</v>
      </c>
      <c r="D8" s="12">
        <f t="shared" si="1"/>
        <v>0.99908000000000052</v>
      </c>
      <c r="E8" s="14">
        <v>0.5</v>
      </c>
      <c r="F8" s="15">
        <v>0.99922999999999995</v>
      </c>
      <c r="G8" s="11">
        <f t="shared" si="2"/>
        <v>-1.4999999999998352E-3</v>
      </c>
      <c r="H8" s="12">
        <f t="shared" si="3"/>
        <v>0.99997999999999998</v>
      </c>
    </row>
    <row r="9" spans="1:9" ht="14.25" thickBot="1">
      <c r="A9" s="14">
        <v>0.6</v>
      </c>
      <c r="B9" s="15">
        <v>0.99817999999999996</v>
      </c>
      <c r="C9" s="11">
        <f t="shared" si="0"/>
        <v>-1.4999999999998352E-3</v>
      </c>
      <c r="D9" s="12">
        <f t="shared" si="1"/>
        <v>0.99907999999999997</v>
      </c>
      <c r="E9" s="14">
        <v>0.6</v>
      </c>
      <c r="F9" s="15">
        <v>0.99907999999999997</v>
      </c>
      <c r="G9" s="11">
        <f t="shared" si="2"/>
        <v>-1.4999999999998352E-3</v>
      </c>
      <c r="H9" s="12">
        <f t="shared" si="3"/>
        <v>0.99997999999999987</v>
      </c>
    </row>
    <row r="10" spans="1:9" ht="14.25" thickBot="1">
      <c r="A10" s="14">
        <v>0.7</v>
      </c>
      <c r="B10" s="15">
        <v>0.99802999999999997</v>
      </c>
      <c r="C10" s="11">
        <f t="shared" si="0"/>
        <v>-1.4999999999998335E-3</v>
      </c>
      <c r="D10" s="12">
        <f t="shared" si="1"/>
        <v>0.99907999999999975</v>
      </c>
      <c r="E10" s="14">
        <v>0.7</v>
      </c>
      <c r="F10" s="15">
        <v>0.99892999999999998</v>
      </c>
      <c r="G10" s="11">
        <f t="shared" si="2"/>
        <v>-1.4999999999998335E-3</v>
      </c>
      <c r="H10" s="12">
        <f t="shared" si="3"/>
        <v>0.99997999999999987</v>
      </c>
    </row>
    <row r="11" spans="1:9" ht="14.25" thickBot="1">
      <c r="A11" s="14">
        <v>0.8</v>
      </c>
      <c r="B11" s="15">
        <v>0.99787999999999999</v>
      </c>
      <c r="C11" s="11">
        <f t="shared" si="0"/>
        <v>-1.4999999999998352E-3</v>
      </c>
      <c r="D11" s="12">
        <f t="shared" si="1"/>
        <v>0.99907999999999997</v>
      </c>
      <c r="E11" s="14">
        <v>0.8</v>
      </c>
      <c r="F11" s="15">
        <v>0.99878</v>
      </c>
      <c r="G11" s="11">
        <f t="shared" si="2"/>
        <v>-1.4999999999998352E-3</v>
      </c>
      <c r="H11" s="12">
        <f t="shared" si="3"/>
        <v>0.99997999999999987</v>
      </c>
    </row>
    <row r="12" spans="1:9" ht="14.25" thickBot="1">
      <c r="A12" s="16">
        <v>0.9</v>
      </c>
      <c r="B12" s="17">
        <v>0.99773000000000001</v>
      </c>
      <c r="C12" s="11">
        <f t="shared" si="0"/>
        <v>-1.4999999999998352E-3</v>
      </c>
      <c r="D12" s="12">
        <f t="shared" si="1"/>
        <v>0.99907999999999986</v>
      </c>
      <c r="E12" s="16">
        <v>0.9</v>
      </c>
      <c r="F12" s="17">
        <v>0.99863000000000002</v>
      </c>
      <c r="G12" s="11">
        <f t="shared" si="2"/>
        <v>-1.4999999999998352E-3</v>
      </c>
      <c r="H12" s="12">
        <f t="shared" si="3"/>
        <v>0.99997999999999998</v>
      </c>
    </row>
    <row r="13" spans="1:9" ht="14.25" thickBot="1">
      <c r="A13" s="16">
        <v>1</v>
      </c>
      <c r="B13" s="17">
        <v>0.99758000000000002</v>
      </c>
      <c r="C13" s="11">
        <f t="shared" si="0"/>
        <v>-1.4999999999998335E-3</v>
      </c>
      <c r="D13" s="12">
        <f t="shared" si="1"/>
        <v>0.99907999999999986</v>
      </c>
      <c r="E13" s="16">
        <v>1</v>
      </c>
      <c r="F13" s="17">
        <v>0.99848000000000003</v>
      </c>
      <c r="G13" s="11">
        <f t="shared" si="2"/>
        <v>-1.4999999999998335E-3</v>
      </c>
      <c r="H13" s="12">
        <f t="shared" si="3"/>
        <v>0.99997999999999976</v>
      </c>
    </row>
    <row r="14" spans="1:9" ht="14.25" thickBot="1">
      <c r="A14" s="18">
        <v>1.1000000000000001</v>
      </c>
      <c r="B14" s="15">
        <v>0.99743000000000004</v>
      </c>
      <c r="C14" s="11">
        <f t="shared" si="0"/>
        <v>-1.4999999999998368E-3</v>
      </c>
      <c r="D14" s="12">
        <f t="shared" si="1"/>
        <v>0.99907999999999986</v>
      </c>
      <c r="E14" s="18">
        <v>1.1000000000000001</v>
      </c>
      <c r="F14" s="15">
        <v>0.99833000000000005</v>
      </c>
      <c r="G14" s="11">
        <f t="shared" si="2"/>
        <v>-1.500000000000947E-3</v>
      </c>
      <c r="H14" s="12">
        <f t="shared" si="3"/>
        <v>0.99998000000000109</v>
      </c>
    </row>
    <row r="15" spans="1:9" ht="14.25" thickBot="1">
      <c r="A15" s="18">
        <v>1.2</v>
      </c>
      <c r="B15" s="15">
        <v>0.99728000000000006</v>
      </c>
      <c r="C15" s="11">
        <f t="shared" si="0"/>
        <v>-1.5000000000009437E-3</v>
      </c>
      <c r="D15" s="12">
        <f t="shared" si="1"/>
        <v>0.99908000000000119</v>
      </c>
      <c r="E15" s="18">
        <v>1.2</v>
      </c>
      <c r="F15" s="15">
        <v>0.99817999999999996</v>
      </c>
      <c r="G15" s="11">
        <f t="shared" si="2"/>
        <v>-1.4999999999998335E-3</v>
      </c>
      <c r="H15" s="12">
        <f t="shared" si="3"/>
        <v>0.99997999999999976</v>
      </c>
    </row>
    <row r="16" spans="1:9" ht="14.25" thickBot="1">
      <c r="A16" s="18">
        <v>1.3</v>
      </c>
      <c r="B16" s="15">
        <v>0.99712999999999996</v>
      </c>
      <c r="C16" s="11">
        <f t="shared" si="0"/>
        <v>-1.3999999999991814E-3</v>
      </c>
      <c r="D16" s="12">
        <f t="shared" si="1"/>
        <v>0.99894999999999901</v>
      </c>
      <c r="E16" s="18">
        <v>1.3</v>
      </c>
      <c r="F16" s="15">
        <v>0.99802999999999997</v>
      </c>
      <c r="G16" s="11">
        <f t="shared" si="2"/>
        <v>-1.3999999999991814E-3</v>
      </c>
      <c r="H16" s="12">
        <f t="shared" si="3"/>
        <v>0.99984999999999891</v>
      </c>
    </row>
    <row r="17" spans="1:8" ht="14.25" thickBot="1">
      <c r="A17" s="18">
        <v>1.4</v>
      </c>
      <c r="B17" s="15">
        <v>0.99699000000000004</v>
      </c>
      <c r="C17" s="11">
        <f t="shared" si="0"/>
        <v>-1.5000000000009437E-3</v>
      </c>
      <c r="D17" s="12">
        <f t="shared" si="1"/>
        <v>0.99909000000000137</v>
      </c>
      <c r="E17" s="18">
        <v>1.4</v>
      </c>
      <c r="F17" s="15">
        <v>0.99789000000000005</v>
      </c>
      <c r="G17" s="11">
        <f t="shared" si="2"/>
        <v>-1.5000000000009437E-3</v>
      </c>
      <c r="H17" s="12">
        <f t="shared" si="3"/>
        <v>0.99999000000000138</v>
      </c>
    </row>
    <row r="18" spans="1:8" ht="14.25" thickBot="1">
      <c r="A18" s="18">
        <v>1.5</v>
      </c>
      <c r="B18" s="15">
        <v>0.99683999999999995</v>
      </c>
      <c r="C18" s="11">
        <f t="shared" si="0"/>
        <v>-1.4999999999998335E-3</v>
      </c>
      <c r="D18" s="12">
        <f t="shared" si="1"/>
        <v>0.99908999999999959</v>
      </c>
      <c r="E18" s="18">
        <v>1.5</v>
      </c>
      <c r="F18" s="15">
        <v>0.99773999999999996</v>
      </c>
      <c r="G18" s="11">
        <f t="shared" si="2"/>
        <v>-1.4999999999998335E-3</v>
      </c>
      <c r="H18" s="12">
        <f t="shared" si="3"/>
        <v>0.99998999999999971</v>
      </c>
    </row>
    <row r="19" spans="1:8" ht="14.25" thickBot="1">
      <c r="A19" s="18">
        <v>1.6</v>
      </c>
      <c r="B19" s="15">
        <v>0.99668999999999996</v>
      </c>
      <c r="C19" s="11">
        <f t="shared" si="0"/>
        <v>-1.3999999999991814E-3</v>
      </c>
      <c r="D19" s="12">
        <f t="shared" si="1"/>
        <v>0.99892999999999876</v>
      </c>
      <c r="E19" s="18">
        <v>1.6</v>
      </c>
      <c r="F19" s="15">
        <v>0.99758999999999998</v>
      </c>
      <c r="G19" s="11">
        <f t="shared" si="2"/>
        <v>-1.4000000000002919E-3</v>
      </c>
      <c r="H19" s="12">
        <f t="shared" si="3"/>
        <v>0.99983000000000044</v>
      </c>
    </row>
    <row r="20" spans="1:8" ht="14.25" thickBot="1">
      <c r="A20" s="18">
        <v>1.7</v>
      </c>
      <c r="B20" s="15">
        <v>0.99655000000000005</v>
      </c>
      <c r="C20" s="11">
        <f t="shared" si="0"/>
        <v>-1.5000000000009437E-3</v>
      </c>
      <c r="D20" s="12">
        <f t="shared" si="1"/>
        <v>0.99910000000000165</v>
      </c>
      <c r="E20" s="18">
        <v>1.7</v>
      </c>
      <c r="F20" s="15">
        <v>0.99744999999999995</v>
      </c>
      <c r="G20" s="11">
        <f t="shared" si="2"/>
        <v>-1.4999999999998335E-3</v>
      </c>
      <c r="H20" s="12">
        <f t="shared" si="3"/>
        <v>0.99999999999999956</v>
      </c>
    </row>
    <row r="21" spans="1:8" ht="14.25" thickBot="1">
      <c r="A21" s="18">
        <v>1.8</v>
      </c>
      <c r="B21" s="15">
        <v>0.99639999999999995</v>
      </c>
      <c r="C21" s="11">
        <f t="shared" si="0"/>
        <v>-1.4999999999998368E-3</v>
      </c>
      <c r="D21" s="12">
        <f t="shared" si="1"/>
        <v>0.99909999999999966</v>
      </c>
      <c r="E21" s="18">
        <v>1.8</v>
      </c>
      <c r="F21" s="15">
        <v>0.99729999999999996</v>
      </c>
      <c r="G21" s="11">
        <f t="shared" si="2"/>
        <v>-1.4999999999998368E-3</v>
      </c>
      <c r="H21" s="12">
        <f t="shared" si="3"/>
        <v>0.99999999999999978</v>
      </c>
    </row>
    <row r="22" spans="1:8" ht="14.25" thickBot="1">
      <c r="A22" s="18">
        <v>1.9</v>
      </c>
      <c r="B22" s="15">
        <v>0.99624999999999997</v>
      </c>
      <c r="C22" s="11">
        <f t="shared" si="0"/>
        <v>-1.3999999999991784E-3</v>
      </c>
      <c r="D22" s="12">
        <f t="shared" si="1"/>
        <v>0.99890999999999841</v>
      </c>
      <c r="E22" s="18">
        <v>1.9</v>
      </c>
      <c r="F22" s="15">
        <v>0.99714999999999998</v>
      </c>
      <c r="G22" s="11">
        <f t="shared" si="2"/>
        <v>-1.4000000000002888E-3</v>
      </c>
      <c r="H22" s="12">
        <f t="shared" si="3"/>
        <v>0.99981000000000053</v>
      </c>
    </row>
    <row r="23" spans="1:8" ht="14.25" thickBot="1">
      <c r="A23" s="9">
        <v>2</v>
      </c>
      <c r="B23" s="19">
        <v>0.99611000000000005</v>
      </c>
      <c r="C23" s="11">
        <f t="shared" si="0"/>
        <v>-1.4000000000002888E-3</v>
      </c>
      <c r="D23" s="12">
        <f t="shared" si="1"/>
        <v>0.99891000000000063</v>
      </c>
      <c r="E23" s="9">
        <v>2</v>
      </c>
      <c r="F23" s="19">
        <v>0.99700999999999995</v>
      </c>
      <c r="G23" s="11">
        <f t="shared" si="2"/>
        <v>-1.3999999999991784E-3</v>
      </c>
      <c r="H23" s="12">
        <f t="shared" si="3"/>
        <v>0.9998099999999982</v>
      </c>
    </row>
    <row r="24" spans="1:8" ht="14.25" thickBot="1">
      <c r="A24" s="18">
        <v>2.1</v>
      </c>
      <c r="B24" s="15">
        <v>0.99597000000000002</v>
      </c>
      <c r="C24" s="11">
        <f t="shared" si="0"/>
        <v>-1.4999999999998335E-3</v>
      </c>
      <c r="D24" s="12">
        <f t="shared" si="1"/>
        <v>0.99911999999999956</v>
      </c>
      <c r="E24" s="18">
        <v>2.1</v>
      </c>
      <c r="F24" s="15">
        <v>0.99687000000000003</v>
      </c>
      <c r="G24" s="11">
        <f t="shared" si="2"/>
        <v>-1.4999999999998335E-3</v>
      </c>
      <c r="H24" s="12">
        <f t="shared" si="3"/>
        <v>1.0000199999999997</v>
      </c>
    </row>
    <row r="25" spans="1:8" ht="14.25" thickBot="1">
      <c r="A25" s="18">
        <v>2.2000000000000002</v>
      </c>
      <c r="B25" s="15">
        <v>0.99582000000000004</v>
      </c>
      <c r="C25" s="11">
        <f t="shared" si="0"/>
        <v>-1.4000000000002949E-3</v>
      </c>
      <c r="D25" s="12">
        <f t="shared" si="1"/>
        <v>0.99890000000000068</v>
      </c>
      <c r="E25" s="18">
        <v>2.2000000000000002</v>
      </c>
      <c r="F25" s="15">
        <v>0.99672000000000005</v>
      </c>
      <c r="G25" s="11">
        <f t="shared" si="2"/>
        <v>-1.4000000000002949E-3</v>
      </c>
      <c r="H25" s="12">
        <f t="shared" si="3"/>
        <v>0.99980000000000069</v>
      </c>
    </row>
    <row r="26" spans="1:8" ht="14.25" thickBot="1">
      <c r="A26" s="18">
        <v>2.2999999999999998</v>
      </c>
      <c r="B26" s="15">
        <v>0.99568000000000001</v>
      </c>
      <c r="C26" s="11">
        <f t="shared" si="0"/>
        <v>-1.4999999999998335E-3</v>
      </c>
      <c r="D26" s="12">
        <f t="shared" si="1"/>
        <v>0.99912999999999963</v>
      </c>
      <c r="E26" s="18">
        <v>2.2999999999999998</v>
      </c>
      <c r="F26" s="15">
        <v>0.99658000000000002</v>
      </c>
      <c r="G26" s="11">
        <f t="shared" si="2"/>
        <v>-1.4999999999998335E-3</v>
      </c>
      <c r="H26" s="12">
        <f t="shared" si="3"/>
        <v>1.0000299999999995</v>
      </c>
    </row>
    <row r="27" spans="1:8" ht="14.25" thickBot="1">
      <c r="A27" s="18">
        <v>2.4</v>
      </c>
      <c r="B27" s="15">
        <v>0.99553000000000003</v>
      </c>
      <c r="C27" s="11">
        <f t="shared" si="0"/>
        <v>-1.4000000000002888E-3</v>
      </c>
      <c r="D27" s="12">
        <f t="shared" si="1"/>
        <v>0.99889000000000072</v>
      </c>
      <c r="E27" s="18">
        <v>2.4</v>
      </c>
      <c r="F27" s="15">
        <v>0.99643000000000004</v>
      </c>
      <c r="G27" s="11">
        <f t="shared" si="2"/>
        <v>-1.4000000000002888E-3</v>
      </c>
      <c r="H27" s="12">
        <f t="shared" si="3"/>
        <v>0.99979000000000073</v>
      </c>
    </row>
    <row r="28" spans="1:8" ht="14.25" thickBot="1">
      <c r="A28" s="18">
        <v>2.5</v>
      </c>
      <c r="B28" s="15">
        <v>0.99539</v>
      </c>
      <c r="C28" s="11">
        <f t="shared" si="0"/>
        <v>-1.4000000000002888E-3</v>
      </c>
      <c r="D28" s="12">
        <f t="shared" si="1"/>
        <v>0.99889000000000072</v>
      </c>
      <c r="E28" s="18">
        <v>2.5</v>
      </c>
      <c r="F28" s="15">
        <v>0.99629000000000001</v>
      </c>
      <c r="G28" s="11">
        <f t="shared" si="2"/>
        <v>-1.4000000000002888E-3</v>
      </c>
      <c r="H28" s="12">
        <f t="shared" si="3"/>
        <v>0.99979000000000073</v>
      </c>
    </row>
    <row r="29" spans="1:8" ht="14.25" thickBot="1">
      <c r="A29" s="18">
        <v>2.6</v>
      </c>
      <c r="B29" s="15">
        <v>0.99524999999999997</v>
      </c>
      <c r="C29" s="11">
        <f t="shared" si="0"/>
        <v>-1.3999999999991784E-3</v>
      </c>
      <c r="D29" s="12">
        <f t="shared" si="1"/>
        <v>0.99888999999999772</v>
      </c>
      <c r="E29" s="18">
        <v>2.6</v>
      </c>
      <c r="F29" s="15">
        <v>0.99614999999999998</v>
      </c>
      <c r="G29" s="11">
        <f t="shared" si="2"/>
        <v>-1.4000000000002888E-3</v>
      </c>
      <c r="H29" s="12">
        <f t="shared" si="3"/>
        <v>0.99979000000000073</v>
      </c>
    </row>
    <row r="30" spans="1:8" ht="14.25" thickBot="1">
      <c r="A30" s="18">
        <v>2.7</v>
      </c>
      <c r="B30" s="15">
        <v>0.99511000000000005</v>
      </c>
      <c r="C30" s="11">
        <f t="shared" si="0"/>
        <v>-1.4000000000002949E-3</v>
      </c>
      <c r="D30" s="12">
        <f t="shared" si="1"/>
        <v>0.99889000000000083</v>
      </c>
      <c r="E30" s="18">
        <v>2.7</v>
      </c>
      <c r="F30" s="15">
        <v>0.99600999999999995</v>
      </c>
      <c r="G30" s="11">
        <f t="shared" si="2"/>
        <v>-1.3999999999991847E-3</v>
      </c>
      <c r="H30" s="12">
        <f t="shared" si="3"/>
        <v>0.99978999999999785</v>
      </c>
    </row>
    <row r="31" spans="1:8" ht="14.25" thickBot="1">
      <c r="A31" s="18">
        <v>2.8</v>
      </c>
      <c r="B31" s="15">
        <v>0.99497000000000002</v>
      </c>
      <c r="C31" s="11">
        <f t="shared" si="0"/>
        <v>-1.4999999999998335E-3</v>
      </c>
      <c r="D31" s="12">
        <f t="shared" si="1"/>
        <v>0.99916999999999956</v>
      </c>
      <c r="E31" s="18">
        <v>2.8</v>
      </c>
      <c r="F31" s="15">
        <v>0.99587000000000003</v>
      </c>
      <c r="G31" s="11">
        <f t="shared" si="2"/>
        <v>-1.4999999999998335E-3</v>
      </c>
      <c r="H31" s="12">
        <f t="shared" si="3"/>
        <v>1.0000699999999996</v>
      </c>
    </row>
    <row r="32" spans="1:8" ht="14.25" thickBot="1">
      <c r="A32" s="18">
        <v>2.9</v>
      </c>
      <c r="B32" s="15">
        <v>0.99482000000000004</v>
      </c>
      <c r="C32" s="11">
        <f t="shared" si="0"/>
        <v>-1.4000000000002888E-3</v>
      </c>
      <c r="D32" s="12">
        <f t="shared" si="1"/>
        <v>0.99888000000000088</v>
      </c>
      <c r="E32" s="18">
        <v>2.9</v>
      </c>
      <c r="F32" s="15">
        <v>0.99572000000000005</v>
      </c>
      <c r="G32" s="11">
        <f t="shared" si="2"/>
        <v>-1.4000000000002888E-3</v>
      </c>
      <c r="H32" s="12">
        <f t="shared" si="3"/>
        <v>0.99978000000000089</v>
      </c>
    </row>
    <row r="33" spans="1:8" ht="14.25" thickBot="1">
      <c r="A33" s="9">
        <v>3</v>
      </c>
      <c r="B33" s="19">
        <v>0.99468000000000001</v>
      </c>
      <c r="C33" s="11">
        <f t="shared" si="0"/>
        <v>-1.4000000000002888E-3</v>
      </c>
      <c r="D33" s="12">
        <f t="shared" si="1"/>
        <v>0.99888000000000088</v>
      </c>
      <c r="E33" s="9">
        <v>3</v>
      </c>
      <c r="F33" s="19">
        <v>0.99558000000000002</v>
      </c>
      <c r="G33" s="11">
        <f t="shared" si="2"/>
        <v>-1.4000000000002888E-3</v>
      </c>
      <c r="H33" s="12">
        <f t="shared" si="3"/>
        <v>0.99978000000000089</v>
      </c>
    </row>
    <row r="34" spans="1:8" ht="14.25" thickBot="1">
      <c r="A34" s="18">
        <v>3.1</v>
      </c>
      <c r="B34" s="15">
        <v>0.99453999999999998</v>
      </c>
      <c r="C34" s="11">
        <f t="shared" si="0"/>
        <v>-1.4000000000002888E-3</v>
      </c>
      <c r="D34" s="12">
        <f t="shared" si="1"/>
        <v>0.99888000000000088</v>
      </c>
      <c r="E34" s="18">
        <v>3.1</v>
      </c>
      <c r="F34" s="15">
        <v>0.99543999999999999</v>
      </c>
      <c r="G34" s="11">
        <f t="shared" si="2"/>
        <v>-1.4000000000002888E-3</v>
      </c>
      <c r="H34" s="12">
        <f t="shared" si="3"/>
        <v>0.99978000000000089</v>
      </c>
    </row>
    <row r="35" spans="1:8" ht="14.25" thickBot="1">
      <c r="A35" s="18">
        <v>3.2</v>
      </c>
      <c r="B35" s="15">
        <v>0.99439999999999995</v>
      </c>
      <c r="C35" s="11">
        <f t="shared" si="0"/>
        <v>-1.3999999999991847E-3</v>
      </c>
      <c r="D35" s="12">
        <f t="shared" si="1"/>
        <v>0.99887999999999733</v>
      </c>
      <c r="E35" s="18">
        <v>3.2</v>
      </c>
      <c r="F35" s="15">
        <v>0.99529999999999996</v>
      </c>
      <c r="G35" s="11">
        <f t="shared" si="2"/>
        <v>-1.3999999999991847E-3</v>
      </c>
      <c r="H35" s="12">
        <f t="shared" si="3"/>
        <v>0.99977999999999745</v>
      </c>
    </row>
    <row r="36" spans="1:8" ht="14.25" thickBot="1">
      <c r="A36" s="18">
        <v>3.3</v>
      </c>
      <c r="B36" s="15">
        <v>0.99426000000000003</v>
      </c>
      <c r="C36" s="11">
        <f t="shared" si="0"/>
        <v>-1.4000000000002888E-3</v>
      </c>
      <c r="D36" s="12">
        <f t="shared" si="1"/>
        <v>0.99888000000000099</v>
      </c>
      <c r="E36" s="18">
        <v>3.3</v>
      </c>
      <c r="F36" s="15">
        <v>0.99516000000000004</v>
      </c>
      <c r="G36" s="11">
        <f t="shared" si="2"/>
        <v>-1.4000000000002888E-3</v>
      </c>
      <c r="H36" s="12">
        <f t="shared" si="3"/>
        <v>0.999780000000001</v>
      </c>
    </row>
    <row r="37" spans="1:8" ht="14.25" thickBot="1">
      <c r="A37" s="18">
        <v>3.4</v>
      </c>
      <c r="B37" s="15">
        <v>0.99412</v>
      </c>
      <c r="C37" s="11">
        <f t="shared" si="0"/>
        <v>-1.2999999999996335E-3</v>
      </c>
      <c r="D37" s="12">
        <f t="shared" si="1"/>
        <v>0.99853999999999876</v>
      </c>
      <c r="E37" s="18">
        <v>3.4</v>
      </c>
      <c r="F37" s="15">
        <v>0.99502000000000002</v>
      </c>
      <c r="G37" s="11">
        <f t="shared" si="2"/>
        <v>-1.2999999999996335E-3</v>
      </c>
      <c r="H37" s="12">
        <f t="shared" si="3"/>
        <v>0.99943999999999877</v>
      </c>
    </row>
    <row r="38" spans="1:8" ht="14.25" thickBot="1">
      <c r="A38" s="18">
        <v>3.5</v>
      </c>
      <c r="B38" s="15">
        <v>0.99399000000000004</v>
      </c>
      <c r="C38" s="11">
        <f t="shared" si="0"/>
        <v>-1.4000000000002888E-3</v>
      </c>
      <c r="D38" s="12">
        <f t="shared" si="1"/>
        <v>0.99889000000000105</v>
      </c>
      <c r="E38" s="18">
        <v>3.5</v>
      </c>
      <c r="F38" s="15">
        <v>0.99489000000000005</v>
      </c>
      <c r="G38" s="11">
        <f t="shared" si="2"/>
        <v>-1.4000000000002888E-3</v>
      </c>
      <c r="H38" s="12">
        <f t="shared" si="3"/>
        <v>0.99979000000000107</v>
      </c>
    </row>
    <row r="39" spans="1:8" ht="14.25" thickBot="1">
      <c r="A39" s="18">
        <v>3.6</v>
      </c>
      <c r="B39" s="15">
        <v>0.99385000000000001</v>
      </c>
      <c r="C39" s="11">
        <f t="shared" si="0"/>
        <v>-1.4000000000002888E-3</v>
      </c>
      <c r="D39" s="12">
        <f t="shared" si="1"/>
        <v>0.99889000000000105</v>
      </c>
      <c r="E39" s="18">
        <v>3.6</v>
      </c>
      <c r="F39" s="15">
        <v>0.99475000000000002</v>
      </c>
      <c r="G39" s="11">
        <f t="shared" si="2"/>
        <v>-1.4000000000002888E-3</v>
      </c>
      <c r="H39" s="12">
        <f t="shared" si="3"/>
        <v>0.99979000000000107</v>
      </c>
    </row>
    <row r="40" spans="1:8" ht="14.25" thickBot="1">
      <c r="A40" s="18">
        <v>3.7</v>
      </c>
      <c r="B40" s="15">
        <v>0.99370999999999998</v>
      </c>
      <c r="C40" s="11">
        <f t="shared" si="0"/>
        <v>-1.4000000000002949E-3</v>
      </c>
      <c r="D40" s="12">
        <f t="shared" si="1"/>
        <v>0.99889000000000105</v>
      </c>
      <c r="E40" s="18">
        <v>3.7</v>
      </c>
      <c r="F40" s="15">
        <v>0.99460999999999999</v>
      </c>
      <c r="G40" s="11">
        <f t="shared" si="2"/>
        <v>-1.4000000000002949E-3</v>
      </c>
      <c r="H40" s="12">
        <f t="shared" si="3"/>
        <v>0.99979000000000107</v>
      </c>
    </row>
    <row r="41" spans="1:8" ht="14.25" thickBot="1">
      <c r="A41" s="18">
        <v>3.8</v>
      </c>
      <c r="B41" s="15">
        <v>0.99356999999999995</v>
      </c>
      <c r="C41" s="11">
        <f t="shared" si="0"/>
        <v>-1.3999999999991784E-3</v>
      </c>
      <c r="D41" s="12">
        <f t="shared" si="1"/>
        <v>0.99888999999999684</v>
      </c>
      <c r="E41" s="18">
        <v>3.8</v>
      </c>
      <c r="F41" s="15">
        <v>0.99446999999999997</v>
      </c>
      <c r="G41" s="11">
        <f t="shared" si="2"/>
        <v>-1.4999999999998335E-3</v>
      </c>
      <c r="H41" s="12">
        <f t="shared" si="3"/>
        <v>1.0001699999999993</v>
      </c>
    </row>
    <row r="42" spans="1:8" ht="14.25" thickBot="1">
      <c r="A42" s="18">
        <v>3.9</v>
      </c>
      <c r="B42" s="15">
        <v>0.99343000000000004</v>
      </c>
      <c r="C42" s="11">
        <f t="shared" si="0"/>
        <v>-1.3000000000007439E-3</v>
      </c>
      <c r="D42" s="12">
        <f t="shared" si="1"/>
        <v>0.99850000000000294</v>
      </c>
      <c r="E42" s="18">
        <v>3.9</v>
      </c>
      <c r="F42" s="15">
        <v>0.99431999999999998</v>
      </c>
      <c r="G42" s="11">
        <f t="shared" si="2"/>
        <v>-1.2999999999996335E-3</v>
      </c>
      <c r="H42" s="12">
        <f t="shared" si="3"/>
        <v>0.99938999999999856</v>
      </c>
    </row>
    <row r="43" spans="1:8" ht="14.25" thickBot="1">
      <c r="A43" s="9">
        <v>4</v>
      </c>
      <c r="B43" s="19">
        <v>0.99329999999999996</v>
      </c>
      <c r="C43" s="11">
        <f t="shared" si="0"/>
        <v>-1.3999999999991847E-3</v>
      </c>
      <c r="D43" s="12">
        <f t="shared" si="1"/>
        <v>0.99889999999999679</v>
      </c>
      <c r="E43" s="9">
        <v>4</v>
      </c>
      <c r="F43" s="19">
        <v>0.99419000000000002</v>
      </c>
      <c r="G43" s="11">
        <f t="shared" si="2"/>
        <v>-1.4000000000002949E-3</v>
      </c>
      <c r="H43" s="12">
        <f t="shared" si="3"/>
        <v>0.99979000000000118</v>
      </c>
    </row>
    <row r="44" spans="1:8" ht="14.25" thickBot="1">
      <c r="A44" s="18">
        <v>4.0999999999999996</v>
      </c>
      <c r="B44" s="15">
        <v>0.99316000000000004</v>
      </c>
      <c r="C44" s="11">
        <f t="shared" si="0"/>
        <v>-1.3000000000007381E-3</v>
      </c>
      <c r="D44" s="12">
        <f t="shared" si="1"/>
        <v>0.9984900000000031</v>
      </c>
      <c r="E44" s="18">
        <v>4.0999999999999996</v>
      </c>
      <c r="F44" s="15">
        <v>0.99404999999999999</v>
      </c>
      <c r="G44" s="11">
        <f t="shared" si="2"/>
        <v>-1.2999999999996278E-3</v>
      </c>
      <c r="H44" s="12">
        <f t="shared" si="3"/>
        <v>0.99937999999999849</v>
      </c>
    </row>
    <row r="45" spans="1:8" ht="14.25" thickBot="1">
      <c r="A45" s="18">
        <v>4.2</v>
      </c>
      <c r="B45" s="15">
        <v>0.99302999999999997</v>
      </c>
      <c r="C45" s="11">
        <f t="shared" si="0"/>
        <v>-1.3999999999991847E-3</v>
      </c>
      <c r="D45" s="12">
        <f t="shared" si="1"/>
        <v>0.99890999999999663</v>
      </c>
      <c r="E45" s="18">
        <v>4.2</v>
      </c>
      <c r="F45" s="15">
        <v>0.99392000000000003</v>
      </c>
      <c r="G45" s="11">
        <f t="shared" si="2"/>
        <v>-1.4000000000002949E-3</v>
      </c>
      <c r="H45" s="12">
        <f t="shared" si="3"/>
        <v>0.99980000000000124</v>
      </c>
    </row>
    <row r="46" spans="1:8" ht="14.25" thickBot="1">
      <c r="A46" s="18">
        <v>4.3</v>
      </c>
      <c r="B46" s="15">
        <v>0.99289000000000005</v>
      </c>
      <c r="C46" s="11">
        <f t="shared" si="0"/>
        <v>-1.4000000000002825E-3</v>
      </c>
      <c r="D46" s="12">
        <f t="shared" si="1"/>
        <v>0.9989100000000013</v>
      </c>
      <c r="E46" s="18">
        <v>4.3</v>
      </c>
      <c r="F46" s="15">
        <v>0.99378</v>
      </c>
      <c r="G46" s="11">
        <f t="shared" si="2"/>
        <v>-1.4000000000002825E-3</v>
      </c>
      <c r="H46" s="12">
        <f t="shared" si="3"/>
        <v>0.99980000000000124</v>
      </c>
    </row>
    <row r="47" spans="1:8" ht="14.25" thickBot="1">
      <c r="A47" s="18">
        <v>4.4000000000000004</v>
      </c>
      <c r="B47" s="15">
        <v>0.99275000000000002</v>
      </c>
      <c r="C47" s="11">
        <f t="shared" si="0"/>
        <v>-1.3000000000007496E-3</v>
      </c>
      <c r="D47" s="12">
        <f t="shared" si="1"/>
        <v>0.99847000000000341</v>
      </c>
      <c r="E47" s="18">
        <v>4.4000000000000004</v>
      </c>
      <c r="F47" s="15">
        <v>0.99363999999999997</v>
      </c>
      <c r="G47" s="11">
        <f t="shared" si="2"/>
        <v>-1.2999999999996393E-3</v>
      </c>
      <c r="H47" s="12">
        <f t="shared" si="3"/>
        <v>0.99935999999999836</v>
      </c>
    </row>
    <row r="48" spans="1:8" ht="14.25" thickBot="1">
      <c r="A48" s="18">
        <v>4.5</v>
      </c>
      <c r="B48" s="15">
        <v>0.99261999999999995</v>
      </c>
      <c r="C48" s="11">
        <f t="shared" si="0"/>
        <v>-1.3999999999991847E-3</v>
      </c>
      <c r="D48" s="12">
        <f t="shared" si="1"/>
        <v>0.99891999999999637</v>
      </c>
      <c r="E48" s="18">
        <v>4.5</v>
      </c>
      <c r="F48" s="15">
        <v>0.99351</v>
      </c>
      <c r="G48" s="11">
        <f t="shared" si="2"/>
        <v>-1.4000000000002949E-3</v>
      </c>
      <c r="H48" s="12">
        <f t="shared" si="3"/>
        <v>0.99981000000000131</v>
      </c>
    </row>
    <row r="49" spans="1:8" ht="14.25" thickBot="1">
      <c r="A49" s="18">
        <v>4.5999999999999996</v>
      </c>
      <c r="B49" s="15">
        <v>0.99248000000000003</v>
      </c>
      <c r="C49" s="11">
        <f t="shared" si="0"/>
        <v>-1.3000000000007381E-3</v>
      </c>
      <c r="D49" s="12">
        <f t="shared" si="1"/>
        <v>0.99846000000000346</v>
      </c>
      <c r="E49" s="18">
        <v>4.5999999999999996</v>
      </c>
      <c r="F49" s="15">
        <v>0.99336999999999998</v>
      </c>
      <c r="G49" s="11">
        <f t="shared" si="2"/>
        <v>-1.2999999999996278E-3</v>
      </c>
      <c r="H49" s="12">
        <f t="shared" si="3"/>
        <v>0.9993499999999983</v>
      </c>
    </row>
    <row r="50" spans="1:8" ht="14.25" thickBot="1">
      <c r="A50" s="18">
        <v>4.7</v>
      </c>
      <c r="B50" s="15">
        <v>0.99234999999999995</v>
      </c>
      <c r="C50" s="11">
        <f t="shared" si="0"/>
        <v>-1.2999999999996393E-3</v>
      </c>
      <c r="D50" s="12">
        <f t="shared" si="1"/>
        <v>0.99845999999999824</v>
      </c>
      <c r="E50" s="18">
        <v>4.7</v>
      </c>
      <c r="F50" s="15">
        <v>0.99324000000000001</v>
      </c>
      <c r="G50" s="11">
        <f t="shared" si="2"/>
        <v>-1.2999999999996393E-3</v>
      </c>
      <c r="H50" s="12">
        <f t="shared" si="3"/>
        <v>0.9993499999999983</v>
      </c>
    </row>
    <row r="51" spans="1:8" ht="14.25" thickBot="1">
      <c r="A51" s="18">
        <v>4.8</v>
      </c>
      <c r="B51" s="15">
        <v>0.99221999999999999</v>
      </c>
      <c r="C51" s="11">
        <f t="shared" si="0"/>
        <v>-1.4000000000002825E-3</v>
      </c>
      <c r="D51" s="12">
        <f t="shared" si="1"/>
        <v>0.99894000000000138</v>
      </c>
      <c r="E51" s="18">
        <v>4.8</v>
      </c>
      <c r="F51" s="15">
        <v>0.99311000000000005</v>
      </c>
      <c r="G51" s="11">
        <f t="shared" si="2"/>
        <v>-1.4000000000002825E-3</v>
      </c>
      <c r="H51" s="12">
        <f t="shared" si="3"/>
        <v>0.99983000000000144</v>
      </c>
    </row>
    <row r="52" spans="1:8" ht="14.25" thickBot="1">
      <c r="A52" s="18">
        <v>4.9000000000000004</v>
      </c>
      <c r="B52" s="15">
        <v>0.99207999999999996</v>
      </c>
      <c r="C52" s="11">
        <f t="shared" si="0"/>
        <v>-1.2999999999996393E-3</v>
      </c>
      <c r="D52" s="12">
        <f t="shared" si="1"/>
        <v>0.99844999999999817</v>
      </c>
      <c r="E52" s="18">
        <v>4.9000000000000004</v>
      </c>
      <c r="F52" s="15">
        <v>0.99297000000000002</v>
      </c>
      <c r="G52" s="11">
        <f t="shared" si="2"/>
        <v>-1.3000000000007496E-3</v>
      </c>
      <c r="H52" s="12">
        <f t="shared" si="3"/>
        <v>0.99934000000000367</v>
      </c>
    </row>
    <row r="53" spans="1:8" ht="14.25" thickBot="1">
      <c r="A53" s="9">
        <v>5</v>
      </c>
      <c r="B53" s="19">
        <v>0.99195</v>
      </c>
      <c r="C53" s="11">
        <f t="shared" si="0"/>
        <v>-1.2999999999996393E-3</v>
      </c>
      <c r="D53" s="12">
        <f t="shared" si="1"/>
        <v>0.99844999999999817</v>
      </c>
      <c r="E53" s="9">
        <v>5</v>
      </c>
      <c r="F53" s="19">
        <v>0.99283999999999994</v>
      </c>
      <c r="G53" s="11">
        <f t="shared" si="2"/>
        <v>-1.2999999999996393E-3</v>
      </c>
      <c r="H53" s="12">
        <f t="shared" si="3"/>
        <v>0.99933999999999812</v>
      </c>
    </row>
    <row r="54" spans="1:8" ht="14.25" thickBot="1">
      <c r="A54" s="18">
        <v>5.0999999999999996</v>
      </c>
      <c r="B54" s="15">
        <v>0.99182000000000003</v>
      </c>
      <c r="C54" s="11">
        <f t="shared" si="0"/>
        <v>-1.3000000000007381E-3</v>
      </c>
      <c r="D54" s="12">
        <f t="shared" si="1"/>
        <v>0.99845000000000372</v>
      </c>
      <c r="E54" s="18">
        <v>5.0999999999999996</v>
      </c>
      <c r="F54" s="15">
        <v>0.99270999999999998</v>
      </c>
      <c r="G54" s="11">
        <f t="shared" si="2"/>
        <v>-1.2999999999996278E-3</v>
      </c>
      <c r="H54" s="12">
        <f t="shared" si="3"/>
        <v>0.99933999999999812</v>
      </c>
    </row>
    <row r="55" spans="1:8" ht="14.25" thickBot="1">
      <c r="A55" s="18">
        <v>5.2</v>
      </c>
      <c r="B55" s="15">
        <v>0.99168999999999996</v>
      </c>
      <c r="C55" s="11">
        <f t="shared" si="0"/>
        <v>-1.3999999999991847E-3</v>
      </c>
      <c r="D55" s="12">
        <f t="shared" si="1"/>
        <v>0.99896999999999569</v>
      </c>
      <c r="E55" s="18">
        <v>5.2</v>
      </c>
      <c r="F55" s="15">
        <v>0.99258000000000002</v>
      </c>
      <c r="G55" s="11">
        <f t="shared" si="2"/>
        <v>-1.4000000000002949E-3</v>
      </c>
      <c r="H55" s="12">
        <f t="shared" si="3"/>
        <v>0.99986000000000153</v>
      </c>
    </row>
    <row r="56" spans="1:8" ht="14.25" thickBot="1">
      <c r="A56" s="18">
        <v>5.3</v>
      </c>
      <c r="B56" s="15">
        <v>0.99155000000000004</v>
      </c>
      <c r="C56" s="11">
        <f t="shared" si="0"/>
        <v>-1.3000000000007381E-3</v>
      </c>
      <c r="D56" s="12">
        <f t="shared" si="1"/>
        <v>0.99844000000000388</v>
      </c>
      <c r="E56" s="18">
        <v>5.3</v>
      </c>
      <c r="F56" s="15">
        <v>0.99243999999999999</v>
      </c>
      <c r="G56" s="11">
        <f t="shared" si="2"/>
        <v>-1.2999999999996278E-3</v>
      </c>
      <c r="H56" s="12">
        <f t="shared" si="3"/>
        <v>0.99932999999999805</v>
      </c>
    </row>
    <row r="57" spans="1:8" ht="14.25" thickBot="1">
      <c r="A57" s="18">
        <v>5.4</v>
      </c>
      <c r="B57" s="15">
        <v>0.99141999999999997</v>
      </c>
      <c r="C57" s="11">
        <f t="shared" si="0"/>
        <v>-1.2999999999996393E-3</v>
      </c>
      <c r="D57" s="12">
        <f t="shared" si="1"/>
        <v>0.998439999999998</v>
      </c>
      <c r="E57" s="18">
        <v>5.4</v>
      </c>
      <c r="F57" s="15">
        <v>0.99231000000000003</v>
      </c>
      <c r="G57" s="11">
        <f t="shared" si="2"/>
        <v>-1.3000000000007496E-3</v>
      </c>
      <c r="H57" s="12">
        <f t="shared" si="3"/>
        <v>0.99933000000000416</v>
      </c>
    </row>
    <row r="58" spans="1:8" ht="14.25" thickBot="1">
      <c r="A58" s="18">
        <v>5.5</v>
      </c>
      <c r="B58" s="15">
        <v>0.99129</v>
      </c>
      <c r="C58" s="11">
        <f t="shared" si="0"/>
        <v>-1.2999999999996393E-3</v>
      </c>
      <c r="D58" s="12">
        <f t="shared" si="1"/>
        <v>0.998439999999998</v>
      </c>
      <c r="E58" s="18">
        <v>5.5</v>
      </c>
      <c r="F58" s="15">
        <v>0.99217999999999995</v>
      </c>
      <c r="G58" s="11">
        <f t="shared" si="2"/>
        <v>-1.2999999999996393E-3</v>
      </c>
      <c r="H58" s="12">
        <f t="shared" si="3"/>
        <v>0.99932999999999794</v>
      </c>
    </row>
    <row r="59" spans="1:8" ht="14.25" thickBot="1">
      <c r="A59" s="18">
        <v>5.6</v>
      </c>
      <c r="B59" s="15">
        <v>0.99116000000000004</v>
      </c>
      <c r="C59" s="11">
        <f t="shared" si="0"/>
        <v>-1.3000000000007381E-3</v>
      </c>
      <c r="D59" s="12">
        <f t="shared" si="1"/>
        <v>0.99844000000000421</v>
      </c>
      <c r="E59" s="18">
        <v>5.6</v>
      </c>
      <c r="F59" s="15">
        <v>0.99204999999999999</v>
      </c>
      <c r="G59" s="11">
        <f t="shared" si="2"/>
        <v>-1.2999999999996278E-3</v>
      </c>
      <c r="H59" s="12">
        <f t="shared" si="3"/>
        <v>0.99932999999999794</v>
      </c>
    </row>
    <row r="60" spans="1:8" ht="14.25" thickBot="1">
      <c r="A60" s="18">
        <v>5.7</v>
      </c>
      <c r="B60" s="15">
        <v>0.99102999999999997</v>
      </c>
      <c r="C60" s="11">
        <f t="shared" si="0"/>
        <v>-1.2999999999996393E-3</v>
      </c>
      <c r="D60" s="12">
        <f t="shared" si="1"/>
        <v>0.99843999999999788</v>
      </c>
      <c r="E60" s="18">
        <v>5.7</v>
      </c>
      <c r="F60" s="15">
        <v>0.99192000000000002</v>
      </c>
      <c r="G60" s="11">
        <f t="shared" si="2"/>
        <v>-1.3000000000007496E-3</v>
      </c>
      <c r="H60" s="12">
        <f t="shared" si="3"/>
        <v>0.99933000000000427</v>
      </c>
    </row>
    <row r="61" spans="1:8" ht="14.25" thickBot="1">
      <c r="A61" s="18">
        <v>5.8</v>
      </c>
      <c r="B61" s="15">
        <v>0.9909</v>
      </c>
      <c r="C61" s="11">
        <f t="shared" si="0"/>
        <v>-1.2999999999996278E-3</v>
      </c>
      <c r="D61" s="12">
        <f t="shared" si="1"/>
        <v>0.99843999999999788</v>
      </c>
      <c r="E61" s="18">
        <v>5.8</v>
      </c>
      <c r="F61" s="15">
        <v>0.99178999999999995</v>
      </c>
      <c r="G61" s="11">
        <f t="shared" si="2"/>
        <v>-1.2999999999996278E-3</v>
      </c>
      <c r="H61" s="12">
        <f t="shared" si="3"/>
        <v>0.99932999999999783</v>
      </c>
    </row>
    <row r="62" spans="1:8" ht="14.25" thickBot="1">
      <c r="A62" s="18">
        <v>5.9</v>
      </c>
      <c r="B62" s="15">
        <v>0.99077000000000004</v>
      </c>
      <c r="C62" s="11">
        <f t="shared" si="0"/>
        <v>-1.3000000000007496E-3</v>
      </c>
      <c r="D62" s="12">
        <f t="shared" si="1"/>
        <v>0.99844000000000444</v>
      </c>
      <c r="E62" s="18">
        <v>5.9</v>
      </c>
      <c r="F62" s="15">
        <v>0.99165999999999999</v>
      </c>
      <c r="G62" s="11">
        <f t="shared" si="2"/>
        <v>-1.2999999999996393E-3</v>
      </c>
      <c r="H62" s="12">
        <f t="shared" si="3"/>
        <v>0.99932999999999783</v>
      </c>
    </row>
    <row r="63" spans="1:8" ht="14.25" thickBot="1">
      <c r="A63" s="9">
        <v>6</v>
      </c>
      <c r="B63" s="19">
        <v>0.99063999999999997</v>
      </c>
      <c r="C63" s="11">
        <f t="shared" si="0"/>
        <v>-1.2999999999996393E-3</v>
      </c>
      <c r="D63" s="12">
        <f t="shared" si="1"/>
        <v>0.99843999999999777</v>
      </c>
      <c r="E63" s="9">
        <v>6</v>
      </c>
      <c r="F63" s="19">
        <v>0.99153000000000002</v>
      </c>
      <c r="G63" s="11">
        <f t="shared" si="2"/>
        <v>-1.3000000000007496E-3</v>
      </c>
      <c r="H63" s="12">
        <f t="shared" si="3"/>
        <v>0.9993300000000046</v>
      </c>
    </row>
    <row r="64" spans="1:8" ht="14.25" thickBot="1">
      <c r="A64" s="18">
        <v>6.1</v>
      </c>
      <c r="B64" s="15">
        <v>0.99051</v>
      </c>
      <c r="C64" s="11">
        <f t="shared" si="0"/>
        <v>-1.2999999999996278E-3</v>
      </c>
      <c r="D64" s="12">
        <f t="shared" si="1"/>
        <v>0.99843999999999777</v>
      </c>
      <c r="E64" s="18">
        <v>6.1</v>
      </c>
      <c r="F64" s="15">
        <v>0.99139999999999995</v>
      </c>
      <c r="G64" s="11">
        <f t="shared" si="2"/>
        <v>-1.2999999999996278E-3</v>
      </c>
      <c r="H64" s="12">
        <f t="shared" si="3"/>
        <v>0.99932999999999772</v>
      </c>
    </row>
    <row r="65" spans="1:8" ht="14.25" thickBot="1">
      <c r="A65" s="18">
        <v>6.2</v>
      </c>
      <c r="B65" s="15">
        <v>0.99038000000000004</v>
      </c>
      <c r="C65" s="11">
        <f t="shared" si="0"/>
        <v>-1.3000000000007496E-3</v>
      </c>
      <c r="D65" s="12">
        <f t="shared" si="1"/>
        <v>0.99844000000000477</v>
      </c>
      <c r="E65" s="18">
        <v>6.2</v>
      </c>
      <c r="F65" s="15">
        <v>0.99126999999999998</v>
      </c>
      <c r="G65" s="11">
        <f t="shared" si="2"/>
        <v>-1.2999999999996393E-3</v>
      </c>
      <c r="H65" s="12">
        <f t="shared" si="3"/>
        <v>0.99932999999999772</v>
      </c>
    </row>
    <row r="66" spans="1:8" ht="14.25" thickBot="1">
      <c r="A66" s="18">
        <v>6.3</v>
      </c>
      <c r="B66" s="15">
        <v>0.99024999999999996</v>
      </c>
      <c r="C66" s="11">
        <f t="shared" si="0"/>
        <v>-1.2999999999996278E-3</v>
      </c>
      <c r="D66" s="12">
        <f t="shared" si="1"/>
        <v>0.99843999999999766</v>
      </c>
      <c r="E66" s="18">
        <v>6.3</v>
      </c>
      <c r="F66" s="15">
        <v>0.99114000000000002</v>
      </c>
      <c r="G66" s="11">
        <f t="shared" si="2"/>
        <v>-1.3000000000007381E-3</v>
      </c>
      <c r="H66" s="12">
        <f t="shared" si="3"/>
        <v>0.9993300000000046</v>
      </c>
    </row>
    <row r="67" spans="1:8" ht="14.25" thickBot="1">
      <c r="A67" s="18">
        <v>6.4</v>
      </c>
      <c r="B67" s="15">
        <v>0.99012</v>
      </c>
      <c r="C67" s="11">
        <f t="shared" si="0"/>
        <v>-1.2000000000000942E-3</v>
      </c>
      <c r="D67" s="12">
        <f t="shared" si="1"/>
        <v>0.99780000000000058</v>
      </c>
      <c r="E67" s="18">
        <v>6.4</v>
      </c>
      <c r="F67" s="15">
        <v>0.99100999999999995</v>
      </c>
      <c r="G67" s="11">
        <f t="shared" si="2"/>
        <v>-1.199999999998984E-3</v>
      </c>
      <c r="H67" s="12">
        <f t="shared" si="3"/>
        <v>0.99868999999999342</v>
      </c>
    </row>
    <row r="68" spans="1:8" ht="14.25" thickBot="1">
      <c r="A68" s="18">
        <v>6.5</v>
      </c>
      <c r="B68" s="15">
        <v>0.99</v>
      </c>
      <c r="C68" s="11">
        <f t="shared" ref="C68:C131" si="4">SLOPE(B68:B69,A68:A69)</f>
        <v>-1.2999999999996393E-3</v>
      </c>
      <c r="D68" s="12">
        <f t="shared" ref="D68:D131" si="5">INTERCEPT(B68:B69,A68:A69)</f>
        <v>0.99844999999999762</v>
      </c>
      <c r="E68" s="18">
        <v>6.5</v>
      </c>
      <c r="F68" s="15">
        <v>0.99089000000000005</v>
      </c>
      <c r="G68" s="11">
        <f t="shared" ref="G68:G131" si="6">SLOPE(F68:F69,E68:E69)</f>
        <v>-1.3000000000007496E-3</v>
      </c>
      <c r="H68" s="12">
        <f t="shared" ref="H68:H131" si="7">INTERCEPT(F68:F69,E68:E69)</f>
        <v>0.999340000000005</v>
      </c>
    </row>
    <row r="69" spans="1:8" ht="14.25" thickBot="1">
      <c r="A69" s="18">
        <v>6.6</v>
      </c>
      <c r="B69" s="15">
        <v>0.98987000000000003</v>
      </c>
      <c r="C69" s="11">
        <f t="shared" si="4"/>
        <v>-1.3000000000007381E-3</v>
      </c>
      <c r="D69" s="12">
        <f t="shared" si="5"/>
        <v>0.99845000000000494</v>
      </c>
      <c r="E69" s="18">
        <v>6.6</v>
      </c>
      <c r="F69" s="15">
        <v>0.99075999999999997</v>
      </c>
      <c r="G69" s="11">
        <f t="shared" si="6"/>
        <v>-1.2999999999996278E-3</v>
      </c>
      <c r="H69" s="12">
        <f t="shared" si="7"/>
        <v>0.99933999999999756</v>
      </c>
    </row>
    <row r="70" spans="1:8" ht="14.25" thickBot="1">
      <c r="A70" s="18">
        <v>6.7</v>
      </c>
      <c r="B70" s="15">
        <v>0.98973999999999995</v>
      </c>
      <c r="C70" s="11">
        <f t="shared" si="4"/>
        <v>-1.199999999998984E-3</v>
      </c>
      <c r="D70" s="12">
        <f t="shared" si="5"/>
        <v>0.99777999999999312</v>
      </c>
      <c r="E70" s="18">
        <v>6.7</v>
      </c>
      <c r="F70" s="15">
        <v>0.99063000000000001</v>
      </c>
      <c r="G70" s="11">
        <f t="shared" si="6"/>
        <v>-1.2000000000000942E-3</v>
      </c>
      <c r="H70" s="12">
        <f t="shared" si="7"/>
        <v>0.99867000000000061</v>
      </c>
    </row>
    <row r="71" spans="1:8" ht="14.25" thickBot="1">
      <c r="A71" s="18">
        <v>6.8</v>
      </c>
      <c r="B71" s="15">
        <v>0.98962000000000006</v>
      </c>
      <c r="C71" s="11">
        <f t="shared" si="4"/>
        <v>-1.3000000000007381E-3</v>
      </c>
      <c r="D71" s="12">
        <f t="shared" si="5"/>
        <v>0.99846000000000501</v>
      </c>
      <c r="E71" s="18">
        <v>6.8</v>
      </c>
      <c r="F71" s="15">
        <v>0.99051</v>
      </c>
      <c r="G71" s="11">
        <f t="shared" si="6"/>
        <v>-1.2999999999996278E-3</v>
      </c>
      <c r="H71" s="12">
        <f t="shared" si="7"/>
        <v>0.99934999999999752</v>
      </c>
    </row>
    <row r="72" spans="1:8" ht="14.25" thickBot="1">
      <c r="A72" s="18">
        <v>6.9</v>
      </c>
      <c r="B72" s="15">
        <v>0.98948999999999998</v>
      </c>
      <c r="C72" s="11">
        <f t="shared" si="4"/>
        <v>-1.2999999999996393E-3</v>
      </c>
      <c r="D72" s="12">
        <f t="shared" si="5"/>
        <v>0.99845999999999746</v>
      </c>
      <c r="E72" s="18">
        <v>6.9</v>
      </c>
      <c r="F72" s="15">
        <v>0.99038000000000004</v>
      </c>
      <c r="G72" s="11">
        <f t="shared" si="6"/>
        <v>-1.3000000000007496E-3</v>
      </c>
      <c r="H72" s="12">
        <f t="shared" si="7"/>
        <v>0.99935000000000529</v>
      </c>
    </row>
    <row r="73" spans="1:8" ht="14.25" thickBot="1">
      <c r="A73" s="9">
        <v>7</v>
      </c>
      <c r="B73" s="19">
        <v>0.98936000000000002</v>
      </c>
      <c r="C73" s="11">
        <f t="shared" si="4"/>
        <v>-1.2000000000000942E-3</v>
      </c>
      <c r="D73" s="12">
        <f t="shared" si="5"/>
        <v>0.99776000000000076</v>
      </c>
      <c r="E73" s="9">
        <v>7</v>
      </c>
      <c r="F73" s="19">
        <v>0.99024999999999996</v>
      </c>
      <c r="G73" s="11">
        <f t="shared" si="6"/>
        <v>-1.2000000000000942E-3</v>
      </c>
      <c r="H73" s="12">
        <f t="shared" si="7"/>
        <v>0.99865000000000059</v>
      </c>
    </row>
    <row r="74" spans="1:8" ht="14.25" thickBot="1">
      <c r="A74" s="18">
        <v>7.1</v>
      </c>
      <c r="B74" s="15">
        <v>0.98924000000000001</v>
      </c>
      <c r="C74" s="11">
        <f t="shared" si="4"/>
        <v>-1.2999999999996278E-3</v>
      </c>
      <c r="D74" s="12">
        <f t="shared" si="5"/>
        <v>0.99846999999999742</v>
      </c>
      <c r="E74" s="18">
        <v>7.1</v>
      </c>
      <c r="F74" s="15">
        <v>0.99012999999999995</v>
      </c>
      <c r="G74" s="11">
        <f t="shared" si="6"/>
        <v>-1.2999999999996278E-3</v>
      </c>
      <c r="H74" s="12">
        <f t="shared" si="7"/>
        <v>0.99935999999999736</v>
      </c>
    </row>
    <row r="75" spans="1:8" ht="14.25" thickBot="1">
      <c r="A75" s="18">
        <v>7.2</v>
      </c>
      <c r="B75" s="15">
        <v>0.98911000000000004</v>
      </c>
      <c r="C75" s="11">
        <f t="shared" si="4"/>
        <v>-1.2000000000000942E-3</v>
      </c>
      <c r="D75" s="12">
        <f t="shared" si="5"/>
        <v>0.99775000000000069</v>
      </c>
      <c r="E75" s="18">
        <v>7.2</v>
      </c>
      <c r="F75" s="15">
        <v>0.99</v>
      </c>
      <c r="G75" s="11">
        <f t="shared" si="6"/>
        <v>-1.2000000000000942E-3</v>
      </c>
      <c r="H75" s="12">
        <f t="shared" si="7"/>
        <v>0.99864000000000075</v>
      </c>
    </row>
    <row r="76" spans="1:8" ht="14.25" thickBot="1">
      <c r="A76" s="18">
        <v>7.3</v>
      </c>
      <c r="B76" s="15">
        <v>0.98899000000000004</v>
      </c>
      <c r="C76" s="11">
        <f t="shared" si="4"/>
        <v>-1.3000000000007381E-3</v>
      </c>
      <c r="D76" s="12">
        <f t="shared" si="5"/>
        <v>0.99848000000000547</v>
      </c>
      <c r="E76" s="18">
        <v>7.3</v>
      </c>
      <c r="F76" s="15">
        <v>0.98987999999999998</v>
      </c>
      <c r="G76" s="11">
        <f t="shared" si="6"/>
        <v>-1.2999999999996278E-3</v>
      </c>
      <c r="H76" s="12">
        <f t="shared" si="7"/>
        <v>0.99936999999999732</v>
      </c>
    </row>
    <row r="77" spans="1:8" ht="14.25" thickBot="1">
      <c r="A77" s="18">
        <v>7.4</v>
      </c>
      <c r="B77" s="15">
        <v>0.98885999999999996</v>
      </c>
      <c r="C77" s="11">
        <f t="shared" si="4"/>
        <v>-1.2000000000000942E-3</v>
      </c>
      <c r="D77" s="12">
        <f t="shared" si="5"/>
        <v>0.99774000000000063</v>
      </c>
      <c r="E77" s="18">
        <v>7.4</v>
      </c>
      <c r="F77" s="15">
        <v>0.98975000000000002</v>
      </c>
      <c r="G77" s="11">
        <f t="shared" si="6"/>
        <v>-1.2000000000000942E-3</v>
      </c>
      <c r="H77" s="12">
        <f t="shared" si="7"/>
        <v>0.99863000000000068</v>
      </c>
    </row>
    <row r="78" spans="1:8" ht="14.25" thickBot="1">
      <c r="A78" s="18">
        <v>7.5</v>
      </c>
      <c r="B78" s="15">
        <v>0.98873999999999995</v>
      </c>
      <c r="C78" s="11">
        <f t="shared" si="4"/>
        <v>-1.2999999999996393E-3</v>
      </c>
      <c r="D78" s="12">
        <f t="shared" si="5"/>
        <v>0.99848999999999721</v>
      </c>
      <c r="E78" s="18">
        <v>7.5</v>
      </c>
      <c r="F78" s="15">
        <v>0.98963000000000001</v>
      </c>
      <c r="G78" s="11">
        <f t="shared" si="6"/>
        <v>-1.2999999999996393E-3</v>
      </c>
      <c r="H78" s="12">
        <f t="shared" si="7"/>
        <v>0.99937999999999727</v>
      </c>
    </row>
    <row r="79" spans="1:8" ht="14.25" thickBot="1">
      <c r="A79" s="18">
        <v>7.6</v>
      </c>
      <c r="B79" s="15">
        <v>0.98860999999999999</v>
      </c>
      <c r="C79" s="11">
        <f t="shared" si="4"/>
        <v>-1.2000000000000836E-3</v>
      </c>
      <c r="D79" s="12">
        <f t="shared" si="5"/>
        <v>0.99773000000000067</v>
      </c>
      <c r="E79" s="18">
        <v>7.6</v>
      </c>
      <c r="F79" s="15">
        <v>0.98950000000000005</v>
      </c>
      <c r="G79" s="11">
        <f t="shared" si="6"/>
        <v>-1.2000000000000836E-3</v>
      </c>
      <c r="H79" s="12">
        <f t="shared" si="7"/>
        <v>0.99862000000000073</v>
      </c>
    </row>
    <row r="80" spans="1:8" ht="14.25" thickBot="1">
      <c r="A80" s="18">
        <v>7.7</v>
      </c>
      <c r="B80" s="15">
        <v>0.98848999999999998</v>
      </c>
      <c r="C80" s="11">
        <f t="shared" si="4"/>
        <v>-1.2000000000000942E-3</v>
      </c>
      <c r="D80" s="12">
        <f t="shared" si="5"/>
        <v>0.99773000000000067</v>
      </c>
      <c r="E80" s="18">
        <v>7.7</v>
      </c>
      <c r="F80" s="15">
        <v>0.98938000000000004</v>
      </c>
      <c r="G80" s="11">
        <f t="shared" si="6"/>
        <v>-1.2000000000000942E-3</v>
      </c>
      <c r="H80" s="12">
        <f t="shared" si="7"/>
        <v>0.99862000000000073</v>
      </c>
    </row>
    <row r="81" spans="1:8" ht="14.25" thickBot="1">
      <c r="A81" s="18">
        <v>7.8</v>
      </c>
      <c r="B81" s="15">
        <v>0.98836999999999997</v>
      </c>
      <c r="C81" s="11">
        <f t="shared" si="4"/>
        <v>-1.2999999999996278E-3</v>
      </c>
      <c r="D81" s="12">
        <f t="shared" si="5"/>
        <v>0.99850999999999712</v>
      </c>
      <c r="E81" s="18">
        <v>7.8</v>
      </c>
      <c r="F81" s="15">
        <v>0.98926000000000003</v>
      </c>
      <c r="G81" s="11">
        <f t="shared" si="6"/>
        <v>-1.3000000000007381E-3</v>
      </c>
      <c r="H81" s="12">
        <f t="shared" si="7"/>
        <v>0.99940000000000584</v>
      </c>
    </row>
    <row r="82" spans="1:8" ht="14.25" thickBot="1">
      <c r="A82" s="18">
        <v>7.9</v>
      </c>
      <c r="B82" s="15">
        <v>0.98824000000000001</v>
      </c>
      <c r="C82" s="11">
        <f t="shared" si="4"/>
        <v>-1.2000000000000942E-3</v>
      </c>
      <c r="D82" s="12">
        <f t="shared" si="5"/>
        <v>0.99772000000000083</v>
      </c>
      <c r="E82" s="18">
        <v>7.9</v>
      </c>
      <c r="F82" s="15">
        <v>0.98912999999999995</v>
      </c>
      <c r="G82" s="11">
        <f t="shared" si="6"/>
        <v>-1.2000000000000942E-3</v>
      </c>
      <c r="H82" s="12">
        <f t="shared" si="7"/>
        <v>0.99861000000000066</v>
      </c>
    </row>
    <row r="83" spans="1:8" ht="14.25" thickBot="1">
      <c r="A83" s="9">
        <v>8</v>
      </c>
      <c r="B83" s="19">
        <v>0.98812</v>
      </c>
      <c r="C83" s="11">
        <f t="shared" si="4"/>
        <v>-1.2000000000000942E-3</v>
      </c>
      <c r="D83" s="12">
        <f t="shared" si="5"/>
        <v>0.99772000000000072</v>
      </c>
      <c r="E83" s="9">
        <v>8</v>
      </c>
      <c r="F83" s="19">
        <v>0.98900999999999994</v>
      </c>
      <c r="G83" s="11">
        <f t="shared" si="6"/>
        <v>-1.199999999998984E-3</v>
      </c>
      <c r="H83" s="12">
        <f t="shared" si="7"/>
        <v>0.99860999999999178</v>
      </c>
    </row>
    <row r="84" spans="1:8" ht="14.25" thickBot="1">
      <c r="A84" s="18">
        <v>8.1</v>
      </c>
      <c r="B84" s="15">
        <v>0.98799999999999999</v>
      </c>
      <c r="C84" s="11">
        <f t="shared" si="4"/>
        <v>-1.2000000000000942E-3</v>
      </c>
      <c r="D84" s="12">
        <f t="shared" si="5"/>
        <v>0.99772000000000083</v>
      </c>
      <c r="E84" s="18">
        <v>8.1</v>
      </c>
      <c r="F84" s="15">
        <v>0.98889000000000005</v>
      </c>
      <c r="G84" s="11">
        <f t="shared" si="6"/>
        <v>-1.2000000000000942E-3</v>
      </c>
      <c r="H84" s="12">
        <f t="shared" si="7"/>
        <v>0.99861000000000089</v>
      </c>
    </row>
    <row r="85" spans="1:8" ht="14.25" thickBot="1">
      <c r="A85" s="18">
        <v>8.1999999999999993</v>
      </c>
      <c r="B85" s="15">
        <v>0.98787999999999998</v>
      </c>
      <c r="C85" s="11">
        <f t="shared" si="4"/>
        <v>-1.2999999999996163E-3</v>
      </c>
      <c r="D85" s="12">
        <f t="shared" si="5"/>
        <v>0.99853999999999687</v>
      </c>
      <c r="E85" s="18">
        <v>8.1999999999999993</v>
      </c>
      <c r="F85" s="15">
        <v>0.98877000000000004</v>
      </c>
      <c r="G85" s="11">
        <f t="shared" si="6"/>
        <v>-1.3000000000007264E-3</v>
      </c>
      <c r="H85" s="12">
        <f t="shared" si="7"/>
        <v>0.99943000000000592</v>
      </c>
    </row>
    <row r="86" spans="1:8" ht="14.25" thickBot="1">
      <c r="A86" s="18">
        <v>8.3000000000000007</v>
      </c>
      <c r="B86" s="15">
        <v>0.98775000000000002</v>
      </c>
      <c r="C86" s="11">
        <f t="shared" si="4"/>
        <v>-1.2000000000000942E-3</v>
      </c>
      <c r="D86" s="12">
        <f t="shared" si="5"/>
        <v>0.99771000000000076</v>
      </c>
      <c r="E86" s="18">
        <v>8.3000000000000007</v>
      </c>
      <c r="F86" s="15">
        <v>0.98863999999999996</v>
      </c>
      <c r="G86" s="11">
        <f t="shared" si="6"/>
        <v>-1.200000000000094E-3</v>
      </c>
      <c r="H86" s="12">
        <f t="shared" si="7"/>
        <v>0.99860000000000082</v>
      </c>
    </row>
    <row r="87" spans="1:8" ht="14.25" thickBot="1">
      <c r="A87" s="18">
        <v>8.4</v>
      </c>
      <c r="B87" s="15">
        <v>0.98763000000000001</v>
      </c>
      <c r="C87" s="11">
        <f t="shared" si="4"/>
        <v>-1.2000000000000942E-3</v>
      </c>
      <c r="D87" s="12">
        <f t="shared" si="5"/>
        <v>0.99771000000000087</v>
      </c>
      <c r="E87" s="18">
        <v>8.4</v>
      </c>
      <c r="F87" s="15">
        <v>0.98851999999999995</v>
      </c>
      <c r="G87" s="11">
        <f t="shared" si="6"/>
        <v>-1.200000000000094E-3</v>
      </c>
      <c r="H87" s="12">
        <f t="shared" si="7"/>
        <v>0.99860000000000071</v>
      </c>
    </row>
    <row r="88" spans="1:8" ht="14.25" thickBot="1">
      <c r="A88" s="18">
        <v>8.5</v>
      </c>
      <c r="B88" s="15">
        <v>0.98751</v>
      </c>
      <c r="C88" s="11">
        <f t="shared" si="4"/>
        <v>-1.2000000000000942E-3</v>
      </c>
      <c r="D88" s="12">
        <f t="shared" si="5"/>
        <v>0.99771000000000076</v>
      </c>
      <c r="E88" s="18">
        <v>8.5</v>
      </c>
      <c r="F88" s="15">
        <v>0.98839999999999995</v>
      </c>
      <c r="G88" s="11">
        <f t="shared" si="6"/>
        <v>-1.199999999998984E-3</v>
      </c>
      <c r="H88" s="12">
        <f t="shared" si="7"/>
        <v>0.99859999999999127</v>
      </c>
    </row>
    <row r="89" spans="1:8" ht="14.25" thickBot="1">
      <c r="A89" s="18">
        <v>8.6</v>
      </c>
      <c r="B89" s="15">
        <v>0.98738999999999999</v>
      </c>
      <c r="C89" s="11">
        <f t="shared" si="4"/>
        <v>-1.2000000000000942E-3</v>
      </c>
      <c r="D89" s="12">
        <f t="shared" si="5"/>
        <v>0.99771000000000087</v>
      </c>
      <c r="E89" s="18">
        <v>8.6</v>
      </c>
      <c r="F89" s="15">
        <v>0.98828000000000005</v>
      </c>
      <c r="G89" s="11">
        <f t="shared" si="6"/>
        <v>-1.2000000000000942E-3</v>
      </c>
      <c r="H89" s="12">
        <f t="shared" si="7"/>
        <v>0.99860000000000093</v>
      </c>
    </row>
    <row r="90" spans="1:8" ht="14.25" thickBot="1">
      <c r="A90" s="18">
        <v>8.6999999999999993</v>
      </c>
      <c r="B90" s="15">
        <v>0.98726999999999998</v>
      </c>
      <c r="C90" s="11">
        <f t="shared" si="4"/>
        <v>-1.2000000000000728E-3</v>
      </c>
      <c r="D90" s="12">
        <f t="shared" si="5"/>
        <v>0.99771000000000054</v>
      </c>
      <c r="E90" s="18">
        <v>8.6999999999999993</v>
      </c>
      <c r="F90" s="15">
        <v>0.98816000000000004</v>
      </c>
      <c r="G90" s="11">
        <f t="shared" si="6"/>
        <v>-1.2000000000000728E-3</v>
      </c>
      <c r="H90" s="12">
        <f t="shared" si="7"/>
        <v>0.9986000000000006</v>
      </c>
    </row>
    <row r="91" spans="1:8" ht="14.25" thickBot="1">
      <c r="A91" s="18">
        <v>8.8000000000000007</v>
      </c>
      <c r="B91" s="15">
        <v>0.98714999999999997</v>
      </c>
      <c r="C91" s="11">
        <f t="shared" si="4"/>
        <v>-1.200000000000094E-3</v>
      </c>
      <c r="D91" s="12">
        <f t="shared" si="5"/>
        <v>0.99771000000000087</v>
      </c>
      <c r="E91" s="18">
        <v>8.8000000000000007</v>
      </c>
      <c r="F91" s="15">
        <v>0.98804000000000003</v>
      </c>
      <c r="G91" s="11">
        <f t="shared" si="6"/>
        <v>-1.200000000000094E-3</v>
      </c>
      <c r="H91" s="12">
        <f t="shared" si="7"/>
        <v>0.99860000000000093</v>
      </c>
    </row>
    <row r="92" spans="1:8" ht="14.25" thickBot="1">
      <c r="A92" s="18">
        <v>8.9</v>
      </c>
      <c r="B92" s="15">
        <v>0.98702999999999996</v>
      </c>
      <c r="C92" s="11">
        <f t="shared" si="4"/>
        <v>-1.200000000000094E-3</v>
      </c>
      <c r="D92" s="12">
        <f t="shared" si="5"/>
        <v>0.99771000000000076</v>
      </c>
      <c r="E92" s="18">
        <v>8.9</v>
      </c>
      <c r="F92" s="15">
        <v>0.98792000000000002</v>
      </c>
      <c r="G92" s="11">
        <f t="shared" si="6"/>
        <v>-1.200000000000094E-3</v>
      </c>
      <c r="H92" s="12">
        <f t="shared" si="7"/>
        <v>0.99860000000000082</v>
      </c>
    </row>
    <row r="93" spans="1:8" ht="14.25" thickBot="1">
      <c r="A93" s="9">
        <v>9</v>
      </c>
      <c r="B93" s="19">
        <v>0.98690999999999995</v>
      </c>
      <c r="C93" s="11">
        <f t="shared" si="4"/>
        <v>-1.200000000000094E-3</v>
      </c>
      <c r="D93" s="12">
        <f t="shared" si="5"/>
        <v>0.99771000000000087</v>
      </c>
      <c r="E93" s="9">
        <v>9</v>
      </c>
      <c r="F93" s="19">
        <v>0.98780000000000001</v>
      </c>
      <c r="G93" s="11">
        <f t="shared" si="6"/>
        <v>-1.200000000000094E-3</v>
      </c>
      <c r="H93" s="12">
        <f t="shared" si="7"/>
        <v>0.99860000000000093</v>
      </c>
    </row>
    <row r="94" spans="1:8" ht="14.25" thickBot="1">
      <c r="A94" s="18">
        <v>9.1</v>
      </c>
      <c r="B94" s="15">
        <v>0.98678999999999994</v>
      </c>
      <c r="C94" s="11">
        <f t="shared" si="4"/>
        <v>-1.199999999998984E-3</v>
      </c>
      <c r="D94" s="12">
        <f t="shared" si="5"/>
        <v>0.99770999999999066</v>
      </c>
      <c r="E94" s="18">
        <v>9.1</v>
      </c>
      <c r="F94" s="15">
        <v>0.98768</v>
      </c>
      <c r="G94" s="11">
        <f t="shared" si="6"/>
        <v>-1.200000000000094E-3</v>
      </c>
      <c r="H94" s="12">
        <f t="shared" si="7"/>
        <v>0.99860000000000082</v>
      </c>
    </row>
    <row r="95" spans="1:8" ht="14.25" thickBot="1">
      <c r="A95" s="18">
        <v>9.1999999999999993</v>
      </c>
      <c r="B95" s="15">
        <v>0.98667000000000005</v>
      </c>
      <c r="C95" s="11">
        <f t="shared" si="4"/>
        <v>-1.2000000000000728E-3</v>
      </c>
      <c r="D95" s="12">
        <f t="shared" si="5"/>
        <v>0.99771000000000065</v>
      </c>
      <c r="E95" s="18">
        <v>9.1999999999999993</v>
      </c>
      <c r="F95" s="15">
        <v>0.98755999999999999</v>
      </c>
      <c r="G95" s="11">
        <f t="shared" si="6"/>
        <v>-1.2000000000000728E-3</v>
      </c>
      <c r="H95" s="12">
        <f t="shared" si="7"/>
        <v>0.99860000000000071</v>
      </c>
    </row>
    <row r="96" spans="1:8" ht="14.25" thickBot="1">
      <c r="A96" s="18">
        <v>9.3000000000000007</v>
      </c>
      <c r="B96" s="15">
        <v>0.98655000000000004</v>
      </c>
      <c r="C96" s="11">
        <f t="shared" si="4"/>
        <v>-1.1000000000005489E-3</v>
      </c>
      <c r="D96" s="12">
        <f t="shared" si="5"/>
        <v>0.99678000000000511</v>
      </c>
      <c r="E96" s="18">
        <v>9.3000000000000007</v>
      </c>
      <c r="F96" s="15">
        <v>0.98743999999999998</v>
      </c>
      <c r="G96" s="11">
        <f t="shared" si="6"/>
        <v>-1.0999999999994387E-3</v>
      </c>
      <c r="H96" s="12">
        <f t="shared" si="7"/>
        <v>0.99766999999999473</v>
      </c>
    </row>
    <row r="97" spans="1:8" ht="14.25" thickBot="1">
      <c r="A97" s="18">
        <v>9.4</v>
      </c>
      <c r="B97" s="15">
        <v>0.98643999999999998</v>
      </c>
      <c r="C97" s="11">
        <f t="shared" si="4"/>
        <v>-1.2000000000000942E-3</v>
      </c>
      <c r="D97" s="12">
        <f t="shared" si="5"/>
        <v>0.99772000000000094</v>
      </c>
      <c r="E97" s="18">
        <v>9.4</v>
      </c>
      <c r="F97" s="15">
        <v>0.98733000000000004</v>
      </c>
      <c r="G97" s="11">
        <f t="shared" si="6"/>
        <v>-1.2000000000000942E-3</v>
      </c>
      <c r="H97" s="12">
        <f t="shared" si="7"/>
        <v>0.998610000000001</v>
      </c>
    </row>
    <row r="98" spans="1:8" ht="14.25" thickBot="1">
      <c r="A98" s="18">
        <v>9.5</v>
      </c>
      <c r="B98" s="15">
        <v>0.98631999999999997</v>
      </c>
      <c r="C98" s="11">
        <f t="shared" si="4"/>
        <v>-1.2000000000000942E-3</v>
      </c>
      <c r="D98" s="12">
        <f t="shared" si="5"/>
        <v>0.99772000000000083</v>
      </c>
      <c r="E98" s="18">
        <v>9.5</v>
      </c>
      <c r="F98" s="15">
        <v>0.98721000000000003</v>
      </c>
      <c r="G98" s="11">
        <f t="shared" si="6"/>
        <v>-1.2000000000000942E-3</v>
      </c>
      <c r="H98" s="12">
        <f t="shared" si="7"/>
        <v>0.99861000000000089</v>
      </c>
    </row>
    <row r="99" spans="1:8" ht="14.25" thickBot="1">
      <c r="A99" s="18">
        <v>9.6</v>
      </c>
      <c r="B99" s="15">
        <v>0.98619999999999997</v>
      </c>
      <c r="C99" s="11">
        <f t="shared" si="4"/>
        <v>-1.2000000000000942E-3</v>
      </c>
      <c r="D99" s="12">
        <f t="shared" si="5"/>
        <v>0.99772000000000094</v>
      </c>
      <c r="E99" s="18">
        <v>9.6</v>
      </c>
      <c r="F99" s="15">
        <v>0.98709000000000002</v>
      </c>
      <c r="G99" s="11">
        <f t="shared" si="6"/>
        <v>-1.2000000000000942E-3</v>
      </c>
      <c r="H99" s="12">
        <f t="shared" si="7"/>
        <v>0.998610000000001</v>
      </c>
    </row>
    <row r="100" spans="1:8" ht="14.25" thickBot="1">
      <c r="A100" s="18">
        <v>9.6999999999999993</v>
      </c>
      <c r="B100" s="15">
        <v>0.98607999999999996</v>
      </c>
      <c r="C100" s="11">
        <f t="shared" si="4"/>
        <v>-1.0999999999994192E-3</v>
      </c>
      <c r="D100" s="12">
        <f t="shared" si="5"/>
        <v>0.99674999999999425</v>
      </c>
      <c r="E100" s="18">
        <v>9.6999999999999993</v>
      </c>
      <c r="F100" s="15">
        <v>0.98697000000000001</v>
      </c>
      <c r="G100" s="11">
        <f t="shared" si="6"/>
        <v>-1.1000000000005292E-3</v>
      </c>
      <c r="H100" s="12">
        <f t="shared" si="7"/>
        <v>0.99764000000000519</v>
      </c>
    </row>
    <row r="101" spans="1:8" ht="14.25" thickBot="1">
      <c r="A101" s="18">
        <v>9.8000000000000007</v>
      </c>
      <c r="B101" s="15">
        <v>0.98597000000000001</v>
      </c>
      <c r="C101" s="11">
        <f t="shared" si="4"/>
        <v>-1.200000000000094E-3</v>
      </c>
      <c r="D101" s="12">
        <f t="shared" si="5"/>
        <v>0.997730000000001</v>
      </c>
      <c r="E101" s="18">
        <v>9.8000000000000007</v>
      </c>
      <c r="F101" s="15">
        <v>0.98685999999999996</v>
      </c>
      <c r="G101" s="11">
        <f t="shared" si="6"/>
        <v>-1.2000000000000942E-3</v>
      </c>
      <c r="H101" s="12">
        <f t="shared" si="7"/>
        <v>0.99862000000000084</v>
      </c>
    </row>
    <row r="102" spans="1:8" ht="14.25" thickBot="1">
      <c r="A102" s="18">
        <v>9.9</v>
      </c>
      <c r="B102" s="15">
        <v>0.98585</v>
      </c>
      <c r="C102" s="11">
        <f t="shared" si="4"/>
        <v>-1.200000000000094E-3</v>
      </c>
      <c r="D102" s="12">
        <f t="shared" si="5"/>
        <v>0.99773000000000089</v>
      </c>
      <c r="E102" s="18">
        <v>9.9</v>
      </c>
      <c r="F102" s="15">
        <v>0.98673999999999995</v>
      </c>
      <c r="G102" s="11">
        <f t="shared" si="6"/>
        <v>-1.199999999998984E-3</v>
      </c>
      <c r="H102" s="12">
        <f t="shared" si="7"/>
        <v>0.99861999999998985</v>
      </c>
    </row>
    <row r="103" spans="1:8" ht="14.25" thickBot="1">
      <c r="A103" s="9">
        <v>10</v>
      </c>
      <c r="B103" s="19">
        <v>0.98573</v>
      </c>
      <c r="C103" s="11">
        <f t="shared" si="4"/>
        <v>-1.0999999999994387E-3</v>
      </c>
      <c r="D103" s="12">
        <f t="shared" si="5"/>
        <v>0.99672999999999445</v>
      </c>
      <c r="E103" s="9">
        <v>10</v>
      </c>
      <c r="F103" s="19">
        <v>0.98662000000000005</v>
      </c>
      <c r="G103" s="11">
        <f t="shared" si="6"/>
        <v>-1.1000000000005489E-3</v>
      </c>
      <c r="H103" s="12">
        <f t="shared" si="7"/>
        <v>0.9976200000000055</v>
      </c>
    </row>
    <row r="104" spans="1:8" ht="14.25" thickBot="1">
      <c r="A104" s="18">
        <v>10.1</v>
      </c>
      <c r="B104" s="15">
        <v>0.98562000000000005</v>
      </c>
      <c r="C104" s="11">
        <f t="shared" si="4"/>
        <v>-1.200000000000094E-3</v>
      </c>
      <c r="D104" s="12">
        <f t="shared" si="5"/>
        <v>0.99774000000000096</v>
      </c>
      <c r="E104" s="18">
        <v>10.1</v>
      </c>
      <c r="F104" s="15">
        <v>0.98651</v>
      </c>
      <c r="G104" s="11">
        <f t="shared" si="6"/>
        <v>-1.2000000000000942E-3</v>
      </c>
      <c r="H104" s="12">
        <f t="shared" si="7"/>
        <v>0.99863000000000102</v>
      </c>
    </row>
    <row r="105" spans="1:8" ht="14.25" thickBot="1">
      <c r="A105" s="20">
        <v>10.199999999999999</v>
      </c>
      <c r="B105" s="21">
        <v>0.98550000000000004</v>
      </c>
      <c r="C105" s="11">
        <f t="shared" si="4"/>
        <v>-1.2000000000000728E-3</v>
      </c>
      <c r="D105" s="12">
        <f t="shared" si="5"/>
        <v>0.99774000000000085</v>
      </c>
      <c r="E105" s="20">
        <v>10.199999999999999</v>
      </c>
      <c r="F105" s="21">
        <v>0.98638999999999999</v>
      </c>
      <c r="G105" s="11">
        <f t="shared" si="6"/>
        <v>-1.2000000000000728E-3</v>
      </c>
      <c r="H105" s="12">
        <f t="shared" si="7"/>
        <v>0.99863000000000068</v>
      </c>
    </row>
    <row r="106" spans="1:8" ht="14.25" thickBot="1">
      <c r="A106" s="18">
        <v>10.3</v>
      </c>
      <c r="B106" s="15">
        <v>0.98538000000000003</v>
      </c>
      <c r="C106" s="11">
        <f t="shared" si="4"/>
        <v>-1.1000000000005489E-3</v>
      </c>
      <c r="D106" s="12">
        <f t="shared" si="5"/>
        <v>0.99671000000000565</v>
      </c>
      <c r="E106" s="18">
        <v>10.3</v>
      </c>
      <c r="F106" s="15">
        <v>0.98626999999999998</v>
      </c>
      <c r="G106" s="11">
        <f t="shared" si="6"/>
        <v>-1.0999999999994387E-3</v>
      </c>
      <c r="H106" s="12">
        <f t="shared" si="7"/>
        <v>0.99759999999999427</v>
      </c>
    </row>
    <row r="107" spans="1:8" ht="14.25" thickBot="1">
      <c r="A107" s="18">
        <v>10.4</v>
      </c>
      <c r="B107" s="15">
        <v>0.98526999999999998</v>
      </c>
      <c r="C107" s="11">
        <f t="shared" si="4"/>
        <v>-1.200000000000094E-3</v>
      </c>
      <c r="D107" s="12">
        <f t="shared" si="5"/>
        <v>0.99775000000000091</v>
      </c>
      <c r="E107" s="18">
        <v>10.4</v>
      </c>
      <c r="F107" s="15">
        <v>0.98616000000000004</v>
      </c>
      <c r="G107" s="11">
        <f t="shared" si="6"/>
        <v>-1.200000000000094E-3</v>
      </c>
      <c r="H107" s="12">
        <f t="shared" si="7"/>
        <v>0.99864000000000097</v>
      </c>
    </row>
    <row r="108" spans="1:8" ht="14.25" thickBot="1">
      <c r="A108" s="18">
        <v>10.5</v>
      </c>
      <c r="B108" s="15">
        <v>0.98514999999999997</v>
      </c>
      <c r="C108" s="11">
        <f t="shared" si="4"/>
        <v>-1.0999999999994387E-3</v>
      </c>
      <c r="D108" s="12">
        <f t="shared" si="5"/>
        <v>0.99669999999999415</v>
      </c>
      <c r="E108" s="18">
        <v>10.5</v>
      </c>
      <c r="F108" s="15">
        <v>0.98604000000000003</v>
      </c>
      <c r="G108" s="11">
        <f t="shared" si="6"/>
        <v>-1.1000000000005489E-3</v>
      </c>
      <c r="H108" s="12">
        <f t="shared" si="7"/>
        <v>0.99759000000000575</v>
      </c>
    </row>
    <row r="109" spans="1:8" ht="14.25" thickBot="1">
      <c r="A109" s="18">
        <v>10.6</v>
      </c>
      <c r="B109" s="15">
        <v>0.98504000000000003</v>
      </c>
      <c r="C109" s="11">
        <f t="shared" si="4"/>
        <v>-1.200000000000094E-3</v>
      </c>
      <c r="D109" s="12">
        <f t="shared" si="5"/>
        <v>0.99776000000000098</v>
      </c>
      <c r="E109" s="18">
        <v>10.6</v>
      </c>
      <c r="F109" s="15">
        <v>0.98592999999999997</v>
      </c>
      <c r="G109" s="11">
        <f t="shared" si="6"/>
        <v>-1.2000000000000942E-3</v>
      </c>
      <c r="H109" s="12">
        <f t="shared" si="7"/>
        <v>0.99865000000000104</v>
      </c>
    </row>
    <row r="110" spans="1:8" ht="14.25" thickBot="1">
      <c r="A110" s="18">
        <v>10.7</v>
      </c>
      <c r="B110" s="15">
        <v>0.98492000000000002</v>
      </c>
      <c r="C110" s="11">
        <f t="shared" si="4"/>
        <v>-1.1000000000005292E-3</v>
      </c>
      <c r="D110" s="12">
        <f t="shared" si="5"/>
        <v>0.99669000000000563</v>
      </c>
      <c r="E110" s="18">
        <v>10.7</v>
      </c>
      <c r="F110" s="15">
        <v>0.98580999999999996</v>
      </c>
      <c r="G110" s="11">
        <f t="shared" si="6"/>
        <v>-1.0999999999994192E-3</v>
      </c>
      <c r="H110" s="12">
        <f t="shared" si="7"/>
        <v>0.99757999999999369</v>
      </c>
    </row>
    <row r="111" spans="1:8" ht="14.25" thickBot="1">
      <c r="A111" s="18">
        <v>10.8</v>
      </c>
      <c r="B111" s="15">
        <v>0.98480999999999996</v>
      </c>
      <c r="C111" s="11">
        <f t="shared" si="4"/>
        <v>-1.0999999999994387E-3</v>
      </c>
      <c r="D111" s="12">
        <f t="shared" si="5"/>
        <v>0.99668999999999397</v>
      </c>
      <c r="E111" s="18">
        <v>10.8</v>
      </c>
      <c r="F111" s="15">
        <v>0.98570000000000002</v>
      </c>
      <c r="G111" s="11">
        <f t="shared" si="6"/>
        <v>-1.1000000000005489E-3</v>
      </c>
      <c r="H111" s="12">
        <f t="shared" si="7"/>
        <v>0.99758000000000591</v>
      </c>
    </row>
    <row r="112" spans="1:8" ht="14.25" thickBot="1">
      <c r="A112" s="18">
        <v>10.9</v>
      </c>
      <c r="B112" s="15">
        <v>0.98470000000000002</v>
      </c>
      <c r="C112" s="11">
        <f t="shared" si="4"/>
        <v>-1.200000000000094E-3</v>
      </c>
      <c r="D112" s="12">
        <f t="shared" si="5"/>
        <v>0.997780000000001</v>
      </c>
      <c r="E112" s="18">
        <v>10.9</v>
      </c>
      <c r="F112" s="15">
        <v>0.98558999999999997</v>
      </c>
      <c r="G112" s="11">
        <f t="shared" si="6"/>
        <v>-1.2000000000000942E-3</v>
      </c>
      <c r="H112" s="12">
        <f t="shared" si="7"/>
        <v>0.99867000000000106</v>
      </c>
    </row>
    <row r="113" spans="1:8" ht="14.25" thickBot="1">
      <c r="A113" s="9">
        <v>11</v>
      </c>
      <c r="B113" s="19">
        <v>0.98458000000000001</v>
      </c>
      <c r="C113" s="11">
        <f t="shared" si="4"/>
        <v>-1.1000000000005489E-3</v>
      </c>
      <c r="D113" s="12">
        <f t="shared" si="5"/>
        <v>0.99668000000000601</v>
      </c>
      <c r="E113" s="9">
        <v>11</v>
      </c>
      <c r="F113" s="19">
        <v>0.98546999999999996</v>
      </c>
      <c r="G113" s="11">
        <f t="shared" si="6"/>
        <v>-1.0999999999994387E-3</v>
      </c>
      <c r="H113" s="12">
        <f t="shared" si="7"/>
        <v>0.99756999999999374</v>
      </c>
    </row>
    <row r="114" spans="1:8" ht="14.25" thickBot="1">
      <c r="A114" s="18">
        <v>11.1</v>
      </c>
      <c r="B114" s="15">
        <v>0.98446999999999996</v>
      </c>
      <c r="C114" s="11">
        <f t="shared" si="4"/>
        <v>-1.0999999999994387E-3</v>
      </c>
      <c r="D114" s="12">
        <f t="shared" si="5"/>
        <v>0.99667999999999379</v>
      </c>
      <c r="E114" s="18">
        <v>11.1</v>
      </c>
      <c r="F114" s="15">
        <v>0.98536000000000001</v>
      </c>
      <c r="G114" s="11">
        <f t="shared" si="6"/>
        <v>-1.1000000000005489E-3</v>
      </c>
      <c r="H114" s="12">
        <f t="shared" si="7"/>
        <v>0.99757000000000606</v>
      </c>
    </row>
    <row r="115" spans="1:8" ht="14.25" thickBot="1">
      <c r="A115" s="18">
        <v>11.2</v>
      </c>
      <c r="B115" s="15">
        <v>0.98436000000000001</v>
      </c>
      <c r="C115" s="11">
        <f t="shared" si="4"/>
        <v>-1.2000000000000728E-3</v>
      </c>
      <c r="D115" s="12">
        <f t="shared" si="5"/>
        <v>0.9978000000000008</v>
      </c>
      <c r="E115" s="18">
        <v>11.2</v>
      </c>
      <c r="F115" s="15">
        <v>0.98524999999999996</v>
      </c>
      <c r="G115" s="11">
        <f t="shared" si="6"/>
        <v>-1.2000000000000728E-3</v>
      </c>
      <c r="H115" s="12">
        <f t="shared" si="7"/>
        <v>0.99869000000000085</v>
      </c>
    </row>
    <row r="116" spans="1:8" ht="14.25" thickBot="1">
      <c r="A116" s="18">
        <v>11.3</v>
      </c>
      <c r="B116" s="15">
        <v>0.98424</v>
      </c>
      <c r="C116" s="11">
        <f t="shared" si="4"/>
        <v>-1.1000000000005489E-3</v>
      </c>
      <c r="D116" s="12">
        <f t="shared" si="5"/>
        <v>0.99667000000000616</v>
      </c>
      <c r="E116" s="18">
        <v>11.3</v>
      </c>
      <c r="F116" s="15">
        <v>0.98512999999999995</v>
      </c>
      <c r="G116" s="11">
        <f t="shared" si="6"/>
        <v>-1.0999999999994387E-3</v>
      </c>
      <c r="H116" s="12">
        <f t="shared" si="7"/>
        <v>0.99755999999999356</v>
      </c>
    </row>
    <row r="117" spans="1:8" ht="14.25" thickBot="1">
      <c r="A117" s="18">
        <v>11.4</v>
      </c>
      <c r="B117" s="15">
        <v>0.98412999999999995</v>
      </c>
      <c r="C117" s="11">
        <f t="shared" si="4"/>
        <v>-1.0999999999994387E-3</v>
      </c>
      <c r="D117" s="12">
        <f t="shared" si="5"/>
        <v>0.99666999999999362</v>
      </c>
      <c r="E117" s="18">
        <v>11.4</v>
      </c>
      <c r="F117" s="15">
        <v>0.98502000000000001</v>
      </c>
      <c r="G117" s="11">
        <f t="shared" si="6"/>
        <v>-1.1000000000005489E-3</v>
      </c>
      <c r="H117" s="12">
        <f t="shared" si="7"/>
        <v>0.99756000000000622</v>
      </c>
    </row>
    <row r="118" spans="1:8" ht="14.25" thickBot="1">
      <c r="A118" s="18">
        <v>11.5</v>
      </c>
      <c r="B118" s="15">
        <v>0.98402000000000001</v>
      </c>
      <c r="C118" s="11">
        <f t="shared" si="4"/>
        <v>-1.1000000000005489E-3</v>
      </c>
      <c r="D118" s="12">
        <f t="shared" si="5"/>
        <v>0.99667000000000627</v>
      </c>
      <c r="E118" s="18">
        <v>11.5</v>
      </c>
      <c r="F118" s="15">
        <v>0.98490999999999995</v>
      </c>
      <c r="G118" s="11">
        <f t="shared" si="6"/>
        <v>-1.0999999999994387E-3</v>
      </c>
      <c r="H118" s="12">
        <f t="shared" si="7"/>
        <v>0.99755999999999356</v>
      </c>
    </row>
    <row r="119" spans="1:8" ht="14.25" thickBot="1">
      <c r="A119" s="18">
        <v>11.6</v>
      </c>
      <c r="B119" s="15">
        <v>0.98390999999999995</v>
      </c>
      <c r="C119" s="11">
        <f t="shared" si="4"/>
        <v>-1.199999999998984E-3</v>
      </c>
      <c r="D119" s="12">
        <f t="shared" si="5"/>
        <v>0.99782999999998812</v>
      </c>
      <c r="E119" s="18">
        <v>11.6</v>
      </c>
      <c r="F119" s="15">
        <v>0.98480000000000001</v>
      </c>
      <c r="G119" s="11">
        <f t="shared" si="6"/>
        <v>-1.200000000000094E-3</v>
      </c>
      <c r="H119" s="12">
        <f t="shared" si="7"/>
        <v>0.99872000000000105</v>
      </c>
    </row>
    <row r="120" spans="1:8" ht="14.25" thickBot="1">
      <c r="A120" s="18">
        <v>11.7</v>
      </c>
      <c r="B120" s="15">
        <v>0.98379000000000005</v>
      </c>
      <c r="C120" s="11">
        <f t="shared" si="4"/>
        <v>-1.1000000000005292E-3</v>
      </c>
      <c r="D120" s="12">
        <f t="shared" si="5"/>
        <v>0.99666000000000621</v>
      </c>
      <c r="E120" s="18">
        <v>11.7</v>
      </c>
      <c r="F120" s="15">
        <v>0.98468</v>
      </c>
      <c r="G120" s="11">
        <f t="shared" si="6"/>
        <v>-1.1000000000005292E-3</v>
      </c>
      <c r="H120" s="12">
        <f t="shared" si="7"/>
        <v>0.99755000000000615</v>
      </c>
    </row>
    <row r="121" spans="1:8" ht="14.25" thickBot="1">
      <c r="A121" s="18">
        <v>11.8</v>
      </c>
      <c r="B121" s="15">
        <v>0.98368</v>
      </c>
      <c r="C121" s="11">
        <f t="shared" si="4"/>
        <v>-1.0999999999994387E-3</v>
      </c>
      <c r="D121" s="12">
        <f t="shared" si="5"/>
        <v>0.99665999999999333</v>
      </c>
      <c r="E121" s="18">
        <v>11.8</v>
      </c>
      <c r="F121" s="15">
        <v>0.98456999999999995</v>
      </c>
      <c r="G121" s="11">
        <f t="shared" si="6"/>
        <v>-1.0999999999994387E-3</v>
      </c>
      <c r="H121" s="12">
        <f t="shared" si="7"/>
        <v>0.99754999999999339</v>
      </c>
    </row>
    <row r="122" spans="1:8" ht="14.25" thickBot="1">
      <c r="A122" s="18">
        <v>11.9</v>
      </c>
      <c r="B122" s="15">
        <v>0.98357000000000006</v>
      </c>
      <c r="C122" s="11">
        <f t="shared" si="4"/>
        <v>-1.1000000000005489E-3</v>
      </c>
      <c r="D122" s="12">
        <f t="shared" si="5"/>
        <v>0.99666000000000654</v>
      </c>
      <c r="E122" s="18">
        <v>11.9</v>
      </c>
      <c r="F122" s="15">
        <v>0.98446</v>
      </c>
      <c r="G122" s="11">
        <f t="shared" si="6"/>
        <v>-1.1000000000005489E-3</v>
      </c>
      <c r="H122" s="12">
        <f t="shared" si="7"/>
        <v>0.99755000000000649</v>
      </c>
    </row>
    <row r="123" spans="1:8" ht="14.25" thickBot="1">
      <c r="A123" s="9">
        <v>12</v>
      </c>
      <c r="B123" s="19">
        <v>0.98346</v>
      </c>
      <c r="C123" s="11">
        <f t="shared" si="4"/>
        <v>-1.1000000000005489E-3</v>
      </c>
      <c r="D123" s="12">
        <f t="shared" si="5"/>
        <v>0.99666000000000654</v>
      </c>
      <c r="E123" s="9">
        <v>12</v>
      </c>
      <c r="F123" s="19">
        <v>0.98434999999999995</v>
      </c>
      <c r="G123" s="11">
        <f t="shared" si="6"/>
        <v>-1.0999999999994387E-3</v>
      </c>
      <c r="H123" s="12">
        <f t="shared" si="7"/>
        <v>0.99754999999999316</v>
      </c>
    </row>
    <row r="124" spans="1:8" ht="14.25" thickBot="1">
      <c r="A124" s="18">
        <v>12.1</v>
      </c>
      <c r="B124" s="15">
        <v>0.98334999999999995</v>
      </c>
      <c r="C124" s="11">
        <f t="shared" si="4"/>
        <v>-1.0999999999994387E-3</v>
      </c>
      <c r="D124" s="12">
        <f t="shared" si="5"/>
        <v>0.99665999999999322</v>
      </c>
      <c r="E124" s="18">
        <v>12.1</v>
      </c>
      <c r="F124" s="15">
        <v>0.98424</v>
      </c>
      <c r="G124" s="11">
        <f t="shared" si="6"/>
        <v>-1.1000000000005489E-3</v>
      </c>
      <c r="H124" s="12">
        <f t="shared" si="7"/>
        <v>0.9975500000000066</v>
      </c>
    </row>
    <row r="125" spans="1:8" ht="14.25" thickBot="1">
      <c r="A125" s="18">
        <v>12.2</v>
      </c>
      <c r="B125" s="15">
        <v>0.98324</v>
      </c>
      <c r="C125" s="11">
        <f t="shared" si="4"/>
        <v>-1.1000000000005292E-3</v>
      </c>
      <c r="D125" s="12">
        <f t="shared" si="5"/>
        <v>0.99666000000000643</v>
      </c>
      <c r="E125" s="18">
        <v>12.2</v>
      </c>
      <c r="F125" s="15">
        <v>0.98412999999999995</v>
      </c>
      <c r="G125" s="11">
        <f t="shared" si="6"/>
        <v>-1.0999999999994192E-3</v>
      </c>
      <c r="H125" s="12">
        <f t="shared" si="7"/>
        <v>0.99754999999999294</v>
      </c>
    </row>
    <row r="126" spans="1:8" ht="14.25" thickBot="1">
      <c r="A126" s="18">
        <v>12.3</v>
      </c>
      <c r="B126" s="15">
        <v>0.98312999999999995</v>
      </c>
      <c r="C126" s="11">
        <f t="shared" si="4"/>
        <v>-1.0999999999994387E-3</v>
      </c>
      <c r="D126" s="12">
        <f t="shared" si="5"/>
        <v>0.996659999999993</v>
      </c>
      <c r="E126" s="18">
        <v>12.3</v>
      </c>
      <c r="F126" s="15">
        <v>0.98402000000000001</v>
      </c>
      <c r="G126" s="11">
        <f t="shared" si="6"/>
        <v>-1.1000000000005489E-3</v>
      </c>
      <c r="H126" s="12">
        <f t="shared" si="7"/>
        <v>0.99755000000000671</v>
      </c>
    </row>
    <row r="127" spans="1:8" ht="14.25" thickBot="1">
      <c r="A127" s="18">
        <v>12.4</v>
      </c>
      <c r="B127" s="15">
        <v>0.98302</v>
      </c>
      <c r="C127" s="11">
        <f t="shared" si="4"/>
        <v>-1.1000000000005489E-3</v>
      </c>
      <c r="D127" s="12">
        <f t="shared" si="5"/>
        <v>0.99666000000000676</v>
      </c>
      <c r="E127" s="18">
        <v>12.4</v>
      </c>
      <c r="F127" s="15">
        <v>0.98390999999999995</v>
      </c>
      <c r="G127" s="11">
        <f t="shared" si="6"/>
        <v>-1.0999999999994387E-3</v>
      </c>
      <c r="H127" s="12">
        <f t="shared" si="7"/>
        <v>0.99754999999999294</v>
      </c>
    </row>
    <row r="128" spans="1:8" ht="14.25" thickBot="1">
      <c r="A128" s="18">
        <v>12.5</v>
      </c>
      <c r="B128" s="15">
        <v>0.98290999999999995</v>
      </c>
      <c r="C128" s="11">
        <f t="shared" si="4"/>
        <v>-1.0999999999994387E-3</v>
      </c>
      <c r="D128" s="12">
        <f t="shared" si="5"/>
        <v>0.996659999999993</v>
      </c>
      <c r="E128" s="18">
        <v>12.5</v>
      </c>
      <c r="F128" s="15">
        <v>0.98380000000000001</v>
      </c>
      <c r="G128" s="11">
        <f t="shared" si="6"/>
        <v>-1.1000000000005489E-3</v>
      </c>
      <c r="H128" s="12">
        <f t="shared" si="7"/>
        <v>0.99755000000000682</v>
      </c>
    </row>
    <row r="129" spans="1:8" ht="14.25" thickBot="1">
      <c r="A129" s="18">
        <v>12.6</v>
      </c>
      <c r="B129" s="15">
        <v>0.98280000000000001</v>
      </c>
      <c r="C129" s="11">
        <f t="shared" si="4"/>
        <v>-1.1000000000005489E-3</v>
      </c>
      <c r="D129" s="12">
        <f t="shared" si="5"/>
        <v>0.99666000000000687</v>
      </c>
      <c r="E129" s="18">
        <v>12.6</v>
      </c>
      <c r="F129" s="15">
        <v>0.98368999999999995</v>
      </c>
      <c r="G129" s="11">
        <f t="shared" si="6"/>
        <v>-1.0999999999994387E-3</v>
      </c>
      <c r="H129" s="12">
        <f t="shared" si="7"/>
        <v>0.99754999999999294</v>
      </c>
    </row>
    <row r="130" spans="1:8" ht="14.25" thickBot="1">
      <c r="A130" s="18">
        <v>12.7</v>
      </c>
      <c r="B130" s="15">
        <v>0.98268999999999995</v>
      </c>
      <c r="C130" s="11">
        <f t="shared" si="4"/>
        <v>-1.0999999999994192E-3</v>
      </c>
      <c r="D130" s="12">
        <f t="shared" si="5"/>
        <v>0.99665999999999255</v>
      </c>
      <c r="E130" s="18">
        <v>12.7</v>
      </c>
      <c r="F130" s="15">
        <v>0.98358000000000001</v>
      </c>
      <c r="G130" s="11">
        <f t="shared" si="6"/>
        <v>-1.1000000000005292E-3</v>
      </c>
      <c r="H130" s="12">
        <f t="shared" si="7"/>
        <v>0.99755000000000671</v>
      </c>
    </row>
    <row r="131" spans="1:8" ht="14.25" thickBot="1">
      <c r="A131" s="18">
        <v>12.8</v>
      </c>
      <c r="B131" s="15">
        <v>0.98258000000000001</v>
      </c>
      <c r="C131" s="11">
        <f t="shared" si="4"/>
        <v>-1.1000000000005489E-3</v>
      </c>
      <c r="D131" s="12">
        <f t="shared" si="5"/>
        <v>0.99666000000000698</v>
      </c>
      <c r="E131" s="18">
        <v>12.8</v>
      </c>
      <c r="F131" s="15">
        <v>0.98346999999999996</v>
      </c>
      <c r="G131" s="11">
        <f t="shared" si="6"/>
        <v>-1.0999999999994387E-3</v>
      </c>
      <c r="H131" s="12">
        <f t="shared" si="7"/>
        <v>0.99754999999999272</v>
      </c>
    </row>
    <row r="132" spans="1:8" ht="14.25" thickBot="1">
      <c r="A132" s="18">
        <v>12.9</v>
      </c>
      <c r="B132" s="15">
        <v>0.98246999999999995</v>
      </c>
      <c r="C132" s="11">
        <f t="shared" ref="C132:C195" si="8">SLOPE(B132:B133,A132:A133)</f>
        <v>-1.0999999999994387E-3</v>
      </c>
      <c r="D132" s="12">
        <f t="shared" ref="D132:D195" si="9">INTERCEPT(B132:B133,A132:A133)</f>
        <v>0.99665999999999277</v>
      </c>
      <c r="E132" s="18">
        <v>12.9</v>
      </c>
      <c r="F132" s="15">
        <v>0.98336000000000001</v>
      </c>
      <c r="G132" s="11">
        <f t="shared" ref="G132:G195" si="10">SLOPE(F132:F133,E132:E133)</f>
        <v>-1.2000000000000942E-3</v>
      </c>
      <c r="H132" s="12">
        <f t="shared" ref="H132:H195" si="11">INTERCEPT(F132:F133,E132:E133)</f>
        <v>0.99884000000000128</v>
      </c>
    </row>
    <row r="133" spans="1:8" ht="14.25" thickBot="1">
      <c r="A133" s="9">
        <v>13</v>
      </c>
      <c r="B133" s="19">
        <v>0.98236000000000001</v>
      </c>
      <c r="C133" s="11">
        <f t="shared" si="8"/>
        <v>-1.1000000000005489E-3</v>
      </c>
      <c r="D133" s="12">
        <f t="shared" si="9"/>
        <v>0.9966600000000071</v>
      </c>
      <c r="E133" s="9">
        <v>13</v>
      </c>
      <c r="F133" s="19">
        <v>0.98324</v>
      </c>
      <c r="G133" s="11">
        <f t="shared" si="10"/>
        <v>-1.1000000000005489E-3</v>
      </c>
      <c r="H133" s="12">
        <f t="shared" si="11"/>
        <v>0.99754000000000709</v>
      </c>
    </row>
    <row r="134" spans="1:8" ht="14.25" thickBot="1">
      <c r="A134" s="18">
        <v>13.1</v>
      </c>
      <c r="B134" s="15">
        <v>0.98224999999999996</v>
      </c>
      <c r="C134" s="11">
        <f t="shared" si="8"/>
        <v>-9.9999999999989355E-4</v>
      </c>
      <c r="D134" s="12">
        <f t="shared" si="9"/>
        <v>0.99534999999999851</v>
      </c>
      <c r="E134" s="18">
        <v>13.1</v>
      </c>
      <c r="F134" s="15">
        <v>0.98312999999999995</v>
      </c>
      <c r="G134" s="11">
        <f t="shared" si="10"/>
        <v>-9.9999999999989355E-4</v>
      </c>
      <c r="H134" s="12">
        <f t="shared" si="11"/>
        <v>0.99622999999999851</v>
      </c>
    </row>
    <row r="135" spans="1:8" ht="14.25" thickBot="1">
      <c r="A135" s="18">
        <v>13.2</v>
      </c>
      <c r="B135" s="15">
        <v>0.98214999999999997</v>
      </c>
      <c r="C135" s="11">
        <f t="shared" si="8"/>
        <v>-1.0999999999994192E-3</v>
      </c>
      <c r="D135" s="12">
        <f t="shared" si="9"/>
        <v>0.99666999999999228</v>
      </c>
      <c r="E135" s="18">
        <v>13.2</v>
      </c>
      <c r="F135" s="15">
        <v>0.98302999999999996</v>
      </c>
      <c r="G135" s="11">
        <f t="shared" si="10"/>
        <v>-1.0999999999994192E-3</v>
      </c>
      <c r="H135" s="12">
        <f t="shared" si="11"/>
        <v>0.99754999999999228</v>
      </c>
    </row>
    <row r="136" spans="1:8" ht="14.25" thickBot="1">
      <c r="A136" s="18">
        <v>13.3</v>
      </c>
      <c r="B136" s="15">
        <v>0.98204000000000002</v>
      </c>
      <c r="C136" s="11">
        <f t="shared" si="8"/>
        <v>-1.1000000000005489E-3</v>
      </c>
      <c r="D136" s="12">
        <f t="shared" si="9"/>
        <v>0.99667000000000727</v>
      </c>
      <c r="E136" s="18">
        <v>13.3</v>
      </c>
      <c r="F136" s="15">
        <v>0.98292000000000002</v>
      </c>
      <c r="G136" s="11">
        <f t="shared" si="10"/>
        <v>-1.1000000000005489E-3</v>
      </c>
      <c r="H136" s="12">
        <f t="shared" si="11"/>
        <v>0.99755000000000726</v>
      </c>
    </row>
    <row r="137" spans="1:8" ht="14.25" thickBot="1">
      <c r="A137" s="18">
        <v>13.4</v>
      </c>
      <c r="B137" s="15">
        <v>0.98192999999999997</v>
      </c>
      <c r="C137" s="11">
        <f t="shared" si="8"/>
        <v>-1.0999999999994387E-3</v>
      </c>
      <c r="D137" s="12">
        <f t="shared" si="9"/>
        <v>0.99666999999999251</v>
      </c>
      <c r="E137" s="18">
        <v>13.4</v>
      </c>
      <c r="F137" s="15">
        <v>0.98280999999999996</v>
      </c>
      <c r="G137" s="11">
        <f t="shared" si="10"/>
        <v>-1.0999999999994387E-3</v>
      </c>
      <c r="H137" s="12">
        <f t="shared" si="11"/>
        <v>0.9975499999999925</v>
      </c>
    </row>
    <row r="138" spans="1:8" ht="14.25" thickBot="1">
      <c r="A138" s="18">
        <v>13.5</v>
      </c>
      <c r="B138" s="15">
        <v>0.98182000000000003</v>
      </c>
      <c r="C138" s="11">
        <f t="shared" si="8"/>
        <v>-9.9999999999989355E-4</v>
      </c>
      <c r="D138" s="12">
        <f t="shared" si="9"/>
        <v>0.99531999999999854</v>
      </c>
      <c r="E138" s="18">
        <v>13.5</v>
      </c>
      <c r="F138" s="15">
        <v>0.98270000000000002</v>
      </c>
      <c r="G138" s="11">
        <f t="shared" si="10"/>
        <v>-9.9999999999989355E-4</v>
      </c>
      <c r="H138" s="12">
        <f t="shared" si="11"/>
        <v>0.99619999999999853</v>
      </c>
    </row>
    <row r="139" spans="1:8" ht="14.25" thickBot="1">
      <c r="A139" s="18">
        <v>13.6</v>
      </c>
      <c r="B139" s="15">
        <v>0.98172000000000004</v>
      </c>
      <c r="C139" s="11">
        <f t="shared" si="8"/>
        <v>-1.1000000000005489E-3</v>
      </c>
      <c r="D139" s="12">
        <f t="shared" si="9"/>
        <v>0.99668000000000745</v>
      </c>
      <c r="E139" s="18">
        <v>13.6</v>
      </c>
      <c r="F139" s="15">
        <v>0.98260000000000003</v>
      </c>
      <c r="G139" s="11">
        <f t="shared" si="10"/>
        <v>-1.1000000000005489E-3</v>
      </c>
      <c r="H139" s="12">
        <f t="shared" si="11"/>
        <v>0.99756000000000744</v>
      </c>
    </row>
    <row r="140" spans="1:8" ht="14.25" thickBot="1">
      <c r="A140" s="18">
        <v>13.7</v>
      </c>
      <c r="B140" s="15">
        <v>0.98160999999999998</v>
      </c>
      <c r="C140" s="11">
        <f t="shared" si="8"/>
        <v>-1.0999999999994192E-3</v>
      </c>
      <c r="D140" s="12">
        <f t="shared" si="9"/>
        <v>0.99667999999999202</v>
      </c>
      <c r="E140" s="18">
        <v>13.7</v>
      </c>
      <c r="F140" s="15">
        <v>0.98248999999999997</v>
      </c>
      <c r="G140" s="11">
        <f t="shared" si="10"/>
        <v>-1.0999999999994192E-3</v>
      </c>
      <c r="H140" s="12">
        <f t="shared" si="11"/>
        <v>0.99755999999999201</v>
      </c>
    </row>
    <row r="141" spans="1:8" ht="14.25" thickBot="1">
      <c r="A141" s="18">
        <v>13.8</v>
      </c>
      <c r="B141" s="15">
        <v>0.98150000000000004</v>
      </c>
      <c r="C141" s="11">
        <f t="shared" si="8"/>
        <v>-9.9999999999989355E-4</v>
      </c>
      <c r="D141" s="12">
        <f t="shared" si="9"/>
        <v>0.99529999999999852</v>
      </c>
      <c r="E141" s="18">
        <v>13.8</v>
      </c>
      <c r="F141" s="15">
        <v>0.98238000000000003</v>
      </c>
      <c r="G141" s="11">
        <f t="shared" si="10"/>
        <v>-9.9999999999989355E-4</v>
      </c>
      <c r="H141" s="12">
        <f t="shared" si="11"/>
        <v>0.99617999999999851</v>
      </c>
    </row>
    <row r="142" spans="1:8" ht="14.25" thickBot="1">
      <c r="A142" s="18">
        <v>13.9</v>
      </c>
      <c r="B142" s="15">
        <v>0.98140000000000005</v>
      </c>
      <c r="C142" s="11">
        <f t="shared" si="8"/>
        <v>-1.1000000000005489E-3</v>
      </c>
      <c r="D142" s="12">
        <f t="shared" si="9"/>
        <v>0.99669000000000763</v>
      </c>
      <c r="E142" s="18">
        <v>13.9</v>
      </c>
      <c r="F142" s="15">
        <v>0.98228000000000004</v>
      </c>
      <c r="G142" s="11">
        <f t="shared" si="10"/>
        <v>-1.1000000000005489E-3</v>
      </c>
      <c r="H142" s="12">
        <f t="shared" si="11"/>
        <v>0.99757000000000762</v>
      </c>
    </row>
    <row r="143" spans="1:8" ht="14.25" thickBot="1">
      <c r="A143" s="9">
        <v>14</v>
      </c>
      <c r="B143" s="19">
        <v>0.98129</v>
      </c>
      <c r="C143" s="11">
        <f t="shared" si="8"/>
        <v>-1.0999999999994387E-3</v>
      </c>
      <c r="D143" s="12">
        <f t="shared" si="9"/>
        <v>0.99668999999999219</v>
      </c>
      <c r="E143" s="9">
        <v>14</v>
      </c>
      <c r="F143" s="19">
        <v>0.98216999999999999</v>
      </c>
      <c r="G143" s="11">
        <f t="shared" si="10"/>
        <v>-1.0999999999994387E-3</v>
      </c>
      <c r="H143" s="12">
        <f t="shared" si="11"/>
        <v>0.99756999999999219</v>
      </c>
    </row>
    <row r="144" spans="1:8" ht="14.25" thickBot="1">
      <c r="A144" s="18">
        <v>14.1</v>
      </c>
      <c r="B144" s="15">
        <v>0.98118000000000005</v>
      </c>
      <c r="C144" s="11">
        <f t="shared" si="8"/>
        <v>-1.0000000000010036E-3</v>
      </c>
      <c r="D144" s="12">
        <f t="shared" si="9"/>
        <v>0.99528000000001426</v>
      </c>
      <c r="E144" s="18">
        <v>14.1</v>
      </c>
      <c r="F144" s="15">
        <v>0.98206000000000004</v>
      </c>
      <c r="G144" s="11">
        <f t="shared" si="10"/>
        <v>-9.9999999999989355E-4</v>
      </c>
      <c r="H144" s="12">
        <f t="shared" si="11"/>
        <v>0.99615999999999849</v>
      </c>
    </row>
    <row r="145" spans="1:8" ht="14.25" thickBot="1">
      <c r="A145" s="18">
        <v>14.2</v>
      </c>
      <c r="B145" s="15">
        <v>0.98107999999999995</v>
      </c>
      <c r="C145" s="11">
        <f t="shared" si="8"/>
        <v>-1.0999999999994192E-3</v>
      </c>
      <c r="D145" s="12">
        <f t="shared" si="9"/>
        <v>0.9966999999999917</v>
      </c>
      <c r="E145" s="18">
        <v>14.2</v>
      </c>
      <c r="F145" s="15">
        <v>0.98196000000000006</v>
      </c>
      <c r="G145" s="11">
        <f t="shared" si="10"/>
        <v>-1.1000000000005292E-3</v>
      </c>
      <c r="H145" s="12">
        <f t="shared" si="11"/>
        <v>0.99758000000000757</v>
      </c>
    </row>
    <row r="146" spans="1:8" ht="14.25" thickBot="1">
      <c r="A146" s="18">
        <v>14.3</v>
      </c>
      <c r="B146" s="15">
        <v>0.98097000000000001</v>
      </c>
      <c r="C146" s="11">
        <f t="shared" si="8"/>
        <v>-1.1000000000005489E-3</v>
      </c>
      <c r="D146" s="12">
        <f t="shared" si="9"/>
        <v>0.99670000000000791</v>
      </c>
      <c r="E146" s="18">
        <v>14.3</v>
      </c>
      <c r="F146" s="15">
        <v>0.98185</v>
      </c>
      <c r="G146" s="11">
        <f t="shared" si="10"/>
        <v>-1.1000000000005489E-3</v>
      </c>
      <c r="H146" s="12">
        <f t="shared" si="11"/>
        <v>0.9975800000000079</v>
      </c>
    </row>
    <row r="147" spans="1:8" ht="14.25" thickBot="1">
      <c r="A147" s="18">
        <v>14.4</v>
      </c>
      <c r="B147" s="15">
        <v>0.98085999999999995</v>
      </c>
      <c r="C147" s="11">
        <f t="shared" si="8"/>
        <v>-9.9999999999989355E-4</v>
      </c>
      <c r="D147" s="12">
        <f t="shared" si="9"/>
        <v>0.99525999999999837</v>
      </c>
      <c r="E147" s="18">
        <v>14.4</v>
      </c>
      <c r="F147" s="15">
        <v>0.98173999999999995</v>
      </c>
      <c r="G147" s="11">
        <f t="shared" si="10"/>
        <v>-9.9999999999989355E-4</v>
      </c>
      <c r="H147" s="12">
        <f t="shared" si="11"/>
        <v>0.99613999999999836</v>
      </c>
    </row>
    <row r="148" spans="1:8" ht="14.25" thickBot="1">
      <c r="A148" s="18">
        <v>14.5</v>
      </c>
      <c r="B148" s="15">
        <v>0.98075999999999997</v>
      </c>
      <c r="C148" s="11">
        <f t="shared" si="8"/>
        <v>-1.0999999999994387E-3</v>
      </c>
      <c r="D148" s="12">
        <f t="shared" si="9"/>
        <v>0.99670999999999177</v>
      </c>
      <c r="E148" s="18">
        <v>14.5</v>
      </c>
      <c r="F148" s="15">
        <v>0.98163999999999996</v>
      </c>
      <c r="G148" s="11">
        <f t="shared" si="10"/>
        <v>-1.0999999999994387E-3</v>
      </c>
      <c r="H148" s="12">
        <f t="shared" si="11"/>
        <v>0.99758999999999176</v>
      </c>
    </row>
    <row r="149" spans="1:8" ht="14.25" thickBot="1">
      <c r="A149" s="18">
        <v>14.6</v>
      </c>
      <c r="B149" s="15">
        <v>0.98065000000000002</v>
      </c>
      <c r="C149" s="11">
        <f t="shared" si="8"/>
        <v>-9.9999999999989355E-4</v>
      </c>
      <c r="D149" s="12">
        <f t="shared" si="9"/>
        <v>0.99524999999999841</v>
      </c>
      <c r="E149" s="18">
        <v>14.6</v>
      </c>
      <c r="F149" s="15">
        <v>0.98153000000000001</v>
      </c>
      <c r="G149" s="11">
        <f t="shared" si="10"/>
        <v>-9.9999999999989355E-4</v>
      </c>
      <c r="H149" s="12">
        <f t="shared" si="11"/>
        <v>0.99612999999999841</v>
      </c>
    </row>
    <row r="150" spans="1:8" ht="14.25" thickBot="1">
      <c r="A150" s="18">
        <v>14.7</v>
      </c>
      <c r="B150" s="15">
        <v>0.98055000000000003</v>
      </c>
      <c r="C150" s="11">
        <f t="shared" si="8"/>
        <v>-1.1000000000005292E-3</v>
      </c>
      <c r="D150" s="12">
        <f t="shared" si="9"/>
        <v>0.99672000000000782</v>
      </c>
      <c r="E150" s="18">
        <v>14.7</v>
      </c>
      <c r="F150" s="15">
        <v>0.98143000000000002</v>
      </c>
      <c r="G150" s="11">
        <f t="shared" si="10"/>
        <v>-1.1000000000005292E-3</v>
      </c>
      <c r="H150" s="12">
        <f t="shared" si="11"/>
        <v>0.99760000000000781</v>
      </c>
    </row>
    <row r="151" spans="1:8" ht="14.25" thickBot="1">
      <c r="A151" s="18">
        <v>14.8</v>
      </c>
      <c r="B151" s="15">
        <v>0.98043999999999998</v>
      </c>
      <c r="C151" s="11">
        <f t="shared" si="8"/>
        <v>-9.9999999999989355E-4</v>
      </c>
      <c r="D151" s="12">
        <f t="shared" si="9"/>
        <v>0.99523999999999835</v>
      </c>
      <c r="E151" s="18">
        <v>14.8</v>
      </c>
      <c r="F151" s="15">
        <v>0.98131999999999997</v>
      </c>
      <c r="G151" s="11">
        <f t="shared" si="10"/>
        <v>-9.9999999999989355E-4</v>
      </c>
      <c r="H151" s="12">
        <f t="shared" si="11"/>
        <v>0.99611999999999834</v>
      </c>
    </row>
    <row r="152" spans="1:8" ht="14.25" thickBot="1">
      <c r="A152" s="18">
        <v>14.9</v>
      </c>
      <c r="B152" s="15">
        <v>0.98033999999999999</v>
      </c>
      <c r="C152" s="11">
        <f t="shared" si="8"/>
        <v>-9.9999999999989355E-4</v>
      </c>
      <c r="D152" s="12">
        <f t="shared" si="9"/>
        <v>0.99523999999999835</v>
      </c>
      <c r="E152" s="18">
        <v>14.9</v>
      </c>
      <c r="F152" s="15">
        <v>0.98121999999999998</v>
      </c>
      <c r="G152" s="11">
        <f t="shared" si="10"/>
        <v>-9.9999999999989355E-4</v>
      </c>
      <c r="H152" s="12">
        <f t="shared" si="11"/>
        <v>0.99611999999999834</v>
      </c>
    </row>
    <row r="153" spans="1:8" ht="14.25" thickBot="1">
      <c r="A153" s="9">
        <v>15</v>
      </c>
      <c r="B153" s="19">
        <v>0.98024</v>
      </c>
      <c r="C153" s="11">
        <f t="shared" si="8"/>
        <v>-1.1000000000005489E-3</v>
      </c>
      <c r="D153" s="12">
        <f t="shared" si="9"/>
        <v>0.99674000000000829</v>
      </c>
      <c r="E153" s="9">
        <v>15</v>
      </c>
      <c r="F153" s="19">
        <v>0.98111999999999999</v>
      </c>
      <c r="G153" s="11">
        <f t="shared" si="10"/>
        <v>-1.0999999999994387E-3</v>
      </c>
      <c r="H153" s="12">
        <f t="shared" si="11"/>
        <v>0.99761999999999162</v>
      </c>
    </row>
    <row r="154" spans="1:8" ht="14.25" thickBot="1">
      <c r="A154" s="18">
        <v>15.1</v>
      </c>
      <c r="B154" s="15">
        <v>0.98012999999999995</v>
      </c>
      <c r="C154" s="11">
        <f t="shared" si="8"/>
        <v>-9.9999999999989355E-4</v>
      </c>
      <c r="D154" s="12">
        <f t="shared" si="9"/>
        <v>0.99522999999999828</v>
      </c>
      <c r="E154" s="18">
        <v>15.1</v>
      </c>
      <c r="F154" s="15">
        <v>0.98101000000000005</v>
      </c>
      <c r="G154" s="11">
        <f t="shared" si="10"/>
        <v>-1.0000000000010036E-3</v>
      </c>
      <c r="H154" s="12">
        <f t="shared" si="11"/>
        <v>0.99611000000001526</v>
      </c>
    </row>
    <row r="155" spans="1:8" ht="14.25" thickBot="1">
      <c r="A155" s="18">
        <v>15.2</v>
      </c>
      <c r="B155" s="15">
        <v>0.98002999999999996</v>
      </c>
      <c r="C155" s="11">
        <f t="shared" si="8"/>
        <v>-1.0999999999994192E-3</v>
      </c>
      <c r="D155" s="12">
        <f t="shared" si="9"/>
        <v>0.99674999999999114</v>
      </c>
      <c r="E155" s="18">
        <v>15.2</v>
      </c>
      <c r="F155" s="15">
        <v>0.98090999999999995</v>
      </c>
      <c r="G155" s="11">
        <f t="shared" si="10"/>
        <v>-1.0999999999994192E-3</v>
      </c>
      <c r="H155" s="12">
        <f t="shared" si="11"/>
        <v>0.99762999999999113</v>
      </c>
    </row>
    <row r="156" spans="1:8" ht="14.25" thickBot="1">
      <c r="A156" s="18">
        <v>15.3</v>
      </c>
      <c r="B156" s="15">
        <v>0.97992000000000001</v>
      </c>
      <c r="C156" s="11">
        <f t="shared" si="8"/>
        <v>-9.9999999999989355E-4</v>
      </c>
      <c r="D156" s="12">
        <f t="shared" si="9"/>
        <v>0.99521999999999844</v>
      </c>
      <c r="E156" s="18">
        <v>15.3</v>
      </c>
      <c r="F156" s="15">
        <v>0.98080000000000001</v>
      </c>
      <c r="G156" s="11">
        <f t="shared" si="10"/>
        <v>-9.9999999999989355E-4</v>
      </c>
      <c r="H156" s="12">
        <f t="shared" si="11"/>
        <v>0.99609999999999843</v>
      </c>
    </row>
    <row r="157" spans="1:8" ht="14.25" thickBot="1">
      <c r="A157" s="18">
        <v>15.4</v>
      </c>
      <c r="B157" s="15">
        <v>0.97982000000000002</v>
      </c>
      <c r="C157" s="11">
        <f t="shared" si="8"/>
        <v>-1.1000000000005489E-3</v>
      </c>
      <c r="D157" s="12">
        <f t="shared" si="9"/>
        <v>0.99676000000000853</v>
      </c>
      <c r="E157" s="18">
        <v>15.4</v>
      </c>
      <c r="F157" s="15">
        <v>0.98070000000000002</v>
      </c>
      <c r="G157" s="11">
        <f t="shared" si="10"/>
        <v>-1.1000000000005489E-3</v>
      </c>
      <c r="H157" s="12">
        <f t="shared" si="11"/>
        <v>0.99764000000000852</v>
      </c>
    </row>
    <row r="158" spans="1:8" ht="14.25" thickBot="1">
      <c r="A158" s="18">
        <v>15.5</v>
      </c>
      <c r="B158" s="15">
        <v>0.97970999999999997</v>
      </c>
      <c r="C158" s="11">
        <f t="shared" si="8"/>
        <v>-9.9999999999989355E-4</v>
      </c>
      <c r="D158" s="12">
        <f t="shared" si="9"/>
        <v>0.99520999999999837</v>
      </c>
      <c r="E158" s="18">
        <v>15.5</v>
      </c>
      <c r="F158" s="15">
        <v>0.98058999999999996</v>
      </c>
      <c r="G158" s="11">
        <f t="shared" si="10"/>
        <v>-9.9999999999989355E-4</v>
      </c>
      <c r="H158" s="12">
        <f t="shared" si="11"/>
        <v>0.99608999999999837</v>
      </c>
    </row>
    <row r="159" spans="1:8" ht="14.25" thickBot="1">
      <c r="A159" s="18">
        <v>15.6</v>
      </c>
      <c r="B159" s="15">
        <v>0.97960999999999998</v>
      </c>
      <c r="C159" s="11">
        <f t="shared" si="8"/>
        <v>-9.9999999999989355E-4</v>
      </c>
      <c r="D159" s="12">
        <f t="shared" si="9"/>
        <v>0.99520999999999837</v>
      </c>
      <c r="E159" s="18">
        <v>15.6</v>
      </c>
      <c r="F159" s="15">
        <v>0.98048999999999997</v>
      </c>
      <c r="G159" s="11">
        <f t="shared" si="10"/>
        <v>-9.9999999999989355E-4</v>
      </c>
      <c r="H159" s="12">
        <f t="shared" si="11"/>
        <v>0.99608999999999837</v>
      </c>
    </row>
    <row r="160" spans="1:8" ht="14.25" thickBot="1">
      <c r="A160" s="18">
        <v>15.7</v>
      </c>
      <c r="B160" s="15">
        <v>0.97950999999999999</v>
      </c>
      <c r="C160" s="11">
        <f t="shared" si="8"/>
        <v>-1.0999999999994192E-3</v>
      </c>
      <c r="D160" s="12">
        <f t="shared" si="9"/>
        <v>0.99677999999999078</v>
      </c>
      <c r="E160" s="18">
        <v>15.7</v>
      </c>
      <c r="F160" s="15">
        <v>0.98038999999999998</v>
      </c>
      <c r="G160" s="11">
        <f t="shared" si="10"/>
        <v>-1.0999999999994192E-3</v>
      </c>
      <c r="H160" s="12">
        <f t="shared" si="11"/>
        <v>0.99765999999999078</v>
      </c>
    </row>
    <row r="161" spans="1:8" ht="14.25" thickBot="1">
      <c r="A161" s="14">
        <v>15.8</v>
      </c>
      <c r="B161" s="15">
        <v>0.97940000000000005</v>
      </c>
      <c r="C161" s="11">
        <f t="shared" si="8"/>
        <v>-1.0000000000010036E-3</v>
      </c>
      <c r="D161" s="12">
        <f t="shared" si="9"/>
        <v>0.99520000000001585</v>
      </c>
      <c r="E161" s="14">
        <v>15.8</v>
      </c>
      <c r="F161" s="15">
        <v>0.98028000000000004</v>
      </c>
      <c r="G161" s="11">
        <f t="shared" si="10"/>
        <v>-9.9999999999989355E-4</v>
      </c>
      <c r="H161" s="12">
        <f t="shared" si="11"/>
        <v>0.99607999999999841</v>
      </c>
    </row>
    <row r="162" spans="1:8" ht="14.25" thickBot="1">
      <c r="A162" s="14">
        <v>15.9</v>
      </c>
      <c r="B162" s="15">
        <v>0.97929999999999995</v>
      </c>
      <c r="C162" s="11">
        <f t="shared" si="8"/>
        <v>-9.9999999999989355E-4</v>
      </c>
      <c r="D162" s="12">
        <f t="shared" si="9"/>
        <v>0.99519999999999831</v>
      </c>
      <c r="E162" s="14">
        <v>15.9</v>
      </c>
      <c r="F162" s="15">
        <v>0.98018000000000005</v>
      </c>
      <c r="G162" s="11">
        <f t="shared" si="10"/>
        <v>-1.0000000000010036E-3</v>
      </c>
      <c r="H162" s="12">
        <f t="shared" si="11"/>
        <v>0.99608000000001595</v>
      </c>
    </row>
    <row r="163" spans="1:8" ht="14.25" thickBot="1">
      <c r="A163" s="9">
        <v>16</v>
      </c>
      <c r="B163" s="19">
        <v>0.97919999999999996</v>
      </c>
      <c r="C163" s="11">
        <f t="shared" si="8"/>
        <v>-9.9999999999987555E-4</v>
      </c>
      <c r="D163" s="12">
        <f t="shared" si="9"/>
        <v>0.99519999999999798</v>
      </c>
      <c r="E163" s="9">
        <v>16</v>
      </c>
      <c r="F163" s="19">
        <v>0.98007999999999995</v>
      </c>
      <c r="G163" s="11">
        <f t="shared" si="10"/>
        <v>-9.9999999999987555E-4</v>
      </c>
      <c r="H163" s="12">
        <f t="shared" si="11"/>
        <v>0.99607999999999797</v>
      </c>
    </row>
    <row r="164" spans="1:8" ht="14.25" thickBot="1">
      <c r="A164" s="18">
        <v>16.100000000000001</v>
      </c>
      <c r="B164" s="15">
        <v>0.97909999999999997</v>
      </c>
      <c r="C164" s="11">
        <f t="shared" si="8"/>
        <v>-1.099999999999458E-3</v>
      </c>
      <c r="D164" s="12">
        <f t="shared" si="9"/>
        <v>0.9968099999999912</v>
      </c>
      <c r="E164" s="18">
        <v>16.100000000000001</v>
      </c>
      <c r="F164" s="15">
        <v>0.97997999999999996</v>
      </c>
      <c r="G164" s="11">
        <f t="shared" si="10"/>
        <v>-1.099999999999458E-3</v>
      </c>
      <c r="H164" s="12">
        <f t="shared" si="11"/>
        <v>0.99768999999999119</v>
      </c>
    </row>
    <row r="165" spans="1:8" ht="14.25" thickBot="1">
      <c r="A165" s="18">
        <v>16.2</v>
      </c>
      <c r="B165" s="15">
        <v>0.97899000000000003</v>
      </c>
      <c r="C165" s="11">
        <f t="shared" si="8"/>
        <v>-9.9999999999987555E-4</v>
      </c>
      <c r="D165" s="12">
        <f t="shared" si="9"/>
        <v>0.99518999999999802</v>
      </c>
      <c r="E165" s="18">
        <v>16.2</v>
      </c>
      <c r="F165" s="15">
        <v>0.97987000000000002</v>
      </c>
      <c r="G165" s="11">
        <f t="shared" si="10"/>
        <v>-9.9999999999987555E-4</v>
      </c>
      <c r="H165" s="12">
        <f t="shared" si="11"/>
        <v>0.99606999999999801</v>
      </c>
    </row>
    <row r="166" spans="1:8" ht="14.25" thickBot="1">
      <c r="A166" s="18">
        <v>16.3</v>
      </c>
      <c r="B166" s="15">
        <v>0.97889000000000004</v>
      </c>
      <c r="C166" s="11">
        <f t="shared" si="8"/>
        <v>-9.999999999999109E-4</v>
      </c>
      <c r="D166" s="12">
        <f t="shared" si="9"/>
        <v>0.99518999999999858</v>
      </c>
      <c r="E166" s="18">
        <v>16.3</v>
      </c>
      <c r="F166" s="15">
        <v>0.97977000000000003</v>
      </c>
      <c r="G166" s="11">
        <f t="shared" si="10"/>
        <v>-9.999999999999109E-4</v>
      </c>
      <c r="H166" s="12">
        <f t="shared" si="11"/>
        <v>0.99606999999999857</v>
      </c>
    </row>
    <row r="167" spans="1:8" ht="14.25" thickBot="1">
      <c r="A167" s="18">
        <v>16.399999999999999</v>
      </c>
      <c r="B167" s="15">
        <v>0.97879000000000005</v>
      </c>
      <c r="C167" s="11">
        <f t="shared" si="8"/>
        <v>-1.0000000000009858E-3</v>
      </c>
      <c r="D167" s="12">
        <f t="shared" si="9"/>
        <v>0.99519000000001612</v>
      </c>
      <c r="E167" s="18">
        <v>16.399999999999999</v>
      </c>
      <c r="F167" s="15">
        <v>0.97967000000000004</v>
      </c>
      <c r="G167" s="11">
        <f t="shared" si="10"/>
        <v>-9.9999999999987555E-4</v>
      </c>
      <c r="H167" s="12">
        <f t="shared" si="11"/>
        <v>0.99606999999999801</v>
      </c>
    </row>
    <row r="168" spans="1:8" ht="14.25" thickBot="1">
      <c r="A168" s="18">
        <v>16.5</v>
      </c>
      <c r="B168" s="15">
        <v>0.97868999999999995</v>
      </c>
      <c r="C168" s="11">
        <f t="shared" si="8"/>
        <v>-1.0999999999994192E-3</v>
      </c>
      <c r="D168" s="12">
        <f t="shared" si="9"/>
        <v>0.99683999999999029</v>
      </c>
      <c r="E168" s="18">
        <v>16.5</v>
      </c>
      <c r="F168" s="15">
        <v>0.97957000000000005</v>
      </c>
      <c r="G168" s="11">
        <f t="shared" si="10"/>
        <v>-1.1000000000005292E-3</v>
      </c>
      <c r="H168" s="12">
        <f t="shared" si="11"/>
        <v>0.99772000000000882</v>
      </c>
    </row>
    <row r="169" spans="1:8" ht="14.25" thickBot="1">
      <c r="A169" s="18">
        <v>16.600000000000001</v>
      </c>
      <c r="B169" s="15">
        <v>0.97858000000000001</v>
      </c>
      <c r="C169" s="11">
        <f t="shared" si="8"/>
        <v>-9.999999999999109E-4</v>
      </c>
      <c r="D169" s="12">
        <f t="shared" si="9"/>
        <v>0.99517999999999851</v>
      </c>
      <c r="E169" s="18">
        <v>16.600000000000001</v>
      </c>
      <c r="F169" s="15">
        <v>0.97946</v>
      </c>
      <c r="G169" s="11">
        <f t="shared" si="10"/>
        <v>-9.999999999999109E-4</v>
      </c>
      <c r="H169" s="12">
        <f t="shared" si="11"/>
        <v>0.9960599999999985</v>
      </c>
    </row>
    <row r="170" spans="1:8" ht="14.25" thickBot="1">
      <c r="A170" s="18">
        <v>16.7</v>
      </c>
      <c r="B170" s="15">
        <v>0.97848000000000002</v>
      </c>
      <c r="C170" s="11">
        <f t="shared" si="8"/>
        <v>-9.9999999999987555E-4</v>
      </c>
      <c r="D170" s="12">
        <f t="shared" si="9"/>
        <v>0.99517999999999796</v>
      </c>
      <c r="E170" s="18">
        <v>16.7</v>
      </c>
      <c r="F170" s="15">
        <v>0.97936000000000001</v>
      </c>
      <c r="G170" s="11">
        <f t="shared" si="10"/>
        <v>-9.9999999999987555E-4</v>
      </c>
      <c r="H170" s="12">
        <f t="shared" si="11"/>
        <v>0.99605999999999795</v>
      </c>
    </row>
    <row r="171" spans="1:8" ht="14.25" thickBot="1">
      <c r="A171" s="18">
        <v>16.8</v>
      </c>
      <c r="B171" s="15">
        <v>0.97838000000000003</v>
      </c>
      <c r="C171" s="11">
        <f t="shared" si="8"/>
        <v>-9.999999999999109E-4</v>
      </c>
      <c r="D171" s="12">
        <f t="shared" si="9"/>
        <v>0.99517999999999851</v>
      </c>
      <c r="E171" s="18">
        <v>16.8</v>
      </c>
      <c r="F171" s="15">
        <v>0.97926000000000002</v>
      </c>
      <c r="G171" s="11">
        <f t="shared" si="10"/>
        <v>-9.999999999999109E-4</v>
      </c>
      <c r="H171" s="12">
        <f t="shared" si="11"/>
        <v>0.9960599999999985</v>
      </c>
    </row>
    <row r="172" spans="1:8" ht="14.25" thickBot="1">
      <c r="A172" s="18">
        <v>16.899999999999999</v>
      </c>
      <c r="B172" s="15">
        <v>0.97828000000000004</v>
      </c>
      <c r="C172" s="11">
        <f t="shared" si="8"/>
        <v>-9.9999999999987555E-4</v>
      </c>
      <c r="D172" s="12">
        <f t="shared" si="9"/>
        <v>0.99517999999999796</v>
      </c>
      <c r="E172" s="18">
        <v>16.899999999999999</v>
      </c>
      <c r="F172" s="15">
        <v>0.97916000000000003</v>
      </c>
      <c r="G172" s="11">
        <f t="shared" si="10"/>
        <v>-9.9999999999987555E-4</v>
      </c>
      <c r="H172" s="12">
        <f t="shared" si="11"/>
        <v>0.99605999999999795</v>
      </c>
    </row>
    <row r="173" spans="1:8" ht="14.25" thickBot="1">
      <c r="A173" s="9">
        <v>17</v>
      </c>
      <c r="B173" s="19">
        <v>0.97818000000000005</v>
      </c>
      <c r="C173" s="11">
        <f t="shared" si="8"/>
        <v>-1.0000000000009858E-3</v>
      </c>
      <c r="D173" s="12">
        <f t="shared" si="9"/>
        <v>0.99518000000001672</v>
      </c>
      <c r="E173" s="9">
        <v>17</v>
      </c>
      <c r="F173" s="19">
        <v>0.97906000000000004</v>
      </c>
      <c r="G173" s="11">
        <f t="shared" si="10"/>
        <v>-9.9999999999987555E-4</v>
      </c>
      <c r="H173" s="12">
        <f t="shared" si="11"/>
        <v>0.99605999999999795</v>
      </c>
    </row>
    <row r="174" spans="1:8" ht="14.25" thickBot="1">
      <c r="A174" s="18">
        <v>17.100000000000001</v>
      </c>
      <c r="B174" s="15">
        <v>0.97807999999999995</v>
      </c>
      <c r="C174" s="11">
        <f t="shared" si="8"/>
        <v>-1.099999999999458E-3</v>
      </c>
      <c r="D174" s="12">
        <f t="shared" si="9"/>
        <v>0.99688999999999062</v>
      </c>
      <c r="E174" s="18">
        <v>17.100000000000001</v>
      </c>
      <c r="F174" s="15">
        <v>0.97896000000000005</v>
      </c>
      <c r="G174" s="11">
        <f t="shared" si="10"/>
        <v>-1.1000000000005682E-3</v>
      </c>
      <c r="H174" s="12">
        <f t="shared" si="11"/>
        <v>0.99777000000000982</v>
      </c>
    </row>
    <row r="175" spans="1:8" ht="14.25" thickBot="1">
      <c r="A175" s="18">
        <v>17.2</v>
      </c>
      <c r="B175" s="15">
        <v>0.97797000000000001</v>
      </c>
      <c r="C175" s="11">
        <f t="shared" si="8"/>
        <v>-9.9999999999987555E-4</v>
      </c>
      <c r="D175" s="12">
        <f t="shared" si="9"/>
        <v>0.99516999999999789</v>
      </c>
      <c r="E175" s="18">
        <v>17.2</v>
      </c>
      <c r="F175" s="15">
        <v>0.97885</v>
      </c>
      <c r="G175" s="11">
        <f t="shared" si="10"/>
        <v>-9.9999999999987555E-4</v>
      </c>
      <c r="H175" s="12">
        <f t="shared" si="11"/>
        <v>0.99604999999999788</v>
      </c>
    </row>
    <row r="176" spans="1:8" ht="14.25" thickBot="1">
      <c r="A176" s="18">
        <v>17.3</v>
      </c>
      <c r="B176" s="15">
        <v>0.97787000000000002</v>
      </c>
      <c r="C176" s="11">
        <f t="shared" si="8"/>
        <v>-9.999999999999109E-4</v>
      </c>
      <c r="D176" s="12">
        <f t="shared" si="9"/>
        <v>0.99516999999999844</v>
      </c>
      <c r="E176" s="18">
        <v>17.3</v>
      </c>
      <c r="F176" s="15">
        <v>0.97875000000000001</v>
      </c>
      <c r="G176" s="11">
        <f t="shared" si="10"/>
        <v>-9.999999999999109E-4</v>
      </c>
      <c r="H176" s="12">
        <f t="shared" si="11"/>
        <v>0.99604999999999844</v>
      </c>
    </row>
    <row r="177" spans="1:8" ht="14.25" thickBot="1">
      <c r="A177" s="18">
        <v>17.399999999999999</v>
      </c>
      <c r="B177" s="15">
        <v>0.97777000000000003</v>
      </c>
      <c r="C177" s="11">
        <f t="shared" si="8"/>
        <v>-9.9999999999987555E-4</v>
      </c>
      <c r="D177" s="12">
        <f t="shared" si="9"/>
        <v>0.99516999999999789</v>
      </c>
      <c r="E177" s="18">
        <v>17.399999999999999</v>
      </c>
      <c r="F177" s="15">
        <v>0.97865000000000002</v>
      </c>
      <c r="G177" s="11">
        <f t="shared" si="10"/>
        <v>-9.9999999999987555E-4</v>
      </c>
      <c r="H177" s="12">
        <f t="shared" si="11"/>
        <v>0.99604999999999788</v>
      </c>
    </row>
    <row r="178" spans="1:8" ht="14.25" thickBot="1">
      <c r="A178" s="18">
        <v>17.5</v>
      </c>
      <c r="B178" s="15">
        <v>0.97767000000000004</v>
      </c>
      <c r="C178" s="11">
        <f t="shared" si="8"/>
        <v>-9.9999999999987555E-4</v>
      </c>
      <c r="D178" s="12">
        <f t="shared" si="9"/>
        <v>0.99516999999999789</v>
      </c>
      <c r="E178" s="18">
        <v>17.5</v>
      </c>
      <c r="F178" s="15">
        <v>0.97855000000000003</v>
      </c>
      <c r="G178" s="11">
        <f t="shared" si="10"/>
        <v>-9.9999999999987555E-4</v>
      </c>
      <c r="H178" s="12">
        <f t="shared" si="11"/>
        <v>0.99604999999999788</v>
      </c>
    </row>
    <row r="179" spans="1:8" ht="14.25" thickBot="1">
      <c r="A179" s="18">
        <v>17.600000000000001</v>
      </c>
      <c r="B179" s="15">
        <v>0.97757000000000005</v>
      </c>
      <c r="C179" s="11">
        <f t="shared" si="8"/>
        <v>-1.0000000000010211E-3</v>
      </c>
      <c r="D179" s="12">
        <f t="shared" si="9"/>
        <v>0.99517000000001798</v>
      </c>
      <c r="E179" s="18">
        <v>17.600000000000001</v>
      </c>
      <c r="F179" s="15">
        <v>0.97845000000000004</v>
      </c>
      <c r="G179" s="11">
        <f t="shared" si="10"/>
        <v>-9.999999999999109E-4</v>
      </c>
      <c r="H179" s="12">
        <f t="shared" si="11"/>
        <v>0.99604999999999844</v>
      </c>
    </row>
    <row r="180" spans="1:8" ht="14.25" thickBot="1">
      <c r="A180" s="18">
        <v>17.7</v>
      </c>
      <c r="B180" s="15">
        <v>0.97746999999999995</v>
      </c>
      <c r="C180" s="11">
        <f t="shared" si="8"/>
        <v>-9.9999999999987555E-4</v>
      </c>
      <c r="D180" s="12">
        <f t="shared" si="9"/>
        <v>0.99516999999999778</v>
      </c>
      <c r="E180" s="18">
        <v>17.7</v>
      </c>
      <c r="F180" s="15">
        <v>0.97835000000000005</v>
      </c>
      <c r="G180" s="11">
        <f t="shared" si="10"/>
        <v>-1.0000000000009858E-3</v>
      </c>
      <c r="H180" s="12">
        <f t="shared" si="11"/>
        <v>0.99605000000001742</v>
      </c>
    </row>
    <row r="181" spans="1:8" ht="14.25" thickBot="1">
      <c r="A181" s="18">
        <v>17.8</v>
      </c>
      <c r="B181" s="15">
        <v>0.97736999999999996</v>
      </c>
      <c r="C181" s="11">
        <f t="shared" si="8"/>
        <v>-9.999999999999109E-4</v>
      </c>
      <c r="D181" s="12">
        <f t="shared" si="9"/>
        <v>0.99516999999999833</v>
      </c>
      <c r="E181" s="18">
        <v>17.8</v>
      </c>
      <c r="F181" s="15">
        <v>0.97824999999999995</v>
      </c>
      <c r="G181" s="11">
        <f t="shared" si="10"/>
        <v>-9.999999999999109E-4</v>
      </c>
      <c r="H181" s="12">
        <f t="shared" si="11"/>
        <v>0.99604999999999833</v>
      </c>
    </row>
    <row r="182" spans="1:8" ht="14.25" thickBot="1">
      <c r="A182" s="18">
        <v>17.899999999999999</v>
      </c>
      <c r="B182" s="15">
        <v>0.97726999999999997</v>
      </c>
      <c r="C182" s="11">
        <f t="shared" si="8"/>
        <v>-9.9999999999987555E-4</v>
      </c>
      <c r="D182" s="12">
        <f t="shared" si="9"/>
        <v>0.99516999999999778</v>
      </c>
      <c r="E182" s="18">
        <v>17.899999999999999</v>
      </c>
      <c r="F182" s="15">
        <v>0.97814999999999996</v>
      </c>
      <c r="G182" s="11">
        <f t="shared" si="10"/>
        <v>-9.9999999999987555E-4</v>
      </c>
      <c r="H182" s="12">
        <f t="shared" si="11"/>
        <v>0.99604999999999777</v>
      </c>
    </row>
    <row r="183" spans="1:8" ht="14.25" thickBot="1">
      <c r="A183" s="9">
        <v>18</v>
      </c>
      <c r="B183" s="19">
        <v>0.97716999999999998</v>
      </c>
      <c r="C183" s="11">
        <f t="shared" si="8"/>
        <v>-9.9999999999987555E-4</v>
      </c>
      <c r="D183" s="12">
        <f t="shared" si="9"/>
        <v>0.99516999999999778</v>
      </c>
      <c r="E183" s="9">
        <v>18</v>
      </c>
      <c r="F183" s="19">
        <v>0.97804999999999997</v>
      </c>
      <c r="G183" s="11">
        <f t="shared" si="10"/>
        <v>-9.9999999999987555E-4</v>
      </c>
      <c r="H183" s="12">
        <f t="shared" si="11"/>
        <v>0.99604999999999777</v>
      </c>
    </row>
    <row r="184" spans="1:8" ht="14.25" thickBot="1">
      <c r="A184" s="18">
        <v>18.100000000000001</v>
      </c>
      <c r="B184" s="15">
        <v>0.97706999999999999</v>
      </c>
      <c r="C184" s="11">
        <f t="shared" si="8"/>
        <v>-9.999999999999109E-4</v>
      </c>
      <c r="D184" s="12">
        <f t="shared" si="9"/>
        <v>0.99516999999999833</v>
      </c>
      <c r="E184" s="18">
        <v>18.100000000000001</v>
      </c>
      <c r="F184" s="15">
        <v>0.97794999999999999</v>
      </c>
      <c r="G184" s="11">
        <f t="shared" si="10"/>
        <v>-9.999999999999109E-4</v>
      </c>
      <c r="H184" s="12">
        <f t="shared" si="11"/>
        <v>0.99604999999999833</v>
      </c>
    </row>
    <row r="185" spans="1:8" ht="14.25" thickBot="1">
      <c r="A185" s="18">
        <v>18.2</v>
      </c>
      <c r="B185" s="15">
        <v>0.97697000000000001</v>
      </c>
      <c r="C185" s="11">
        <f t="shared" si="8"/>
        <v>-1.1000000000005292E-3</v>
      </c>
      <c r="D185" s="12">
        <f t="shared" si="9"/>
        <v>0.99699000000000959</v>
      </c>
      <c r="E185" s="18">
        <v>18.2</v>
      </c>
      <c r="F185" s="15">
        <v>0.97785</v>
      </c>
      <c r="G185" s="11">
        <f t="shared" si="10"/>
        <v>-1.0999999999994192E-3</v>
      </c>
      <c r="H185" s="12">
        <f t="shared" si="11"/>
        <v>0.99786999999998938</v>
      </c>
    </row>
    <row r="186" spans="1:8" ht="14.25" thickBot="1">
      <c r="A186" s="18">
        <v>18.3</v>
      </c>
      <c r="B186" s="15">
        <v>0.97685999999999995</v>
      </c>
      <c r="C186" s="11">
        <f t="shared" si="8"/>
        <v>-9.999999999999109E-4</v>
      </c>
      <c r="D186" s="12">
        <f t="shared" si="9"/>
        <v>0.99515999999999827</v>
      </c>
      <c r="E186" s="18">
        <v>18.3</v>
      </c>
      <c r="F186" s="15">
        <v>0.97774000000000005</v>
      </c>
      <c r="G186" s="11">
        <f t="shared" si="10"/>
        <v>-1.0000000000010211E-3</v>
      </c>
      <c r="H186" s="12">
        <f t="shared" si="11"/>
        <v>0.99604000000001869</v>
      </c>
    </row>
    <row r="187" spans="1:8" ht="14.25" thickBot="1">
      <c r="A187" s="18">
        <v>18.399999999999999</v>
      </c>
      <c r="B187" s="15">
        <v>0.97675999999999996</v>
      </c>
      <c r="C187" s="11">
        <f t="shared" si="8"/>
        <v>-9.9999999999987555E-4</v>
      </c>
      <c r="D187" s="12">
        <f t="shared" si="9"/>
        <v>0.99515999999999771</v>
      </c>
      <c r="E187" s="18">
        <v>18.399999999999999</v>
      </c>
      <c r="F187" s="15">
        <v>0.97763999999999995</v>
      </c>
      <c r="G187" s="11">
        <f t="shared" si="10"/>
        <v>-9.9999999999987555E-4</v>
      </c>
      <c r="H187" s="12">
        <f t="shared" si="11"/>
        <v>0.9960399999999977</v>
      </c>
    </row>
    <row r="188" spans="1:8" ht="14.25" thickBot="1">
      <c r="A188" s="18">
        <v>18.5</v>
      </c>
      <c r="B188" s="15">
        <v>0.97665999999999997</v>
      </c>
      <c r="C188" s="11">
        <f t="shared" si="8"/>
        <v>-9.9999999999987555E-4</v>
      </c>
      <c r="D188" s="12">
        <f t="shared" si="9"/>
        <v>0.99515999999999771</v>
      </c>
      <c r="E188" s="18">
        <v>18.5</v>
      </c>
      <c r="F188" s="15">
        <v>0.97753999999999996</v>
      </c>
      <c r="G188" s="11">
        <f t="shared" si="10"/>
        <v>-9.9999999999987555E-4</v>
      </c>
      <c r="H188" s="12">
        <f t="shared" si="11"/>
        <v>0.9960399999999977</v>
      </c>
    </row>
    <row r="189" spans="1:8" ht="14.25" thickBot="1">
      <c r="A189" s="18">
        <v>18.600000000000001</v>
      </c>
      <c r="B189" s="15">
        <v>0.97655999999999998</v>
      </c>
      <c r="C189" s="11">
        <f t="shared" si="8"/>
        <v>-9.999999999999109E-4</v>
      </c>
      <c r="D189" s="12">
        <f t="shared" si="9"/>
        <v>0.99515999999999838</v>
      </c>
      <c r="E189" s="18">
        <v>18.600000000000001</v>
      </c>
      <c r="F189" s="15">
        <v>0.97743999999999998</v>
      </c>
      <c r="G189" s="11">
        <f t="shared" si="10"/>
        <v>-9.999999999999109E-4</v>
      </c>
      <c r="H189" s="12">
        <f t="shared" si="11"/>
        <v>0.99603999999999837</v>
      </c>
    </row>
    <row r="190" spans="1:8" ht="14.25" thickBot="1">
      <c r="A190" s="18">
        <v>18.7</v>
      </c>
      <c r="B190" s="15">
        <v>0.97645999999999999</v>
      </c>
      <c r="C190" s="11">
        <f t="shared" si="8"/>
        <v>-9.9999999999987555E-4</v>
      </c>
      <c r="D190" s="12">
        <f t="shared" si="9"/>
        <v>0.99515999999999771</v>
      </c>
      <c r="E190" s="18">
        <v>18.7</v>
      </c>
      <c r="F190" s="15">
        <v>0.97733999999999999</v>
      </c>
      <c r="G190" s="11">
        <f t="shared" si="10"/>
        <v>-9.9999999999987555E-4</v>
      </c>
      <c r="H190" s="12">
        <f t="shared" si="11"/>
        <v>0.9960399999999977</v>
      </c>
    </row>
    <row r="191" spans="1:8" ht="14.25" thickBot="1">
      <c r="A191" s="18">
        <v>18.8</v>
      </c>
      <c r="B191" s="15">
        <v>0.97636000000000001</v>
      </c>
      <c r="C191" s="11">
        <f t="shared" si="8"/>
        <v>-9.999999999999109E-4</v>
      </c>
      <c r="D191" s="12">
        <f t="shared" si="9"/>
        <v>0.99515999999999838</v>
      </c>
      <c r="E191" s="18">
        <v>18.8</v>
      </c>
      <c r="F191" s="15">
        <v>0.97724</v>
      </c>
      <c r="G191" s="11">
        <f t="shared" si="10"/>
        <v>-9.999999999999109E-4</v>
      </c>
      <c r="H191" s="12">
        <f t="shared" si="11"/>
        <v>0.99603999999999837</v>
      </c>
    </row>
    <row r="192" spans="1:8" ht="14.25" thickBot="1">
      <c r="A192" s="18">
        <v>18.899999999999999</v>
      </c>
      <c r="B192" s="15">
        <v>0.97626000000000002</v>
      </c>
      <c r="C192" s="11">
        <f t="shared" si="8"/>
        <v>-9.9999999999987555E-4</v>
      </c>
      <c r="D192" s="12">
        <f t="shared" si="9"/>
        <v>0.99515999999999771</v>
      </c>
      <c r="E192" s="18">
        <v>18.899999999999999</v>
      </c>
      <c r="F192" s="15">
        <v>0.97714000000000001</v>
      </c>
      <c r="G192" s="11">
        <f t="shared" si="10"/>
        <v>-9.9999999999987555E-4</v>
      </c>
      <c r="H192" s="12">
        <f t="shared" si="11"/>
        <v>0.9960399999999977</v>
      </c>
    </row>
    <row r="193" spans="1:8" ht="14.25" thickBot="1">
      <c r="A193" s="9">
        <v>19</v>
      </c>
      <c r="B193" s="19">
        <v>0.97616000000000003</v>
      </c>
      <c r="C193" s="11">
        <f t="shared" si="8"/>
        <v>-9.9999999999987555E-4</v>
      </c>
      <c r="D193" s="12">
        <f t="shared" si="9"/>
        <v>0.99515999999999771</v>
      </c>
      <c r="E193" s="9">
        <v>19</v>
      </c>
      <c r="F193" s="19">
        <v>0.97704000000000002</v>
      </c>
      <c r="G193" s="11">
        <f t="shared" si="10"/>
        <v>-9.9999999999987555E-4</v>
      </c>
      <c r="H193" s="12">
        <f t="shared" si="11"/>
        <v>0.9960399999999977</v>
      </c>
    </row>
    <row r="194" spans="1:8" ht="14.25" thickBot="1">
      <c r="A194" s="18">
        <v>19.100000000000001</v>
      </c>
      <c r="B194" s="15">
        <v>0.97606000000000004</v>
      </c>
      <c r="C194" s="11">
        <f t="shared" si="8"/>
        <v>-9.999999999999109E-4</v>
      </c>
      <c r="D194" s="12">
        <f t="shared" si="9"/>
        <v>0.99515999999999838</v>
      </c>
      <c r="E194" s="18">
        <v>19.100000000000001</v>
      </c>
      <c r="F194" s="15">
        <v>0.97694000000000003</v>
      </c>
      <c r="G194" s="11">
        <f t="shared" si="10"/>
        <v>-9.999999999999109E-4</v>
      </c>
      <c r="H194" s="12">
        <f t="shared" si="11"/>
        <v>0.99603999999999837</v>
      </c>
    </row>
    <row r="195" spans="1:8" ht="14.25" thickBot="1">
      <c r="A195" s="18">
        <v>19.2</v>
      </c>
      <c r="B195" s="15">
        <v>0.97596000000000005</v>
      </c>
      <c r="C195" s="11">
        <f t="shared" si="8"/>
        <v>-1.0000000000009858E-3</v>
      </c>
      <c r="D195" s="12">
        <f t="shared" si="9"/>
        <v>0.99516000000001903</v>
      </c>
      <c r="E195" s="18">
        <v>19.2</v>
      </c>
      <c r="F195" s="15">
        <v>0.97684000000000004</v>
      </c>
      <c r="G195" s="11">
        <f t="shared" si="10"/>
        <v>-9.9999999999987555E-4</v>
      </c>
      <c r="H195" s="12">
        <f t="shared" si="11"/>
        <v>0.9960399999999977</v>
      </c>
    </row>
    <row r="196" spans="1:8" ht="14.25" thickBot="1">
      <c r="A196" s="18">
        <v>19.3</v>
      </c>
      <c r="B196" s="15">
        <v>0.97585999999999995</v>
      </c>
      <c r="C196" s="11">
        <f t="shared" ref="C196:C259" si="12">SLOPE(B196:B197,A196:A197)</f>
        <v>-9.999999999999109E-4</v>
      </c>
      <c r="D196" s="12">
        <f t="shared" ref="D196:D259" si="13">INTERCEPT(B196:B197,A196:A197)</f>
        <v>0.99515999999999827</v>
      </c>
      <c r="E196" s="18">
        <v>19.3</v>
      </c>
      <c r="F196" s="15">
        <v>0.97674000000000005</v>
      </c>
      <c r="G196" s="11">
        <f t="shared" ref="G196:G259" si="14">SLOPE(F196:F197,E196:E197)</f>
        <v>-1.0000000000010211E-3</v>
      </c>
      <c r="H196" s="12">
        <f t="shared" ref="H196:H259" si="15">INTERCEPT(F196:F197,E196:E197)</f>
        <v>0.9960400000000198</v>
      </c>
    </row>
    <row r="197" spans="1:8" ht="14.25" thickBot="1">
      <c r="A197" s="18">
        <v>19.399999999999999</v>
      </c>
      <c r="B197" s="15">
        <v>0.97575999999999996</v>
      </c>
      <c r="C197" s="11">
        <f t="shared" si="12"/>
        <v>-9.9999999999987555E-4</v>
      </c>
      <c r="D197" s="12">
        <f t="shared" si="13"/>
        <v>0.9951599999999976</v>
      </c>
      <c r="E197" s="18">
        <v>19.399999999999999</v>
      </c>
      <c r="F197" s="15">
        <v>0.97663999999999995</v>
      </c>
      <c r="G197" s="11">
        <f t="shared" si="14"/>
        <v>-9.9999999999987555E-4</v>
      </c>
      <c r="H197" s="12">
        <f t="shared" si="15"/>
        <v>0.99603999999999759</v>
      </c>
    </row>
    <row r="198" spans="1:8" ht="14.25" thickBot="1">
      <c r="A198" s="18">
        <v>19.5</v>
      </c>
      <c r="B198" s="15">
        <v>0.97565999999999997</v>
      </c>
      <c r="C198" s="11">
        <f t="shared" si="12"/>
        <v>-9.9999999999987555E-4</v>
      </c>
      <c r="D198" s="12">
        <f t="shared" si="13"/>
        <v>0.9951599999999976</v>
      </c>
      <c r="E198" s="18">
        <v>19.5</v>
      </c>
      <c r="F198" s="15">
        <v>0.97653999999999996</v>
      </c>
      <c r="G198" s="11">
        <f t="shared" si="14"/>
        <v>-9.9999999999987555E-4</v>
      </c>
      <c r="H198" s="12">
        <f t="shared" si="15"/>
        <v>0.99603999999999759</v>
      </c>
    </row>
    <row r="199" spans="1:8" ht="14.25" thickBot="1">
      <c r="A199" s="18">
        <v>19.600000000000001</v>
      </c>
      <c r="B199" s="15">
        <v>0.97555999999999998</v>
      </c>
      <c r="C199" s="11">
        <f t="shared" si="12"/>
        <v>-9.999999999999109E-4</v>
      </c>
      <c r="D199" s="12">
        <f t="shared" si="13"/>
        <v>0.99515999999999827</v>
      </c>
      <c r="E199" s="18">
        <v>19.600000000000001</v>
      </c>
      <c r="F199" s="15">
        <v>0.97643999999999997</v>
      </c>
      <c r="G199" s="11">
        <f t="shared" si="14"/>
        <v>-9.999999999999109E-4</v>
      </c>
      <c r="H199" s="12">
        <f t="shared" si="15"/>
        <v>0.99603999999999826</v>
      </c>
    </row>
    <row r="200" spans="1:8" ht="14.25" thickBot="1">
      <c r="A200" s="18">
        <v>19.7</v>
      </c>
      <c r="B200" s="15">
        <v>0.97545999999999999</v>
      </c>
      <c r="C200" s="11">
        <f t="shared" si="12"/>
        <v>-9.9999999999987555E-4</v>
      </c>
      <c r="D200" s="12">
        <f t="shared" si="13"/>
        <v>0.99515999999999749</v>
      </c>
      <c r="E200" s="18">
        <v>19.7</v>
      </c>
      <c r="F200" s="15">
        <v>0.97633999999999999</v>
      </c>
      <c r="G200" s="11">
        <f t="shared" si="14"/>
        <v>-9.9999999999987555E-4</v>
      </c>
      <c r="H200" s="12">
        <f t="shared" si="15"/>
        <v>0.99603999999999748</v>
      </c>
    </row>
    <row r="201" spans="1:8" ht="14.25" thickBot="1">
      <c r="A201" s="18">
        <v>19.8</v>
      </c>
      <c r="B201" s="15">
        <v>0.97536</v>
      </c>
      <c r="C201" s="11">
        <f t="shared" si="12"/>
        <v>-9.999999999999109E-4</v>
      </c>
      <c r="D201" s="12">
        <f t="shared" si="13"/>
        <v>0.99515999999999827</v>
      </c>
      <c r="E201" s="18">
        <v>19.8</v>
      </c>
      <c r="F201" s="15">
        <v>0.97624</v>
      </c>
      <c r="G201" s="11">
        <f t="shared" si="14"/>
        <v>-9.999999999999109E-4</v>
      </c>
      <c r="H201" s="12">
        <f t="shared" si="15"/>
        <v>0.99603999999999826</v>
      </c>
    </row>
    <row r="202" spans="1:8" ht="14.25" thickBot="1">
      <c r="A202" s="18">
        <v>19.899999999999999</v>
      </c>
      <c r="B202" s="15">
        <v>0.97526000000000002</v>
      </c>
      <c r="C202" s="11">
        <f t="shared" si="12"/>
        <v>-9.0000000000033207E-4</v>
      </c>
      <c r="D202" s="12">
        <f t="shared" si="13"/>
        <v>0.99317000000000655</v>
      </c>
      <c r="E202" s="18">
        <v>19.899999999999999</v>
      </c>
      <c r="F202" s="15">
        <v>0.97614000000000001</v>
      </c>
      <c r="G202" s="11">
        <f t="shared" si="14"/>
        <v>-9.0000000000033207E-4</v>
      </c>
      <c r="H202" s="12">
        <f t="shared" si="15"/>
        <v>0.99405000000000654</v>
      </c>
    </row>
    <row r="203" spans="1:8" ht="14.25" thickBot="1">
      <c r="A203" s="9">
        <v>20</v>
      </c>
      <c r="B203" s="19">
        <v>0.97516999999999998</v>
      </c>
      <c r="C203" s="11">
        <f t="shared" si="12"/>
        <v>-9.9999999999987555E-4</v>
      </c>
      <c r="D203" s="12">
        <f t="shared" si="13"/>
        <v>0.99516999999999745</v>
      </c>
      <c r="E203" s="9">
        <v>20</v>
      </c>
      <c r="F203" s="19">
        <v>0.97604999999999997</v>
      </c>
      <c r="G203" s="11">
        <f t="shared" si="14"/>
        <v>-9.9999999999987555E-4</v>
      </c>
      <c r="H203" s="12">
        <f t="shared" si="15"/>
        <v>0.99604999999999744</v>
      </c>
    </row>
    <row r="204" spans="1:8" ht="14.25" thickBot="1">
      <c r="A204" s="22">
        <v>20.100000000000001</v>
      </c>
      <c r="B204" s="15">
        <v>0.97506999999999999</v>
      </c>
      <c r="C204" s="11">
        <f t="shared" si="12"/>
        <v>-9.999999999999109E-4</v>
      </c>
      <c r="D204" s="12">
        <f t="shared" si="13"/>
        <v>0.99516999999999822</v>
      </c>
      <c r="E204" s="22">
        <v>20.100000000000001</v>
      </c>
      <c r="F204" s="15">
        <v>0.97594999999999998</v>
      </c>
      <c r="G204" s="11">
        <f t="shared" si="14"/>
        <v>-9.999999999999109E-4</v>
      </c>
      <c r="H204" s="12">
        <f t="shared" si="15"/>
        <v>0.99604999999999821</v>
      </c>
    </row>
    <row r="205" spans="1:8" ht="14.25" thickBot="1">
      <c r="A205" s="22">
        <v>20.2</v>
      </c>
      <c r="B205" s="15">
        <v>0.97497</v>
      </c>
      <c r="C205" s="11">
        <f t="shared" si="12"/>
        <v>-9.9999999999987555E-4</v>
      </c>
      <c r="D205" s="12">
        <f t="shared" si="13"/>
        <v>0.99516999999999745</v>
      </c>
      <c r="E205" s="22">
        <v>20.2</v>
      </c>
      <c r="F205" s="15">
        <v>0.97585</v>
      </c>
      <c r="G205" s="11">
        <f t="shared" si="14"/>
        <v>-9.9999999999987555E-4</v>
      </c>
      <c r="H205" s="12">
        <f t="shared" si="15"/>
        <v>0.99604999999999744</v>
      </c>
    </row>
    <row r="206" spans="1:8" ht="14.25" thickBot="1">
      <c r="A206" s="22">
        <v>20.3</v>
      </c>
      <c r="B206" s="15">
        <v>0.97487000000000001</v>
      </c>
      <c r="C206" s="11">
        <f t="shared" si="12"/>
        <v>-9.999999999999109E-4</v>
      </c>
      <c r="D206" s="12">
        <f t="shared" si="13"/>
        <v>0.99516999999999822</v>
      </c>
      <c r="E206" s="22">
        <v>20.3</v>
      </c>
      <c r="F206" s="15">
        <v>0.97575000000000001</v>
      </c>
      <c r="G206" s="11">
        <f t="shared" si="14"/>
        <v>-9.999999999999109E-4</v>
      </c>
      <c r="H206" s="12">
        <f t="shared" si="15"/>
        <v>0.99604999999999821</v>
      </c>
    </row>
    <row r="207" spans="1:8" ht="14.25" thickBot="1">
      <c r="A207" s="22">
        <v>20.399999999999999</v>
      </c>
      <c r="B207" s="15">
        <v>0.97477000000000003</v>
      </c>
      <c r="C207" s="11">
        <f t="shared" si="12"/>
        <v>-9.9999999999987555E-4</v>
      </c>
      <c r="D207" s="12">
        <f t="shared" si="13"/>
        <v>0.99516999999999745</v>
      </c>
      <c r="E207" s="22">
        <v>20.399999999999999</v>
      </c>
      <c r="F207" s="15">
        <v>0.97565000000000002</v>
      </c>
      <c r="G207" s="11">
        <f t="shared" si="14"/>
        <v>-9.9999999999987555E-4</v>
      </c>
      <c r="H207" s="12">
        <f t="shared" si="15"/>
        <v>0.99604999999999744</v>
      </c>
    </row>
    <row r="208" spans="1:8" ht="14.25" thickBot="1">
      <c r="A208" s="22">
        <v>20.5</v>
      </c>
      <c r="B208" s="15">
        <v>0.97467000000000004</v>
      </c>
      <c r="C208" s="11">
        <f t="shared" si="12"/>
        <v>-9.9999999999987555E-4</v>
      </c>
      <c r="D208" s="12">
        <f t="shared" si="13"/>
        <v>0.99516999999999745</v>
      </c>
      <c r="E208" s="22">
        <v>20.5</v>
      </c>
      <c r="F208" s="15">
        <v>0.97555000000000003</v>
      </c>
      <c r="G208" s="11">
        <f t="shared" si="14"/>
        <v>-9.9999999999987555E-4</v>
      </c>
      <c r="H208" s="12">
        <f t="shared" si="15"/>
        <v>0.99604999999999744</v>
      </c>
    </row>
    <row r="209" spans="1:8" ht="14.25" thickBot="1">
      <c r="A209" s="22">
        <v>20.6</v>
      </c>
      <c r="B209" s="15">
        <v>0.97457000000000005</v>
      </c>
      <c r="C209" s="11">
        <f t="shared" si="12"/>
        <v>-1.0000000000010211E-3</v>
      </c>
      <c r="D209" s="12">
        <f t="shared" si="13"/>
        <v>0.99517000000002109</v>
      </c>
      <c r="E209" s="22">
        <v>20.6</v>
      </c>
      <c r="F209" s="15">
        <v>0.97545000000000004</v>
      </c>
      <c r="G209" s="11">
        <f t="shared" si="14"/>
        <v>-9.999999999999109E-4</v>
      </c>
      <c r="H209" s="12">
        <f t="shared" si="15"/>
        <v>0.99604999999999821</v>
      </c>
    </row>
    <row r="210" spans="1:8" ht="14.25" thickBot="1">
      <c r="A210" s="22">
        <v>20.7</v>
      </c>
      <c r="B210" s="15">
        <v>0.97446999999999995</v>
      </c>
      <c r="C210" s="11">
        <f t="shared" si="12"/>
        <v>-9.9999999999987555E-4</v>
      </c>
      <c r="D210" s="12">
        <f t="shared" si="13"/>
        <v>0.99516999999999733</v>
      </c>
      <c r="E210" s="22">
        <v>20.7</v>
      </c>
      <c r="F210" s="15">
        <v>0.97535000000000005</v>
      </c>
      <c r="G210" s="11">
        <f t="shared" si="14"/>
        <v>-1.0000000000009858E-3</v>
      </c>
      <c r="H210" s="12">
        <f t="shared" si="15"/>
        <v>0.99605000000002053</v>
      </c>
    </row>
    <row r="211" spans="1:8" ht="14.25" thickBot="1">
      <c r="A211" s="22">
        <v>20.8</v>
      </c>
      <c r="B211" s="15">
        <v>0.97436999999999996</v>
      </c>
      <c r="C211" s="11">
        <f t="shared" si="12"/>
        <v>-9.999999999999109E-4</v>
      </c>
      <c r="D211" s="12">
        <f t="shared" si="13"/>
        <v>0.99516999999999811</v>
      </c>
      <c r="E211" s="22">
        <v>20.8</v>
      </c>
      <c r="F211" s="15">
        <v>0.97524999999999995</v>
      </c>
      <c r="G211" s="11">
        <f t="shared" si="14"/>
        <v>-9.999999999999109E-4</v>
      </c>
      <c r="H211" s="12">
        <f t="shared" si="15"/>
        <v>0.9960499999999981</v>
      </c>
    </row>
    <row r="212" spans="1:8" ht="14.25" thickBot="1">
      <c r="A212" s="23">
        <v>20.9</v>
      </c>
      <c r="B212" s="17">
        <v>0.97426999999999997</v>
      </c>
      <c r="C212" s="11">
        <f t="shared" si="12"/>
        <v>-9.9999999999987555E-4</v>
      </c>
      <c r="D212" s="12">
        <f t="shared" si="13"/>
        <v>0.99516999999999733</v>
      </c>
      <c r="E212" s="23">
        <v>20.9</v>
      </c>
      <c r="F212" s="17">
        <v>0.97514999999999996</v>
      </c>
      <c r="G212" s="11">
        <f t="shared" si="14"/>
        <v>-9.9999999999987555E-4</v>
      </c>
      <c r="H212" s="12">
        <f t="shared" si="15"/>
        <v>0.99604999999999733</v>
      </c>
    </row>
    <row r="213" spans="1:8" ht="14.25" thickBot="1">
      <c r="A213" s="24">
        <v>21</v>
      </c>
      <c r="B213" s="17">
        <v>0.97416999999999998</v>
      </c>
      <c r="C213" s="11">
        <f t="shared" si="12"/>
        <v>-9.9999999999987555E-4</v>
      </c>
      <c r="D213" s="12">
        <f t="shared" si="13"/>
        <v>0.99516999999999733</v>
      </c>
      <c r="E213" s="24">
        <v>21</v>
      </c>
      <c r="F213" s="17">
        <v>0.97504999999999997</v>
      </c>
      <c r="G213" s="11">
        <f t="shared" si="14"/>
        <v>-9.9999999999987555E-4</v>
      </c>
      <c r="H213" s="12">
        <f t="shared" si="15"/>
        <v>0.99604999999999733</v>
      </c>
    </row>
    <row r="214" spans="1:8" ht="14.25" thickBot="1">
      <c r="A214" s="22">
        <v>21.1</v>
      </c>
      <c r="B214" s="15">
        <v>0.97406999999999999</v>
      </c>
      <c r="C214" s="11">
        <f t="shared" si="12"/>
        <v>-9.999999999999109E-4</v>
      </c>
      <c r="D214" s="12">
        <f t="shared" si="13"/>
        <v>0.99516999999999811</v>
      </c>
      <c r="E214" s="22">
        <v>21.1</v>
      </c>
      <c r="F214" s="15">
        <v>0.97494999999999998</v>
      </c>
      <c r="G214" s="11">
        <f t="shared" si="14"/>
        <v>-9.999999999999109E-4</v>
      </c>
      <c r="H214" s="12">
        <f t="shared" si="15"/>
        <v>0.9960499999999981</v>
      </c>
    </row>
    <row r="215" spans="1:8" ht="14.25" thickBot="1">
      <c r="A215" s="25">
        <v>21.2</v>
      </c>
      <c r="B215" s="15">
        <v>0.97397</v>
      </c>
      <c r="C215" s="11">
        <f t="shared" si="12"/>
        <v>-9.9999999999987555E-4</v>
      </c>
      <c r="D215" s="12">
        <f t="shared" si="13"/>
        <v>0.99516999999999733</v>
      </c>
      <c r="E215" s="25">
        <v>21.2</v>
      </c>
      <c r="F215" s="15">
        <v>0.97484999999999999</v>
      </c>
      <c r="G215" s="11">
        <f t="shared" si="14"/>
        <v>-9.9999999999987555E-4</v>
      </c>
      <c r="H215" s="12">
        <f t="shared" si="15"/>
        <v>0.99604999999999733</v>
      </c>
    </row>
    <row r="216" spans="1:8" ht="14.25" thickBot="1">
      <c r="A216" s="25">
        <v>21.3</v>
      </c>
      <c r="B216" s="15">
        <v>0.97387000000000001</v>
      </c>
      <c r="C216" s="11">
        <f t="shared" si="12"/>
        <v>-9.999999999999109E-4</v>
      </c>
      <c r="D216" s="12">
        <f t="shared" si="13"/>
        <v>0.99516999999999811</v>
      </c>
      <c r="E216" s="25">
        <v>21.3</v>
      </c>
      <c r="F216" s="15">
        <v>0.97475000000000001</v>
      </c>
      <c r="G216" s="11">
        <f t="shared" si="14"/>
        <v>-9.999999999999109E-4</v>
      </c>
      <c r="H216" s="12">
        <f t="shared" si="15"/>
        <v>0.9960499999999981</v>
      </c>
    </row>
    <row r="217" spans="1:8" ht="14.25" thickBot="1">
      <c r="A217" s="25">
        <v>21.4</v>
      </c>
      <c r="B217" s="15">
        <v>0.97377000000000002</v>
      </c>
      <c r="C217" s="11">
        <f t="shared" si="12"/>
        <v>-9.9999999999987555E-4</v>
      </c>
      <c r="D217" s="12">
        <f t="shared" si="13"/>
        <v>0.99516999999999733</v>
      </c>
      <c r="E217" s="25">
        <v>21.4</v>
      </c>
      <c r="F217" s="15">
        <v>0.97465000000000002</v>
      </c>
      <c r="G217" s="11">
        <f t="shared" si="14"/>
        <v>-9.9999999999987555E-4</v>
      </c>
      <c r="H217" s="12">
        <f t="shared" si="15"/>
        <v>0.99604999999999733</v>
      </c>
    </row>
    <row r="218" spans="1:8" ht="14.25" thickBot="1">
      <c r="A218" s="25">
        <v>21.5</v>
      </c>
      <c r="B218" s="15">
        <v>0.97367000000000004</v>
      </c>
      <c r="C218" s="11">
        <f t="shared" si="12"/>
        <v>-9.9999999999987555E-4</v>
      </c>
      <c r="D218" s="12">
        <f t="shared" si="13"/>
        <v>0.99516999999999733</v>
      </c>
      <c r="E218" s="25">
        <v>21.5</v>
      </c>
      <c r="F218" s="15">
        <v>0.97455000000000003</v>
      </c>
      <c r="G218" s="11">
        <f t="shared" si="14"/>
        <v>-9.9999999999987555E-4</v>
      </c>
      <c r="H218" s="12">
        <f t="shared" si="15"/>
        <v>0.99604999999999733</v>
      </c>
    </row>
    <row r="219" spans="1:8" ht="14.25" thickBot="1">
      <c r="A219" s="25">
        <v>21.6</v>
      </c>
      <c r="B219" s="15">
        <v>0.97357000000000005</v>
      </c>
      <c r="C219" s="11">
        <f t="shared" si="12"/>
        <v>-1.0000000000010211E-3</v>
      </c>
      <c r="D219" s="12">
        <f t="shared" si="13"/>
        <v>0.99517000000002209</v>
      </c>
      <c r="E219" s="25">
        <v>21.6</v>
      </c>
      <c r="F219" s="15">
        <v>0.97445000000000004</v>
      </c>
      <c r="G219" s="11">
        <f t="shared" si="14"/>
        <v>-9.999999999999109E-4</v>
      </c>
      <c r="H219" s="12">
        <f t="shared" si="15"/>
        <v>0.9960499999999981</v>
      </c>
    </row>
    <row r="220" spans="1:8" ht="14.25" thickBot="1">
      <c r="A220" s="25">
        <v>21.7</v>
      </c>
      <c r="B220" s="15">
        <v>0.97346999999999995</v>
      </c>
      <c r="C220" s="11">
        <f t="shared" si="12"/>
        <v>-9.9999999999987555E-4</v>
      </c>
      <c r="D220" s="12">
        <f t="shared" si="13"/>
        <v>0.99516999999999722</v>
      </c>
      <c r="E220" s="25">
        <v>21.7</v>
      </c>
      <c r="F220" s="15">
        <v>0.97435000000000005</v>
      </c>
      <c r="G220" s="11">
        <f t="shared" si="14"/>
        <v>-1.0000000000009858E-3</v>
      </c>
      <c r="H220" s="12">
        <f t="shared" si="15"/>
        <v>0.99605000000002142</v>
      </c>
    </row>
    <row r="221" spans="1:8" ht="14.25" thickBot="1">
      <c r="A221" s="25">
        <v>21.8</v>
      </c>
      <c r="B221" s="15">
        <v>0.97336999999999996</v>
      </c>
      <c r="C221" s="11">
        <f t="shared" si="12"/>
        <v>-9.999999999999109E-4</v>
      </c>
      <c r="D221" s="12">
        <f t="shared" si="13"/>
        <v>0.995169999999998</v>
      </c>
      <c r="E221" s="25">
        <v>21.8</v>
      </c>
      <c r="F221" s="15">
        <v>0.97424999999999995</v>
      </c>
      <c r="G221" s="11">
        <f t="shared" si="14"/>
        <v>-9.999999999999109E-4</v>
      </c>
      <c r="H221" s="12">
        <f t="shared" si="15"/>
        <v>0.99604999999999799</v>
      </c>
    </row>
    <row r="222" spans="1:8" ht="14.25" thickBot="1">
      <c r="A222" s="25">
        <v>21.9</v>
      </c>
      <c r="B222" s="15">
        <v>0.97326999999999997</v>
      </c>
      <c r="C222" s="11">
        <f t="shared" si="12"/>
        <v>-9.9999999999987555E-4</v>
      </c>
      <c r="D222" s="12">
        <f t="shared" si="13"/>
        <v>0.99516999999999722</v>
      </c>
      <c r="E222" s="25">
        <v>21.9</v>
      </c>
      <c r="F222" s="15">
        <v>0.97414999999999996</v>
      </c>
      <c r="G222" s="11">
        <f t="shared" si="14"/>
        <v>-9.9999999999987555E-4</v>
      </c>
      <c r="H222" s="12">
        <f t="shared" si="15"/>
        <v>0.99604999999999722</v>
      </c>
    </row>
    <row r="223" spans="1:8" ht="14.25" thickBot="1">
      <c r="A223" s="26">
        <v>22</v>
      </c>
      <c r="B223" s="19">
        <v>0.97316999999999998</v>
      </c>
      <c r="C223" s="11">
        <f t="shared" si="12"/>
        <v>-9.9999999999987555E-4</v>
      </c>
      <c r="D223" s="12">
        <f t="shared" si="13"/>
        <v>0.99516999999999722</v>
      </c>
      <c r="E223" s="26">
        <v>22</v>
      </c>
      <c r="F223" s="19">
        <v>0.97404999999999997</v>
      </c>
      <c r="G223" s="11">
        <f t="shared" si="14"/>
        <v>-9.9999999999987555E-4</v>
      </c>
      <c r="H223" s="12">
        <f t="shared" si="15"/>
        <v>0.99604999999999722</v>
      </c>
    </row>
    <row r="224" spans="1:8" ht="14.25" thickBot="1">
      <c r="A224" s="22">
        <v>22.1</v>
      </c>
      <c r="B224" s="15">
        <v>0.97306999999999999</v>
      </c>
      <c r="C224" s="11">
        <f t="shared" si="12"/>
        <v>-9.999999999999109E-4</v>
      </c>
      <c r="D224" s="12">
        <f t="shared" si="13"/>
        <v>0.995169999999998</v>
      </c>
      <c r="E224" s="22">
        <v>22.1</v>
      </c>
      <c r="F224" s="15">
        <v>0.97394999999999998</v>
      </c>
      <c r="G224" s="11">
        <f t="shared" si="14"/>
        <v>-9.999999999999109E-4</v>
      </c>
      <c r="H224" s="12">
        <f t="shared" si="15"/>
        <v>0.99604999999999799</v>
      </c>
    </row>
    <row r="225" spans="1:8" ht="14.25" thickBot="1">
      <c r="A225" s="22">
        <v>22.2</v>
      </c>
      <c r="B225" s="15">
        <v>0.97297</v>
      </c>
      <c r="C225" s="11">
        <f t="shared" si="12"/>
        <v>-9.9999999999987555E-4</v>
      </c>
      <c r="D225" s="12">
        <f t="shared" si="13"/>
        <v>0.99516999999999722</v>
      </c>
      <c r="E225" s="22">
        <v>22.2</v>
      </c>
      <c r="F225" s="15">
        <v>0.97384999999999999</v>
      </c>
      <c r="G225" s="11">
        <f t="shared" si="14"/>
        <v>-9.9999999999987555E-4</v>
      </c>
      <c r="H225" s="12">
        <f t="shared" si="15"/>
        <v>0.99604999999999722</v>
      </c>
    </row>
    <row r="226" spans="1:8" ht="14.25" thickBot="1">
      <c r="A226" s="22">
        <v>22.3</v>
      </c>
      <c r="B226" s="15">
        <v>0.97287000000000001</v>
      </c>
      <c r="C226" s="11">
        <f t="shared" si="12"/>
        <v>-9.999999999999109E-4</v>
      </c>
      <c r="D226" s="12">
        <f t="shared" si="13"/>
        <v>0.995169999999998</v>
      </c>
      <c r="E226" s="22">
        <v>22.3</v>
      </c>
      <c r="F226" s="15">
        <v>0.97375</v>
      </c>
      <c r="G226" s="11">
        <f t="shared" si="14"/>
        <v>-9.999999999999109E-4</v>
      </c>
      <c r="H226" s="12">
        <f t="shared" si="15"/>
        <v>0.99604999999999799</v>
      </c>
    </row>
    <row r="227" spans="1:8" ht="14.25" thickBot="1">
      <c r="A227" s="22">
        <v>22.4</v>
      </c>
      <c r="B227" s="15">
        <v>0.97277000000000002</v>
      </c>
      <c r="C227" s="11">
        <f t="shared" si="12"/>
        <v>-1.1000000000005292E-3</v>
      </c>
      <c r="D227" s="12">
        <f t="shared" si="13"/>
        <v>0.9974100000000119</v>
      </c>
      <c r="E227" s="22">
        <v>22.4</v>
      </c>
      <c r="F227" s="15">
        <v>0.97365000000000002</v>
      </c>
      <c r="G227" s="11">
        <f t="shared" si="14"/>
        <v>-1.1000000000005292E-3</v>
      </c>
      <c r="H227" s="12">
        <f t="shared" si="15"/>
        <v>0.99829000000001189</v>
      </c>
    </row>
    <row r="228" spans="1:8" ht="14.25" thickBot="1">
      <c r="A228" s="22">
        <v>22.5</v>
      </c>
      <c r="B228" s="15">
        <v>0.97265999999999997</v>
      </c>
      <c r="C228" s="11">
        <f t="shared" si="12"/>
        <v>-9.9999999999987555E-4</v>
      </c>
      <c r="D228" s="12">
        <f t="shared" si="13"/>
        <v>0.99515999999999716</v>
      </c>
      <c r="E228" s="22">
        <v>22.5</v>
      </c>
      <c r="F228" s="15">
        <v>0.97353999999999996</v>
      </c>
      <c r="G228" s="11">
        <f t="shared" si="14"/>
        <v>-9.9999999999987555E-4</v>
      </c>
      <c r="H228" s="12">
        <f t="shared" si="15"/>
        <v>0.99603999999999715</v>
      </c>
    </row>
    <row r="229" spans="1:8" ht="14.25" thickBot="1">
      <c r="A229" s="22">
        <v>22.6</v>
      </c>
      <c r="B229" s="15">
        <v>0.97255999999999998</v>
      </c>
      <c r="C229" s="11">
        <f t="shared" si="12"/>
        <v>-9.999999999999109E-4</v>
      </c>
      <c r="D229" s="12">
        <f t="shared" si="13"/>
        <v>0.99515999999999794</v>
      </c>
      <c r="E229" s="22">
        <v>22.6</v>
      </c>
      <c r="F229" s="15">
        <v>0.97343999999999997</v>
      </c>
      <c r="G229" s="11">
        <f t="shared" si="14"/>
        <v>-9.999999999999109E-4</v>
      </c>
      <c r="H229" s="12">
        <f t="shared" si="15"/>
        <v>0.99603999999999793</v>
      </c>
    </row>
    <row r="230" spans="1:8" ht="14.25" thickBot="1">
      <c r="A230" s="22">
        <v>22.7</v>
      </c>
      <c r="B230" s="15">
        <v>0.97245999999999999</v>
      </c>
      <c r="C230" s="11">
        <f t="shared" si="12"/>
        <v>-9.9999999999987555E-4</v>
      </c>
      <c r="D230" s="12">
        <f t="shared" si="13"/>
        <v>0.99515999999999716</v>
      </c>
      <c r="E230" s="22">
        <v>22.7</v>
      </c>
      <c r="F230" s="15">
        <v>0.97333999999999998</v>
      </c>
      <c r="G230" s="11">
        <f t="shared" si="14"/>
        <v>-9.9999999999987555E-4</v>
      </c>
      <c r="H230" s="12">
        <f t="shared" si="15"/>
        <v>0.99603999999999715</v>
      </c>
    </row>
    <row r="231" spans="1:8" ht="14.25" thickBot="1">
      <c r="A231" s="22">
        <v>22.8</v>
      </c>
      <c r="B231" s="15">
        <v>0.97236</v>
      </c>
      <c r="C231" s="11">
        <f t="shared" si="12"/>
        <v>-9.999999999999109E-4</v>
      </c>
      <c r="D231" s="12">
        <f t="shared" si="13"/>
        <v>0.99515999999999794</v>
      </c>
      <c r="E231" s="22">
        <v>22.8</v>
      </c>
      <c r="F231" s="15">
        <v>0.97323999999999999</v>
      </c>
      <c r="G231" s="11">
        <f t="shared" si="14"/>
        <v>-9.999999999999109E-4</v>
      </c>
      <c r="H231" s="12">
        <f t="shared" si="15"/>
        <v>0.99603999999999793</v>
      </c>
    </row>
    <row r="232" spans="1:8" ht="14.25" thickBot="1">
      <c r="A232" s="22">
        <v>22.9</v>
      </c>
      <c r="B232" s="15">
        <v>0.97226000000000001</v>
      </c>
      <c r="C232" s="11">
        <f t="shared" si="12"/>
        <v>-9.9999999999987555E-4</v>
      </c>
      <c r="D232" s="12">
        <f t="shared" si="13"/>
        <v>0.99515999999999716</v>
      </c>
      <c r="E232" s="22">
        <v>22.9</v>
      </c>
      <c r="F232" s="15">
        <v>0.97314000000000001</v>
      </c>
      <c r="G232" s="11">
        <f t="shared" si="14"/>
        <v>-9.9999999999987555E-4</v>
      </c>
      <c r="H232" s="12">
        <f t="shared" si="15"/>
        <v>0.99603999999999715</v>
      </c>
    </row>
    <row r="233" spans="1:8" ht="14.25" thickBot="1">
      <c r="A233" s="26">
        <v>23</v>
      </c>
      <c r="B233" s="19">
        <v>0.97216000000000002</v>
      </c>
      <c r="C233" s="11">
        <f t="shared" si="12"/>
        <v>-9.9999999999987555E-4</v>
      </c>
      <c r="D233" s="12">
        <f t="shared" si="13"/>
        <v>0.99515999999999716</v>
      </c>
      <c r="E233" s="26">
        <v>23</v>
      </c>
      <c r="F233" s="19">
        <v>0.97304000000000002</v>
      </c>
      <c r="G233" s="11">
        <f t="shared" si="14"/>
        <v>-9.9999999999987555E-4</v>
      </c>
      <c r="H233" s="12">
        <f t="shared" si="15"/>
        <v>0.99603999999999715</v>
      </c>
    </row>
    <row r="234" spans="1:8" ht="14.25" thickBot="1">
      <c r="A234" s="22">
        <v>23.1</v>
      </c>
      <c r="B234" s="15">
        <v>0.97206000000000004</v>
      </c>
      <c r="C234" s="11">
        <f t="shared" si="12"/>
        <v>-9.999999999999109E-4</v>
      </c>
      <c r="D234" s="12">
        <f t="shared" si="13"/>
        <v>0.99515999999999794</v>
      </c>
      <c r="E234" s="22">
        <v>23.1</v>
      </c>
      <c r="F234" s="15">
        <v>0.97294000000000003</v>
      </c>
      <c r="G234" s="11">
        <f t="shared" si="14"/>
        <v>-9.999999999999109E-4</v>
      </c>
      <c r="H234" s="12">
        <f t="shared" si="15"/>
        <v>0.99603999999999793</v>
      </c>
    </row>
    <row r="235" spans="1:8" ht="14.25" thickBot="1">
      <c r="A235" s="22">
        <v>23.2</v>
      </c>
      <c r="B235" s="15">
        <v>0.97196000000000005</v>
      </c>
      <c r="C235" s="11">
        <f t="shared" si="12"/>
        <v>-1.0000000000009858E-3</v>
      </c>
      <c r="D235" s="12">
        <f t="shared" si="13"/>
        <v>0.99516000000002292</v>
      </c>
      <c r="E235" s="22">
        <v>23.2</v>
      </c>
      <c r="F235" s="15">
        <v>0.97284000000000004</v>
      </c>
      <c r="G235" s="11">
        <f t="shared" si="14"/>
        <v>-9.9999999999987555E-4</v>
      </c>
      <c r="H235" s="12">
        <f t="shared" si="15"/>
        <v>0.99603999999999715</v>
      </c>
    </row>
    <row r="236" spans="1:8" ht="14.25" thickBot="1">
      <c r="A236" s="22">
        <v>23.3</v>
      </c>
      <c r="B236" s="15">
        <v>0.97185999999999995</v>
      </c>
      <c r="C236" s="11">
        <f t="shared" si="12"/>
        <v>-1.099999999999458E-3</v>
      </c>
      <c r="D236" s="12">
        <f t="shared" si="13"/>
        <v>0.99748999999998733</v>
      </c>
      <c r="E236" s="22">
        <v>23.3</v>
      </c>
      <c r="F236" s="15">
        <v>0.97274000000000005</v>
      </c>
      <c r="G236" s="11">
        <f t="shared" si="14"/>
        <v>-1.1000000000005682E-3</v>
      </c>
      <c r="H236" s="12">
        <f t="shared" si="15"/>
        <v>0.9983700000000133</v>
      </c>
    </row>
    <row r="237" spans="1:8" ht="14.25" thickBot="1">
      <c r="A237" s="22">
        <v>23.4</v>
      </c>
      <c r="B237" s="15">
        <v>0.97175</v>
      </c>
      <c r="C237" s="11">
        <f t="shared" si="12"/>
        <v>-9.9999999999987555E-4</v>
      </c>
      <c r="D237" s="12">
        <f t="shared" si="13"/>
        <v>0.99514999999999709</v>
      </c>
      <c r="E237" s="22">
        <v>23.4</v>
      </c>
      <c r="F237" s="15">
        <v>0.97262999999999999</v>
      </c>
      <c r="G237" s="11">
        <f t="shared" si="14"/>
        <v>-9.9999999999987555E-4</v>
      </c>
      <c r="H237" s="12">
        <f t="shared" si="15"/>
        <v>0.99602999999999708</v>
      </c>
    </row>
    <row r="238" spans="1:8" ht="14.25" thickBot="1">
      <c r="A238" s="22">
        <v>23.5</v>
      </c>
      <c r="B238" s="15">
        <v>0.97165000000000001</v>
      </c>
      <c r="C238" s="11">
        <f t="shared" si="12"/>
        <v>-9.9999999999987555E-4</v>
      </c>
      <c r="D238" s="12">
        <f t="shared" si="13"/>
        <v>0.99514999999999709</v>
      </c>
      <c r="E238" s="22">
        <v>23.5</v>
      </c>
      <c r="F238" s="15">
        <v>0.97253000000000001</v>
      </c>
      <c r="G238" s="11">
        <f t="shared" si="14"/>
        <v>-9.9999999999987555E-4</v>
      </c>
      <c r="H238" s="12">
        <f t="shared" si="15"/>
        <v>0.99602999999999708</v>
      </c>
    </row>
    <row r="239" spans="1:8" ht="14.25" thickBot="1">
      <c r="A239" s="22">
        <v>23.6</v>
      </c>
      <c r="B239" s="15">
        <v>0.97155000000000002</v>
      </c>
      <c r="C239" s="11">
        <f t="shared" si="12"/>
        <v>-9.999999999999109E-4</v>
      </c>
      <c r="D239" s="12">
        <f t="shared" si="13"/>
        <v>0.99514999999999787</v>
      </c>
      <c r="E239" s="22">
        <v>23.6</v>
      </c>
      <c r="F239" s="15">
        <v>0.97243000000000002</v>
      </c>
      <c r="G239" s="11">
        <f t="shared" si="14"/>
        <v>-9.999999999999109E-4</v>
      </c>
      <c r="H239" s="12">
        <f t="shared" si="15"/>
        <v>0.99602999999999786</v>
      </c>
    </row>
    <row r="240" spans="1:8" ht="14.25" thickBot="1">
      <c r="A240" s="22">
        <v>23.7</v>
      </c>
      <c r="B240" s="15">
        <v>0.97145000000000004</v>
      </c>
      <c r="C240" s="11">
        <f t="shared" si="12"/>
        <v>-9.9999999999987555E-4</v>
      </c>
      <c r="D240" s="12">
        <f t="shared" si="13"/>
        <v>0.99514999999999709</v>
      </c>
      <c r="E240" s="22">
        <v>23.7</v>
      </c>
      <c r="F240" s="15">
        <v>0.97233000000000003</v>
      </c>
      <c r="G240" s="11">
        <f t="shared" si="14"/>
        <v>-9.9999999999987555E-4</v>
      </c>
      <c r="H240" s="12">
        <f t="shared" si="15"/>
        <v>0.99602999999999708</v>
      </c>
    </row>
    <row r="241" spans="1:8" ht="14.25" thickBot="1">
      <c r="A241" s="22">
        <v>23.8</v>
      </c>
      <c r="B241" s="15">
        <v>0.97135000000000005</v>
      </c>
      <c r="C241" s="11">
        <f t="shared" si="12"/>
        <v>-1.0000000000010211E-3</v>
      </c>
      <c r="D241" s="12">
        <f t="shared" si="13"/>
        <v>0.9951500000000244</v>
      </c>
      <c r="E241" s="22">
        <v>23.8</v>
      </c>
      <c r="F241" s="15">
        <v>0.97223000000000004</v>
      </c>
      <c r="G241" s="11">
        <f t="shared" si="14"/>
        <v>-1.1000000000005682E-3</v>
      </c>
      <c r="H241" s="12">
        <f t="shared" si="15"/>
        <v>0.99841000000001356</v>
      </c>
    </row>
    <row r="242" spans="1:8" ht="14.25" thickBot="1">
      <c r="A242" s="22">
        <v>23.9</v>
      </c>
      <c r="B242" s="15">
        <v>0.97124999999999995</v>
      </c>
      <c r="C242" s="11">
        <f t="shared" si="12"/>
        <v>-1.0999999999994192E-3</v>
      </c>
      <c r="D242" s="12">
        <f t="shared" si="13"/>
        <v>0.9975399999999861</v>
      </c>
      <c r="E242" s="22">
        <v>23.9</v>
      </c>
      <c r="F242" s="15">
        <v>0.97211999999999998</v>
      </c>
      <c r="G242" s="11">
        <f t="shared" si="14"/>
        <v>-1.0999999999994192E-3</v>
      </c>
      <c r="H242" s="12">
        <f t="shared" si="15"/>
        <v>0.99840999999998603</v>
      </c>
    </row>
    <row r="243" spans="1:8" ht="14.25" thickBot="1">
      <c r="A243" s="26">
        <v>24</v>
      </c>
      <c r="B243" s="19">
        <v>0.97114</v>
      </c>
      <c r="C243" s="11">
        <f t="shared" si="12"/>
        <v>-9.9999999999987555E-4</v>
      </c>
      <c r="D243" s="12">
        <f t="shared" si="13"/>
        <v>0.99513999999999703</v>
      </c>
      <c r="E243" s="26">
        <v>24</v>
      </c>
      <c r="F243" s="19">
        <v>0.97201000000000004</v>
      </c>
      <c r="G243" s="11">
        <f t="shared" si="14"/>
        <v>-9.9999999999987555E-4</v>
      </c>
      <c r="H243" s="12">
        <f t="shared" si="15"/>
        <v>0.99600999999999706</v>
      </c>
    </row>
    <row r="244" spans="1:8" ht="14.25" thickBot="1">
      <c r="A244" s="22">
        <v>24.1</v>
      </c>
      <c r="B244" s="15">
        <v>0.97104000000000001</v>
      </c>
      <c r="C244" s="11">
        <f t="shared" si="12"/>
        <v>-9.999999999999109E-4</v>
      </c>
      <c r="D244" s="12">
        <f t="shared" si="13"/>
        <v>0.99513999999999792</v>
      </c>
      <c r="E244" s="22">
        <v>24.1</v>
      </c>
      <c r="F244" s="15">
        <v>0.97191000000000005</v>
      </c>
      <c r="G244" s="11">
        <f t="shared" si="14"/>
        <v>-1.0000000000010211E-3</v>
      </c>
      <c r="H244" s="12">
        <f t="shared" si="15"/>
        <v>0.9960100000000246</v>
      </c>
    </row>
    <row r="245" spans="1:8" ht="14.25" thickBot="1">
      <c r="A245" s="22">
        <v>24.2</v>
      </c>
      <c r="B245" s="15">
        <v>0.97094000000000003</v>
      </c>
      <c r="C245" s="11">
        <f t="shared" si="12"/>
        <v>-9.9999999999987555E-4</v>
      </c>
      <c r="D245" s="12">
        <f t="shared" si="13"/>
        <v>0.99513999999999703</v>
      </c>
      <c r="E245" s="22">
        <v>24.2</v>
      </c>
      <c r="F245" s="15">
        <v>0.97180999999999995</v>
      </c>
      <c r="G245" s="11">
        <f t="shared" si="14"/>
        <v>-9.9999999999987555E-4</v>
      </c>
      <c r="H245" s="12">
        <f t="shared" si="15"/>
        <v>0.99600999999999695</v>
      </c>
    </row>
    <row r="246" spans="1:8" ht="14.25" thickBot="1">
      <c r="A246" s="22">
        <v>24.3</v>
      </c>
      <c r="B246" s="15">
        <v>0.97084000000000004</v>
      </c>
      <c r="C246" s="11">
        <f t="shared" si="12"/>
        <v>-1.1000000000005682E-3</v>
      </c>
      <c r="D246" s="12">
        <f t="shared" si="13"/>
        <v>0.99757000000001383</v>
      </c>
      <c r="E246" s="22">
        <v>24.3</v>
      </c>
      <c r="F246" s="15">
        <v>0.97170999999999996</v>
      </c>
      <c r="G246" s="11">
        <f t="shared" si="14"/>
        <v>-1.099999999999458E-3</v>
      </c>
      <c r="H246" s="12">
        <f t="shared" si="15"/>
        <v>0.99843999999998678</v>
      </c>
    </row>
    <row r="247" spans="1:8" ht="14.25" thickBot="1">
      <c r="A247" s="22">
        <v>24.4</v>
      </c>
      <c r="B247" s="15">
        <v>0.97072999999999998</v>
      </c>
      <c r="C247" s="11">
        <f t="shared" si="12"/>
        <v>-9.9999999999987555E-4</v>
      </c>
      <c r="D247" s="12">
        <f t="shared" si="13"/>
        <v>0.99512999999999696</v>
      </c>
      <c r="E247" s="22">
        <v>24.4</v>
      </c>
      <c r="F247" s="15">
        <v>0.97160000000000002</v>
      </c>
      <c r="G247" s="11">
        <f t="shared" si="14"/>
        <v>-9.9999999999987555E-4</v>
      </c>
      <c r="H247" s="12">
        <f t="shared" si="15"/>
        <v>0.995999999999997</v>
      </c>
    </row>
    <row r="248" spans="1:8" ht="14.25" thickBot="1">
      <c r="A248" s="22">
        <v>24.5</v>
      </c>
      <c r="B248" s="15">
        <v>0.97062999999999999</v>
      </c>
      <c r="C248" s="11">
        <f t="shared" si="12"/>
        <v>-9.9999999999987555E-4</v>
      </c>
      <c r="D248" s="12">
        <f t="shared" si="13"/>
        <v>0.99512999999999696</v>
      </c>
      <c r="E248" s="22">
        <v>24.5</v>
      </c>
      <c r="F248" s="15">
        <v>0.97150000000000003</v>
      </c>
      <c r="G248" s="11">
        <f t="shared" si="14"/>
        <v>-9.9999999999987555E-4</v>
      </c>
      <c r="H248" s="12">
        <f t="shared" si="15"/>
        <v>0.995999999999997</v>
      </c>
    </row>
    <row r="249" spans="1:8" ht="14.25" thickBot="1">
      <c r="A249" s="22">
        <v>24.6</v>
      </c>
      <c r="B249" s="15">
        <v>0.97053</v>
      </c>
      <c r="C249" s="11">
        <f t="shared" si="12"/>
        <v>-1.1000000000005682E-3</v>
      </c>
      <c r="D249" s="12">
        <f t="shared" si="13"/>
        <v>0.99759000000001397</v>
      </c>
      <c r="E249" s="22">
        <v>24.6</v>
      </c>
      <c r="F249" s="15">
        <v>0.97140000000000004</v>
      </c>
      <c r="G249" s="11">
        <f t="shared" si="14"/>
        <v>-1.1000000000005682E-3</v>
      </c>
      <c r="H249" s="12">
        <f t="shared" si="15"/>
        <v>0.998460000000014</v>
      </c>
    </row>
    <row r="250" spans="1:8" ht="14.25" thickBot="1">
      <c r="A250" s="22">
        <v>24.7</v>
      </c>
      <c r="B250" s="15">
        <v>0.97041999999999995</v>
      </c>
      <c r="C250" s="11">
        <f t="shared" si="12"/>
        <v>-9.9999999999987555E-4</v>
      </c>
      <c r="D250" s="12">
        <f t="shared" si="13"/>
        <v>0.9951199999999969</v>
      </c>
      <c r="E250" s="22">
        <v>24.7</v>
      </c>
      <c r="F250" s="15">
        <v>0.97128999999999999</v>
      </c>
      <c r="G250" s="11">
        <f t="shared" si="14"/>
        <v>-9.9999999999987555E-4</v>
      </c>
      <c r="H250" s="12">
        <f t="shared" si="15"/>
        <v>0.99598999999999693</v>
      </c>
    </row>
    <row r="251" spans="1:8" ht="14.25" thickBot="1">
      <c r="A251" s="22">
        <v>24.8</v>
      </c>
      <c r="B251" s="15">
        <v>0.97031999999999996</v>
      </c>
      <c r="C251" s="11">
        <f t="shared" si="12"/>
        <v>-9.999999999999109E-4</v>
      </c>
      <c r="D251" s="12">
        <f t="shared" si="13"/>
        <v>0.99511999999999778</v>
      </c>
      <c r="E251" s="22">
        <v>24.8</v>
      </c>
      <c r="F251" s="15">
        <v>0.97119</v>
      </c>
      <c r="G251" s="11">
        <f t="shared" si="14"/>
        <v>-9.999999999999109E-4</v>
      </c>
      <c r="H251" s="12">
        <f t="shared" si="15"/>
        <v>0.99598999999999782</v>
      </c>
    </row>
    <row r="252" spans="1:8" ht="14.25" thickBot="1">
      <c r="A252" s="22">
        <v>24.9</v>
      </c>
      <c r="B252" s="15">
        <v>0.97021999999999997</v>
      </c>
      <c r="C252" s="11">
        <f t="shared" si="12"/>
        <v>-1.0999999999994192E-3</v>
      </c>
      <c r="D252" s="12">
        <f t="shared" si="13"/>
        <v>0.99760999999998545</v>
      </c>
      <c r="E252" s="22">
        <v>24.9</v>
      </c>
      <c r="F252" s="15">
        <v>0.97109000000000001</v>
      </c>
      <c r="G252" s="11">
        <f t="shared" si="14"/>
        <v>-1.1000000000005292E-3</v>
      </c>
      <c r="H252" s="12">
        <f t="shared" si="15"/>
        <v>0.99848000000001313</v>
      </c>
    </row>
    <row r="253" spans="1:8" ht="14.25" thickBot="1">
      <c r="A253" s="26">
        <v>25</v>
      </c>
      <c r="B253" s="19">
        <v>0.97011000000000003</v>
      </c>
      <c r="C253" s="11">
        <f t="shared" si="12"/>
        <v>-9.9999999999987555E-4</v>
      </c>
      <c r="D253" s="12">
        <f t="shared" si="13"/>
        <v>0.99510999999999694</v>
      </c>
      <c r="E253" s="26">
        <v>25</v>
      </c>
      <c r="F253" s="19">
        <v>0.97097999999999995</v>
      </c>
      <c r="G253" s="11">
        <f t="shared" si="14"/>
        <v>-9.9999999999987555E-4</v>
      </c>
      <c r="H253" s="12">
        <f t="shared" si="15"/>
        <v>0.99597999999999687</v>
      </c>
    </row>
    <row r="254" spans="1:8" ht="14.25" thickBot="1">
      <c r="A254" s="22">
        <v>25.1</v>
      </c>
      <c r="B254" s="15">
        <v>0.97001000000000004</v>
      </c>
      <c r="C254" s="11">
        <f t="shared" si="12"/>
        <v>-9.999999999999109E-4</v>
      </c>
      <c r="D254" s="12">
        <f t="shared" si="13"/>
        <v>0.99510999999999783</v>
      </c>
      <c r="E254" s="22">
        <v>25.1</v>
      </c>
      <c r="F254" s="15">
        <v>0.97087999999999997</v>
      </c>
      <c r="G254" s="11">
        <f t="shared" si="14"/>
        <v>-9.999999999999109E-4</v>
      </c>
      <c r="H254" s="12">
        <f t="shared" si="15"/>
        <v>0.99597999999999776</v>
      </c>
    </row>
    <row r="255" spans="1:8" ht="14.25" thickBot="1">
      <c r="A255" s="22">
        <v>25.2</v>
      </c>
      <c r="B255" s="15">
        <v>0.96991000000000005</v>
      </c>
      <c r="C255" s="11">
        <f t="shared" si="12"/>
        <v>-1.1000000000005292E-3</v>
      </c>
      <c r="D255" s="12">
        <f t="shared" si="13"/>
        <v>0.99763000000001334</v>
      </c>
      <c r="E255" s="22">
        <v>25.2</v>
      </c>
      <c r="F255" s="15">
        <v>0.97077999999999998</v>
      </c>
      <c r="G255" s="11">
        <f t="shared" si="14"/>
        <v>-1.0999999999994192E-3</v>
      </c>
      <c r="H255" s="12">
        <f t="shared" si="15"/>
        <v>0.9984999999999854</v>
      </c>
    </row>
    <row r="256" spans="1:8" ht="14.25" thickBot="1">
      <c r="A256" s="22">
        <v>25.3</v>
      </c>
      <c r="B256" s="15">
        <v>0.9698</v>
      </c>
      <c r="C256" s="11">
        <f t="shared" si="12"/>
        <v>-9.999999999999109E-4</v>
      </c>
      <c r="D256" s="12">
        <f t="shared" si="13"/>
        <v>0.99509999999999776</v>
      </c>
      <c r="E256" s="22">
        <v>25.3</v>
      </c>
      <c r="F256" s="15">
        <v>0.97067000000000003</v>
      </c>
      <c r="G256" s="11">
        <f t="shared" si="14"/>
        <v>-9.999999999999109E-4</v>
      </c>
      <c r="H256" s="12">
        <f t="shared" si="15"/>
        <v>0.9959699999999978</v>
      </c>
    </row>
    <row r="257" spans="1:8" ht="14.25" thickBot="1">
      <c r="A257" s="22">
        <v>25.4</v>
      </c>
      <c r="B257" s="15">
        <v>0.96970000000000001</v>
      </c>
      <c r="C257" s="11">
        <f t="shared" si="12"/>
        <v>-1.1000000000005292E-3</v>
      </c>
      <c r="D257" s="12">
        <f t="shared" si="13"/>
        <v>0.9976400000000134</v>
      </c>
      <c r="E257" s="22">
        <v>25.4</v>
      </c>
      <c r="F257" s="15">
        <v>0.97057000000000004</v>
      </c>
      <c r="G257" s="11">
        <f t="shared" si="14"/>
        <v>-1.1000000000005292E-3</v>
      </c>
      <c r="H257" s="12">
        <f t="shared" si="15"/>
        <v>0.99851000000001344</v>
      </c>
    </row>
    <row r="258" spans="1:8" ht="14.25" thickBot="1">
      <c r="A258" s="22">
        <v>25.5</v>
      </c>
      <c r="B258" s="15">
        <v>0.96958999999999995</v>
      </c>
      <c r="C258" s="11">
        <f t="shared" si="12"/>
        <v>-9.9999999999987555E-4</v>
      </c>
      <c r="D258" s="12">
        <f t="shared" si="13"/>
        <v>0.99508999999999681</v>
      </c>
      <c r="E258" s="22">
        <v>25.5</v>
      </c>
      <c r="F258" s="15">
        <v>0.97045999999999999</v>
      </c>
      <c r="G258" s="11">
        <f t="shared" si="14"/>
        <v>-9.9999999999987555E-4</v>
      </c>
      <c r="H258" s="12">
        <f t="shared" si="15"/>
        <v>0.99595999999999685</v>
      </c>
    </row>
    <row r="259" spans="1:8" ht="14.25" thickBot="1">
      <c r="A259" s="22">
        <v>25.6</v>
      </c>
      <c r="B259" s="15">
        <v>0.96948999999999996</v>
      </c>
      <c r="C259" s="11">
        <f t="shared" si="12"/>
        <v>-1.099999999999458E-3</v>
      </c>
      <c r="D259" s="12">
        <f t="shared" si="13"/>
        <v>0.99764999999998616</v>
      </c>
      <c r="E259" s="22">
        <v>25.6</v>
      </c>
      <c r="F259" s="15">
        <v>0.97036</v>
      </c>
      <c r="G259" s="11">
        <f t="shared" si="14"/>
        <v>-1.1000000000005682E-3</v>
      </c>
      <c r="H259" s="12">
        <f t="shared" si="15"/>
        <v>0.99852000000001451</v>
      </c>
    </row>
    <row r="260" spans="1:8" ht="14.25" thickBot="1">
      <c r="A260" s="22">
        <v>25.7</v>
      </c>
      <c r="B260" s="15">
        <v>0.96938000000000002</v>
      </c>
      <c r="C260" s="11">
        <f t="shared" ref="C260:C323" si="16">SLOPE(B260:B261,A260:A261)</f>
        <v>-9.9999999999987555E-4</v>
      </c>
      <c r="D260" s="12">
        <f t="shared" ref="D260:D323" si="17">INTERCEPT(B260:B261,A260:A261)</f>
        <v>0.99507999999999686</v>
      </c>
      <c r="E260" s="22">
        <v>25.7</v>
      </c>
      <c r="F260" s="15">
        <v>0.97024999999999995</v>
      </c>
      <c r="G260" s="11">
        <f t="shared" ref="G260:G323" si="18">SLOPE(F260:F261,E260:E261)</f>
        <v>-9.9999999999987555E-4</v>
      </c>
      <c r="H260" s="12">
        <f t="shared" ref="H260:H323" si="19">INTERCEPT(F260:F261,E260:E261)</f>
        <v>0.99594999999999678</v>
      </c>
    </row>
    <row r="261" spans="1:8" ht="14.25" thickBot="1">
      <c r="A261" s="22">
        <v>25.8</v>
      </c>
      <c r="B261" s="15">
        <v>0.96928000000000003</v>
      </c>
      <c r="C261" s="11">
        <f t="shared" si="16"/>
        <v>-1.1000000000005682E-3</v>
      </c>
      <c r="D261" s="12">
        <f t="shared" si="17"/>
        <v>0.99766000000001465</v>
      </c>
      <c r="E261" s="22">
        <v>25.8</v>
      </c>
      <c r="F261" s="15">
        <v>0.97014999999999996</v>
      </c>
      <c r="G261" s="11">
        <f t="shared" si="18"/>
        <v>-1.099999999999458E-3</v>
      </c>
      <c r="H261" s="12">
        <f t="shared" si="19"/>
        <v>0.99852999999998593</v>
      </c>
    </row>
    <row r="262" spans="1:8" ht="14.25" thickBot="1">
      <c r="A262" s="22">
        <v>25.9</v>
      </c>
      <c r="B262" s="15">
        <v>0.96916999999999998</v>
      </c>
      <c r="C262" s="11">
        <f t="shared" si="16"/>
        <v>-9.9999999999987555E-4</v>
      </c>
      <c r="D262" s="12">
        <f t="shared" si="17"/>
        <v>0.99506999999999679</v>
      </c>
      <c r="E262" s="22">
        <v>25.9</v>
      </c>
      <c r="F262" s="15">
        <v>0.97004000000000001</v>
      </c>
      <c r="G262" s="11">
        <f t="shared" si="18"/>
        <v>-9.9999999999987555E-4</v>
      </c>
      <c r="H262" s="12">
        <f t="shared" si="19"/>
        <v>0.99593999999999683</v>
      </c>
    </row>
    <row r="263" spans="1:8" ht="14.25" thickBot="1">
      <c r="A263" s="26">
        <v>26</v>
      </c>
      <c r="B263" s="19">
        <v>0.96906999999999999</v>
      </c>
      <c r="C263" s="11">
        <f t="shared" si="16"/>
        <v>-1.0999999999994192E-3</v>
      </c>
      <c r="D263" s="12">
        <f t="shared" si="17"/>
        <v>0.99766999999998485</v>
      </c>
      <c r="E263" s="26">
        <v>26</v>
      </c>
      <c r="F263" s="19">
        <v>0.96994000000000002</v>
      </c>
      <c r="G263" s="11">
        <f t="shared" si="18"/>
        <v>-1.1000000000005292E-3</v>
      </c>
      <c r="H263" s="12">
        <f t="shared" si="19"/>
        <v>0.99854000000001375</v>
      </c>
    </row>
    <row r="264" spans="1:8" ht="14.25" thickBot="1">
      <c r="A264" s="22">
        <v>26.1</v>
      </c>
      <c r="B264" s="27">
        <v>0.96896000000000004</v>
      </c>
      <c r="C264" s="11">
        <f t="shared" si="16"/>
        <v>-1.1000000000005682E-3</v>
      </c>
      <c r="D264" s="12">
        <f t="shared" si="17"/>
        <v>0.99767000000001482</v>
      </c>
      <c r="E264" s="22">
        <v>26.1</v>
      </c>
      <c r="F264" s="27">
        <v>0.96982999999999997</v>
      </c>
      <c r="G264" s="11">
        <f t="shared" si="18"/>
        <v>-1.099999999999458E-3</v>
      </c>
      <c r="H264" s="12">
        <f t="shared" si="19"/>
        <v>0.99853999999998588</v>
      </c>
    </row>
    <row r="265" spans="1:8" ht="14.25" thickBot="1">
      <c r="A265" s="22">
        <v>26.2</v>
      </c>
      <c r="B265" s="27">
        <v>0.96884999999999999</v>
      </c>
      <c r="C265" s="11">
        <f t="shared" si="16"/>
        <v>-9.9999999999987555E-4</v>
      </c>
      <c r="D265" s="12">
        <f t="shared" si="17"/>
        <v>0.99504999999999677</v>
      </c>
      <c r="E265" s="22">
        <v>26.2</v>
      </c>
      <c r="F265" s="27">
        <v>0.96972000000000003</v>
      </c>
      <c r="G265" s="11">
        <f t="shared" si="18"/>
        <v>-9.9999999999987555E-4</v>
      </c>
      <c r="H265" s="12">
        <f t="shared" si="19"/>
        <v>0.99591999999999681</v>
      </c>
    </row>
    <row r="266" spans="1:8" ht="14.25" thickBot="1">
      <c r="A266" s="22">
        <v>26.3</v>
      </c>
      <c r="B266" s="27">
        <v>0.96875</v>
      </c>
      <c r="C266" s="11">
        <f t="shared" si="16"/>
        <v>-1.1000000000005682E-3</v>
      </c>
      <c r="D266" s="12">
        <f t="shared" si="17"/>
        <v>0.997680000000015</v>
      </c>
      <c r="E266" s="22">
        <v>26.3</v>
      </c>
      <c r="F266" s="27">
        <v>0.96962000000000004</v>
      </c>
      <c r="G266" s="11">
        <f t="shared" si="18"/>
        <v>-1.1000000000005682E-3</v>
      </c>
      <c r="H266" s="12">
        <f t="shared" si="19"/>
        <v>0.99855000000001504</v>
      </c>
    </row>
    <row r="267" spans="1:8" ht="14.25" thickBot="1">
      <c r="A267" s="22">
        <v>26.4</v>
      </c>
      <c r="B267" s="27">
        <v>0.96863999999999995</v>
      </c>
      <c r="C267" s="11">
        <f t="shared" si="16"/>
        <v>-9.9999999999987555E-4</v>
      </c>
      <c r="D267" s="12">
        <f t="shared" si="17"/>
        <v>0.9950399999999967</v>
      </c>
      <c r="E267" s="22">
        <v>26.4</v>
      </c>
      <c r="F267" s="27">
        <v>0.96950999999999998</v>
      </c>
      <c r="G267" s="11">
        <f t="shared" si="18"/>
        <v>-9.9999999999987555E-4</v>
      </c>
      <c r="H267" s="12">
        <f t="shared" si="19"/>
        <v>0.99590999999999674</v>
      </c>
    </row>
    <row r="268" spans="1:8" ht="14.25" thickBot="1">
      <c r="A268" s="22">
        <v>26.5</v>
      </c>
      <c r="B268" s="27">
        <v>0.96853999999999996</v>
      </c>
      <c r="C268" s="11">
        <f t="shared" si="16"/>
        <v>-1.0999999999994192E-3</v>
      </c>
      <c r="D268" s="12">
        <f t="shared" si="17"/>
        <v>0.99768999999998464</v>
      </c>
      <c r="E268" s="22">
        <v>26.5</v>
      </c>
      <c r="F268" s="27">
        <v>0.96940999999999999</v>
      </c>
      <c r="G268" s="11">
        <f t="shared" si="18"/>
        <v>-1.0999999999994192E-3</v>
      </c>
      <c r="H268" s="12">
        <f t="shared" si="19"/>
        <v>0.99855999999998457</v>
      </c>
    </row>
    <row r="269" spans="1:8" ht="14.25" thickBot="1">
      <c r="A269" s="22">
        <v>26.6</v>
      </c>
      <c r="B269" s="27">
        <v>0.96843000000000001</v>
      </c>
      <c r="C269" s="11">
        <f t="shared" si="16"/>
        <v>-1.1000000000005682E-3</v>
      </c>
      <c r="D269" s="12">
        <f t="shared" si="17"/>
        <v>0.99769000000001518</v>
      </c>
      <c r="E269" s="22">
        <v>26.6</v>
      </c>
      <c r="F269" s="27">
        <v>0.96930000000000005</v>
      </c>
      <c r="G269" s="11">
        <f t="shared" si="18"/>
        <v>-1.1000000000005682E-3</v>
      </c>
      <c r="H269" s="12">
        <f t="shared" si="19"/>
        <v>0.99856000000001521</v>
      </c>
    </row>
    <row r="270" spans="1:8" ht="14.25" thickBot="1">
      <c r="A270" s="22">
        <v>26.7</v>
      </c>
      <c r="B270" s="27">
        <v>0.96831999999999996</v>
      </c>
      <c r="C270" s="11">
        <f t="shared" si="16"/>
        <v>-1.0999999999994192E-3</v>
      </c>
      <c r="D270" s="12">
        <f t="shared" si="17"/>
        <v>0.99768999999998442</v>
      </c>
      <c r="E270" s="22">
        <v>26.7</v>
      </c>
      <c r="F270" s="27">
        <v>0.96919</v>
      </c>
      <c r="G270" s="11">
        <f t="shared" si="18"/>
        <v>-1.0999999999994192E-3</v>
      </c>
      <c r="H270" s="12">
        <f t="shared" si="19"/>
        <v>0.99855999999998457</v>
      </c>
    </row>
    <row r="271" spans="1:8" ht="14.25" thickBot="1">
      <c r="A271" s="22">
        <v>26.8</v>
      </c>
      <c r="B271" s="27">
        <v>0.96821000000000002</v>
      </c>
      <c r="C271" s="11">
        <f t="shared" si="16"/>
        <v>-9.999999999999109E-4</v>
      </c>
      <c r="D271" s="12">
        <f t="shared" si="17"/>
        <v>0.99500999999999762</v>
      </c>
      <c r="E271" s="22">
        <v>26.8</v>
      </c>
      <c r="F271" s="27">
        <v>0.96908000000000005</v>
      </c>
      <c r="G271" s="11">
        <f t="shared" si="18"/>
        <v>-1.0000000000010211E-3</v>
      </c>
      <c r="H271" s="12">
        <f t="shared" si="19"/>
        <v>0.99588000000002752</v>
      </c>
    </row>
    <row r="272" spans="1:8" ht="14.25" thickBot="1">
      <c r="A272" s="22">
        <v>26.9</v>
      </c>
      <c r="B272" s="27">
        <v>0.96811000000000003</v>
      </c>
      <c r="C272" s="11">
        <f t="shared" si="16"/>
        <v>-1.1000000000005292E-3</v>
      </c>
      <c r="D272" s="12">
        <f t="shared" si="17"/>
        <v>0.99770000000001424</v>
      </c>
      <c r="E272" s="22">
        <v>26.9</v>
      </c>
      <c r="F272" s="27">
        <v>0.96897999999999995</v>
      </c>
      <c r="G272" s="11">
        <f t="shared" si="18"/>
        <v>-1.0999999999994192E-3</v>
      </c>
      <c r="H272" s="12">
        <f t="shared" si="19"/>
        <v>0.99856999999998441</v>
      </c>
    </row>
    <row r="273" spans="1:8" ht="14.25" thickBot="1">
      <c r="A273" s="26">
        <v>27</v>
      </c>
      <c r="B273" s="19">
        <v>0.96799999999999997</v>
      </c>
      <c r="C273" s="11">
        <f t="shared" si="16"/>
        <v>-1.0999999999994192E-3</v>
      </c>
      <c r="D273" s="12">
        <f t="shared" si="17"/>
        <v>0.99769999999998438</v>
      </c>
      <c r="E273" s="26">
        <v>27</v>
      </c>
      <c r="F273" s="19">
        <v>0.96887000000000001</v>
      </c>
      <c r="G273" s="11">
        <f t="shared" si="18"/>
        <v>-1.1000000000005292E-3</v>
      </c>
      <c r="H273" s="12">
        <f t="shared" si="19"/>
        <v>0.99857000000001428</v>
      </c>
    </row>
    <row r="274" spans="1:8" ht="14.25" thickBot="1">
      <c r="A274" s="22">
        <v>27.1</v>
      </c>
      <c r="B274" s="27">
        <v>0.96789000000000003</v>
      </c>
      <c r="C274" s="11">
        <f t="shared" si="16"/>
        <v>-1.1000000000005682E-3</v>
      </c>
      <c r="D274" s="12">
        <f t="shared" si="17"/>
        <v>0.99770000000001546</v>
      </c>
      <c r="E274" s="22">
        <v>27.1</v>
      </c>
      <c r="F274" s="27">
        <v>0.96875999999999995</v>
      </c>
      <c r="G274" s="11">
        <f t="shared" si="18"/>
        <v>-1.099999999999458E-3</v>
      </c>
      <c r="H274" s="12">
        <f t="shared" si="19"/>
        <v>0.99856999999998519</v>
      </c>
    </row>
    <row r="275" spans="1:8" ht="14.25" thickBot="1">
      <c r="A275" s="22">
        <v>27.2</v>
      </c>
      <c r="B275" s="27">
        <v>0.96777999999999997</v>
      </c>
      <c r="C275" s="11">
        <f t="shared" si="16"/>
        <v>-1.0999999999994192E-3</v>
      </c>
      <c r="D275" s="12">
        <f t="shared" si="17"/>
        <v>0.99769999999998416</v>
      </c>
      <c r="E275" s="22">
        <v>27.2</v>
      </c>
      <c r="F275" s="27">
        <v>0.96865000000000001</v>
      </c>
      <c r="G275" s="11">
        <f t="shared" si="18"/>
        <v>-1.1000000000005292E-3</v>
      </c>
      <c r="H275" s="12">
        <f t="shared" si="19"/>
        <v>0.99857000000001439</v>
      </c>
    </row>
    <row r="276" spans="1:8" ht="14.25" thickBot="1">
      <c r="A276" s="22">
        <v>27.3</v>
      </c>
      <c r="B276" s="27">
        <v>0.96767000000000003</v>
      </c>
      <c r="C276" s="11">
        <f t="shared" si="16"/>
        <v>-9.999999999999109E-4</v>
      </c>
      <c r="D276" s="12">
        <f t="shared" si="17"/>
        <v>0.99496999999999758</v>
      </c>
      <c r="E276" s="22">
        <v>27.3</v>
      </c>
      <c r="F276" s="27">
        <v>0.96853999999999996</v>
      </c>
      <c r="G276" s="11">
        <f t="shared" si="18"/>
        <v>-9.999999999999109E-4</v>
      </c>
      <c r="H276" s="12">
        <f t="shared" si="19"/>
        <v>0.9958399999999975</v>
      </c>
    </row>
    <row r="277" spans="1:8" ht="14.25" thickBot="1">
      <c r="A277" s="22">
        <v>27.4</v>
      </c>
      <c r="B277" s="27">
        <v>0.96757000000000004</v>
      </c>
      <c r="C277" s="11">
        <f t="shared" si="16"/>
        <v>-1.1000000000005292E-3</v>
      </c>
      <c r="D277" s="12">
        <f t="shared" si="17"/>
        <v>0.99771000000001453</v>
      </c>
      <c r="E277" s="22">
        <v>27.4</v>
      </c>
      <c r="F277" s="27">
        <v>0.96843999999999997</v>
      </c>
      <c r="G277" s="11">
        <f t="shared" si="18"/>
        <v>-1.0999999999994192E-3</v>
      </c>
      <c r="H277" s="12">
        <f t="shared" si="19"/>
        <v>0.99857999999998415</v>
      </c>
    </row>
    <row r="278" spans="1:8" ht="14.25" thickBot="1">
      <c r="A278" s="22">
        <v>27.5</v>
      </c>
      <c r="B278" s="27">
        <v>0.96745999999999999</v>
      </c>
      <c r="C278" s="11">
        <f t="shared" si="16"/>
        <v>-1.0999999999994192E-3</v>
      </c>
      <c r="D278" s="12">
        <f t="shared" si="17"/>
        <v>0.99770999999998411</v>
      </c>
      <c r="E278" s="22">
        <v>27.5</v>
      </c>
      <c r="F278" s="27">
        <v>0.96833000000000002</v>
      </c>
      <c r="G278" s="11">
        <f t="shared" si="18"/>
        <v>-1.1000000000005292E-3</v>
      </c>
      <c r="H278" s="12">
        <f t="shared" si="19"/>
        <v>0.99858000000001457</v>
      </c>
    </row>
    <row r="279" spans="1:8" ht="14.25" thickBot="1">
      <c r="A279" s="22">
        <v>27.6</v>
      </c>
      <c r="B279" s="27">
        <v>0.96735000000000004</v>
      </c>
      <c r="C279" s="11">
        <f t="shared" si="16"/>
        <v>-1.1000000000005682E-3</v>
      </c>
      <c r="D279" s="12">
        <f t="shared" si="17"/>
        <v>0.99771000000001575</v>
      </c>
      <c r="E279" s="22">
        <v>27.6</v>
      </c>
      <c r="F279" s="27">
        <v>0.96821999999999997</v>
      </c>
      <c r="G279" s="11">
        <f t="shared" si="18"/>
        <v>-1.099999999999458E-3</v>
      </c>
      <c r="H279" s="12">
        <f t="shared" si="19"/>
        <v>0.99857999999998492</v>
      </c>
    </row>
    <row r="280" spans="1:8" ht="14.25" thickBot="1">
      <c r="A280" s="22">
        <v>27.7</v>
      </c>
      <c r="B280" s="27">
        <v>0.96723999999999999</v>
      </c>
      <c r="C280" s="11">
        <f t="shared" si="16"/>
        <v>-1.0999999999994192E-3</v>
      </c>
      <c r="D280" s="12">
        <f t="shared" si="17"/>
        <v>0.99770999999998389</v>
      </c>
      <c r="E280" s="22">
        <v>27.7</v>
      </c>
      <c r="F280" s="27">
        <v>0.96811000000000003</v>
      </c>
      <c r="G280" s="11">
        <f t="shared" si="18"/>
        <v>-1.1000000000005292E-3</v>
      </c>
      <c r="H280" s="12">
        <f t="shared" si="19"/>
        <v>0.99858000000001468</v>
      </c>
    </row>
    <row r="281" spans="1:8" ht="14.25" thickBot="1">
      <c r="A281" s="22">
        <v>27.8</v>
      </c>
      <c r="B281" s="27">
        <v>0.96713000000000005</v>
      </c>
      <c r="C281" s="11">
        <f t="shared" si="16"/>
        <v>-1.1000000000005682E-3</v>
      </c>
      <c r="D281" s="12">
        <f t="shared" si="17"/>
        <v>0.99771000000001586</v>
      </c>
      <c r="E281" s="22">
        <v>27.8</v>
      </c>
      <c r="F281" s="27">
        <v>0.96799999999999997</v>
      </c>
      <c r="G281" s="11">
        <f t="shared" si="18"/>
        <v>-1.099999999999458E-3</v>
      </c>
      <c r="H281" s="12">
        <f t="shared" si="19"/>
        <v>0.99857999999998492</v>
      </c>
    </row>
    <row r="282" spans="1:8" ht="14.25" thickBot="1">
      <c r="A282" s="22">
        <v>27.9</v>
      </c>
      <c r="B282" s="27">
        <v>0.96701999999999999</v>
      </c>
      <c r="C282" s="11">
        <f t="shared" si="16"/>
        <v>-1.0999999999994192E-3</v>
      </c>
      <c r="D282" s="12">
        <f t="shared" si="17"/>
        <v>0.99770999999998389</v>
      </c>
      <c r="E282" s="22">
        <v>27.9</v>
      </c>
      <c r="F282" s="27">
        <v>0.96789000000000003</v>
      </c>
      <c r="G282" s="11">
        <f t="shared" si="18"/>
        <v>-1.1000000000005292E-3</v>
      </c>
      <c r="H282" s="12">
        <f t="shared" si="19"/>
        <v>0.99858000000001479</v>
      </c>
    </row>
    <row r="283" spans="1:8" ht="14.25" thickBot="1">
      <c r="A283" s="26">
        <v>28</v>
      </c>
      <c r="B283" s="19">
        <v>0.96691000000000005</v>
      </c>
      <c r="C283" s="11">
        <f t="shared" si="16"/>
        <v>-1.1000000000005292E-3</v>
      </c>
      <c r="D283" s="12">
        <f t="shared" si="17"/>
        <v>0.99771000000001486</v>
      </c>
      <c r="E283" s="26">
        <v>28</v>
      </c>
      <c r="F283" s="19">
        <v>0.96777999999999997</v>
      </c>
      <c r="G283" s="11">
        <f t="shared" si="18"/>
        <v>-1.0999999999994192E-3</v>
      </c>
      <c r="H283" s="12">
        <f t="shared" si="19"/>
        <v>0.9985799999999837</v>
      </c>
    </row>
    <row r="284" spans="1:8" ht="14.25" thickBot="1">
      <c r="A284" s="22">
        <v>28.1</v>
      </c>
      <c r="B284" s="27">
        <v>0.96679999999999999</v>
      </c>
      <c r="C284" s="11">
        <f t="shared" si="16"/>
        <v>-1.099999999999458E-3</v>
      </c>
      <c r="D284" s="12">
        <f t="shared" si="17"/>
        <v>0.99770999999998466</v>
      </c>
      <c r="E284" s="22">
        <v>28.1</v>
      </c>
      <c r="F284" s="27">
        <v>0.96767000000000003</v>
      </c>
      <c r="G284" s="11">
        <f t="shared" si="18"/>
        <v>-1.1000000000005682E-3</v>
      </c>
      <c r="H284" s="12">
        <f t="shared" si="19"/>
        <v>0.99858000000001601</v>
      </c>
    </row>
    <row r="285" spans="1:8" ht="14.25" thickBot="1">
      <c r="A285" s="22">
        <v>28.2</v>
      </c>
      <c r="B285" s="27">
        <v>0.96669000000000005</v>
      </c>
      <c r="C285" s="11">
        <f t="shared" si="16"/>
        <v>-1.1000000000005292E-3</v>
      </c>
      <c r="D285" s="12">
        <f t="shared" si="17"/>
        <v>0.99771000000001497</v>
      </c>
      <c r="E285" s="22">
        <v>28.2</v>
      </c>
      <c r="F285" s="27">
        <v>0.96755999999999998</v>
      </c>
      <c r="G285" s="11">
        <f t="shared" si="18"/>
        <v>-1.0999999999994192E-3</v>
      </c>
      <c r="H285" s="12">
        <f t="shared" si="19"/>
        <v>0.9985799999999837</v>
      </c>
    </row>
    <row r="286" spans="1:8" ht="14.25" thickBot="1">
      <c r="A286" s="22">
        <v>28.3</v>
      </c>
      <c r="B286" s="27">
        <v>0.96657999999999999</v>
      </c>
      <c r="C286" s="11">
        <f t="shared" si="16"/>
        <v>-1.099999999999458E-3</v>
      </c>
      <c r="D286" s="12">
        <f t="shared" si="17"/>
        <v>0.99770999999998466</v>
      </c>
      <c r="E286" s="22">
        <v>28.3</v>
      </c>
      <c r="F286" s="27">
        <v>0.96745000000000003</v>
      </c>
      <c r="G286" s="11">
        <f t="shared" si="18"/>
        <v>-1.1000000000005682E-3</v>
      </c>
      <c r="H286" s="12">
        <f t="shared" si="19"/>
        <v>0.99858000000001612</v>
      </c>
    </row>
    <row r="287" spans="1:8" ht="14.25" thickBot="1">
      <c r="A287" s="22">
        <v>28.4</v>
      </c>
      <c r="B287" s="27">
        <v>0.96647000000000005</v>
      </c>
      <c r="C287" s="11">
        <f t="shared" si="16"/>
        <v>-1.2000000000000728E-3</v>
      </c>
      <c r="D287" s="12">
        <f t="shared" si="17"/>
        <v>1.000550000000002</v>
      </c>
      <c r="E287" s="22">
        <v>28.4</v>
      </c>
      <c r="F287" s="27">
        <v>0.96733999999999998</v>
      </c>
      <c r="G287" s="11">
        <f t="shared" si="18"/>
        <v>-1.2000000000000728E-3</v>
      </c>
      <c r="H287" s="12">
        <f t="shared" si="19"/>
        <v>1.001420000000002</v>
      </c>
    </row>
    <row r="288" spans="1:8" ht="14.25" thickBot="1">
      <c r="A288" s="22">
        <v>28.5</v>
      </c>
      <c r="B288" s="27">
        <v>0.96635000000000004</v>
      </c>
      <c r="C288" s="11">
        <f t="shared" si="16"/>
        <v>-1.1000000000005292E-3</v>
      </c>
      <c r="D288" s="12">
        <f t="shared" si="17"/>
        <v>0.99770000000001513</v>
      </c>
      <c r="E288" s="22">
        <v>28.5</v>
      </c>
      <c r="F288" s="27">
        <v>0.96721999999999997</v>
      </c>
      <c r="G288" s="11">
        <f t="shared" si="18"/>
        <v>-1.0999999999994192E-3</v>
      </c>
      <c r="H288" s="12">
        <f t="shared" si="19"/>
        <v>0.99856999999998353</v>
      </c>
    </row>
    <row r="289" spans="1:8" ht="14.25" thickBot="1">
      <c r="A289" s="22">
        <v>28.6</v>
      </c>
      <c r="B289" s="27">
        <v>0.96623999999999999</v>
      </c>
      <c r="C289" s="11">
        <f t="shared" si="16"/>
        <v>-1.099999999999458E-3</v>
      </c>
      <c r="D289" s="12">
        <f t="shared" si="17"/>
        <v>0.99769999999998449</v>
      </c>
      <c r="E289" s="22">
        <v>28.6</v>
      </c>
      <c r="F289" s="27">
        <v>0.96711000000000003</v>
      </c>
      <c r="G289" s="11">
        <f t="shared" si="18"/>
        <v>-1.1000000000005682E-3</v>
      </c>
      <c r="H289" s="12">
        <f t="shared" si="19"/>
        <v>0.99857000000001628</v>
      </c>
    </row>
    <row r="290" spans="1:8" ht="14.25" thickBot="1">
      <c r="A290" s="22">
        <v>28.7</v>
      </c>
      <c r="B290" s="27">
        <v>0.96613000000000004</v>
      </c>
      <c r="C290" s="11">
        <f t="shared" si="16"/>
        <v>-1.1000000000005292E-3</v>
      </c>
      <c r="D290" s="12">
        <f t="shared" si="17"/>
        <v>0.99770000000001524</v>
      </c>
      <c r="E290" s="22">
        <v>28.7</v>
      </c>
      <c r="F290" s="27">
        <v>0.96699999999999997</v>
      </c>
      <c r="G290" s="11">
        <f t="shared" si="18"/>
        <v>-1.0999999999994192E-3</v>
      </c>
      <c r="H290" s="12">
        <f t="shared" si="19"/>
        <v>0.99856999999998319</v>
      </c>
    </row>
    <row r="291" spans="1:8" ht="14.25" thickBot="1">
      <c r="A291" s="22">
        <v>28.8</v>
      </c>
      <c r="B291" s="27">
        <v>0.96601999999999999</v>
      </c>
      <c r="C291" s="11">
        <f t="shared" si="16"/>
        <v>-1.099999999999458E-3</v>
      </c>
      <c r="D291" s="12">
        <f t="shared" si="17"/>
        <v>0.99769999999998438</v>
      </c>
      <c r="E291" s="22">
        <v>28.8</v>
      </c>
      <c r="F291" s="27">
        <v>0.96689000000000003</v>
      </c>
      <c r="G291" s="11">
        <f t="shared" si="18"/>
        <v>-1.1000000000005682E-3</v>
      </c>
      <c r="H291" s="12">
        <f t="shared" si="19"/>
        <v>0.99857000000001639</v>
      </c>
    </row>
    <row r="292" spans="1:8" ht="14.25" thickBot="1">
      <c r="A292" s="22">
        <v>28.9</v>
      </c>
      <c r="B292" s="27">
        <v>0.96591000000000005</v>
      </c>
      <c r="C292" s="11">
        <f t="shared" si="16"/>
        <v>-1.2000000000000728E-3</v>
      </c>
      <c r="D292" s="12">
        <f t="shared" si="17"/>
        <v>1.0005900000000021</v>
      </c>
      <c r="E292" s="22">
        <v>28.9</v>
      </c>
      <c r="F292" s="27">
        <v>0.96677999999999997</v>
      </c>
      <c r="G292" s="11">
        <f t="shared" si="18"/>
        <v>-1.2000000000000728E-3</v>
      </c>
      <c r="H292" s="12">
        <f t="shared" si="19"/>
        <v>1.001460000000002</v>
      </c>
    </row>
    <row r="293" spans="1:8" ht="14.25" thickBot="1">
      <c r="A293" s="26">
        <v>29</v>
      </c>
      <c r="B293" s="19">
        <v>0.96579000000000004</v>
      </c>
      <c r="C293" s="11">
        <f t="shared" si="16"/>
        <v>-1.1000000000005292E-3</v>
      </c>
      <c r="D293" s="12">
        <f t="shared" si="17"/>
        <v>0.9976900000000154</v>
      </c>
      <c r="E293" s="26">
        <v>29</v>
      </c>
      <c r="F293" s="19">
        <v>0.96665999999999996</v>
      </c>
      <c r="G293" s="11">
        <f t="shared" si="18"/>
        <v>-1.0999999999994192E-3</v>
      </c>
      <c r="H293" s="12">
        <f t="shared" si="19"/>
        <v>0.99855999999998302</v>
      </c>
    </row>
    <row r="294" spans="1:8" ht="14.25" thickBot="1">
      <c r="A294" s="22">
        <v>29.1</v>
      </c>
      <c r="B294" s="27">
        <v>0.96567999999999998</v>
      </c>
      <c r="C294" s="11">
        <f t="shared" si="16"/>
        <v>-1.099999999999458E-3</v>
      </c>
      <c r="D294" s="12">
        <f t="shared" si="17"/>
        <v>0.9976899999999842</v>
      </c>
      <c r="E294" s="22">
        <v>29.1</v>
      </c>
      <c r="F294" s="27">
        <v>0.96655000000000002</v>
      </c>
      <c r="G294" s="11">
        <f t="shared" si="18"/>
        <v>-1.1000000000005682E-3</v>
      </c>
      <c r="H294" s="12">
        <f t="shared" si="19"/>
        <v>0.99856000000001655</v>
      </c>
    </row>
    <row r="295" spans="1:8" ht="14.25" thickBot="1">
      <c r="A295" s="22">
        <v>29.2</v>
      </c>
      <c r="B295" s="27">
        <v>0.96557000000000004</v>
      </c>
      <c r="C295" s="11">
        <f t="shared" si="16"/>
        <v>-1.2000000000000728E-3</v>
      </c>
      <c r="D295" s="12">
        <f t="shared" si="17"/>
        <v>1.0006100000000022</v>
      </c>
      <c r="E295" s="22">
        <v>29.2</v>
      </c>
      <c r="F295" s="27">
        <v>0.96643999999999997</v>
      </c>
      <c r="G295" s="11">
        <f t="shared" si="18"/>
        <v>-1.2000000000000728E-3</v>
      </c>
      <c r="H295" s="12">
        <f t="shared" si="19"/>
        <v>1.0014800000000021</v>
      </c>
    </row>
    <row r="296" spans="1:8" ht="14.25" thickBot="1">
      <c r="A296" s="22">
        <v>29.3</v>
      </c>
      <c r="B296" s="27">
        <v>0.96545000000000003</v>
      </c>
      <c r="C296" s="11">
        <f t="shared" si="16"/>
        <v>-1.1000000000005682E-3</v>
      </c>
      <c r="D296" s="12">
        <f t="shared" si="17"/>
        <v>0.99768000000001666</v>
      </c>
      <c r="E296" s="22">
        <v>29.3</v>
      </c>
      <c r="F296" s="27">
        <v>0.96631999999999996</v>
      </c>
      <c r="G296" s="11">
        <f t="shared" si="18"/>
        <v>-1.099999999999458E-3</v>
      </c>
      <c r="H296" s="12">
        <f t="shared" si="19"/>
        <v>0.99854999999998406</v>
      </c>
    </row>
    <row r="297" spans="1:8" ht="14.25" thickBot="1">
      <c r="A297" s="22">
        <v>29.4</v>
      </c>
      <c r="B297" s="27">
        <v>0.96533999999999998</v>
      </c>
      <c r="C297" s="11">
        <f t="shared" si="16"/>
        <v>-1.2000000000000728E-3</v>
      </c>
      <c r="D297" s="12">
        <f t="shared" si="17"/>
        <v>1.0006200000000021</v>
      </c>
      <c r="E297" s="22">
        <v>29.4</v>
      </c>
      <c r="F297" s="27">
        <v>0.96621000000000001</v>
      </c>
      <c r="G297" s="11">
        <f t="shared" si="18"/>
        <v>-1.2000000000000728E-3</v>
      </c>
      <c r="H297" s="12">
        <f t="shared" si="19"/>
        <v>1.0014900000000022</v>
      </c>
    </row>
    <row r="298" spans="1:8" ht="14.25" thickBot="1">
      <c r="A298" s="22">
        <v>29.5</v>
      </c>
      <c r="B298" s="27">
        <v>0.96521999999999997</v>
      </c>
      <c r="C298" s="11">
        <f t="shared" si="16"/>
        <v>-1.0999999999994192E-3</v>
      </c>
      <c r="D298" s="12">
        <f t="shared" si="17"/>
        <v>0.99766999999998285</v>
      </c>
      <c r="E298" s="22">
        <v>29.5</v>
      </c>
      <c r="F298" s="27">
        <v>0.96609</v>
      </c>
      <c r="G298" s="11">
        <f t="shared" si="18"/>
        <v>-1.1000000000005292E-3</v>
      </c>
      <c r="H298" s="12">
        <f t="shared" si="19"/>
        <v>0.99854000000001564</v>
      </c>
    </row>
    <row r="299" spans="1:8" ht="14.25" thickBot="1">
      <c r="A299" s="22">
        <v>29.6</v>
      </c>
      <c r="B299" s="27">
        <v>0.96511000000000002</v>
      </c>
      <c r="C299" s="11">
        <f t="shared" si="16"/>
        <v>-1.2000000000001153E-3</v>
      </c>
      <c r="D299" s="12">
        <f t="shared" si="17"/>
        <v>1.0006300000000035</v>
      </c>
      <c r="E299" s="22">
        <v>29.6</v>
      </c>
      <c r="F299" s="27">
        <v>0.96597999999999995</v>
      </c>
      <c r="G299" s="11">
        <f t="shared" si="18"/>
        <v>-1.199999999999005E-3</v>
      </c>
      <c r="H299" s="12">
        <f t="shared" si="19"/>
        <v>1.0014999999999705</v>
      </c>
    </row>
    <row r="300" spans="1:8" ht="14.25" thickBot="1">
      <c r="A300" s="22">
        <v>29.7</v>
      </c>
      <c r="B300" s="27">
        <v>0.96499000000000001</v>
      </c>
      <c r="C300" s="11">
        <f t="shared" si="16"/>
        <v>-1.1000000000005292E-3</v>
      </c>
      <c r="D300" s="12">
        <f t="shared" si="17"/>
        <v>0.99766000000001576</v>
      </c>
      <c r="E300" s="22">
        <v>29.7</v>
      </c>
      <c r="F300" s="27">
        <v>0.96586000000000005</v>
      </c>
      <c r="G300" s="11">
        <f t="shared" si="18"/>
        <v>-1.1000000000005292E-3</v>
      </c>
      <c r="H300" s="12">
        <f t="shared" si="19"/>
        <v>0.99853000000001579</v>
      </c>
    </row>
    <row r="301" spans="1:8" ht="14.25" thickBot="1">
      <c r="A301" s="22">
        <v>29.8</v>
      </c>
      <c r="B301" s="27">
        <v>0.96487999999999996</v>
      </c>
      <c r="C301" s="11">
        <f t="shared" si="16"/>
        <v>-1.2000000000001153E-3</v>
      </c>
      <c r="D301" s="12">
        <f t="shared" si="17"/>
        <v>1.0006400000000035</v>
      </c>
      <c r="E301" s="22">
        <v>29.8</v>
      </c>
      <c r="F301" s="27">
        <v>0.96575</v>
      </c>
      <c r="G301" s="11">
        <f t="shared" si="18"/>
        <v>-1.2000000000001155E-3</v>
      </c>
      <c r="H301" s="12">
        <f t="shared" si="19"/>
        <v>1.0015100000000035</v>
      </c>
    </row>
    <row r="302" spans="1:8" ht="14.25" thickBot="1">
      <c r="A302" s="22">
        <v>29.9</v>
      </c>
      <c r="B302" s="27">
        <v>0.96475999999999995</v>
      </c>
      <c r="C302" s="11">
        <f t="shared" si="16"/>
        <v>-1.0999999999994192E-3</v>
      </c>
      <c r="D302" s="12">
        <f t="shared" si="17"/>
        <v>0.9976499999999825</v>
      </c>
      <c r="E302" s="22">
        <v>29.9</v>
      </c>
      <c r="F302" s="27">
        <v>0.96562999999999999</v>
      </c>
      <c r="G302" s="11">
        <f t="shared" si="18"/>
        <v>-1.0999999999994192E-3</v>
      </c>
      <c r="H302" s="12">
        <f t="shared" si="19"/>
        <v>0.99851999999998264</v>
      </c>
    </row>
    <row r="303" spans="1:8" ht="14.25" thickBot="1">
      <c r="A303" s="26">
        <v>30</v>
      </c>
      <c r="B303" s="19">
        <v>0.96465000000000001</v>
      </c>
      <c r="C303" s="11">
        <f t="shared" si="16"/>
        <v>-1.2000000000000728E-3</v>
      </c>
      <c r="D303" s="12">
        <f t="shared" si="17"/>
        <v>1.0006500000000023</v>
      </c>
      <c r="E303" s="26">
        <v>30</v>
      </c>
      <c r="F303" s="19">
        <v>0.96552000000000004</v>
      </c>
      <c r="G303" s="11">
        <f t="shared" si="18"/>
        <v>-1.2000000000000728E-3</v>
      </c>
      <c r="H303" s="12">
        <f t="shared" si="19"/>
        <v>1.0015200000000022</v>
      </c>
    </row>
    <row r="304" spans="1:8" ht="14.25" thickBot="1">
      <c r="A304" s="22">
        <v>30.1</v>
      </c>
      <c r="B304" s="27">
        <v>0.96453</v>
      </c>
      <c r="C304" s="11">
        <f t="shared" si="16"/>
        <v>-1.099999999999458E-3</v>
      </c>
      <c r="D304" s="12">
        <f t="shared" si="17"/>
        <v>0.99763999999998365</v>
      </c>
      <c r="E304" s="22">
        <v>30.1</v>
      </c>
      <c r="F304" s="27">
        <v>0.96540000000000004</v>
      </c>
      <c r="G304" s="11">
        <f t="shared" si="18"/>
        <v>-1.1000000000005682E-3</v>
      </c>
      <c r="H304" s="12">
        <f t="shared" si="19"/>
        <v>0.99851000000001711</v>
      </c>
    </row>
    <row r="305" spans="1:8" ht="14.25" thickBot="1">
      <c r="A305" s="22">
        <v>30.2</v>
      </c>
      <c r="B305" s="27">
        <v>0.96442000000000005</v>
      </c>
      <c r="C305" s="11">
        <f t="shared" si="16"/>
        <v>-1.2000000000000728E-3</v>
      </c>
      <c r="D305" s="12">
        <f t="shared" si="17"/>
        <v>1.0006600000000023</v>
      </c>
      <c r="E305" s="22">
        <v>30.2</v>
      </c>
      <c r="F305" s="27">
        <v>0.96528999999999998</v>
      </c>
      <c r="G305" s="11">
        <f t="shared" si="18"/>
        <v>-1.2000000000000728E-3</v>
      </c>
      <c r="H305" s="12">
        <f t="shared" si="19"/>
        <v>1.0015300000000023</v>
      </c>
    </row>
    <row r="306" spans="1:8" ht="14.25" thickBot="1">
      <c r="A306" s="22">
        <v>30.3</v>
      </c>
      <c r="B306" s="27">
        <v>0.96430000000000005</v>
      </c>
      <c r="C306" s="11">
        <f t="shared" si="16"/>
        <v>-1.2000000000001155E-3</v>
      </c>
      <c r="D306" s="12">
        <f t="shared" si="17"/>
        <v>1.0006600000000034</v>
      </c>
      <c r="E306" s="22">
        <v>30.3</v>
      </c>
      <c r="F306" s="27">
        <v>0.96516999999999997</v>
      </c>
      <c r="G306" s="11">
        <f t="shared" si="18"/>
        <v>-1.2000000000001155E-3</v>
      </c>
      <c r="H306" s="12">
        <f t="shared" si="19"/>
        <v>1.0015300000000034</v>
      </c>
    </row>
    <row r="307" spans="1:8" ht="14.25" thickBot="1">
      <c r="A307" s="22">
        <v>30.4</v>
      </c>
      <c r="B307" s="27">
        <v>0.96418000000000004</v>
      </c>
      <c r="C307" s="11">
        <f t="shared" si="16"/>
        <v>-1.2000000000000728E-3</v>
      </c>
      <c r="D307" s="12">
        <f t="shared" si="17"/>
        <v>1.0006600000000023</v>
      </c>
      <c r="E307" s="22">
        <v>30.4</v>
      </c>
      <c r="F307" s="27">
        <v>0.96504999999999996</v>
      </c>
      <c r="G307" s="11">
        <f t="shared" si="18"/>
        <v>-1.2000000000000728E-3</v>
      </c>
      <c r="H307" s="12">
        <f t="shared" si="19"/>
        <v>1.0015300000000023</v>
      </c>
    </row>
    <row r="308" spans="1:8" ht="14.25" thickBot="1">
      <c r="A308" s="22">
        <v>30.5</v>
      </c>
      <c r="B308" s="27">
        <v>0.96406000000000003</v>
      </c>
      <c r="C308" s="11">
        <f t="shared" si="16"/>
        <v>-1.1000000000005292E-3</v>
      </c>
      <c r="D308" s="12">
        <f t="shared" si="17"/>
        <v>0.99761000000001621</v>
      </c>
      <c r="E308" s="22">
        <v>30.5</v>
      </c>
      <c r="F308" s="27">
        <v>0.96492999999999995</v>
      </c>
      <c r="G308" s="11">
        <f t="shared" si="18"/>
        <v>-1.0999999999994192E-3</v>
      </c>
      <c r="H308" s="12">
        <f t="shared" si="19"/>
        <v>0.99847999999998216</v>
      </c>
    </row>
    <row r="309" spans="1:8" ht="14.25" thickBot="1">
      <c r="A309" s="22">
        <v>30.6</v>
      </c>
      <c r="B309" s="27">
        <v>0.96394999999999997</v>
      </c>
      <c r="C309" s="11">
        <f t="shared" si="16"/>
        <v>-1.2000000000001153E-3</v>
      </c>
      <c r="D309" s="12">
        <f t="shared" si="17"/>
        <v>1.0006700000000035</v>
      </c>
      <c r="E309" s="22">
        <v>30.6</v>
      </c>
      <c r="F309" s="27">
        <v>0.96482000000000001</v>
      </c>
      <c r="G309" s="11">
        <f t="shared" si="18"/>
        <v>-1.2000000000001155E-3</v>
      </c>
      <c r="H309" s="12">
        <f t="shared" si="19"/>
        <v>1.0015400000000036</v>
      </c>
    </row>
    <row r="310" spans="1:8" ht="14.25" thickBot="1">
      <c r="A310" s="22">
        <v>30.7</v>
      </c>
      <c r="B310" s="27">
        <v>0.96382999999999996</v>
      </c>
      <c r="C310" s="11">
        <f t="shared" si="16"/>
        <v>-1.2000000000000728E-3</v>
      </c>
      <c r="D310" s="12">
        <f t="shared" si="17"/>
        <v>1.0006700000000022</v>
      </c>
      <c r="E310" s="22">
        <v>30.7</v>
      </c>
      <c r="F310" s="27">
        <v>0.9647</v>
      </c>
      <c r="G310" s="11">
        <f t="shared" si="18"/>
        <v>-1.2000000000000728E-3</v>
      </c>
      <c r="H310" s="12">
        <f t="shared" si="19"/>
        <v>1.0015400000000021</v>
      </c>
    </row>
    <row r="311" spans="1:8" ht="14.25" thickBot="1">
      <c r="A311" s="22">
        <v>30.8</v>
      </c>
      <c r="B311" s="27">
        <v>0.96370999999999996</v>
      </c>
      <c r="C311" s="11">
        <f t="shared" si="16"/>
        <v>-1.2000000000001155E-3</v>
      </c>
      <c r="D311" s="12">
        <f t="shared" si="17"/>
        <v>1.0006700000000035</v>
      </c>
      <c r="E311" s="22">
        <v>30.8</v>
      </c>
      <c r="F311" s="27">
        <v>0.96457999999999999</v>
      </c>
      <c r="G311" s="11">
        <f t="shared" si="18"/>
        <v>-1.2000000000001153E-3</v>
      </c>
      <c r="H311" s="12">
        <f t="shared" si="19"/>
        <v>1.0015400000000036</v>
      </c>
    </row>
    <row r="312" spans="1:8" ht="14.25" thickBot="1">
      <c r="A312" s="22">
        <v>30.9</v>
      </c>
      <c r="B312" s="27">
        <v>0.96358999999999995</v>
      </c>
      <c r="C312" s="11">
        <f t="shared" si="16"/>
        <v>-1.1999999999989625E-3</v>
      </c>
      <c r="D312" s="12">
        <f t="shared" si="17"/>
        <v>1.000669999999968</v>
      </c>
      <c r="E312" s="22">
        <v>30.9</v>
      </c>
      <c r="F312" s="27">
        <v>0.96445999999999998</v>
      </c>
      <c r="G312" s="11">
        <f t="shared" si="18"/>
        <v>-1.2000000000000728E-3</v>
      </c>
      <c r="H312" s="12">
        <f t="shared" si="19"/>
        <v>1.0015400000000021</v>
      </c>
    </row>
    <row r="313" spans="1:8" ht="14.25" thickBot="1">
      <c r="A313" s="26">
        <v>31</v>
      </c>
      <c r="B313" s="19">
        <v>0.96347000000000005</v>
      </c>
      <c r="C313" s="11">
        <f t="shared" si="16"/>
        <v>-1.2000000000000728E-3</v>
      </c>
      <c r="D313" s="12">
        <f t="shared" si="17"/>
        <v>1.0006700000000024</v>
      </c>
      <c r="E313" s="26">
        <v>31</v>
      </c>
      <c r="F313" s="19">
        <v>0.96433999999999997</v>
      </c>
      <c r="G313" s="11">
        <f t="shared" si="18"/>
        <v>-1.2000000000000728E-3</v>
      </c>
      <c r="H313" s="12">
        <f t="shared" si="19"/>
        <v>1.0015400000000023</v>
      </c>
    </row>
    <row r="314" spans="1:8" ht="14.25" thickBot="1">
      <c r="A314" s="22">
        <v>31.1</v>
      </c>
      <c r="B314" s="27">
        <v>0.96335000000000004</v>
      </c>
      <c r="C314" s="11">
        <f t="shared" si="16"/>
        <v>-1.2000000000001153E-3</v>
      </c>
      <c r="D314" s="12">
        <f t="shared" si="17"/>
        <v>1.0006700000000035</v>
      </c>
      <c r="E314" s="22">
        <v>31.1</v>
      </c>
      <c r="F314" s="27">
        <v>0.96421999999999997</v>
      </c>
      <c r="G314" s="11">
        <f t="shared" si="18"/>
        <v>-1.2000000000001153E-3</v>
      </c>
      <c r="H314" s="12">
        <f t="shared" si="19"/>
        <v>1.0015400000000034</v>
      </c>
    </row>
    <row r="315" spans="1:8" ht="14.25" thickBot="1">
      <c r="A315" s="22">
        <v>31.2</v>
      </c>
      <c r="B315" s="27">
        <v>0.96323000000000003</v>
      </c>
      <c r="C315" s="11">
        <f t="shared" si="16"/>
        <v>-1.2000000000000728E-3</v>
      </c>
      <c r="D315" s="12">
        <f t="shared" si="17"/>
        <v>1.0006700000000024</v>
      </c>
      <c r="E315" s="22">
        <v>31.2</v>
      </c>
      <c r="F315" s="27">
        <v>0.96409999999999996</v>
      </c>
      <c r="G315" s="11">
        <f t="shared" si="18"/>
        <v>-1.2000000000000728E-3</v>
      </c>
      <c r="H315" s="12">
        <f t="shared" si="19"/>
        <v>1.0015400000000023</v>
      </c>
    </row>
    <row r="316" spans="1:8" ht="14.25" thickBot="1">
      <c r="A316" s="22">
        <v>31.3</v>
      </c>
      <c r="B316" s="27">
        <v>0.96311000000000002</v>
      </c>
      <c r="C316" s="11">
        <f t="shared" si="16"/>
        <v>-1.2000000000001155E-3</v>
      </c>
      <c r="D316" s="12">
        <f t="shared" si="17"/>
        <v>1.0006700000000035</v>
      </c>
      <c r="E316" s="22">
        <v>31.3</v>
      </c>
      <c r="F316" s="27">
        <v>0.96397999999999995</v>
      </c>
      <c r="G316" s="11">
        <f t="shared" si="18"/>
        <v>-1.199999999999005E-3</v>
      </c>
      <c r="H316" s="12">
        <f t="shared" si="19"/>
        <v>1.0015399999999688</v>
      </c>
    </row>
    <row r="317" spans="1:8" ht="14.25" thickBot="1">
      <c r="A317" s="22">
        <v>31.4</v>
      </c>
      <c r="B317" s="27">
        <v>0.96299000000000001</v>
      </c>
      <c r="C317" s="11">
        <f t="shared" si="16"/>
        <v>-1.2000000000000728E-3</v>
      </c>
      <c r="D317" s="12">
        <f t="shared" si="17"/>
        <v>1.0006700000000024</v>
      </c>
      <c r="E317" s="22">
        <v>31.4</v>
      </c>
      <c r="F317" s="27">
        <v>0.96386000000000005</v>
      </c>
      <c r="G317" s="11">
        <f t="shared" si="18"/>
        <v>-1.2000000000000728E-3</v>
      </c>
      <c r="H317" s="12">
        <f t="shared" si="19"/>
        <v>1.0015400000000023</v>
      </c>
    </row>
    <row r="318" spans="1:8" ht="14.25" thickBot="1">
      <c r="A318" s="22">
        <v>31.5</v>
      </c>
      <c r="B318" s="27">
        <v>0.96287</v>
      </c>
      <c r="C318" s="11">
        <f t="shared" si="16"/>
        <v>-1.2000000000000728E-3</v>
      </c>
      <c r="D318" s="12">
        <f t="shared" si="17"/>
        <v>1.0006700000000022</v>
      </c>
      <c r="E318" s="22">
        <v>31.5</v>
      </c>
      <c r="F318" s="27">
        <v>0.96374000000000004</v>
      </c>
      <c r="G318" s="11">
        <f t="shared" si="18"/>
        <v>-1.2000000000000728E-3</v>
      </c>
      <c r="H318" s="12">
        <f t="shared" si="19"/>
        <v>1.0015400000000023</v>
      </c>
    </row>
    <row r="319" spans="1:8" ht="14.25" thickBot="1">
      <c r="A319" s="22">
        <v>31.6</v>
      </c>
      <c r="B319" s="27">
        <v>0.96274999999999999</v>
      </c>
      <c r="C319" s="11">
        <f t="shared" si="16"/>
        <v>-1.2000000000001155E-3</v>
      </c>
      <c r="D319" s="12">
        <f t="shared" si="17"/>
        <v>1.0006700000000037</v>
      </c>
      <c r="E319" s="22">
        <v>31.6</v>
      </c>
      <c r="F319" s="27">
        <v>0.96362000000000003</v>
      </c>
      <c r="G319" s="11">
        <f t="shared" si="18"/>
        <v>-1.2000000000001153E-3</v>
      </c>
      <c r="H319" s="12">
        <f t="shared" si="19"/>
        <v>1.0015400000000036</v>
      </c>
    </row>
    <row r="320" spans="1:8" ht="14.25" thickBot="1">
      <c r="A320" s="22">
        <v>31.7</v>
      </c>
      <c r="B320" s="27">
        <v>0.96262999999999999</v>
      </c>
      <c r="C320" s="11">
        <f t="shared" si="16"/>
        <v>-1.2000000000000728E-3</v>
      </c>
      <c r="D320" s="12">
        <f t="shared" si="17"/>
        <v>1.0006700000000022</v>
      </c>
      <c r="E320" s="22">
        <v>31.7</v>
      </c>
      <c r="F320" s="27">
        <v>0.96350000000000002</v>
      </c>
      <c r="G320" s="11">
        <f t="shared" si="18"/>
        <v>-1.2000000000000728E-3</v>
      </c>
      <c r="H320" s="12">
        <f t="shared" si="19"/>
        <v>1.0015400000000023</v>
      </c>
    </row>
    <row r="321" spans="1:8" ht="14.25" thickBot="1">
      <c r="A321" s="22">
        <v>31.8</v>
      </c>
      <c r="B321" s="27">
        <v>0.96250999999999998</v>
      </c>
      <c r="C321" s="11">
        <f t="shared" si="16"/>
        <v>-1.2000000000001153E-3</v>
      </c>
      <c r="D321" s="12">
        <f t="shared" si="17"/>
        <v>1.0006700000000037</v>
      </c>
      <c r="E321" s="22">
        <v>31.8</v>
      </c>
      <c r="F321" s="27">
        <v>0.96338000000000001</v>
      </c>
      <c r="G321" s="11">
        <f t="shared" si="18"/>
        <v>-1.2000000000001155E-3</v>
      </c>
      <c r="H321" s="12">
        <f t="shared" si="19"/>
        <v>1.0015400000000036</v>
      </c>
    </row>
    <row r="322" spans="1:8" ht="14.25" thickBot="1">
      <c r="A322" s="22">
        <v>31.9</v>
      </c>
      <c r="B322" s="27">
        <v>0.96238999999999997</v>
      </c>
      <c r="C322" s="11">
        <f t="shared" si="16"/>
        <v>-1.2999999999996163E-3</v>
      </c>
      <c r="D322" s="12">
        <f t="shared" si="17"/>
        <v>1.0038599999999878</v>
      </c>
      <c r="E322" s="22">
        <v>31.9</v>
      </c>
      <c r="F322" s="27">
        <v>0.96326000000000001</v>
      </c>
      <c r="G322" s="11">
        <f t="shared" si="18"/>
        <v>-1.2999999999996163E-3</v>
      </c>
      <c r="H322" s="12">
        <f t="shared" si="19"/>
        <v>1.0047299999999877</v>
      </c>
    </row>
    <row r="323" spans="1:8" ht="14.25" thickBot="1">
      <c r="A323" s="26">
        <v>32</v>
      </c>
      <c r="B323" s="19">
        <v>0.96226</v>
      </c>
      <c r="C323" s="11">
        <f t="shared" si="16"/>
        <v>-1.2000000000000728E-3</v>
      </c>
      <c r="D323" s="12">
        <f t="shared" si="17"/>
        <v>1.0006600000000023</v>
      </c>
      <c r="E323" s="26">
        <v>32</v>
      </c>
      <c r="F323" s="19">
        <v>0.96313000000000004</v>
      </c>
      <c r="G323" s="11">
        <f t="shared" si="18"/>
        <v>-1.2000000000000728E-3</v>
      </c>
      <c r="H323" s="12">
        <f t="shared" si="19"/>
        <v>1.0015300000000025</v>
      </c>
    </row>
    <row r="324" spans="1:8" ht="14.25" thickBot="1">
      <c r="A324" s="22">
        <v>32.1</v>
      </c>
      <c r="B324" s="27">
        <v>0.96214</v>
      </c>
      <c r="C324" s="11">
        <f t="shared" ref="C324:C387" si="20">SLOPE(B324:B325,A324:A325)</f>
        <v>-1.2000000000000728E-3</v>
      </c>
      <c r="D324" s="12">
        <f t="shared" ref="D324:D387" si="21">INTERCEPT(B324:B325,A324:A325)</f>
        <v>1.0006600000000023</v>
      </c>
      <c r="E324" s="22">
        <v>32.1</v>
      </c>
      <c r="F324" s="27">
        <v>0.96301000000000003</v>
      </c>
      <c r="G324" s="11">
        <f t="shared" ref="G324:G387" si="22">SLOPE(F324:F325,E324:E325)</f>
        <v>-1.2000000000000728E-3</v>
      </c>
      <c r="H324" s="12">
        <f t="shared" ref="H324:H387" si="23">INTERCEPT(F324:F325,E324:E325)</f>
        <v>1.0015300000000023</v>
      </c>
    </row>
    <row r="325" spans="1:8" ht="14.25" thickBot="1">
      <c r="A325" s="22">
        <v>32.200000000000003</v>
      </c>
      <c r="B325" s="27">
        <v>0.96201999999999999</v>
      </c>
      <c r="C325" s="11">
        <f t="shared" si="20"/>
        <v>-1.2999999999997085E-3</v>
      </c>
      <c r="D325" s="12">
        <f t="shared" si="21"/>
        <v>1.0038799999999906</v>
      </c>
      <c r="E325" s="22">
        <v>32.200000000000003</v>
      </c>
      <c r="F325" s="27">
        <v>0.96289000000000002</v>
      </c>
      <c r="G325" s="11">
        <f t="shared" si="22"/>
        <v>-1.3000000000008187E-3</v>
      </c>
      <c r="H325" s="12">
        <f t="shared" si="23"/>
        <v>1.0047500000000265</v>
      </c>
    </row>
    <row r="326" spans="1:8" ht="14.25" thickBot="1">
      <c r="A326" s="22">
        <v>32.299999999999997</v>
      </c>
      <c r="B326" s="15">
        <v>0.96189000000000002</v>
      </c>
      <c r="C326" s="11">
        <f t="shared" si="20"/>
        <v>-1.2000000000000728E-3</v>
      </c>
      <c r="D326" s="12">
        <f t="shared" si="21"/>
        <v>1.0006500000000023</v>
      </c>
      <c r="E326" s="22">
        <v>32.299999999999997</v>
      </c>
      <c r="F326" s="15">
        <v>0.96275999999999995</v>
      </c>
      <c r="G326" s="11">
        <f t="shared" si="22"/>
        <v>-1.1999999999989627E-3</v>
      </c>
      <c r="H326" s="12">
        <f t="shared" si="23"/>
        <v>1.0015199999999664</v>
      </c>
    </row>
    <row r="327" spans="1:8" ht="14.25" thickBot="1">
      <c r="A327" s="22">
        <v>32.4</v>
      </c>
      <c r="B327" s="27">
        <v>0.96177000000000001</v>
      </c>
      <c r="C327" s="11">
        <f t="shared" si="20"/>
        <v>-1.2000000000000728E-3</v>
      </c>
      <c r="D327" s="12">
        <f t="shared" si="21"/>
        <v>1.0006500000000025</v>
      </c>
      <c r="E327" s="22">
        <v>32.4</v>
      </c>
      <c r="F327" s="27">
        <v>0.96264000000000005</v>
      </c>
      <c r="G327" s="11">
        <f t="shared" si="22"/>
        <v>-1.2000000000000728E-3</v>
      </c>
      <c r="H327" s="12">
        <f t="shared" si="23"/>
        <v>1.0015200000000024</v>
      </c>
    </row>
    <row r="328" spans="1:8" ht="14.25" thickBot="1">
      <c r="A328" s="22">
        <v>32.5</v>
      </c>
      <c r="B328" s="27">
        <v>0.96165</v>
      </c>
      <c r="C328" s="11">
        <f t="shared" si="20"/>
        <v>-1.2999999999996161E-3</v>
      </c>
      <c r="D328" s="12">
        <f t="shared" si="21"/>
        <v>1.0038999999999876</v>
      </c>
      <c r="E328" s="22">
        <v>32.5</v>
      </c>
      <c r="F328" s="27">
        <v>0.96252000000000004</v>
      </c>
      <c r="G328" s="11">
        <f t="shared" si="22"/>
        <v>-1.3000000000007264E-3</v>
      </c>
      <c r="H328" s="12">
        <f t="shared" si="23"/>
        <v>1.0047700000000237</v>
      </c>
    </row>
    <row r="329" spans="1:8" ht="14.25" thickBot="1">
      <c r="A329" s="22">
        <v>32.6</v>
      </c>
      <c r="B329" s="27">
        <v>0.96152000000000004</v>
      </c>
      <c r="C329" s="11">
        <f t="shared" si="20"/>
        <v>-1.2000000000000728E-3</v>
      </c>
      <c r="D329" s="12">
        <f t="shared" si="21"/>
        <v>1.0006400000000024</v>
      </c>
      <c r="E329" s="22">
        <v>32.6</v>
      </c>
      <c r="F329" s="27">
        <v>0.96238999999999997</v>
      </c>
      <c r="G329" s="11">
        <f t="shared" si="22"/>
        <v>-1.2000000000000728E-3</v>
      </c>
      <c r="H329" s="12">
        <f t="shared" si="23"/>
        <v>1.0015100000000023</v>
      </c>
    </row>
    <row r="330" spans="1:8" ht="14.25" thickBot="1">
      <c r="A330" s="22">
        <v>32.700000000000003</v>
      </c>
      <c r="B330" s="27">
        <v>0.96140000000000003</v>
      </c>
      <c r="C330" s="11">
        <f t="shared" si="20"/>
        <v>-1.3000000000008187E-3</v>
      </c>
      <c r="D330" s="12">
        <f t="shared" si="21"/>
        <v>1.0039100000000269</v>
      </c>
      <c r="E330" s="22">
        <v>32.700000000000003</v>
      </c>
      <c r="F330" s="27">
        <v>0.96226999999999996</v>
      </c>
      <c r="G330" s="11">
        <f t="shared" si="22"/>
        <v>-1.2999999999997085E-3</v>
      </c>
      <c r="H330" s="12">
        <f t="shared" si="23"/>
        <v>1.0047799999999905</v>
      </c>
    </row>
    <row r="331" spans="1:8" ht="14.25" thickBot="1">
      <c r="A331" s="22">
        <v>32.799999999999997</v>
      </c>
      <c r="B331" s="27">
        <v>0.96126999999999996</v>
      </c>
      <c r="C331" s="11">
        <f t="shared" si="20"/>
        <v>-1.2999999999996161E-3</v>
      </c>
      <c r="D331" s="12">
        <f t="shared" si="21"/>
        <v>1.0039099999999874</v>
      </c>
      <c r="E331" s="22">
        <v>32.799999999999997</v>
      </c>
      <c r="F331" s="27">
        <v>0.96214</v>
      </c>
      <c r="G331" s="11">
        <f t="shared" si="22"/>
        <v>-1.2999999999996161E-3</v>
      </c>
      <c r="H331" s="12">
        <f t="shared" si="23"/>
        <v>1.0047799999999873</v>
      </c>
    </row>
    <row r="332" spans="1:8" ht="14.25" thickBot="1">
      <c r="A332" s="22">
        <v>32.9</v>
      </c>
      <c r="B332" s="27">
        <v>0.96113999999999999</v>
      </c>
      <c r="C332" s="11">
        <f t="shared" si="20"/>
        <v>-1.2000000000000728E-3</v>
      </c>
      <c r="D332" s="12">
        <f t="shared" si="21"/>
        <v>1.0006200000000023</v>
      </c>
      <c r="E332" s="22">
        <v>32.9</v>
      </c>
      <c r="F332" s="27">
        <v>0.96201000000000003</v>
      </c>
      <c r="G332" s="11">
        <f t="shared" si="22"/>
        <v>-1.2000000000000728E-3</v>
      </c>
      <c r="H332" s="12">
        <f t="shared" si="23"/>
        <v>1.0014900000000024</v>
      </c>
    </row>
    <row r="333" spans="1:8" ht="14.25" thickBot="1">
      <c r="A333" s="26">
        <v>33</v>
      </c>
      <c r="B333" s="19">
        <v>0.96101999999999999</v>
      </c>
      <c r="C333" s="11">
        <f t="shared" si="20"/>
        <v>-1.2999999999996161E-3</v>
      </c>
      <c r="D333" s="12">
        <f t="shared" si="21"/>
        <v>1.0039199999999873</v>
      </c>
      <c r="E333" s="26">
        <v>33</v>
      </c>
      <c r="F333" s="19">
        <v>0.96189000000000002</v>
      </c>
      <c r="G333" s="11">
        <f t="shared" si="22"/>
        <v>-1.3000000000007264E-3</v>
      </c>
      <c r="H333" s="12">
        <f t="shared" si="23"/>
        <v>1.0047900000000238</v>
      </c>
    </row>
    <row r="334" spans="1:8" ht="14.25" thickBot="1">
      <c r="A334" s="22">
        <v>33.1</v>
      </c>
      <c r="B334" s="27">
        <v>0.96089000000000002</v>
      </c>
      <c r="C334" s="11">
        <f t="shared" si="20"/>
        <v>-1.2000000000000728E-3</v>
      </c>
      <c r="D334" s="12">
        <f t="shared" si="21"/>
        <v>1.0006100000000024</v>
      </c>
      <c r="E334" s="22">
        <v>33.1</v>
      </c>
      <c r="F334" s="27">
        <v>0.96175999999999995</v>
      </c>
      <c r="G334" s="11">
        <f t="shared" si="22"/>
        <v>-1.1999999999989627E-3</v>
      </c>
      <c r="H334" s="12">
        <f t="shared" si="23"/>
        <v>1.0014799999999657</v>
      </c>
    </row>
    <row r="335" spans="1:8" ht="14.25" thickBot="1">
      <c r="A335" s="22">
        <v>33.200000000000003</v>
      </c>
      <c r="B335" s="27">
        <v>0.96077000000000001</v>
      </c>
      <c r="C335" s="11">
        <f t="shared" si="20"/>
        <v>-1.2999999999997085E-3</v>
      </c>
      <c r="D335" s="12">
        <f t="shared" si="21"/>
        <v>1.0039299999999904</v>
      </c>
      <c r="E335" s="22">
        <v>33.200000000000003</v>
      </c>
      <c r="F335" s="27">
        <v>0.96164000000000005</v>
      </c>
      <c r="G335" s="11">
        <f t="shared" si="22"/>
        <v>-1.3000000000008187E-3</v>
      </c>
      <c r="H335" s="12">
        <f t="shared" si="23"/>
        <v>1.0048000000000272</v>
      </c>
    </row>
    <row r="336" spans="1:8" ht="14.25" thickBot="1">
      <c r="A336" s="22">
        <v>33.299999999999997</v>
      </c>
      <c r="B336" s="27">
        <v>0.96064000000000005</v>
      </c>
      <c r="C336" s="11">
        <f t="shared" si="20"/>
        <v>-1.3000000000007264E-3</v>
      </c>
      <c r="D336" s="12">
        <f t="shared" si="21"/>
        <v>1.0039300000000242</v>
      </c>
      <c r="E336" s="22">
        <v>33.299999999999997</v>
      </c>
      <c r="F336" s="27">
        <v>0.96150999999999998</v>
      </c>
      <c r="G336" s="11">
        <f t="shared" si="22"/>
        <v>-1.2999999999996161E-3</v>
      </c>
      <c r="H336" s="12">
        <f t="shared" si="23"/>
        <v>1.0047999999999873</v>
      </c>
    </row>
    <row r="337" spans="1:8" ht="14.25" thickBot="1">
      <c r="A337" s="22">
        <v>33.4</v>
      </c>
      <c r="B337" s="27">
        <v>0.96050999999999997</v>
      </c>
      <c r="C337" s="11">
        <f t="shared" si="20"/>
        <v>-1.2999999999996161E-3</v>
      </c>
      <c r="D337" s="12">
        <f t="shared" si="21"/>
        <v>1.0039299999999871</v>
      </c>
      <c r="E337" s="22">
        <v>33.4</v>
      </c>
      <c r="F337" s="27">
        <v>0.96138000000000001</v>
      </c>
      <c r="G337" s="11">
        <f t="shared" si="22"/>
        <v>-1.2999999999996161E-3</v>
      </c>
      <c r="H337" s="12">
        <f t="shared" si="23"/>
        <v>1.0047999999999873</v>
      </c>
    </row>
    <row r="338" spans="1:8" ht="14.25" thickBot="1">
      <c r="A338" s="22">
        <v>33.5</v>
      </c>
      <c r="B338" s="27">
        <v>0.96038000000000001</v>
      </c>
      <c r="C338" s="11">
        <f t="shared" si="20"/>
        <v>-1.2999999999996161E-3</v>
      </c>
      <c r="D338" s="12">
        <f t="shared" si="21"/>
        <v>1.0039299999999871</v>
      </c>
      <c r="E338" s="22">
        <v>33.5</v>
      </c>
      <c r="F338" s="27">
        <v>0.96125000000000005</v>
      </c>
      <c r="G338" s="11">
        <f t="shared" si="22"/>
        <v>-1.3000000000007264E-3</v>
      </c>
      <c r="H338" s="12">
        <f t="shared" si="23"/>
        <v>1.0048000000000243</v>
      </c>
    </row>
    <row r="339" spans="1:8" ht="14.25" thickBot="1">
      <c r="A339" s="22">
        <v>33.6</v>
      </c>
      <c r="B339" s="27">
        <v>0.96025000000000005</v>
      </c>
      <c r="C339" s="11">
        <f t="shared" si="20"/>
        <v>-1.2000000000000728E-3</v>
      </c>
      <c r="D339" s="12">
        <f t="shared" si="21"/>
        <v>1.0005700000000026</v>
      </c>
      <c r="E339" s="22">
        <v>33.6</v>
      </c>
      <c r="F339" s="27">
        <v>0.96111999999999997</v>
      </c>
      <c r="G339" s="11">
        <f t="shared" si="22"/>
        <v>-1.2999999999996161E-3</v>
      </c>
      <c r="H339" s="12">
        <f t="shared" si="23"/>
        <v>1.004799999999987</v>
      </c>
    </row>
    <row r="340" spans="1:8" ht="14.25" thickBot="1">
      <c r="A340" s="22">
        <v>33.700000000000003</v>
      </c>
      <c r="B340" s="27">
        <v>0.96013000000000004</v>
      </c>
      <c r="C340" s="11">
        <f t="shared" si="20"/>
        <v>-1.3000000000008187E-3</v>
      </c>
      <c r="D340" s="12">
        <f t="shared" si="21"/>
        <v>1.0039400000000276</v>
      </c>
      <c r="E340" s="22">
        <v>33.700000000000003</v>
      </c>
      <c r="F340" s="27">
        <v>0.96099000000000001</v>
      </c>
      <c r="G340" s="11">
        <f t="shared" si="22"/>
        <v>-1.2999999999997085E-3</v>
      </c>
      <c r="H340" s="12">
        <f t="shared" si="23"/>
        <v>1.0047999999999901</v>
      </c>
    </row>
    <row r="341" spans="1:8" ht="14.25" thickBot="1">
      <c r="A341" s="22">
        <v>33.799999999999997</v>
      </c>
      <c r="B341" s="27">
        <v>0.96</v>
      </c>
      <c r="C341" s="11">
        <f t="shared" si="20"/>
        <v>-1.2999999999996161E-3</v>
      </c>
      <c r="D341" s="12">
        <f t="shared" si="21"/>
        <v>1.003939999999987</v>
      </c>
      <c r="E341" s="22">
        <v>33.799999999999997</v>
      </c>
      <c r="F341" s="27">
        <v>0.96086000000000005</v>
      </c>
      <c r="G341" s="11">
        <f t="shared" si="22"/>
        <v>-1.3000000000007264E-3</v>
      </c>
      <c r="H341" s="12">
        <f t="shared" si="23"/>
        <v>1.0048000000000246</v>
      </c>
    </row>
    <row r="342" spans="1:8" ht="14.25" thickBot="1">
      <c r="A342" s="22">
        <v>33.9</v>
      </c>
      <c r="B342" s="27">
        <v>0.95987</v>
      </c>
      <c r="C342" s="11">
        <f t="shared" si="20"/>
        <v>-1.2999999999996161E-3</v>
      </c>
      <c r="D342" s="12">
        <f t="shared" si="21"/>
        <v>1.003939999999987</v>
      </c>
      <c r="E342" s="22">
        <v>33.9</v>
      </c>
      <c r="F342" s="27">
        <v>0.96072999999999997</v>
      </c>
      <c r="G342" s="11">
        <f t="shared" si="22"/>
        <v>-1.2999999999996161E-3</v>
      </c>
      <c r="H342" s="12">
        <f t="shared" si="23"/>
        <v>1.004799999999987</v>
      </c>
    </row>
    <row r="343" spans="1:8" ht="14.25" thickBot="1">
      <c r="A343" s="26">
        <v>34</v>
      </c>
      <c r="B343" s="19">
        <v>0.95974000000000004</v>
      </c>
      <c r="C343" s="11">
        <f t="shared" si="20"/>
        <v>-1.3000000000007264E-3</v>
      </c>
      <c r="D343" s="12">
        <f t="shared" si="21"/>
        <v>1.0039400000000247</v>
      </c>
      <c r="E343" s="26">
        <v>34</v>
      </c>
      <c r="F343" s="19">
        <v>0.96060000000000001</v>
      </c>
      <c r="G343" s="11">
        <f t="shared" si="22"/>
        <v>-1.2999999999996161E-3</v>
      </c>
      <c r="H343" s="12">
        <f t="shared" si="23"/>
        <v>1.004799999999987</v>
      </c>
    </row>
    <row r="344" spans="1:8" ht="14.25" thickBot="1">
      <c r="A344" s="22">
        <v>34.1</v>
      </c>
      <c r="B344" s="27">
        <v>0.95960999999999996</v>
      </c>
      <c r="C344" s="11">
        <f t="shared" si="20"/>
        <v>-1.2999999999996161E-3</v>
      </c>
      <c r="D344" s="12">
        <f t="shared" si="21"/>
        <v>1.003939999999987</v>
      </c>
      <c r="E344" s="22">
        <v>34.1</v>
      </c>
      <c r="F344" s="27">
        <v>0.96047000000000005</v>
      </c>
      <c r="G344" s="11">
        <f t="shared" si="22"/>
        <v>-1.3000000000007264E-3</v>
      </c>
      <c r="H344" s="12">
        <f t="shared" si="23"/>
        <v>1.0048000000000248</v>
      </c>
    </row>
    <row r="345" spans="1:8" ht="14.25" thickBot="1">
      <c r="A345" s="22">
        <v>34.200000000000003</v>
      </c>
      <c r="B345" s="27">
        <v>0.95948</v>
      </c>
      <c r="C345" s="11">
        <f t="shared" si="20"/>
        <v>-1.2999999999997085E-3</v>
      </c>
      <c r="D345" s="12">
        <f t="shared" si="21"/>
        <v>1.0039399999999901</v>
      </c>
      <c r="E345" s="22">
        <v>34.200000000000003</v>
      </c>
      <c r="F345" s="27">
        <v>0.96033999999999997</v>
      </c>
      <c r="G345" s="11">
        <f t="shared" si="22"/>
        <v>-1.2999999999997085E-3</v>
      </c>
      <c r="H345" s="12">
        <f t="shared" si="23"/>
        <v>1.0047999999999899</v>
      </c>
    </row>
    <row r="346" spans="1:8" ht="14.25" thickBot="1">
      <c r="A346" s="22">
        <v>34.299999999999997</v>
      </c>
      <c r="B346" s="27">
        <v>0.95935000000000004</v>
      </c>
      <c r="C346" s="11">
        <f t="shared" si="20"/>
        <v>-1.40000000000027E-3</v>
      </c>
      <c r="D346" s="12">
        <f t="shared" si="21"/>
        <v>1.0073700000000092</v>
      </c>
      <c r="E346" s="22">
        <v>34.299999999999997</v>
      </c>
      <c r="F346" s="27">
        <v>0.96021000000000001</v>
      </c>
      <c r="G346" s="11">
        <f t="shared" si="22"/>
        <v>-1.40000000000027E-3</v>
      </c>
      <c r="H346" s="12">
        <f t="shared" si="23"/>
        <v>1.0082300000000093</v>
      </c>
    </row>
    <row r="347" spans="1:8" ht="14.25" thickBot="1">
      <c r="A347" s="22">
        <v>34.4</v>
      </c>
      <c r="B347" s="27">
        <v>0.95921000000000001</v>
      </c>
      <c r="C347" s="11">
        <f t="shared" si="20"/>
        <v>-1.2999999999996161E-3</v>
      </c>
      <c r="D347" s="12">
        <f t="shared" si="21"/>
        <v>1.0039299999999869</v>
      </c>
      <c r="E347" s="22">
        <v>34.4</v>
      </c>
      <c r="F347" s="27">
        <v>0.96006999999999998</v>
      </c>
      <c r="G347" s="11">
        <f t="shared" si="22"/>
        <v>-1.2999999999996161E-3</v>
      </c>
      <c r="H347" s="12">
        <f t="shared" si="23"/>
        <v>1.0047899999999867</v>
      </c>
    </row>
    <row r="348" spans="1:8" ht="14.25" thickBot="1">
      <c r="A348" s="22">
        <v>34.5</v>
      </c>
      <c r="B348" s="27">
        <v>0.95908000000000004</v>
      </c>
      <c r="C348" s="11">
        <f t="shared" si="20"/>
        <v>-1.3000000000007264E-3</v>
      </c>
      <c r="D348" s="12">
        <f t="shared" si="21"/>
        <v>1.0039300000000251</v>
      </c>
      <c r="E348" s="22">
        <v>34.5</v>
      </c>
      <c r="F348" s="27">
        <v>0.95994000000000002</v>
      </c>
      <c r="G348" s="11">
        <f t="shared" si="22"/>
        <v>-1.2999999999996161E-3</v>
      </c>
      <c r="H348" s="12">
        <f t="shared" si="23"/>
        <v>1.0047899999999867</v>
      </c>
    </row>
    <row r="349" spans="1:8" ht="14.25" thickBot="1">
      <c r="A349" s="22">
        <v>34.6</v>
      </c>
      <c r="B349" s="27">
        <v>0.95894999999999997</v>
      </c>
      <c r="C349" s="11">
        <f t="shared" si="20"/>
        <v>-1.2999999999996161E-3</v>
      </c>
      <c r="D349" s="12">
        <f t="shared" si="21"/>
        <v>1.0039299999999867</v>
      </c>
      <c r="E349" s="22">
        <v>34.6</v>
      </c>
      <c r="F349" s="27">
        <v>0.95981000000000005</v>
      </c>
      <c r="G349" s="11">
        <f t="shared" si="22"/>
        <v>-1.3000000000007264E-3</v>
      </c>
      <c r="H349" s="12">
        <f t="shared" si="23"/>
        <v>1.0047900000000252</v>
      </c>
    </row>
    <row r="350" spans="1:8" ht="14.25" thickBot="1">
      <c r="A350" s="22">
        <v>34.700000000000003</v>
      </c>
      <c r="B350" s="27">
        <v>0.95882000000000001</v>
      </c>
      <c r="C350" s="11">
        <f t="shared" si="20"/>
        <v>-1.4000000000003695E-3</v>
      </c>
      <c r="D350" s="12">
        <f t="shared" si="21"/>
        <v>1.0074000000000127</v>
      </c>
      <c r="E350" s="22">
        <v>34.700000000000003</v>
      </c>
      <c r="F350" s="27">
        <v>0.95967999999999998</v>
      </c>
      <c r="G350" s="11">
        <f t="shared" si="22"/>
        <v>-1.4000000000003695E-3</v>
      </c>
      <c r="H350" s="12">
        <f t="shared" si="23"/>
        <v>1.0082600000000128</v>
      </c>
    </row>
    <row r="351" spans="1:8" ht="14.25" thickBot="1">
      <c r="A351" s="22">
        <v>34.799999999999997</v>
      </c>
      <c r="B351" s="27">
        <v>0.95867999999999998</v>
      </c>
      <c r="C351" s="11">
        <f t="shared" si="20"/>
        <v>-1.2999999999996161E-3</v>
      </c>
      <c r="D351" s="12">
        <f t="shared" si="21"/>
        <v>1.0039199999999866</v>
      </c>
      <c r="E351" s="22">
        <v>34.799999999999997</v>
      </c>
      <c r="F351" s="27">
        <v>0.95953999999999995</v>
      </c>
      <c r="G351" s="11">
        <f t="shared" si="22"/>
        <v>-1.2999999999996161E-3</v>
      </c>
      <c r="H351" s="12">
        <f t="shared" si="23"/>
        <v>1.0047799999999867</v>
      </c>
    </row>
    <row r="352" spans="1:8" ht="14.25" thickBot="1">
      <c r="A352" s="22">
        <v>34.9</v>
      </c>
      <c r="B352" s="27">
        <v>0.95855000000000001</v>
      </c>
      <c r="C352" s="11">
        <f t="shared" si="20"/>
        <v>-1.2999999999996161E-3</v>
      </c>
      <c r="D352" s="12">
        <f t="shared" si="21"/>
        <v>1.0039199999999866</v>
      </c>
      <c r="E352" s="22">
        <v>34.9</v>
      </c>
      <c r="F352" s="27">
        <v>0.95940999999999999</v>
      </c>
      <c r="G352" s="11">
        <f t="shared" si="22"/>
        <v>-1.2999999999996161E-3</v>
      </c>
      <c r="H352" s="12">
        <f t="shared" si="23"/>
        <v>1.0047799999999867</v>
      </c>
    </row>
    <row r="353" spans="1:8" ht="14.25" thickBot="1">
      <c r="A353" s="26">
        <v>35</v>
      </c>
      <c r="B353" s="19">
        <v>0.95842000000000005</v>
      </c>
      <c r="C353" s="11">
        <f t="shared" si="20"/>
        <v>-1.40000000000027E-3</v>
      </c>
      <c r="D353" s="12">
        <f t="shared" si="21"/>
        <v>1.0074200000000095</v>
      </c>
      <c r="E353" s="26">
        <v>35</v>
      </c>
      <c r="F353" s="19">
        <v>0.95928000000000002</v>
      </c>
      <c r="G353" s="11">
        <f t="shared" si="22"/>
        <v>-1.40000000000027E-3</v>
      </c>
      <c r="H353" s="12">
        <f t="shared" si="23"/>
        <v>1.0082800000000094</v>
      </c>
    </row>
    <row r="354" spans="1:8" ht="14.25" thickBot="1">
      <c r="A354" s="22">
        <v>35.1</v>
      </c>
      <c r="B354" s="27">
        <v>0.95828000000000002</v>
      </c>
      <c r="C354" s="11">
        <f t="shared" si="20"/>
        <v>-1.3000000000007264E-3</v>
      </c>
      <c r="D354" s="12">
        <f t="shared" si="21"/>
        <v>1.0039100000000256</v>
      </c>
      <c r="E354" s="22">
        <v>35.1</v>
      </c>
      <c r="F354" s="27">
        <v>0.95913999999999999</v>
      </c>
      <c r="G354" s="11">
        <f t="shared" si="22"/>
        <v>-1.2999999999996161E-3</v>
      </c>
      <c r="H354" s="12">
        <f t="shared" si="23"/>
        <v>1.0047699999999866</v>
      </c>
    </row>
    <row r="355" spans="1:8" ht="14.25" thickBot="1">
      <c r="A355" s="22">
        <v>35.200000000000003</v>
      </c>
      <c r="B355" s="27">
        <v>0.95814999999999995</v>
      </c>
      <c r="C355" s="11">
        <f t="shared" si="20"/>
        <v>-1.399999999999259E-3</v>
      </c>
      <c r="D355" s="12">
        <f t="shared" si="21"/>
        <v>1.0074299999999738</v>
      </c>
      <c r="E355" s="22">
        <v>35.200000000000003</v>
      </c>
      <c r="F355" s="27">
        <v>0.95901000000000003</v>
      </c>
      <c r="G355" s="11">
        <f t="shared" si="22"/>
        <v>-1.4000000000003695E-3</v>
      </c>
      <c r="H355" s="12">
        <f t="shared" si="23"/>
        <v>1.008290000000013</v>
      </c>
    </row>
    <row r="356" spans="1:8" ht="14.25" thickBot="1">
      <c r="A356" s="22">
        <v>35.299999999999997</v>
      </c>
      <c r="B356" s="27">
        <v>0.95801000000000003</v>
      </c>
      <c r="C356" s="11">
        <f t="shared" si="20"/>
        <v>-1.3000000000007264E-3</v>
      </c>
      <c r="D356" s="12">
        <f t="shared" si="21"/>
        <v>1.0039000000000258</v>
      </c>
      <c r="E356" s="22">
        <v>35.299999999999997</v>
      </c>
      <c r="F356" s="27">
        <v>0.95887</v>
      </c>
      <c r="G356" s="11">
        <f t="shared" si="22"/>
        <v>-1.2999999999996161E-3</v>
      </c>
      <c r="H356" s="12">
        <f t="shared" si="23"/>
        <v>1.0047599999999863</v>
      </c>
    </row>
    <row r="357" spans="1:8" ht="14.25" thickBot="1">
      <c r="A357" s="22">
        <v>35.4</v>
      </c>
      <c r="B357" s="27">
        <v>0.95787999999999995</v>
      </c>
      <c r="C357" s="11">
        <f t="shared" si="20"/>
        <v>-1.3999999999991597E-3</v>
      </c>
      <c r="D357" s="12">
        <f t="shared" si="21"/>
        <v>1.0074399999999704</v>
      </c>
      <c r="E357" s="22">
        <v>35.4</v>
      </c>
      <c r="F357" s="27">
        <v>0.95874000000000004</v>
      </c>
      <c r="G357" s="11">
        <f t="shared" si="22"/>
        <v>-1.40000000000027E-3</v>
      </c>
      <c r="H357" s="12">
        <f t="shared" si="23"/>
        <v>1.0083000000000095</v>
      </c>
    </row>
    <row r="358" spans="1:8" ht="14.25" thickBot="1">
      <c r="A358" s="22">
        <v>35.5</v>
      </c>
      <c r="B358" s="27">
        <v>0.95774000000000004</v>
      </c>
      <c r="C358" s="11">
        <f t="shared" si="20"/>
        <v>-1.3000000000007264E-3</v>
      </c>
      <c r="D358" s="12">
        <f t="shared" si="21"/>
        <v>1.0038900000000259</v>
      </c>
      <c r="E358" s="22">
        <v>35.5</v>
      </c>
      <c r="F358" s="27">
        <v>0.95860000000000001</v>
      </c>
      <c r="G358" s="11">
        <f t="shared" si="22"/>
        <v>-1.2999999999996161E-3</v>
      </c>
      <c r="H358" s="12">
        <f t="shared" si="23"/>
        <v>1.0047499999999863</v>
      </c>
    </row>
    <row r="359" spans="1:8" ht="14.25" thickBot="1">
      <c r="A359" s="22">
        <v>35.6</v>
      </c>
      <c r="B359" s="27">
        <v>0.95760999999999996</v>
      </c>
      <c r="C359" s="11">
        <f t="shared" si="20"/>
        <v>-1.3999999999991597E-3</v>
      </c>
      <c r="D359" s="12">
        <f t="shared" si="21"/>
        <v>1.0074499999999702</v>
      </c>
      <c r="E359" s="22">
        <v>35.6</v>
      </c>
      <c r="F359" s="27">
        <v>0.95847000000000004</v>
      </c>
      <c r="G359" s="11">
        <f t="shared" si="22"/>
        <v>-1.40000000000027E-3</v>
      </c>
      <c r="H359" s="12">
        <f t="shared" si="23"/>
        <v>1.0083100000000096</v>
      </c>
    </row>
    <row r="360" spans="1:8" ht="14.25" thickBot="1">
      <c r="A360" s="22">
        <v>35.700000000000003</v>
      </c>
      <c r="B360" s="27">
        <v>0.95747000000000004</v>
      </c>
      <c r="C360" s="11">
        <f t="shared" si="20"/>
        <v>-1.4000000000003695E-3</v>
      </c>
      <c r="D360" s="12">
        <f t="shared" si="21"/>
        <v>1.0074500000000133</v>
      </c>
      <c r="E360" s="22">
        <v>35.700000000000003</v>
      </c>
      <c r="F360" s="27">
        <v>0.95833000000000002</v>
      </c>
      <c r="G360" s="11">
        <f t="shared" si="22"/>
        <v>-1.4000000000003695E-3</v>
      </c>
      <c r="H360" s="12">
        <f t="shared" si="23"/>
        <v>1.0083100000000131</v>
      </c>
    </row>
    <row r="361" spans="1:8" ht="14.25" thickBot="1">
      <c r="A361" s="22">
        <v>35.799999999999997</v>
      </c>
      <c r="B361" s="27">
        <v>0.95733000000000001</v>
      </c>
      <c r="C361" s="11">
        <f t="shared" si="20"/>
        <v>-1.2999999999996161E-3</v>
      </c>
      <c r="D361" s="12">
        <f t="shared" si="21"/>
        <v>1.0038699999999863</v>
      </c>
      <c r="E361" s="22">
        <v>35.799999999999997</v>
      </c>
      <c r="F361" s="27">
        <v>0.95818999999999999</v>
      </c>
      <c r="G361" s="11">
        <f t="shared" si="22"/>
        <v>-1.2999999999996161E-3</v>
      </c>
      <c r="H361" s="12">
        <f t="shared" si="23"/>
        <v>1.0047299999999861</v>
      </c>
    </row>
    <row r="362" spans="1:8" ht="14.25" thickBot="1">
      <c r="A362" s="22">
        <v>35.9</v>
      </c>
      <c r="B362" s="27">
        <v>0.95720000000000005</v>
      </c>
      <c r="C362" s="11">
        <f t="shared" si="20"/>
        <v>-1.40000000000027E-3</v>
      </c>
      <c r="D362" s="12">
        <f t="shared" si="21"/>
        <v>1.0074600000000098</v>
      </c>
      <c r="E362" s="22">
        <v>35.9</v>
      </c>
      <c r="F362" s="27">
        <v>0.95806000000000002</v>
      </c>
      <c r="G362" s="11">
        <f t="shared" si="22"/>
        <v>-1.40000000000027E-3</v>
      </c>
      <c r="H362" s="12">
        <f t="shared" si="23"/>
        <v>1.0083200000000097</v>
      </c>
    </row>
    <row r="363" spans="1:8" ht="14.25" thickBot="1">
      <c r="A363" s="26">
        <v>36</v>
      </c>
      <c r="B363" s="19">
        <v>0.95706000000000002</v>
      </c>
      <c r="C363" s="11">
        <f t="shared" si="20"/>
        <v>-1.40000000000027E-3</v>
      </c>
      <c r="D363" s="12">
        <f t="shared" si="21"/>
        <v>1.0074600000000098</v>
      </c>
      <c r="E363" s="26">
        <v>36</v>
      </c>
      <c r="F363" s="19">
        <v>0.95791999999999999</v>
      </c>
      <c r="G363" s="11">
        <f t="shared" si="22"/>
        <v>-1.40000000000027E-3</v>
      </c>
      <c r="H363" s="12">
        <f t="shared" si="23"/>
        <v>1.0083200000000097</v>
      </c>
    </row>
    <row r="364" spans="1:8" ht="14.25" thickBot="1">
      <c r="A364" s="22">
        <v>36.1</v>
      </c>
      <c r="B364" s="27">
        <v>0.95691999999999999</v>
      </c>
      <c r="C364" s="11">
        <f t="shared" si="20"/>
        <v>-1.40000000000027E-3</v>
      </c>
      <c r="D364" s="12">
        <f t="shared" si="21"/>
        <v>1.0074600000000098</v>
      </c>
      <c r="E364" s="22">
        <v>36.1</v>
      </c>
      <c r="F364" s="27">
        <v>0.95777999999999996</v>
      </c>
      <c r="G364" s="11">
        <f t="shared" si="22"/>
        <v>-1.3999999999991597E-3</v>
      </c>
      <c r="H364" s="12">
        <f t="shared" si="23"/>
        <v>1.0083199999999697</v>
      </c>
    </row>
    <row r="365" spans="1:8" ht="14.25" thickBot="1">
      <c r="A365" s="22">
        <v>36.200000000000003</v>
      </c>
      <c r="B365" s="27">
        <v>0.95677999999999996</v>
      </c>
      <c r="C365" s="11">
        <f t="shared" si="20"/>
        <v>-1.399999999999259E-3</v>
      </c>
      <c r="D365" s="12">
        <f t="shared" si="21"/>
        <v>1.0074599999999732</v>
      </c>
      <c r="E365" s="22">
        <v>36.200000000000003</v>
      </c>
      <c r="F365" s="27">
        <v>0.95764000000000005</v>
      </c>
      <c r="G365" s="11">
        <f t="shared" si="22"/>
        <v>-1.4000000000003695E-3</v>
      </c>
      <c r="H365" s="12">
        <f t="shared" si="23"/>
        <v>1.0083200000000134</v>
      </c>
    </row>
    <row r="366" spans="1:8" ht="14.25" thickBot="1">
      <c r="A366" s="22">
        <v>36.299999999999997</v>
      </c>
      <c r="B366" s="27">
        <v>0.95664000000000005</v>
      </c>
      <c r="C366" s="11">
        <f t="shared" si="20"/>
        <v>-1.40000000000027E-3</v>
      </c>
      <c r="D366" s="12">
        <f t="shared" si="21"/>
        <v>1.0074600000000098</v>
      </c>
      <c r="E366" s="22">
        <v>36.299999999999997</v>
      </c>
      <c r="F366" s="27">
        <v>0.95750000000000002</v>
      </c>
      <c r="G366" s="11">
        <f t="shared" si="22"/>
        <v>-1.40000000000027E-3</v>
      </c>
      <c r="H366" s="12">
        <f t="shared" si="23"/>
        <v>1.0083200000000099</v>
      </c>
    </row>
    <row r="367" spans="1:8" ht="14.25" thickBot="1">
      <c r="A367" s="22">
        <v>36.4</v>
      </c>
      <c r="B367" s="27">
        <v>0.95650000000000002</v>
      </c>
      <c r="C367" s="11">
        <f t="shared" si="20"/>
        <v>-1.40000000000027E-3</v>
      </c>
      <c r="D367" s="12">
        <f t="shared" si="21"/>
        <v>1.0074600000000098</v>
      </c>
      <c r="E367" s="22">
        <v>36.4</v>
      </c>
      <c r="F367" s="27">
        <v>0.95735999999999999</v>
      </c>
      <c r="G367" s="11">
        <f t="shared" si="22"/>
        <v>-1.40000000000027E-3</v>
      </c>
      <c r="H367" s="12">
        <f t="shared" si="23"/>
        <v>1.0083200000000099</v>
      </c>
    </row>
    <row r="368" spans="1:8" ht="14.25" thickBot="1">
      <c r="A368" s="22">
        <v>36.5</v>
      </c>
      <c r="B368" s="27">
        <v>0.95635999999999999</v>
      </c>
      <c r="C368" s="11">
        <f t="shared" si="20"/>
        <v>-1.40000000000027E-3</v>
      </c>
      <c r="D368" s="12">
        <f t="shared" si="21"/>
        <v>1.0074600000000098</v>
      </c>
      <c r="E368" s="22">
        <v>36.5</v>
      </c>
      <c r="F368" s="27">
        <v>0.95721999999999996</v>
      </c>
      <c r="G368" s="11">
        <f t="shared" si="22"/>
        <v>-1.3999999999991597E-3</v>
      </c>
      <c r="H368" s="12">
        <f t="shared" si="23"/>
        <v>1.0083199999999692</v>
      </c>
    </row>
    <row r="369" spans="1:8" ht="14.25" thickBot="1">
      <c r="A369" s="22">
        <v>36.6</v>
      </c>
      <c r="B369" s="27">
        <v>0.95621999999999996</v>
      </c>
      <c r="C369" s="11">
        <f t="shared" si="20"/>
        <v>-1.3999999999991597E-3</v>
      </c>
      <c r="D369" s="12">
        <f t="shared" si="21"/>
        <v>1.0074599999999694</v>
      </c>
      <c r="E369" s="22">
        <v>36.6</v>
      </c>
      <c r="F369" s="27">
        <v>0.95708000000000004</v>
      </c>
      <c r="G369" s="11">
        <f t="shared" si="22"/>
        <v>-1.40000000000027E-3</v>
      </c>
      <c r="H369" s="12">
        <f t="shared" si="23"/>
        <v>1.0083200000000099</v>
      </c>
    </row>
    <row r="370" spans="1:8" ht="14.25" thickBot="1">
      <c r="A370" s="22">
        <v>36.700000000000003</v>
      </c>
      <c r="B370" s="27">
        <v>0.95608000000000004</v>
      </c>
      <c r="C370" s="11">
        <f t="shared" si="20"/>
        <v>-1.4000000000003695E-3</v>
      </c>
      <c r="D370" s="12">
        <f t="shared" si="21"/>
        <v>1.0074600000000136</v>
      </c>
      <c r="E370" s="22">
        <v>36.700000000000003</v>
      </c>
      <c r="F370" s="27">
        <v>0.95694000000000001</v>
      </c>
      <c r="G370" s="11">
        <f t="shared" si="22"/>
        <v>-1.4000000000003695E-3</v>
      </c>
      <c r="H370" s="12">
        <f t="shared" si="23"/>
        <v>1.0083200000000136</v>
      </c>
    </row>
    <row r="371" spans="1:8" ht="14.25" thickBot="1">
      <c r="A371" s="22">
        <v>36.799999999999997</v>
      </c>
      <c r="B371" s="27">
        <v>0.95594000000000001</v>
      </c>
      <c r="C371" s="11">
        <f t="shared" si="20"/>
        <v>-1.40000000000027E-3</v>
      </c>
      <c r="D371" s="12">
        <f t="shared" si="21"/>
        <v>1.00746000000001</v>
      </c>
      <c r="E371" s="22">
        <v>36.799999999999997</v>
      </c>
      <c r="F371" s="27">
        <v>0.95679999999999998</v>
      </c>
      <c r="G371" s="11">
        <f t="shared" si="22"/>
        <v>-1.40000000000027E-3</v>
      </c>
      <c r="H371" s="12">
        <f t="shared" si="23"/>
        <v>1.0083200000000099</v>
      </c>
    </row>
    <row r="372" spans="1:8" ht="14.25" thickBot="1">
      <c r="A372" s="22">
        <v>36.9</v>
      </c>
      <c r="B372" s="27">
        <v>0.95579999999999998</v>
      </c>
      <c r="C372" s="11">
        <f t="shared" si="20"/>
        <v>-1.40000000000027E-3</v>
      </c>
      <c r="D372" s="12">
        <f t="shared" si="21"/>
        <v>1.00746000000001</v>
      </c>
      <c r="E372" s="22">
        <v>36.9</v>
      </c>
      <c r="F372" s="27">
        <v>0.95665999999999995</v>
      </c>
      <c r="G372" s="11">
        <f t="shared" si="22"/>
        <v>-1.3999999999991597E-3</v>
      </c>
      <c r="H372" s="12">
        <f t="shared" si="23"/>
        <v>1.008319999999969</v>
      </c>
    </row>
    <row r="373" spans="1:8" ht="14.25" thickBot="1">
      <c r="A373" s="26">
        <v>37</v>
      </c>
      <c r="B373" s="19">
        <v>0.95565999999999995</v>
      </c>
      <c r="C373" s="11">
        <f t="shared" si="20"/>
        <v>-1.3999999999991597E-3</v>
      </c>
      <c r="D373" s="12">
        <f t="shared" si="21"/>
        <v>1.0074599999999687</v>
      </c>
      <c r="E373" s="26">
        <v>37</v>
      </c>
      <c r="F373" s="19">
        <v>0.95652000000000004</v>
      </c>
      <c r="G373" s="11">
        <f t="shared" si="22"/>
        <v>-1.40000000000027E-3</v>
      </c>
      <c r="H373" s="12">
        <f t="shared" si="23"/>
        <v>1.0083200000000101</v>
      </c>
    </row>
    <row r="374" spans="1:8" ht="14.25" thickBot="1">
      <c r="A374" s="22">
        <v>37.1</v>
      </c>
      <c r="B374" s="27">
        <v>0.95552000000000004</v>
      </c>
      <c r="C374" s="11">
        <f t="shared" si="20"/>
        <v>-1.4999999999998135E-3</v>
      </c>
      <c r="D374" s="12">
        <f t="shared" si="21"/>
        <v>1.0111699999999932</v>
      </c>
      <c r="E374" s="22">
        <v>37.1</v>
      </c>
      <c r="F374" s="27">
        <v>0.95638000000000001</v>
      </c>
      <c r="G374" s="11">
        <f t="shared" si="22"/>
        <v>-1.4999999999998135E-3</v>
      </c>
      <c r="H374" s="12">
        <f t="shared" si="23"/>
        <v>1.0120299999999931</v>
      </c>
    </row>
    <row r="375" spans="1:8" ht="14.25" thickBot="1">
      <c r="A375" s="22">
        <v>37.200000000000003</v>
      </c>
      <c r="B375" s="27">
        <v>0.95537000000000005</v>
      </c>
      <c r="C375" s="11">
        <f t="shared" si="20"/>
        <v>-1.4000000000003695E-3</v>
      </c>
      <c r="D375" s="12">
        <f t="shared" si="21"/>
        <v>1.0074500000000137</v>
      </c>
      <c r="E375" s="22">
        <v>37.200000000000003</v>
      </c>
      <c r="F375" s="27">
        <v>0.95623000000000002</v>
      </c>
      <c r="G375" s="11">
        <f t="shared" si="22"/>
        <v>-1.4000000000003695E-3</v>
      </c>
      <c r="H375" s="12">
        <f t="shared" si="23"/>
        <v>1.0083100000000138</v>
      </c>
    </row>
    <row r="376" spans="1:8" ht="14.25" thickBot="1">
      <c r="A376" s="22">
        <v>37.299999999999997</v>
      </c>
      <c r="B376" s="27">
        <v>0.95523000000000002</v>
      </c>
      <c r="C376" s="11">
        <f t="shared" si="20"/>
        <v>-1.40000000000027E-3</v>
      </c>
      <c r="D376" s="12">
        <f t="shared" si="21"/>
        <v>1.0074500000000102</v>
      </c>
      <c r="E376" s="22">
        <v>37.299999999999997</v>
      </c>
      <c r="F376" s="27">
        <v>0.95609</v>
      </c>
      <c r="G376" s="11">
        <f t="shared" si="22"/>
        <v>-1.40000000000027E-3</v>
      </c>
      <c r="H376" s="12">
        <f t="shared" si="23"/>
        <v>1.00831000000001</v>
      </c>
    </row>
    <row r="377" spans="1:8" ht="14.25" thickBot="1">
      <c r="A377" s="22">
        <v>37.4</v>
      </c>
      <c r="B377" s="27">
        <v>0.95508999999999999</v>
      </c>
      <c r="C377" s="11">
        <f t="shared" si="20"/>
        <v>-1.4999999999998135E-3</v>
      </c>
      <c r="D377" s="12">
        <f t="shared" si="21"/>
        <v>1.0111899999999929</v>
      </c>
      <c r="E377" s="22">
        <v>37.4</v>
      </c>
      <c r="F377" s="27">
        <v>0.95594999999999997</v>
      </c>
      <c r="G377" s="11">
        <f t="shared" si="22"/>
        <v>-1.4999999999998135E-3</v>
      </c>
      <c r="H377" s="12">
        <f t="shared" si="23"/>
        <v>1.012049999999993</v>
      </c>
    </row>
    <row r="378" spans="1:8" ht="14.25" thickBot="1">
      <c r="A378" s="22">
        <v>37.5</v>
      </c>
      <c r="B378" s="27">
        <v>0.95494000000000001</v>
      </c>
      <c r="C378" s="11">
        <f t="shared" si="20"/>
        <v>-1.40000000000027E-3</v>
      </c>
      <c r="D378" s="12">
        <f t="shared" si="21"/>
        <v>1.0074400000000101</v>
      </c>
      <c r="E378" s="22">
        <v>37.5</v>
      </c>
      <c r="F378" s="27">
        <v>0.95579999999999998</v>
      </c>
      <c r="G378" s="11">
        <f t="shared" si="22"/>
        <v>-1.40000000000027E-3</v>
      </c>
      <c r="H378" s="12">
        <f t="shared" si="23"/>
        <v>1.0083000000000102</v>
      </c>
    </row>
    <row r="379" spans="1:8" ht="14.25" thickBot="1">
      <c r="A379" s="22">
        <v>37.6</v>
      </c>
      <c r="B379" s="27">
        <v>0.95479999999999998</v>
      </c>
      <c r="C379" s="11">
        <f t="shared" si="20"/>
        <v>-1.4999999999998135E-3</v>
      </c>
      <c r="D379" s="12">
        <f t="shared" si="21"/>
        <v>1.011199999999993</v>
      </c>
      <c r="E379" s="22">
        <v>37.6</v>
      </c>
      <c r="F379" s="27">
        <v>0.95565999999999995</v>
      </c>
      <c r="G379" s="11">
        <f t="shared" si="22"/>
        <v>-1.4999999999998135E-3</v>
      </c>
      <c r="H379" s="12">
        <f t="shared" si="23"/>
        <v>1.0120599999999929</v>
      </c>
    </row>
    <row r="380" spans="1:8" ht="14.25" thickBot="1">
      <c r="A380" s="22">
        <v>37.700000000000003</v>
      </c>
      <c r="B380" s="27">
        <v>0.95465</v>
      </c>
      <c r="C380" s="11">
        <f t="shared" si="20"/>
        <v>-1.4000000000003695E-3</v>
      </c>
      <c r="D380" s="12">
        <f t="shared" si="21"/>
        <v>1.007430000000014</v>
      </c>
      <c r="E380" s="22">
        <v>37.700000000000003</v>
      </c>
      <c r="F380" s="27">
        <v>0.95550999999999997</v>
      </c>
      <c r="G380" s="11">
        <f t="shared" si="22"/>
        <v>-1.399999999999259E-3</v>
      </c>
      <c r="H380" s="12">
        <f t="shared" si="23"/>
        <v>1.0082899999999722</v>
      </c>
    </row>
    <row r="381" spans="1:8" ht="14.25" thickBot="1">
      <c r="A381" s="22">
        <v>37.799999999999997</v>
      </c>
      <c r="B381" s="27">
        <v>0.95450999999999997</v>
      </c>
      <c r="C381" s="11">
        <f t="shared" si="20"/>
        <v>-1.4999999999998135E-3</v>
      </c>
      <c r="D381" s="12">
        <f t="shared" si="21"/>
        <v>1.0112099999999928</v>
      </c>
      <c r="E381" s="22">
        <v>37.799999999999997</v>
      </c>
      <c r="F381" s="27">
        <v>0.95537000000000005</v>
      </c>
      <c r="G381" s="11">
        <f t="shared" si="22"/>
        <v>-1.5000000000009236E-3</v>
      </c>
      <c r="H381" s="12">
        <f t="shared" si="23"/>
        <v>1.0120700000000349</v>
      </c>
    </row>
    <row r="382" spans="1:8" ht="14.25" thickBot="1">
      <c r="A382" s="22">
        <v>37.9</v>
      </c>
      <c r="B382" s="27">
        <v>0.95435999999999999</v>
      </c>
      <c r="C382" s="11">
        <f t="shared" si="20"/>
        <v>-1.40000000000027E-3</v>
      </c>
      <c r="D382" s="12">
        <f t="shared" si="21"/>
        <v>1.0074200000000102</v>
      </c>
      <c r="E382" s="22">
        <v>37.9</v>
      </c>
      <c r="F382" s="27">
        <v>0.95521999999999996</v>
      </c>
      <c r="G382" s="11">
        <f t="shared" si="22"/>
        <v>-1.3999999999991597E-3</v>
      </c>
      <c r="H382" s="12">
        <f t="shared" si="23"/>
        <v>1.0082799999999681</v>
      </c>
    </row>
    <row r="383" spans="1:8" ht="14.25" thickBot="1">
      <c r="A383" s="26">
        <v>38</v>
      </c>
      <c r="B383" s="19">
        <v>0.95421999999999996</v>
      </c>
      <c r="C383" s="11">
        <f t="shared" si="20"/>
        <v>-1.4999999999998135E-3</v>
      </c>
      <c r="D383" s="12">
        <f t="shared" si="21"/>
        <v>1.0112199999999929</v>
      </c>
      <c r="E383" s="26">
        <v>38</v>
      </c>
      <c r="F383" s="19">
        <v>0.95508000000000004</v>
      </c>
      <c r="G383" s="11">
        <f t="shared" si="22"/>
        <v>-1.5000000000009236E-3</v>
      </c>
      <c r="H383" s="12">
        <f t="shared" si="23"/>
        <v>1.0120800000000352</v>
      </c>
    </row>
    <row r="384" spans="1:8" ht="14.25" thickBot="1">
      <c r="A384" s="22">
        <v>38.1</v>
      </c>
      <c r="B384" s="27">
        <v>0.95406999999999997</v>
      </c>
      <c r="C384" s="11">
        <f t="shared" si="20"/>
        <v>-1.4999999999998135E-3</v>
      </c>
      <c r="D384" s="12">
        <f t="shared" si="21"/>
        <v>1.0112199999999929</v>
      </c>
      <c r="E384" s="22">
        <v>38.1</v>
      </c>
      <c r="F384" s="27">
        <v>0.95492999999999995</v>
      </c>
      <c r="G384" s="11">
        <f t="shared" si="22"/>
        <v>-1.4999999999998135E-3</v>
      </c>
      <c r="H384" s="12">
        <f t="shared" si="23"/>
        <v>1.012079999999993</v>
      </c>
    </row>
    <row r="385" spans="1:8" ht="14.25" thickBot="1">
      <c r="A385" s="22">
        <v>38.200000000000003</v>
      </c>
      <c r="B385" s="27">
        <v>0.95391999999999999</v>
      </c>
      <c r="C385" s="11">
        <f t="shared" si="20"/>
        <v>-1.4000000000003695E-3</v>
      </c>
      <c r="D385" s="12">
        <f t="shared" si="21"/>
        <v>1.0074000000000141</v>
      </c>
      <c r="E385" s="22">
        <v>38.200000000000003</v>
      </c>
      <c r="F385" s="27">
        <v>0.95477999999999996</v>
      </c>
      <c r="G385" s="11">
        <f t="shared" si="22"/>
        <v>-1.399999999999259E-3</v>
      </c>
      <c r="H385" s="12">
        <f t="shared" si="23"/>
        <v>1.0082599999999715</v>
      </c>
    </row>
    <row r="386" spans="1:8" ht="14.25" thickBot="1">
      <c r="A386" s="22">
        <v>38.299999999999997</v>
      </c>
      <c r="B386" s="27">
        <v>0.95377999999999996</v>
      </c>
      <c r="C386" s="11">
        <f t="shared" si="20"/>
        <v>-1.4999999999998135E-3</v>
      </c>
      <c r="D386" s="12">
        <f t="shared" si="21"/>
        <v>1.011229999999993</v>
      </c>
      <c r="E386" s="22">
        <v>38.299999999999997</v>
      </c>
      <c r="F386" s="27">
        <v>0.95464000000000004</v>
      </c>
      <c r="G386" s="11">
        <f t="shared" si="22"/>
        <v>-1.5000000000009236E-3</v>
      </c>
      <c r="H386" s="12">
        <f t="shared" si="23"/>
        <v>1.0120900000000355</v>
      </c>
    </row>
    <row r="387" spans="1:8" ht="14.25" thickBot="1">
      <c r="A387" s="22">
        <v>38.4</v>
      </c>
      <c r="B387" s="27">
        <v>0.95362999999999998</v>
      </c>
      <c r="C387" s="11">
        <f t="shared" si="20"/>
        <v>-1.4999999999998135E-3</v>
      </c>
      <c r="D387" s="12">
        <f t="shared" si="21"/>
        <v>1.0112299999999927</v>
      </c>
      <c r="E387" s="22">
        <v>38.4</v>
      </c>
      <c r="F387" s="27">
        <v>0.95448999999999995</v>
      </c>
      <c r="G387" s="11">
        <f t="shared" si="22"/>
        <v>-1.4999999999998135E-3</v>
      </c>
      <c r="H387" s="12">
        <f t="shared" si="23"/>
        <v>1.0120899999999928</v>
      </c>
    </row>
    <row r="388" spans="1:8" ht="14.25" thickBot="1">
      <c r="A388" s="22">
        <v>38.5</v>
      </c>
      <c r="B388" s="27">
        <v>0.95347999999999999</v>
      </c>
      <c r="C388" s="11">
        <f t="shared" ref="C388:C451" si="24">SLOPE(B388:B389,A388:A389)</f>
        <v>-1.4999999999998135E-3</v>
      </c>
      <c r="D388" s="12">
        <f t="shared" ref="D388:D451" si="25">INTERCEPT(B388:B389,A388:A389)</f>
        <v>1.011229999999993</v>
      </c>
      <c r="E388" s="22">
        <v>38.5</v>
      </c>
      <c r="F388" s="27">
        <v>0.95433999999999997</v>
      </c>
      <c r="G388" s="11">
        <f t="shared" ref="G388:G451" si="26">SLOPE(F388:F389,E388:E389)</f>
        <v>-1.4999999999998135E-3</v>
      </c>
      <c r="H388" s="12">
        <f t="shared" ref="H388:H451" si="27">INTERCEPT(F388:F389,E388:E389)</f>
        <v>1.0120899999999928</v>
      </c>
    </row>
    <row r="389" spans="1:8" ht="14.25" thickBot="1">
      <c r="A389" s="22">
        <v>38.6</v>
      </c>
      <c r="B389" s="27">
        <v>0.95333000000000001</v>
      </c>
      <c r="C389" s="11">
        <f t="shared" si="24"/>
        <v>-1.4999999999998135E-3</v>
      </c>
      <c r="D389" s="12">
        <f t="shared" si="25"/>
        <v>1.0112299999999927</v>
      </c>
      <c r="E389" s="22">
        <v>38.6</v>
      </c>
      <c r="F389" s="27">
        <v>0.95418999999999998</v>
      </c>
      <c r="G389" s="11">
        <f t="shared" si="26"/>
        <v>-1.4999999999998135E-3</v>
      </c>
      <c r="H389" s="12">
        <f t="shared" si="27"/>
        <v>1.0120899999999928</v>
      </c>
    </row>
    <row r="390" spans="1:8" ht="14.25" thickBot="1">
      <c r="A390" s="22">
        <v>38.700000000000003</v>
      </c>
      <c r="B390" s="27">
        <v>0.95318000000000003</v>
      </c>
      <c r="C390" s="11">
        <f t="shared" si="24"/>
        <v>-1.4999999999999198E-3</v>
      </c>
      <c r="D390" s="12">
        <f t="shared" si="25"/>
        <v>1.011229999999997</v>
      </c>
      <c r="E390" s="22">
        <v>38.700000000000003</v>
      </c>
      <c r="F390" s="27">
        <v>0.95404</v>
      </c>
      <c r="G390" s="11">
        <f t="shared" si="26"/>
        <v>-1.4999999999999198E-3</v>
      </c>
      <c r="H390" s="12">
        <f t="shared" si="27"/>
        <v>1.0120899999999968</v>
      </c>
    </row>
    <row r="391" spans="1:8" ht="14.25" thickBot="1">
      <c r="A391" s="22">
        <v>38.799999999999997</v>
      </c>
      <c r="B391" s="27">
        <v>0.95303000000000004</v>
      </c>
      <c r="C391" s="11">
        <f t="shared" si="24"/>
        <v>-1.5000000000009236E-3</v>
      </c>
      <c r="D391" s="12">
        <f t="shared" si="25"/>
        <v>1.0112300000000358</v>
      </c>
      <c r="E391" s="22">
        <v>38.799999999999997</v>
      </c>
      <c r="F391" s="27">
        <v>0.95389000000000002</v>
      </c>
      <c r="G391" s="11">
        <f t="shared" si="26"/>
        <v>-1.4999999999998135E-3</v>
      </c>
      <c r="H391" s="12">
        <f t="shared" si="27"/>
        <v>1.0120899999999928</v>
      </c>
    </row>
    <row r="392" spans="1:8" ht="14.25" thickBot="1">
      <c r="A392" s="22">
        <v>38.9</v>
      </c>
      <c r="B392" s="27">
        <v>0.95287999999999995</v>
      </c>
      <c r="C392" s="11">
        <f t="shared" si="24"/>
        <v>-1.4999999999998135E-3</v>
      </c>
      <c r="D392" s="12">
        <f t="shared" si="25"/>
        <v>1.0112299999999927</v>
      </c>
      <c r="E392" s="22">
        <v>38.9</v>
      </c>
      <c r="F392" s="27">
        <v>0.95374000000000003</v>
      </c>
      <c r="G392" s="11">
        <f t="shared" si="26"/>
        <v>-1.4999999999998135E-3</v>
      </c>
      <c r="H392" s="12">
        <f t="shared" si="27"/>
        <v>1.0120899999999928</v>
      </c>
    </row>
    <row r="393" spans="1:8" ht="14.25" thickBot="1">
      <c r="A393" s="26">
        <v>39</v>
      </c>
      <c r="B393" s="19">
        <v>0.95272999999999997</v>
      </c>
      <c r="C393" s="11">
        <f t="shared" si="24"/>
        <v>-1.4999999999998135E-3</v>
      </c>
      <c r="D393" s="12">
        <f t="shared" si="25"/>
        <v>1.0112299999999927</v>
      </c>
      <c r="E393" s="26">
        <v>39</v>
      </c>
      <c r="F393" s="19">
        <v>0.95359000000000005</v>
      </c>
      <c r="G393" s="11">
        <f t="shared" si="26"/>
        <v>-1.5000000000009236E-3</v>
      </c>
      <c r="H393" s="12">
        <f t="shared" si="27"/>
        <v>1.0120900000000361</v>
      </c>
    </row>
    <row r="394" spans="1:8" ht="14.25" thickBot="1">
      <c r="A394" s="22">
        <v>39.1</v>
      </c>
      <c r="B394" s="27">
        <v>0.95257999999999998</v>
      </c>
      <c r="C394" s="11">
        <f t="shared" si="24"/>
        <v>-1.4999999999998135E-3</v>
      </c>
      <c r="D394" s="12">
        <f t="shared" si="25"/>
        <v>1.0112299999999927</v>
      </c>
      <c r="E394" s="22">
        <v>39.1</v>
      </c>
      <c r="F394" s="27">
        <v>0.95343999999999995</v>
      </c>
      <c r="G394" s="11">
        <f t="shared" si="26"/>
        <v>-1.4999999999998135E-3</v>
      </c>
      <c r="H394" s="12">
        <f t="shared" si="27"/>
        <v>1.0120899999999928</v>
      </c>
    </row>
    <row r="395" spans="1:8" ht="14.25" thickBot="1">
      <c r="A395" s="22">
        <v>39.200000000000003</v>
      </c>
      <c r="B395" s="27">
        <v>0.95243</v>
      </c>
      <c r="C395" s="11">
        <f t="shared" si="24"/>
        <v>-1.4999999999999198E-3</v>
      </c>
      <c r="D395" s="12">
        <f t="shared" si="25"/>
        <v>1.011229999999997</v>
      </c>
      <c r="E395" s="22">
        <v>39.200000000000003</v>
      </c>
      <c r="F395" s="27">
        <v>0.95328999999999997</v>
      </c>
      <c r="G395" s="11">
        <f t="shared" si="26"/>
        <v>-1.4999999999999198E-3</v>
      </c>
      <c r="H395" s="12">
        <f t="shared" si="27"/>
        <v>1.0120899999999968</v>
      </c>
    </row>
    <row r="396" spans="1:8" ht="14.25" thickBot="1">
      <c r="A396" s="22">
        <v>39.299999999999997</v>
      </c>
      <c r="B396" s="27">
        <v>0.95228000000000002</v>
      </c>
      <c r="C396" s="11">
        <f t="shared" si="24"/>
        <v>-1.4999999999998135E-3</v>
      </c>
      <c r="D396" s="12">
        <f t="shared" si="25"/>
        <v>1.0112299999999925</v>
      </c>
      <c r="E396" s="22">
        <v>39.299999999999997</v>
      </c>
      <c r="F396" s="27">
        <v>0.95313999999999999</v>
      </c>
      <c r="G396" s="11">
        <f t="shared" si="26"/>
        <v>-1.4999999999998135E-3</v>
      </c>
      <c r="H396" s="12">
        <f t="shared" si="27"/>
        <v>1.0120899999999926</v>
      </c>
    </row>
    <row r="397" spans="1:8" ht="14.25" thickBot="1">
      <c r="A397" s="22">
        <v>39.4</v>
      </c>
      <c r="B397" s="27">
        <v>0.95213000000000003</v>
      </c>
      <c r="C397" s="11">
        <f t="shared" si="24"/>
        <v>-1.4999999999998135E-3</v>
      </c>
      <c r="D397" s="12">
        <f t="shared" si="25"/>
        <v>1.0112299999999927</v>
      </c>
      <c r="E397" s="22">
        <v>39.4</v>
      </c>
      <c r="F397" s="27">
        <v>0.95299</v>
      </c>
      <c r="G397" s="11">
        <f t="shared" si="26"/>
        <v>-1.4999999999998135E-3</v>
      </c>
      <c r="H397" s="12">
        <f t="shared" si="27"/>
        <v>1.0120899999999926</v>
      </c>
    </row>
    <row r="398" spans="1:8" ht="14.25" thickBot="1">
      <c r="A398" s="22">
        <v>39.5</v>
      </c>
      <c r="B398" s="27">
        <v>0.95198000000000005</v>
      </c>
      <c r="C398" s="11">
        <f t="shared" si="24"/>
        <v>-1.6000000000004669E-3</v>
      </c>
      <c r="D398" s="12">
        <f t="shared" si="25"/>
        <v>1.0151800000000184</v>
      </c>
      <c r="E398" s="22">
        <v>39.5</v>
      </c>
      <c r="F398" s="27">
        <v>0.95284000000000002</v>
      </c>
      <c r="G398" s="11">
        <f t="shared" si="26"/>
        <v>-1.6000000000004669E-3</v>
      </c>
      <c r="H398" s="12">
        <f t="shared" si="27"/>
        <v>1.0160400000000185</v>
      </c>
    </row>
    <row r="399" spans="1:8" ht="14.25" thickBot="1">
      <c r="A399" s="22">
        <v>39.6</v>
      </c>
      <c r="B399" s="27">
        <v>0.95182</v>
      </c>
      <c r="C399" s="11">
        <f t="shared" si="24"/>
        <v>-1.4999999999998135E-3</v>
      </c>
      <c r="D399" s="12">
        <f t="shared" si="25"/>
        <v>1.0112199999999927</v>
      </c>
      <c r="E399" s="22">
        <v>39.6</v>
      </c>
      <c r="F399" s="27">
        <v>0.95267999999999997</v>
      </c>
      <c r="G399" s="11">
        <f t="shared" si="26"/>
        <v>-1.4999999999998135E-3</v>
      </c>
      <c r="H399" s="12">
        <f t="shared" si="27"/>
        <v>1.0120799999999925</v>
      </c>
    </row>
    <row r="400" spans="1:8" ht="14.25" thickBot="1">
      <c r="A400" s="22">
        <v>39.700000000000003</v>
      </c>
      <c r="B400" s="27">
        <v>0.95167000000000002</v>
      </c>
      <c r="C400" s="11">
        <f t="shared" si="24"/>
        <v>-1.4999999999999198E-3</v>
      </c>
      <c r="D400" s="12">
        <f t="shared" si="25"/>
        <v>1.0112199999999967</v>
      </c>
      <c r="E400" s="22">
        <v>39.700000000000003</v>
      </c>
      <c r="F400" s="27">
        <v>0.95252999999999999</v>
      </c>
      <c r="G400" s="11">
        <f t="shared" si="26"/>
        <v>-1.4999999999999198E-3</v>
      </c>
      <c r="H400" s="12">
        <f t="shared" si="27"/>
        <v>1.0120799999999968</v>
      </c>
    </row>
    <row r="401" spans="1:8" ht="14.25" thickBot="1">
      <c r="A401" s="22">
        <v>39.799999999999997</v>
      </c>
      <c r="B401" s="27">
        <v>0.95152000000000003</v>
      </c>
      <c r="C401" s="11">
        <f t="shared" si="24"/>
        <v>-1.6000000000004669E-3</v>
      </c>
      <c r="D401" s="12">
        <f t="shared" si="25"/>
        <v>1.0152000000000188</v>
      </c>
      <c r="E401" s="22">
        <v>39.799999999999997</v>
      </c>
      <c r="F401" s="27">
        <v>0.95238</v>
      </c>
      <c r="G401" s="11">
        <f t="shared" si="26"/>
        <v>-1.6000000000004669E-3</v>
      </c>
      <c r="H401" s="12">
        <f t="shared" si="27"/>
        <v>1.0160600000000186</v>
      </c>
    </row>
    <row r="402" spans="1:8" ht="14.25" thickBot="1">
      <c r="A402" s="22">
        <v>39.9</v>
      </c>
      <c r="B402" s="27">
        <v>0.95135999999999998</v>
      </c>
      <c r="C402" s="11">
        <f t="shared" si="24"/>
        <v>-1.4999999999998135E-3</v>
      </c>
      <c r="D402" s="12">
        <f t="shared" si="25"/>
        <v>1.0112099999999924</v>
      </c>
      <c r="E402" s="22">
        <v>39.9</v>
      </c>
      <c r="F402" s="27">
        <v>0.95221999999999996</v>
      </c>
      <c r="G402" s="11">
        <f t="shared" si="26"/>
        <v>-1.4999999999998135E-3</v>
      </c>
      <c r="H402" s="12">
        <f t="shared" si="27"/>
        <v>1.0120699999999925</v>
      </c>
    </row>
    <row r="403" spans="1:8" ht="14.25" thickBot="1">
      <c r="A403" s="26">
        <v>40</v>
      </c>
      <c r="B403" s="19">
        <v>0.95121</v>
      </c>
      <c r="C403" s="11">
        <f t="shared" si="24"/>
        <v>-1.6000000000004669E-3</v>
      </c>
      <c r="D403" s="12">
        <f t="shared" si="25"/>
        <v>1.0152100000000188</v>
      </c>
      <c r="E403" s="26">
        <v>40</v>
      </c>
      <c r="F403" s="19">
        <v>0.95206999999999997</v>
      </c>
      <c r="G403" s="11">
        <f t="shared" si="26"/>
        <v>-1.5999999999993571E-3</v>
      </c>
      <c r="H403" s="12">
        <f t="shared" si="27"/>
        <v>1.0160699999999743</v>
      </c>
    </row>
    <row r="404" spans="1:8" ht="14.25" thickBot="1">
      <c r="A404" s="18">
        <v>40.1</v>
      </c>
      <c r="B404" s="27">
        <v>0.95104999999999995</v>
      </c>
      <c r="C404" s="11">
        <f t="shared" si="24"/>
        <v>-1.4999999999998135E-3</v>
      </c>
      <c r="D404" s="12">
        <f t="shared" si="25"/>
        <v>1.0111999999999923</v>
      </c>
      <c r="E404" s="18">
        <v>40.1</v>
      </c>
      <c r="F404" s="27">
        <v>0.95191000000000003</v>
      </c>
      <c r="G404" s="11">
        <f t="shared" si="26"/>
        <v>-1.4999999999998135E-3</v>
      </c>
      <c r="H404" s="12">
        <f t="shared" si="27"/>
        <v>1.0120599999999924</v>
      </c>
    </row>
    <row r="405" spans="1:8" ht="14.25" thickBot="1">
      <c r="A405" s="18">
        <v>40.200000000000003</v>
      </c>
      <c r="B405" s="27">
        <v>0.95089999999999997</v>
      </c>
      <c r="C405" s="11">
        <f t="shared" si="24"/>
        <v>-1.5999999999994706E-3</v>
      </c>
      <c r="D405" s="12">
        <f t="shared" si="25"/>
        <v>1.0152199999999787</v>
      </c>
      <c r="E405" s="18">
        <v>40.200000000000003</v>
      </c>
      <c r="F405" s="27">
        <v>0.95176000000000005</v>
      </c>
      <c r="G405" s="11">
        <f t="shared" si="26"/>
        <v>-1.6000000000005808E-3</v>
      </c>
      <c r="H405" s="12">
        <f t="shared" si="27"/>
        <v>1.0160800000000234</v>
      </c>
    </row>
    <row r="406" spans="1:8" ht="14.25" thickBot="1">
      <c r="A406" s="18">
        <v>40.299999999999997</v>
      </c>
      <c r="B406" s="27">
        <v>0.95074000000000003</v>
      </c>
      <c r="C406" s="11">
        <f t="shared" si="24"/>
        <v>-1.4999999999998135E-3</v>
      </c>
      <c r="D406" s="12">
        <f t="shared" si="25"/>
        <v>1.0111899999999925</v>
      </c>
      <c r="E406" s="18">
        <v>40.299999999999997</v>
      </c>
      <c r="F406" s="27">
        <v>0.9516</v>
      </c>
      <c r="G406" s="11">
        <f t="shared" si="26"/>
        <v>-1.4999999999998135E-3</v>
      </c>
      <c r="H406" s="12">
        <f t="shared" si="27"/>
        <v>1.0120499999999923</v>
      </c>
    </row>
    <row r="407" spans="1:8" ht="14.25" thickBot="1">
      <c r="A407" s="18">
        <v>40.4</v>
      </c>
      <c r="B407" s="27">
        <v>0.95059000000000005</v>
      </c>
      <c r="C407" s="11">
        <f t="shared" si="24"/>
        <v>-1.6000000000004669E-3</v>
      </c>
      <c r="D407" s="12">
        <f t="shared" si="25"/>
        <v>1.015230000000019</v>
      </c>
      <c r="E407" s="18">
        <v>40.4</v>
      </c>
      <c r="F407" s="27">
        <v>0.95145000000000002</v>
      </c>
      <c r="G407" s="11">
        <f t="shared" si="26"/>
        <v>-1.6000000000004669E-3</v>
      </c>
      <c r="H407" s="12">
        <f t="shared" si="27"/>
        <v>1.016090000000019</v>
      </c>
    </row>
    <row r="408" spans="1:8" ht="14.25" thickBot="1">
      <c r="A408" s="18">
        <v>40.5</v>
      </c>
      <c r="B408" s="27">
        <v>0.95043</v>
      </c>
      <c r="C408" s="11">
        <f t="shared" si="24"/>
        <v>-1.6000000000004669E-3</v>
      </c>
      <c r="D408" s="12">
        <f t="shared" si="25"/>
        <v>1.015230000000019</v>
      </c>
      <c r="E408" s="18">
        <v>40.5</v>
      </c>
      <c r="F408" s="27">
        <v>0.95128999999999997</v>
      </c>
      <c r="G408" s="11">
        <f t="shared" si="26"/>
        <v>-1.5999999999993571E-3</v>
      </c>
      <c r="H408" s="12">
        <f t="shared" si="27"/>
        <v>1.016089999999974</v>
      </c>
    </row>
    <row r="409" spans="1:8" ht="14.25" thickBot="1">
      <c r="A409" s="18">
        <v>40.6</v>
      </c>
      <c r="B409" s="27">
        <v>0.95026999999999995</v>
      </c>
      <c r="C409" s="11">
        <f t="shared" si="24"/>
        <v>-1.4999999999998135E-3</v>
      </c>
      <c r="D409" s="12">
        <f t="shared" si="25"/>
        <v>1.0111699999999924</v>
      </c>
      <c r="E409" s="18">
        <v>40.6</v>
      </c>
      <c r="F409" s="27">
        <v>0.95113000000000003</v>
      </c>
      <c r="G409" s="11">
        <f t="shared" si="26"/>
        <v>-1.4999999999998135E-3</v>
      </c>
      <c r="H409" s="12">
        <f t="shared" si="27"/>
        <v>1.0120299999999924</v>
      </c>
    </row>
    <row r="410" spans="1:8" ht="14.25" thickBot="1">
      <c r="A410" s="18">
        <v>40.700000000000003</v>
      </c>
      <c r="B410" s="27">
        <v>0.95011999999999996</v>
      </c>
      <c r="C410" s="11">
        <f t="shared" si="24"/>
        <v>-1.5999999999994706E-3</v>
      </c>
      <c r="D410" s="12">
        <f t="shared" si="25"/>
        <v>1.0152399999999784</v>
      </c>
      <c r="E410" s="18">
        <v>40.700000000000003</v>
      </c>
      <c r="F410" s="27">
        <v>0.95098000000000005</v>
      </c>
      <c r="G410" s="11">
        <f t="shared" si="26"/>
        <v>-1.6000000000005808E-3</v>
      </c>
      <c r="H410" s="12">
        <f t="shared" si="27"/>
        <v>1.0161000000000238</v>
      </c>
    </row>
    <row r="411" spans="1:8" ht="14.25" thickBot="1">
      <c r="A411" s="18">
        <v>40.799999999999997</v>
      </c>
      <c r="B411" s="27">
        <v>0.94996000000000003</v>
      </c>
      <c r="C411" s="11">
        <f t="shared" si="24"/>
        <v>-1.6000000000004669E-3</v>
      </c>
      <c r="D411" s="12">
        <f t="shared" si="25"/>
        <v>1.015240000000019</v>
      </c>
      <c r="E411" s="18">
        <v>40.799999999999997</v>
      </c>
      <c r="F411" s="27">
        <v>0.95082</v>
      </c>
      <c r="G411" s="11">
        <f t="shared" si="26"/>
        <v>-1.6000000000004669E-3</v>
      </c>
      <c r="H411" s="12">
        <f t="shared" si="27"/>
        <v>1.0161000000000189</v>
      </c>
    </row>
    <row r="412" spans="1:8" ht="14.25" thickBot="1">
      <c r="A412" s="28">
        <v>40.9</v>
      </c>
      <c r="B412" s="29">
        <v>0.94979999999999998</v>
      </c>
      <c r="C412" s="11">
        <f t="shared" si="24"/>
        <v>-1.5999999999993571E-3</v>
      </c>
      <c r="D412" s="12">
        <f t="shared" si="25"/>
        <v>1.0152399999999737</v>
      </c>
      <c r="E412" s="28">
        <v>40.9</v>
      </c>
      <c r="F412" s="29">
        <v>0.95065999999999995</v>
      </c>
      <c r="G412" s="11">
        <f t="shared" si="26"/>
        <v>-1.5999999999993571E-3</v>
      </c>
      <c r="H412" s="12">
        <f t="shared" si="27"/>
        <v>1.0160999999999736</v>
      </c>
    </row>
    <row r="413" spans="1:8" ht="14.25" thickBot="1">
      <c r="A413" s="16">
        <v>41</v>
      </c>
      <c r="B413" s="17">
        <v>0.94964000000000004</v>
      </c>
      <c r="C413" s="11">
        <f t="shared" si="24"/>
        <v>-1.6000000000004669E-3</v>
      </c>
      <c r="D413" s="12">
        <f t="shared" si="25"/>
        <v>1.015240000000019</v>
      </c>
      <c r="E413" s="16">
        <v>41</v>
      </c>
      <c r="F413" s="17">
        <v>0.95050000000000001</v>
      </c>
      <c r="G413" s="11">
        <f t="shared" si="26"/>
        <v>-1.6000000000004669E-3</v>
      </c>
      <c r="H413" s="12">
        <f t="shared" si="27"/>
        <v>1.0161000000000193</v>
      </c>
    </row>
    <row r="414" spans="1:8" ht="14.25" thickBot="1">
      <c r="A414" s="18">
        <v>41.1</v>
      </c>
      <c r="B414" s="27">
        <v>0.94947999999999999</v>
      </c>
      <c r="C414" s="11">
        <f t="shared" si="24"/>
        <v>-1.5999999999993571E-3</v>
      </c>
      <c r="D414" s="12">
        <f t="shared" si="25"/>
        <v>1.0152399999999735</v>
      </c>
      <c r="E414" s="18">
        <v>41.1</v>
      </c>
      <c r="F414" s="27">
        <v>0.95033999999999996</v>
      </c>
      <c r="G414" s="11">
        <f t="shared" si="26"/>
        <v>-1.5999999999993571E-3</v>
      </c>
      <c r="H414" s="12">
        <f t="shared" si="27"/>
        <v>1.0160999999999736</v>
      </c>
    </row>
    <row r="415" spans="1:8" ht="14.25" thickBot="1">
      <c r="A415" s="18">
        <v>41.2</v>
      </c>
      <c r="B415" s="27">
        <v>0.94932000000000005</v>
      </c>
      <c r="C415" s="11">
        <f t="shared" si="24"/>
        <v>-1.6000000000005808E-3</v>
      </c>
      <c r="D415" s="12">
        <f t="shared" si="25"/>
        <v>1.0152400000000241</v>
      </c>
      <c r="E415" s="18">
        <v>41.2</v>
      </c>
      <c r="F415" s="27">
        <v>0.95018000000000002</v>
      </c>
      <c r="G415" s="11">
        <f t="shared" si="26"/>
        <v>-1.6000000000005808E-3</v>
      </c>
      <c r="H415" s="12">
        <f t="shared" si="27"/>
        <v>1.016100000000024</v>
      </c>
    </row>
    <row r="416" spans="1:8" ht="14.25" thickBot="1">
      <c r="A416" s="18">
        <v>41.3</v>
      </c>
      <c r="B416" s="27">
        <v>0.94916</v>
      </c>
      <c r="C416" s="11">
        <f t="shared" si="24"/>
        <v>-1.6000000000004669E-3</v>
      </c>
      <c r="D416" s="12">
        <f t="shared" si="25"/>
        <v>1.0152400000000192</v>
      </c>
      <c r="E416" s="18">
        <v>41.3</v>
      </c>
      <c r="F416" s="27">
        <v>0.95001999999999998</v>
      </c>
      <c r="G416" s="11">
        <f t="shared" si="26"/>
        <v>-1.7000000000000105E-3</v>
      </c>
      <c r="H416" s="12">
        <f t="shared" si="27"/>
        <v>1.0202300000000004</v>
      </c>
    </row>
    <row r="417" spans="1:8" ht="14.25" thickBot="1">
      <c r="A417" s="18">
        <v>41.4</v>
      </c>
      <c r="B417" s="27">
        <v>0.94899999999999995</v>
      </c>
      <c r="C417" s="11">
        <f t="shared" si="24"/>
        <v>-1.5999999999993571E-3</v>
      </c>
      <c r="D417" s="12">
        <f t="shared" si="25"/>
        <v>1.0152399999999733</v>
      </c>
      <c r="E417" s="18">
        <v>41.4</v>
      </c>
      <c r="F417" s="27">
        <v>0.94984999999999997</v>
      </c>
      <c r="G417" s="11">
        <f t="shared" si="26"/>
        <v>-1.5999999999993571E-3</v>
      </c>
      <c r="H417" s="12">
        <f t="shared" si="27"/>
        <v>1.0160899999999733</v>
      </c>
    </row>
    <row r="418" spans="1:8" ht="14.25" thickBot="1">
      <c r="A418" s="18">
        <v>41.5</v>
      </c>
      <c r="B418" s="27">
        <v>0.94884000000000002</v>
      </c>
      <c r="C418" s="11">
        <f t="shared" si="24"/>
        <v>-1.6000000000004669E-3</v>
      </c>
      <c r="D418" s="12">
        <f t="shared" si="25"/>
        <v>1.0152400000000195</v>
      </c>
      <c r="E418" s="18">
        <v>41.5</v>
      </c>
      <c r="F418" s="27">
        <v>0.94969000000000003</v>
      </c>
      <c r="G418" s="11">
        <f t="shared" si="26"/>
        <v>-1.6000000000004669E-3</v>
      </c>
      <c r="H418" s="12">
        <f t="shared" si="27"/>
        <v>1.0160900000000195</v>
      </c>
    </row>
    <row r="419" spans="1:8" ht="14.25" thickBot="1">
      <c r="A419" s="18">
        <v>41.6</v>
      </c>
      <c r="B419" s="27">
        <v>0.94867999999999997</v>
      </c>
      <c r="C419" s="11">
        <f t="shared" si="24"/>
        <v>-1.5999999999993571E-3</v>
      </c>
      <c r="D419" s="12">
        <f t="shared" si="25"/>
        <v>1.0152399999999733</v>
      </c>
      <c r="E419" s="18">
        <v>41.6</v>
      </c>
      <c r="F419" s="27">
        <v>0.94952999999999999</v>
      </c>
      <c r="G419" s="11">
        <f t="shared" si="26"/>
        <v>-1.5999999999993571E-3</v>
      </c>
      <c r="H419" s="12">
        <f t="shared" si="27"/>
        <v>1.0160899999999733</v>
      </c>
    </row>
    <row r="420" spans="1:8" ht="14.25" thickBot="1">
      <c r="A420" s="18">
        <v>41.7</v>
      </c>
      <c r="B420" s="27">
        <v>0.94852000000000003</v>
      </c>
      <c r="C420" s="11">
        <f t="shared" si="24"/>
        <v>-1.6000000000005808E-3</v>
      </c>
      <c r="D420" s="12">
        <f t="shared" si="25"/>
        <v>1.0152400000000241</v>
      </c>
      <c r="E420" s="18">
        <v>41.7</v>
      </c>
      <c r="F420" s="27">
        <v>0.94937000000000005</v>
      </c>
      <c r="G420" s="11">
        <f t="shared" si="26"/>
        <v>-1.6000000000005808E-3</v>
      </c>
      <c r="H420" s="12">
        <f t="shared" si="27"/>
        <v>1.0160900000000241</v>
      </c>
    </row>
    <row r="421" spans="1:8" ht="14.25" thickBot="1">
      <c r="A421" s="18">
        <v>41.8</v>
      </c>
      <c r="B421" s="27">
        <v>0.94835999999999998</v>
      </c>
      <c r="C421" s="11">
        <f t="shared" si="24"/>
        <v>-1.5999999999993571E-3</v>
      </c>
      <c r="D421" s="12">
        <f t="shared" si="25"/>
        <v>1.0152399999999731</v>
      </c>
      <c r="E421" s="18">
        <v>41.8</v>
      </c>
      <c r="F421" s="27">
        <v>0.94921</v>
      </c>
      <c r="G421" s="11">
        <f t="shared" si="26"/>
        <v>-1.6000000000004669E-3</v>
      </c>
      <c r="H421" s="12">
        <f t="shared" si="27"/>
        <v>1.0160900000000195</v>
      </c>
    </row>
    <row r="422" spans="1:8" ht="14.25" thickBot="1">
      <c r="A422" s="18">
        <v>41.9</v>
      </c>
      <c r="B422" s="27">
        <v>0.94820000000000004</v>
      </c>
      <c r="C422" s="11">
        <f t="shared" si="24"/>
        <v>-1.7000000000000105E-3</v>
      </c>
      <c r="D422" s="12">
        <f t="shared" si="25"/>
        <v>1.0194300000000005</v>
      </c>
      <c r="E422" s="18">
        <v>41.9</v>
      </c>
      <c r="F422" s="27">
        <v>0.94904999999999995</v>
      </c>
      <c r="G422" s="11">
        <f t="shared" si="26"/>
        <v>-1.7000000000000105E-3</v>
      </c>
      <c r="H422" s="12">
        <f t="shared" si="27"/>
        <v>1.0202800000000003</v>
      </c>
    </row>
    <row r="423" spans="1:8" ht="14.25" thickBot="1">
      <c r="A423" s="9">
        <v>42</v>
      </c>
      <c r="B423" s="19">
        <v>0.94803000000000004</v>
      </c>
      <c r="C423" s="11">
        <f t="shared" si="24"/>
        <v>-1.6000000000004669E-3</v>
      </c>
      <c r="D423" s="12">
        <f t="shared" si="25"/>
        <v>1.0152300000000196</v>
      </c>
      <c r="E423" s="9">
        <v>42</v>
      </c>
      <c r="F423" s="19">
        <v>0.94887999999999995</v>
      </c>
      <c r="G423" s="11">
        <f t="shared" si="26"/>
        <v>-1.5999999999993571E-3</v>
      </c>
      <c r="H423" s="12">
        <f t="shared" si="27"/>
        <v>1.016079999999973</v>
      </c>
    </row>
    <row r="424" spans="1:8" ht="14.25" thickBot="1">
      <c r="A424" s="18">
        <v>42.1</v>
      </c>
      <c r="B424" s="27">
        <v>0.94786999999999999</v>
      </c>
      <c r="C424" s="11">
        <f t="shared" si="24"/>
        <v>-1.5999999999993571E-3</v>
      </c>
      <c r="D424" s="12">
        <f t="shared" si="25"/>
        <v>1.015229999999973</v>
      </c>
      <c r="E424" s="18">
        <v>42.1</v>
      </c>
      <c r="F424" s="27">
        <v>0.94872000000000001</v>
      </c>
      <c r="G424" s="11">
        <f t="shared" si="26"/>
        <v>-1.6000000000004669E-3</v>
      </c>
      <c r="H424" s="12">
        <f t="shared" si="27"/>
        <v>1.0160800000000196</v>
      </c>
    </row>
    <row r="425" spans="1:8" ht="14.25" thickBot="1">
      <c r="A425" s="18">
        <v>42.2</v>
      </c>
      <c r="B425" s="27">
        <v>0.94771000000000005</v>
      </c>
      <c r="C425" s="11">
        <f t="shared" si="24"/>
        <v>-1.7000000000001315E-3</v>
      </c>
      <c r="D425" s="12">
        <f t="shared" si="25"/>
        <v>1.0194500000000055</v>
      </c>
      <c r="E425" s="18">
        <v>42.2</v>
      </c>
      <c r="F425" s="27">
        <v>0.94855999999999996</v>
      </c>
      <c r="G425" s="11">
        <f t="shared" si="26"/>
        <v>-1.7000000000001315E-3</v>
      </c>
      <c r="H425" s="12">
        <f t="shared" si="27"/>
        <v>1.0203000000000055</v>
      </c>
    </row>
    <row r="426" spans="1:8" ht="14.25" thickBot="1">
      <c r="A426" s="18">
        <v>42.3</v>
      </c>
      <c r="B426" s="27">
        <v>0.94754000000000005</v>
      </c>
      <c r="C426" s="11">
        <f t="shared" si="24"/>
        <v>-1.6000000000004669E-3</v>
      </c>
      <c r="D426" s="12">
        <f t="shared" si="25"/>
        <v>1.0152200000000198</v>
      </c>
      <c r="E426" s="18">
        <v>42.3</v>
      </c>
      <c r="F426" s="27">
        <v>0.94838999999999996</v>
      </c>
      <c r="G426" s="11">
        <f t="shared" si="26"/>
        <v>-1.5999999999993571E-3</v>
      </c>
      <c r="H426" s="12">
        <f t="shared" si="27"/>
        <v>1.0160699999999727</v>
      </c>
    </row>
    <row r="427" spans="1:8" ht="14.25" thickBot="1">
      <c r="A427" s="18">
        <v>42.4</v>
      </c>
      <c r="B427" s="27">
        <v>0.94738</v>
      </c>
      <c r="C427" s="11">
        <f t="shared" si="24"/>
        <v>-1.7000000000000105E-3</v>
      </c>
      <c r="D427" s="12">
        <f t="shared" si="25"/>
        <v>1.0194600000000005</v>
      </c>
      <c r="E427" s="18">
        <v>42.4</v>
      </c>
      <c r="F427" s="27">
        <v>0.94823000000000002</v>
      </c>
      <c r="G427" s="11">
        <f t="shared" si="26"/>
        <v>-1.7000000000000105E-3</v>
      </c>
      <c r="H427" s="12">
        <f t="shared" si="27"/>
        <v>1.0203100000000005</v>
      </c>
    </row>
    <row r="428" spans="1:8" ht="14.25" thickBot="1">
      <c r="A428" s="18">
        <v>42.5</v>
      </c>
      <c r="B428" s="27">
        <v>0.94721</v>
      </c>
      <c r="C428" s="11">
        <f t="shared" si="24"/>
        <v>-1.6000000000004669E-3</v>
      </c>
      <c r="D428" s="12">
        <f t="shared" si="25"/>
        <v>1.0152100000000199</v>
      </c>
      <c r="E428" s="18">
        <v>42.5</v>
      </c>
      <c r="F428" s="27">
        <v>0.94806000000000001</v>
      </c>
      <c r="G428" s="11">
        <f t="shared" si="26"/>
        <v>-1.6000000000004669E-3</v>
      </c>
      <c r="H428" s="12">
        <f t="shared" si="27"/>
        <v>1.0160600000000199</v>
      </c>
    </row>
    <row r="429" spans="1:8" ht="14.25" thickBot="1">
      <c r="A429" s="18">
        <v>42.6</v>
      </c>
      <c r="B429" s="27">
        <v>0.94704999999999995</v>
      </c>
      <c r="C429" s="11">
        <f t="shared" si="24"/>
        <v>-1.6999999999989005E-3</v>
      </c>
      <c r="D429" s="12">
        <f t="shared" si="25"/>
        <v>1.0194699999999532</v>
      </c>
      <c r="E429" s="18">
        <v>42.6</v>
      </c>
      <c r="F429" s="27">
        <v>0.94789999999999996</v>
      </c>
      <c r="G429" s="11">
        <f t="shared" si="26"/>
        <v>-1.7000000000000105E-3</v>
      </c>
      <c r="H429" s="12">
        <f t="shared" si="27"/>
        <v>1.0203200000000003</v>
      </c>
    </row>
    <row r="430" spans="1:8" ht="14.25" thickBot="1">
      <c r="A430" s="18">
        <v>42.7</v>
      </c>
      <c r="B430" s="27">
        <v>0.94688000000000005</v>
      </c>
      <c r="C430" s="11">
        <f t="shared" si="24"/>
        <v>-1.6000000000005808E-3</v>
      </c>
      <c r="D430" s="12">
        <f t="shared" si="25"/>
        <v>1.015200000000025</v>
      </c>
      <c r="E430" s="18">
        <v>42.7</v>
      </c>
      <c r="F430" s="27">
        <v>0.94772999999999996</v>
      </c>
      <c r="G430" s="11">
        <f t="shared" si="26"/>
        <v>-1.5999999999994706E-3</v>
      </c>
      <c r="H430" s="12">
        <f t="shared" si="27"/>
        <v>1.0160499999999772</v>
      </c>
    </row>
    <row r="431" spans="1:8" ht="14.25" thickBot="1">
      <c r="A431" s="18">
        <v>42.8</v>
      </c>
      <c r="B431" s="27">
        <v>0.94672000000000001</v>
      </c>
      <c r="C431" s="11">
        <f t="shared" si="24"/>
        <v>-1.7000000000000105E-3</v>
      </c>
      <c r="D431" s="12">
        <f t="shared" si="25"/>
        <v>1.0194800000000004</v>
      </c>
      <c r="E431" s="18">
        <v>42.8</v>
      </c>
      <c r="F431" s="27">
        <v>0.94757000000000002</v>
      </c>
      <c r="G431" s="11">
        <f t="shared" si="26"/>
        <v>-1.7000000000000105E-3</v>
      </c>
      <c r="H431" s="12">
        <f t="shared" si="27"/>
        <v>1.0203300000000004</v>
      </c>
    </row>
    <row r="432" spans="1:8" ht="14.25" thickBot="1">
      <c r="A432" s="18">
        <v>42.9</v>
      </c>
      <c r="B432" s="27">
        <v>0.94655</v>
      </c>
      <c r="C432" s="11">
        <f t="shared" si="24"/>
        <v>-1.7000000000000105E-3</v>
      </c>
      <c r="D432" s="12">
        <f t="shared" si="25"/>
        <v>1.0194800000000004</v>
      </c>
      <c r="E432" s="18">
        <v>42.9</v>
      </c>
      <c r="F432" s="27">
        <v>0.94740000000000002</v>
      </c>
      <c r="G432" s="11">
        <f t="shared" si="26"/>
        <v>-1.7000000000000105E-3</v>
      </c>
      <c r="H432" s="12">
        <f t="shared" si="27"/>
        <v>1.0203300000000004</v>
      </c>
    </row>
    <row r="433" spans="1:8" ht="14.25" thickBot="1">
      <c r="A433" s="9">
        <v>43</v>
      </c>
      <c r="B433" s="19">
        <v>0.94638</v>
      </c>
      <c r="C433" s="11">
        <f t="shared" si="24"/>
        <v>-1.6000000000004669E-3</v>
      </c>
      <c r="D433" s="12">
        <f t="shared" si="25"/>
        <v>1.01518000000002</v>
      </c>
      <c r="E433" s="9">
        <v>43</v>
      </c>
      <c r="F433" s="19">
        <v>0.94723000000000002</v>
      </c>
      <c r="G433" s="11">
        <f t="shared" si="26"/>
        <v>-1.6000000000004669E-3</v>
      </c>
      <c r="H433" s="12">
        <f t="shared" si="27"/>
        <v>1.01603000000002</v>
      </c>
    </row>
    <row r="434" spans="1:8" ht="14.25" thickBot="1">
      <c r="A434" s="18">
        <v>43.1</v>
      </c>
      <c r="B434" s="27">
        <v>0.94621999999999995</v>
      </c>
      <c r="C434" s="11">
        <f t="shared" si="24"/>
        <v>-1.7000000000000105E-3</v>
      </c>
      <c r="D434" s="12">
        <f t="shared" si="25"/>
        <v>1.0194900000000005</v>
      </c>
      <c r="E434" s="18">
        <v>43.1</v>
      </c>
      <c r="F434" s="27">
        <v>0.94706999999999997</v>
      </c>
      <c r="G434" s="11">
        <f t="shared" si="26"/>
        <v>-1.7000000000000105E-3</v>
      </c>
      <c r="H434" s="12">
        <f t="shared" si="27"/>
        <v>1.0203400000000005</v>
      </c>
    </row>
    <row r="435" spans="1:8" ht="14.25" thickBot="1">
      <c r="A435" s="18">
        <v>43.2</v>
      </c>
      <c r="B435" s="27">
        <v>0.94604999999999995</v>
      </c>
      <c r="C435" s="11">
        <f t="shared" si="24"/>
        <v>-1.6999999999990211E-3</v>
      </c>
      <c r="D435" s="12">
        <f t="shared" si="25"/>
        <v>1.0194899999999576</v>
      </c>
      <c r="E435" s="18">
        <v>43.2</v>
      </c>
      <c r="F435" s="27">
        <v>0.94689999999999996</v>
      </c>
      <c r="G435" s="11">
        <f t="shared" si="26"/>
        <v>-1.7000000000001315E-3</v>
      </c>
      <c r="H435" s="12">
        <f t="shared" si="27"/>
        <v>1.0203400000000056</v>
      </c>
    </row>
    <row r="436" spans="1:8" ht="14.25" thickBot="1">
      <c r="A436" s="18">
        <v>43.3</v>
      </c>
      <c r="B436" s="27">
        <v>0.94588000000000005</v>
      </c>
      <c r="C436" s="11">
        <f t="shared" si="24"/>
        <v>-1.7000000000000105E-3</v>
      </c>
      <c r="D436" s="12">
        <f t="shared" si="25"/>
        <v>1.0194900000000005</v>
      </c>
      <c r="E436" s="18">
        <v>43.3</v>
      </c>
      <c r="F436" s="27">
        <v>0.94672999999999996</v>
      </c>
      <c r="G436" s="11">
        <f t="shared" si="26"/>
        <v>-1.7000000000000105E-3</v>
      </c>
      <c r="H436" s="12">
        <f t="shared" si="27"/>
        <v>1.0203400000000005</v>
      </c>
    </row>
    <row r="437" spans="1:8" ht="14.25" thickBot="1">
      <c r="A437" s="18">
        <v>43.4</v>
      </c>
      <c r="B437" s="27">
        <v>0.94571000000000005</v>
      </c>
      <c r="C437" s="11">
        <f t="shared" si="24"/>
        <v>-1.7000000000000105E-3</v>
      </c>
      <c r="D437" s="12">
        <f t="shared" si="25"/>
        <v>1.0194900000000005</v>
      </c>
      <c r="E437" s="18">
        <v>43.4</v>
      </c>
      <c r="F437" s="27">
        <v>0.94655999999999996</v>
      </c>
      <c r="G437" s="11">
        <f t="shared" si="26"/>
        <v>-1.7000000000000105E-3</v>
      </c>
      <c r="H437" s="12">
        <f t="shared" si="27"/>
        <v>1.0203400000000005</v>
      </c>
    </row>
    <row r="438" spans="1:8" ht="14.25" thickBot="1">
      <c r="A438" s="18">
        <v>43.5</v>
      </c>
      <c r="B438" s="27">
        <v>0.94554000000000005</v>
      </c>
      <c r="C438" s="11">
        <f t="shared" si="24"/>
        <v>-1.6000000000004669E-3</v>
      </c>
      <c r="D438" s="12">
        <f t="shared" si="25"/>
        <v>1.0151400000000204</v>
      </c>
      <c r="E438" s="18">
        <v>43.5</v>
      </c>
      <c r="F438" s="27">
        <v>0.94638999999999995</v>
      </c>
      <c r="G438" s="11">
        <f t="shared" si="26"/>
        <v>-1.5999999999993571E-3</v>
      </c>
      <c r="H438" s="12">
        <f t="shared" si="27"/>
        <v>1.015989999999972</v>
      </c>
    </row>
    <row r="439" spans="1:8" ht="14.25" thickBot="1">
      <c r="A439" s="18">
        <v>43.6</v>
      </c>
      <c r="B439" s="27">
        <v>0.94538</v>
      </c>
      <c r="C439" s="11">
        <f t="shared" si="24"/>
        <v>-1.7000000000000105E-3</v>
      </c>
      <c r="D439" s="12">
        <f t="shared" si="25"/>
        <v>1.0195000000000005</v>
      </c>
      <c r="E439" s="18">
        <v>43.6</v>
      </c>
      <c r="F439" s="27">
        <v>0.94623000000000002</v>
      </c>
      <c r="G439" s="11">
        <f t="shared" si="26"/>
        <v>-1.7000000000000105E-3</v>
      </c>
      <c r="H439" s="12">
        <f t="shared" si="27"/>
        <v>1.0203500000000005</v>
      </c>
    </row>
    <row r="440" spans="1:8" ht="14.25" thickBot="1">
      <c r="A440" s="18">
        <v>43.7</v>
      </c>
      <c r="B440" s="27">
        <v>0.94520999999999999</v>
      </c>
      <c r="C440" s="11">
        <f t="shared" si="24"/>
        <v>-1.7000000000001315E-3</v>
      </c>
      <c r="D440" s="12">
        <f t="shared" si="25"/>
        <v>1.0195000000000058</v>
      </c>
      <c r="E440" s="18">
        <v>43.7</v>
      </c>
      <c r="F440" s="27">
        <v>0.94606000000000001</v>
      </c>
      <c r="G440" s="11">
        <f t="shared" si="26"/>
        <v>-1.7000000000001315E-3</v>
      </c>
      <c r="H440" s="12">
        <f t="shared" si="27"/>
        <v>1.0203500000000059</v>
      </c>
    </row>
    <row r="441" spans="1:8" ht="14.25" thickBot="1">
      <c r="A441" s="18">
        <v>43.8</v>
      </c>
      <c r="B441" s="27">
        <v>0.94503999999999999</v>
      </c>
      <c r="C441" s="11">
        <f t="shared" si="24"/>
        <v>-1.7000000000000105E-3</v>
      </c>
      <c r="D441" s="12">
        <f t="shared" si="25"/>
        <v>1.0195000000000005</v>
      </c>
      <c r="E441" s="18">
        <v>43.8</v>
      </c>
      <c r="F441" s="27">
        <v>0.94589000000000001</v>
      </c>
      <c r="G441" s="11">
        <f t="shared" si="26"/>
        <v>-1.7000000000000105E-3</v>
      </c>
      <c r="H441" s="12">
        <f t="shared" si="27"/>
        <v>1.0203500000000005</v>
      </c>
    </row>
    <row r="442" spans="1:8" ht="14.25" thickBot="1">
      <c r="A442" s="18">
        <v>43.9</v>
      </c>
      <c r="B442" s="27">
        <v>0.94486999999999999</v>
      </c>
      <c r="C442" s="11">
        <f t="shared" si="24"/>
        <v>-1.7999999999995541E-3</v>
      </c>
      <c r="D442" s="12">
        <f t="shared" si="25"/>
        <v>1.0238899999999804</v>
      </c>
      <c r="E442" s="18">
        <v>43.9</v>
      </c>
      <c r="F442" s="27">
        <v>0.94572000000000001</v>
      </c>
      <c r="G442" s="11">
        <f t="shared" si="26"/>
        <v>-1.7999999999995541E-3</v>
      </c>
      <c r="H442" s="12">
        <f t="shared" si="27"/>
        <v>1.0247399999999804</v>
      </c>
    </row>
    <row r="443" spans="1:8" ht="14.25" thickBot="1">
      <c r="A443" s="9">
        <v>44</v>
      </c>
      <c r="B443" s="19">
        <v>0.94469000000000003</v>
      </c>
      <c r="C443" s="11">
        <f t="shared" si="24"/>
        <v>-1.7000000000000105E-3</v>
      </c>
      <c r="D443" s="12">
        <f t="shared" si="25"/>
        <v>1.0194900000000005</v>
      </c>
      <c r="E443" s="9">
        <v>44</v>
      </c>
      <c r="F443" s="19">
        <v>0.94554000000000005</v>
      </c>
      <c r="G443" s="11">
        <f t="shared" si="26"/>
        <v>-1.7000000000000105E-3</v>
      </c>
      <c r="H443" s="12">
        <f t="shared" si="27"/>
        <v>1.0203400000000005</v>
      </c>
    </row>
    <row r="444" spans="1:8" ht="14.25" thickBot="1">
      <c r="A444" s="18">
        <v>44.1</v>
      </c>
      <c r="B444" s="27">
        <v>0.94452000000000003</v>
      </c>
      <c r="C444" s="11">
        <f t="shared" si="24"/>
        <v>-1.7000000000000105E-3</v>
      </c>
      <c r="D444" s="12">
        <f t="shared" si="25"/>
        <v>1.0194900000000005</v>
      </c>
      <c r="E444" s="18">
        <v>44.1</v>
      </c>
      <c r="F444" s="27">
        <v>0.94537000000000004</v>
      </c>
      <c r="G444" s="11">
        <f t="shared" si="26"/>
        <v>-1.7000000000000105E-3</v>
      </c>
      <c r="H444" s="12">
        <f t="shared" si="27"/>
        <v>1.0203400000000005</v>
      </c>
    </row>
    <row r="445" spans="1:8" ht="14.25" thickBot="1">
      <c r="A445" s="18">
        <v>44.2</v>
      </c>
      <c r="B445" s="27">
        <v>0.94435000000000002</v>
      </c>
      <c r="C445" s="11">
        <f t="shared" si="24"/>
        <v>-1.7000000000001315E-3</v>
      </c>
      <c r="D445" s="12">
        <f t="shared" si="25"/>
        <v>1.0194900000000058</v>
      </c>
      <c r="E445" s="18">
        <v>44.2</v>
      </c>
      <c r="F445" s="27">
        <v>0.94520000000000004</v>
      </c>
      <c r="G445" s="11">
        <f t="shared" si="26"/>
        <v>-1.7000000000001315E-3</v>
      </c>
      <c r="H445" s="12">
        <f t="shared" si="27"/>
        <v>1.0203400000000058</v>
      </c>
    </row>
    <row r="446" spans="1:8" ht="14.25" thickBot="1">
      <c r="A446" s="18">
        <v>44.3</v>
      </c>
      <c r="B446" s="27">
        <v>0.94418000000000002</v>
      </c>
      <c r="C446" s="11">
        <f t="shared" si="24"/>
        <v>-1.7000000000000105E-3</v>
      </c>
      <c r="D446" s="12">
        <f t="shared" si="25"/>
        <v>1.0194900000000005</v>
      </c>
      <c r="E446" s="18">
        <v>44.3</v>
      </c>
      <c r="F446" s="27">
        <v>0.94503000000000004</v>
      </c>
      <c r="G446" s="11">
        <f t="shared" si="26"/>
        <v>-1.7000000000000105E-3</v>
      </c>
      <c r="H446" s="12">
        <f t="shared" si="27"/>
        <v>1.0203400000000005</v>
      </c>
    </row>
    <row r="447" spans="1:8" ht="14.25" thickBot="1">
      <c r="A447" s="18">
        <v>44.4</v>
      </c>
      <c r="B447" s="27">
        <v>0.94401000000000002</v>
      </c>
      <c r="C447" s="11">
        <f t="shared" si="24"/>
        <v>-1.8000000000006641E-3</v>
      </c>
      <c r="D447" s="12">
        <f t="shared" si="25"/>
        <v>1.0239300000000295</v>
      </c>
      <c r="E447" s="18">
        <v>44.4</v>
      </c>
      <c r="F447" s="27">
        <v>0.94486000000000003</v>
      </c>
      <c r="G447" s="11">
        <f t="shared" si="26"/>
        <v>-1.8000000000006641E-3</v>
      </c>
      <c r="H447" s="12">
        <f t="shared" si="27"/>
        <v>1.0247800000000296</v>
      </c>
    </row>
    <row r="448" spans="1:8" ht="14.25" thickBot="1">
      <c r="A448" s="18">
        <v>44.5</v>
      </c>
      <c r="B448" s="27">
        <v>0.94382999999999995</v>
      </c>
      <c r="C448" s="11">
        <f t="shared" si="24"/>
        <v>-1.6999999999989005E-3</v>
      </c>
      <c r="D448" s="12">
        <f t="shared" si="25"/>
        <v>1.0194799999999511</v>
      </c>
      <c r="E448" s="18">
        <v>44.5</v>
      </c>
      <c r="F448" s="27">
        <v>0.94467999999999996</v>
      </c>
      <c r="G448" s="11">
        <f t="shared" si="26"/>
        <v>-1.7000000000000105E-3</v>
      </c>
      <c r="H448" s="12">
        <f t="shared" si="27"/>
        <v>1.0203300000000004</v>
      </c>
    </row>
    <row r="449" spans="1:8" ht="14.25" thickBot="1">
      <c r="A449" s="18">
        <v>44.6</v>
      </c>
      <c r="B449" s="27">
        <v>0.94366000000000005</v>
      </c>
      <c r="C449" s="11">
        <f t="shared" si="24"/>
        <v>-1.7000000000000105E-3</v>
      </c>
      <c r="D449" s="12">
        <f t="shared" si="25"/>
        <v>1.0194800000000006</v>
      </c>
      <c r="E449" s="18">
        <v>44.6</v>
      </c>
      <c r="F449" s="27">
        <v>0.94450999999999996</v>
      </c>
      <c r="G449" s="11">
        <f t="shared" si="26"/>
        <v>-1.7000000000000105E-3</v>
      </c>
      <c r="H449" s="12">
        <f t="shared" si="27"/>
        <v>1.0203300000000004</v>
      </c>
    </row>
    <row r="450" spans="1:8" ht="14.25" thickBot="1">
      <c r="A450" s="18">
        <v>44.7</v>
      </c>
      <c r="B450" s="27">
        <v>0.94349000000000005</v>
      </c>
      <c r="C450" s="11">
        <f t="shared" si="24"/>
        <v>-1.8000000000007921E-3</v>
      </c>
      <c r="D450" s="12">
        <f t="shared" si="25"/>
        <v>1.0239500000000354</v>
      </c>
      <c r="E450" s="18">
        <v>44.7</v>
      </c>
      <c r="F450" s="27">
        <v>0.94433999999999996</v>
      </c>
      <c r="G450" s="11">
        <f t="shared" si="26"/>
        <v>-1.7999999999996818E-3</v>
      </c>
      <c r="H450" s="12">
        <f t="shared" si="27"/>
        <v>1.0247999999999857</v>
      </c>
    </row>
    <row r="451" spans="1:8" ht="14.25" thickBot="1">
      <c r="A451" s="18">
        <v>44.8</v>
      </c>
      <c r="B451" s="27">
        <v>0.94330999999999998</v>
      </c>
      <c r="C451" s="11">
        <f t="shared" si="24"/>
        <v>-1.7000000000000105E-3</v>
      </c>
      <c r="D451" s="12">
        <f t="shared" si="25"/>
        <v>1.0194700000000005</v>
      </c>
      <c r="E451" s="18">
        <v>44.8</v>
      </c>
      <c r="F451" s="27">
        <v>0.94416</v>
      </c>
      <c r="G451" s="11">
        <f t="shared" si="26"/>
        <v>-1.7000000000000105E-3</v>
      </c>
      <c r="H451" s="12">
        <f t="shared" si="27"/>
        <v>1.0203200000000006</v>
      </c>
    </row>
    <row r="452" spans="1:8" ht="14.25" thickBot="1">
      <c r="A452" s="18">
        <v>44.9</v>
      </c>
      <c r="B452" s="27">
        <v>0.94313999999999998</v>
      </c>
      <c r="C452" s="11">
        <f t="shared" ref="C452:C515" si="28">SLOPE(B452:B453,A452:A453)</f>
        <v>-1.7999999999995541E-3</v>
      </c>
      <c r="D452" s="12">
        <f t="shared" ref="D452:D515" si="29">INTERCEPT(B452:B453,A452:A453)</f>
        <v>1.02395999999998</v>
      </c>
      <c r="E452" s="18">
        <v>44.9</v>
      </c>
      <c r="F452" s="27">
        <v>0.94399</v>
      </c>
      <c r="G452" s="11">
        <f t="shared" ref="G452:G515" si="30">SLOPE(F452:F453,E452:E453)</f>
        <v>-1.7999999999995541E-3</v>
      </c>
      <c r="H452" s="12">
        <f t="shared" ref="H452:H515" si="31">INTERCEPT(F452:F453,E452:E453)</f>
        <v>1.02480999999998</v>
      </c>
    </row>
    <row r="453" spans="1:8" ht="14.25" thickBot="1">
      <c r="A453" s="9">
        <v>45</v>
      </c>
      <c r="B453" s="19">
        <v>0.94296000000000002</v>
      </c>
      <c r="C453" s="11">
        <f t="shared" si="28"/>
        <v>-1.7000000000000105E-3</v>
      </c>
      <c r="D453" s="12">
        <f t="shared" si="29"/>
        <v>1.0194600000000005</v>
      </c>
      <c r="E453" s="9">
        <v>45</v>
      </c>
      <c r="F453" s="19">
        <v>0.94381000000000004</v>
      </c>
      <c r="G453" s="11">
        <f t="shared" si="30"/>
        <v>-1.7000000000000105E-3</v>
      </c>
      <c r="H453" s="12">
        <f t="shared" si="31"/>
        <v>1.0203100000000005</v>
      </c>
    </row>
    <row r="454" spans="1:8" ht="14.25" thickBot="1">
      <c r="A454" s="18">
        <v>45.1</v>
      </c>
      <c r="B454" s="27">
        <v>0.94279000000000002</v>
      </c>
      <c r="C454" s="11">
        <f t="shared" si="28"/>
        <v>-1.8000000000006641E-3</v>
      </c>
      <c r="D454" s="12">
        <f t="shared" si="29"/>
        <v>1.02397000000003</v>
      </c>
      <c r="E454" s="18">
        <v>45.1</v>
      </c>
      <c r="F454" s="27">
        <v>0.94364000000000003</v>
      </c>
      <c r="G454" s="11">
        <f t="shared" si="30"/>
        <v>-1.8000000000006641E-3</v>
      </c>
      <c r="H454" s="12">
        <f t="shared" si="31"/>
        <v>1.02482000000003</v>
      </c>
    </row>
    <row r="455" spans="1:8" ht="14.25" thickBot="1">
      <c r="A455" s="18">
        <v>45.2</v>
      </c>
      <c r="B455" s="27">
        <v>0.94260999999999995</v>
      </c>
      <c r="C455" s="11">
        <f t="shared" si="28"/>
        <v>-1.6999999999990211E-3</v>
      </c>
      <c r="D455" s="12">
        <f t="shared" si="29"/>
        <v>1.0194499999999558</v>
      </c>
      <c r="E455" s="18">
        <v>45.2</v>
      </c>
      <c r="F455" s="27">
        <v>0.94345999999999997</v>
      </c>
      <c r="G455" s="11">
        <f t="shared" si="30"/>
        <v>-1.7000000000001315E-3</v>
      </c>
      <c r="H455" s="12">
        <f t="shared" si="31"/>
        <v>1.020300000000006</v>
      </c>
    </row>
    <row r="456" spans="1:8" ht="14.25" thickBot="1">
      <c r="A456" s="18">
        <v>45.3</v>
      </c>
      <c r="B456" s="27">
        <v>0.94244000000000006</v>
      </c>
      <c r="C456" s="11">
        <f t="shared" si="28"/>
        <v>-1.8000000000006641E-3</v>
      </c>
      <c r="D456" s="12">
        <f t="shared" si="29"/>
        <v>1.0239800000000301</v>
      </c>
      <c r="E456" s="18">
        <v>45.3</v>
      </c>
      <c r="F456" s="27">
        <v>0.94328999999999996</v>
      </c>
      <c r="G456" s="11">
        <f t="shared" si="30"/>
        <v>-1.7999999999995541E-3</v>
      </c>
      <c r="H456" s="12">
        <f t="shared" si="31"/>
        <v>1.0248299999999797</v>
      </c>
    </row>
    <row r="457" spans="1:8" ht="14.25" thickBot="1">
      <c r="A457" s="18">
        <v>45.4</v>
      </c>
      <c r="B457" s="27">
        <v>0.94225999999999999</v>
      </c>
      <c r="C457" s="11">
        <f t="shared" si="28"/>
        <v>-1.7000000000000105E-3</v>
      </c>
      <c r="D457" s="12">
        <f t="shared" si="29"/>
        <v>1.0194400000000006</v>
      </c>
      <c r="E457" s="18">
        <v>45.4</v>
      </c>
      <c r="F457" s="27">
        <v>0.94311</v>
      </c>
      <c r="G457" s="11">
        <f t="shared" si="30"/>
        <v>-1.7000000000000105E-3</v>
      </c>
      <c r="H457" s="12">
        <f t="shared" si="31"/>
        <v>1.0202900000000006</v>
      </c>
    </row>
    <row r="458" spans="1:8" ht="14.25" thickBot="1">
      <c r="A458" s="18">
        <v>45.5</v>
      </c>
      <c r="B458" s="27">
        <v>0.94208999999999998</v>
      </c>
      <c r="C458" s="11">
        <f t="shared" si="28"/>
        <v>-1.7999999999995541E-3</v>
      </c>
      <c r="D458" s="12">
        <f t="shared" si="29"/>
        <v>1.0239899999999795</v>
      </c>
      <c r="E458" s="18">
        <v>45.5</v>
      </c>
      <c r="F458" s="27">
        <v>0.94294</v>
      </c>
      <c r="G458" s="11">
        <f t="shared" si="30"/>
        <v>-1.7999999999995541E-3</v>
      </c>
      <c r="H458" s="12">
        <f t="shared" si="31"/>
        <v>1.0248399999999798</v>
      </c>
    </row>
    <row r="459" spans="1:8" ht="14.25" thickBot="1">
      <c r="A459" s="18">
        <v>45.6</v>
      </c>
      <c r="B459" s="27">
        <v>0.94191000000000003</v>
      </c>
      <c r="C459" s="11">
        <f t="shared" si="28"/>
        <v>-1.8000000000006641E-3</v>
      </c>
      <c r="D459" s="12">
        <f t="shared" si="29"/>
        <v>1.0239900000000304</v>
      </c>
      <c r="E459" s="18">
        <v>45.6</v>
      </c>
      <c r="F459" s="27">
        <v>0.94276000000000004</v>
      </c>
      <c r="G459" s="11">
        <f t="shared" si="30"/>
        <v>-1.8000000000006641E-3</v>
      </c>
      <c r="H459" s="12">
        <f t="shared" si="31"/>
        <v>1.0248400000000304</v>
      </c>
    </row>
    <row r="460" spans="1:8" ht="14.25" thickBot="1">
      <c r="A460" s="18">
        <v>45.7</v>
      </c>
      <c r="B460" s="27">
        <v>0.94172999999999996</v>
      </c>
      <c r="C460" s="11">
        <f t="shared" si="28"/>
        <v>-1.7999999999996818E-3</v>
      </c>
      <c r="D460" s="12">
        <f t="shared" si="29"/>
        <v>1.0239899999999855</v>
      </c>
      <c r="E460" s="18">
        <v>45.7</v>
      </c>
      <c r="F460" s="27">
        <v>0.94257999999999997</v>
      </c>
      <c r="G460" s="11">
        <f t="shared" si="30"/>
        <v>-1.7999999999996818E-3</v>
      </c>
      <c r="H460" s="12">
        <f t="shared" si="31"/>
        <v>1.0248399999999855</v>
      </c>
    </row>
    <row r="461" spans="1:8" ht="14.25" thickBot="1">
      <c r="A461" s="18">
        <v>45.8</v>
      </c>
      <c r="B461" s="27">
        <v>0.94155</v>
      </c>
      <c r="C461" s="11">
        <f t="shared" si="28"/>
        <v>-1.7999999999995541E-3</v>
      </c>
      <c r="D461" s="12">
        <f t="shared" si="29"/>
        <v>1.0239899999999795</v>
      </c>
      <c r="E461" s="18">
        <v>45.8</v>
      </c>
      <c r="F461" s="27">
        <v>0.94240000000000002</v>
      </c>
      <c r="G461" s="11">
        <f t="shared" si="30"/>
        <v>-1.8000000000006641E-3</v>
      </c>
      <c r="H461" s="12">
        <f t="shared" si="31"/>
        <v>1.0248400000000304</v>
      </c>
    </row>
    <row r="462" spans="1:8" ht="14.25" thickBot="1">
      <c r="A462" s="18">
        <v>45.9</v>
      </c>
      <c r="B462" s="27">
        <v>0.94137000000000004</v>
      </c>
      <c r="C462" s="11">
        <f t="shared" si="28"/>
        <v>-1.7000000000000105E-3</v>
      </c>
      <c r="D462" s="12">
        <f t="shared" si="29"/>
        <v>1.0194000000000005</v>
      </c>
      <c r="E462" s="18">
        <v>45.9</v>
      </c>
      <c r="F462" s="27">
        <v>0.94221999999999995</v>
      </c>
      <c r="G462" s="11">
        <f t="shared" si="30"/>
        <v>-1.6999999999989005E-3</v>
      </c>
      <c r="H462" s="12">
        <f t="shared" si="31"/>
        <v>1.0202499999999495</v>
      </c>
    </row>
    <row r="463" spans="1:8" ht="14.25" thickBot="1">
      <c r="A463" s="9">
        <v>46</v>
      </c>
      <c r="B463" s="19">
        <v>0.94120000000000004</v>
      </c>
      <c r="C463" s="11">
        <f t="shared" si="28"/>
        <v>-1.8000000000006641E-3</v>
      </c>
      <c r="D463" s="12">
        <f t="shared" si="29"/>
        <v>1.0240000000000307</v>
      </c>
      <c r="E463" s="9">
        <v>46</v>
      </c>
      <c r="F463" s="19">
        <v>0.94205000000000005</v>
      </c>
      <c r="G463" s="11">
        <f t="shared" si="30"/>
        <v>-1.8000000000006641E-3</v>
      </c>
      <c r="H463" s="12">
        <f t="shared" si="31"/>
        <v>1.0248500000000307</v>
      </c>
    </row>
    <row r="464" spans="1:8" ht="14.25" thickBot="1">
      <c r="A464" s="18">
        <v>46.1</v>
      </c>
      <c r="B464" s="27">
        <v>0.94101999999999997</v>
      </c>
      <c r="C464" s="11">
        <f t="shared" si="28"/>
        <v>-1.7999999999995541E-3</v>
      </c>
      <c r="D464" s="12">
        <f t="shared" si="29"/>
        <v>1.0239999999999796</v>
      </c>
      <c r="E464" s="18">
        <v>46.1</v>
      </c>
      <c r="F464" s="27">
        <v>0.94186999999999999</v>
      </c>
      <c r="G464" s="11">
        <f t="shared" si="30"/>
        <v>-1.7999999999995541E-3</v>
      </c>
      <c r="H464" s="12">
        <f t="shared" si="31"/>
        <v>1.0248499999999794</v>
      </c>
    </row>
    <row r="465" spans="1:8" ht="14.25" thickBot="1">
      <c r="A465" s="18">
        <v>46.2</v>
      </c>
      <c r="B465" s="27">
        <v>0.94084000000000001</v>
      </c>
      <c r="C465" s="11">
        <f t="shared" si="28"/>
        <v>-1.7999999999996818E-3</v>
      </c>
      <c r="D465" s="12">
        <f t="shared" si="29"/>
        <v>1.0239999999999854</v>
      </c>
      <c r="E465" s="18">
        <v>46.2</v>
      </c>
      <c r="F465" s="27">
        <v>0.94169000000000003</v>
      </c>
      <c r="G465" s="11">
        <f t="shared" si="30"/>
        <v>-1.8000000000007921E-3</v>
      </c>
      <c r="H465" s="12">
        <f t="shared" si="31"/>
        <v>1.0248500000000367</v>
      </c>
    </row>
    <row r="466" spans="1:8" ht="14.25" thickBot="1">
      <c r="A466" s="18">
        <v>46.3</v>
      </c>
      <c r="B466" s="27">
        <v>0.94066000000000005</v>
      </c>
      <c r="C466" s="11">
        <f t="shared" si="28"/>
        <v>-1.8000000000006641E-3</v>
      </c>
      <c r="D466" s="12">
        <f t="shared" si="29"/>
        <v>1.0240000000000309</v>
      </c>
      <c r="E466" s="18">
        <v>46.3</v>
      </c>
      <c r="F466" s="27">
        <v>0.94150999999999996</v>
      </c>
      <c r="G466" s="11">
        <f t="shared" si="30"/>
        <v>-1.7999999999995541E-3</v>
      </c>
      <c r="H466" s="12">
        <f t="shared" si="31"/>
        <v>1.0248499999999792</v>
      </c>
    </row>
    <row r="467" spans="1:8" ht="14.25" thickBot="1">
      <c r="A467" s="18">
        <v>46.4</v>
      </c>
      <c r="B467" s="27">
        <v>0.94047999999999998</v>
      </c>
      <c r="C467" s="11">
        <f t="shared" si="28"/>
        <v>-1.7999999999995541E-3</v>
      </c>
      <c r="D467" s="12">
        <f t="shared" si="29"/>
        <v>1.0239999999999794</v>
      </c>
      <c r="E467" s="18">
        <v>46.4</v>
      </c>
      <c r="F467" s="27">
        <v>0.94133</v>
      </c>
      <c r="G467" s="11">
        <f t="shared" si="30"/>
        <v>-1.7999999999995541E-3</v>
      </c>
      <c r="H467" s="12">
        <f t="shared" si="31"/>
        <v>1.0248499999999794</v>
      </c>
    </row>
    <row r="468" spans="1:8" ht="14.25" thickBot="1">
      <c r="A468" s="18">
        <v>46.5</v>
      </c>
      <c r="B468" s="27">
        <v>0.94030000000000002</v>
      </c>
      <c r="C468" s="11">
        <f t="shared" si="28"/>
        <v>-1.8000000000006641E-3</v>
      </c>
      <c r="D468" s="12">
        <f t="shared" si="29"/>
        <v>1.0240000000000309</v>
      </c>
      <c r="E468" s="18">
        <v>46.5</v>
      </c>
      <c r="F468" s="27">
        <v>0.94115000000000004</v>
      </c>
      <c r="G468" s="11">
        <f t="shared" si="30"/>
        <v>-1.8000000000006641E-3</v>
      </c>
      <c r="H468" s="12">
        <f t="shared" si="31"/>
        <v>1.0248500000000309</v>
      </c>
    </row>
    <row r="469" spans="1:8" ht="14.25" thickBot="1">
      <c r="A469" s="18">
        <v>46.6</v>
      </c>
      <c r="B469" s="27">
        <v>0.94011999999999996</v>
      </c>
      <c r="C469" s="11">
        <f t="shared" si="28"/>
        <v>-1.7999999999995541E-3</v>
      </c>
      <c r="D469" s="12">
        <f t="shared" si="29"/>
        <v>1.0239999999999791</v>
      </c>
      <c r="E469" s="18">
        <v>46.6</v>
      </c>
      <c r="F469" s="27">
        <v>0.94096999999999997</v>
      </c>
      <c r="G469" s="11">
        <f t="shared" si="30"/>
        <v>-1.7999999999995541E-3</v>
      </c>
      <c r="H469" s="12">
        <f t="shared" si="31"/>
        <v>1.0248499999999792</v>
      </c>
    </row>
    <row r="470" spans="1:8" ht="14.25" thickBot="1">
      <c r="A470" s="18">
        <v>46.7</v>
      </c>
      <c r="B470" s="27">
        <v>0.93994</v>
      </c>
      <c r="C470" s="11">
        <f t="shared" si="28"/>
        <v>-1.9000000000003426E-3</v>
      </c>
      <c r="D470" s="12">
        <f t="shared" si="29"/>
        <v>1.028670000000016</v>
      </c>
      <c r="E470" s="18">
        <v>46.7</v>
      </c>
      <c r="F470" s="27">
        <v>0.94079000000000002</v>
      </c>
      <c r="G470" s="11">
        <f t="shared" si="30"/>
        <v>-1.9000000000003426E-3</v>
      </c>
      <c r="H470" s="12">
        <f t="shared" si="31"/>
        <v>1.029520000000016</v>
      </c>
    </row>
    <row r="471" spans="1:8" ht="14.25" thickBot="1">
      <c r="A471" s="18">
        <v>46.8</v>
      </c>
      <c r="B471" s="27">
        <v>0.93974999999999997</v>
      </c>
      <c r="C471" s="11">
        <f t="shared" si="28"/>
        <v>-1.7999999999995541E-3</v>
      </c>
      <c r="D471" s="12">
        <f t="shared" si="29"/>
        <v>1.0239899999999791</v>
      </c>
      <c r="E471" s="18">
        <v>46.8</v>
      </c>
      <c r="F471" s="27">
        <v>0.94059999999999999</v>
      </c>
      <c r="G471" s="11">
        <f t="shared" si="30"/>
        <v>-1.7999999999995541E-3</v>
      </c>
      <c r="H471" s="12">
        <f t="shared" si="31"/>
        <v>1.0248399999999791</v>
      </c>
    </row>
    <row r="472" spans="1:8" ht="14.25" thickBot="1">
      <c r="A472" s="18">
        <v>46.9</v>
      </c>
      <c r="B472" s="27">
        <v>0.93957000000000002</v>
      </c>
      <c r="C472" s="11">
        <f t="shared" si="28"/>
        <v>-1.8000000000006641E-3</v>
      </c>
      <c r="D472" s="12">
        <f t="shared" si="29"/>
        <v>1.0239900000000313</v>
      </c>
      <c r="E472" s="18">
        <v>46.9</v>
      </c>
      <c r="F472" s="27">
        <v>0.94042000000000003</v>
      </c>
      <c r="G472" s="11">
        <f t="shared" si="30"/>
        <v>-1.8000000000006641E-3</v>
      </c>
      <c r="H472" s="12">
        <f t="shared" si="31"/>
        <v>1.0248400000000313</v>
      </c>
    </row>
    <row r="473" spans="1:8" ht="14.25" thickBot="1">
      <c r="A473" s="9">
        <v>47</v>
      </c>
      <c r="B473" s="19">
        <v>0.93938999999999995</v>
      </c>
      <c r="C473" s="11">
        <f t="shared" si="28"/>
        <v>-1.7999999999995541E-3</v>
      </c>
      <c r="D473" s="12">
        <f t="shared" si="29"/>
        <v>1.0239899999999791</v>
      </c>
      <c r="E473" s="9">
        <v>47</v>
      </c>
      <c r="F473" s="19">
        <v>0.94023999999999996</v>
      </c>
      <c r="G473" s="11">
        <f t="shared" si="30"/>
        <v>-1.7999999999995541E-3</v>
      </c>
      <c r="H473" s="12">
        <f t="shared" si="31"/>
        <v>1.0248399999999791</v>
      </c>
    </row>
    <row r="474" spans="1:8" ht="14.25" thickBot="1">
      <c r="A474" s="18">
        <v>47.1</v>
      </c>
      <c r="B474" s="27">
        <v>0.93920999999999999</v>
      </c>
      <c r="C474" s="11">
        <f t="shared" si="28"/>
        <v>-1.9000000000002075E-3</v>
      </c>
      <c r="D474" s="12">
        <f t="shared" si="29"/>
        <v>1.0287000000000097</v>
      </c>
      <c r="E474" s="18">
        <v>47.1</v>
      </c>
      <c r="F474" s="27">
        <v>0.94006000000000001</v>
      </c>
      <c r="G474" s="11">
        <f t="shared" si="30"/>
        <v>-1.9000000000002075E-3</v>
      </c>
      <c r="H474" s="12">
        <f t="shared" si="31"/>
        <v>1.0295500000000097</v>
      </c>
    </row>
    <row r="475" spans="1:8" ht="14.25" thickBot="1">
      <c r="A475" s="18">
        <v>47.2</v>
      </c>
      <c r="B475" s="27">
        <v>0.93901999999999997</v>
      </c>
      <c r="C475" s="11">
        <f t="shared" si="28"/>
        <v>-1.7999999999996818E-3</v>
      </c>
      <c r="D475" s="12">
        <f t="shared" si="29"/>
        <v>1.023979999999985</v>
      </c>
      <c r="E475" s="18">
        <v>47.2</v>
      </c>
      <c r="F475" s="27">
        <v>0.93986999999999998</v>
      </c>
      <c r="G475" s="11">
        <f t="shared" si="30"/>
        <v>-1.7999999999996818E-3</v>
      </c>
      <c r="H475" s="12">
        <f t="shared" si="31"/>
        <v>1.024829999999985</v>
      </c>
    </row>
    <row r="476" spans="1:8" ht="14.25" thickBot="1">
      <c r="A476" s="18">
        <v>47.3</v>
      </c>
      <c r="B476" s="27">
        <v>0.93884000000000001</v>
      </c>
      <c r="C476" s="11">
        <f t="shared" si="28"/>
        <v>-1.7999999999995541E-3</v>
      </c>
      <c r="D476" s="12">
        <f t="shared" si="29"/>
        <v>1.0239799999999788</v>
      </c>
      <c r="E476" s="18">
        <v>47.3</v>
      </c>
      <c r="F476" s="27">
        <v>0.93969000000000003</v>
      </c>
      <c r="G476" s="11">
        <f t="shared" si="30"/>
        <v>-1.8000000000006641E-3</v>
      </c>
      <c r="H476" s="12">
        <f t="shared" si="31"/>
        <v>1.0248300000000314</v>
      </c>
    </row>
    <row r="477" spans="1:8" ht="14.25" thickBot="1">
      <c r="A477" s="18">
        <v>47.4</v>
      </c>
      <c r="B477" s="27">
        <v>0.93866000000000005</v>
      </c>
      <c r="C477" s="11">
        <f t="shared" si="28"/>
        <v>-1.9000000000002075E-3</v>
      </c>
      <c r="D477" s="12">
        <f t="shared" si="29"/>
        <v>1.0287200000000098</v>
      </c>
      <c r="E477" s="18">
        <v>47.4</v>
      </c>
      <c r="F477" s="27">
        <v>0.93950999999999996</v>
      </c>
      <c r="G477" s="11">
        <f t="shared" si="30"/>
        <v>-1.8999999999990977E-3</v>
      </c>
      <c r="H477" s="12">
        <f t="shared" si="31"/>
        <v>1.0295699999999572</v>
      </c>
    </row>
    <row r="478" spans="1:8" ht="14.25" thickBot="1">
      <c r="A478" s="18">
        <v>47.5</v>
      </c>
      <c r="B478" s="27">
        <v>0.93847000000000003</v>
      </c>
      <c r="C478" s="11">
        <f t="shared" si="28"/>
        <v>-1.8000000000006641E-3</v>
      </c>
      <c r="D478" s="12">
        <f t="shared" si="29"/>
        <v>1.0239700000000316</v>
      </c>
      <c r="E478" s="18">
        <v>47.5</v>
      </c>
      <c r="F478" s="27">
        <v>0.93932000000000004</v>
      </c>
      <c r="G478" s="11">
        <f t="shared" si="30"/>
        <v>-1.8000000000006641E-3</v>
      </c>
      <c r="H478" s="12">
        <f t="shared" si="31"/>
        <v>1.0248200000000316</v>
      </c>
    </row>
    <row r="479" spans="1:8" ht="14.25" thickBot="1">
      <c r="A479" s="18">
        <v>47.6</v>
      </c>
      <c r="B479" s="27">
        <v>0.93828999999999996</v>
      </c>
      <c r="C479" s="11">
        <f t="shared" si="28"/>
        <v>-1.8999999999990977E-3</v>
      </c>
      <c r="D479" s="12">
        <f t="shared" si="29"/>
        <v>1.0287299999999571</v>
      </c>
      <c r="E479" s="18">
        <v>47.6</v>
      </c>
      <c r="F479" s="27">
        <v>0.93913999999999997</v>
      </c>
      <c r="G479" s="11">
        <f t="shared" si="30"/>
        <v>-1.9000000000002075E-3</v>
      </c>
      <c r="H479" s="12">
        <f t="shared" si="31"/>
        <v>1.0295800000000097</v>
      </c>
    </row>
    <row r="480" spans="1:8" ht="14.25" thickBot="1">
      <c r="A480" s="18">
        <v>47.7</v>
      </c>
      <c r="B480" s="27">
        <v>0.93810000000000004</v>
      </c>
      <c r="C480" s="11">
        <f t="shared" si="28"/>
        <v>-1.8000000000007921E-3</v>
      </c>
      <c r="D480" s="12">
        <f t="shared" si="29"/>
        <v>1.0239600000000377</v>
      </c>
      <c r="E480" s="18">
        <v>47.7</v>
      </c>
      <c r="F480" s="27">
        <v>0.93894999999999995</v>
      </c>
      <c r="G480" s="11">
        <f t="shared" si="30"/>
        <v>-1.8999999999992324E-3</v>
      </c>
      <c r="H480" s="12">
        <f t="shared" si="31"/>
        <v>1.0295799999999633</v>
      </c>
    </row>
    <row r="481" spans="1:8" ht="14.25" thickBot="1">
      <c r="A481" s="18">
        <v>47.8</v>
      </c>
      <c r="B481" s="27">
        <v>0.93791999999999998</v>
      </c>
      <c r="C481" s="11">
        <f t="shared" si="28"/>
        <v>-1.9000000000002075E-3</v>
      </c>
      <c r="D481" s="12">
        <f t="shared" si="29"/>
        <v>1.0287400000000098</v>
      </c>
      <c r="E481" s="18">
        <v>47.8</v>
      </c>
      <c r="F481" s="27">
        <v>0.93876000000000004</v>
      </c>
      <c r="G481" s="11">
        <f t="shared" si="30"/>
        <v>-1.9000000000002075E-3</v>
      </c>
      <c r="H481" s="12">
        <f t="shared" si="31"/>
        <v>1.0295800000000099</v>
      </c>
    </row>
    <row r="482" spans="1:8" ht="14.25" thickBot="1">
      <c r="A482" s="18">
        <v>47.9</v>
      </c>
      <c r="B482" s="27">
        <v>0.93772999999999995</v>
      </c>
      <c r="C482" s="11">
        <f t="shared" si="28"/>
        <v>-1.7999999999995541E-3</v>
      </c>
      <c r="D482" s="12">
        <f t="shared" si="29"/>
        <v>1.0239499999999786</v>
      </c>
      <c r="E482" s="18">
        <v>47.9</v>
      </c>
      <c r="F482" s="27">
        <v>0.93857000000000002</v>
      </c>
      <c r="G482" s="11">
        <f t="shared" si="30"/>
        <v>-1.8000000000006641E-3</v>
      </c>
      <c r="H482" s="12">
        <f t="shared" si="31"/>
        <v>1.0247900000000318</v>
      </c>
    </row>
    <row r="483" spans="1:8" ht="14.25" thickBot="1">
      <c r="A483" s="9">
        <v>48</v>
      </c>
      <c r="B483" s="19">
        <v>0.93754999999999999</v>
      </c>
      <c r="C483" s="11">
        <f t="shared" si="28"/>
        <v>-1.9000000000002075E-3</v>
      </c>
      <c r="D483" s="12">
        <f t="shared" si="29"/>
        <v>1.0287500000000098</v>
      </c>
      <c r="E483" s="9">
        <v>48</v>
      </c>
      <c r="F483" s="19">
        <v>0.93838999999999995</v>
      </c>
      <c r="G483" s="11">
        <f t="shared" si="30"/>
        <v>-1.8999999999990977E-3</v>
      </c>
      <c r="H483" s="12">
        <f t="shared" si="31"/>
        <v>1.0295899999999567</v>
      </c>
    </row>
    <row r="484" spans="1:8" ht="14.25" thickBot="1">
      <c r="A484" s="18">
        <v>48.1</v>
      </c>
      <c r="B484" s="27">
        <v>0.93735999999999997</v>
      </c>
      <c r="C484" s="11">
        <f t="shared" si="28"/>
        <v>-1.9000000000002075E-3</v>
      </c>
      <c r="D484" s="12">
        <f t="shared" si="29"/>
        <v>1.02875000000001</v>
      </c>
      <c r="E484" s="18">
        <v>48.1</v>
      </c>
      <c r="F484" s="27">
        <v>0.93820000000000003</v>
      </c>
      <c r="G484" s="11">
        <f t="shared" si="30"/>
        <v>-1.9000000000002075E-3</v>
      </c>
      <c r="H484" s="12">
        <f t="shared" si="31"/>
        <v>1.02959000000001</v>
      </c>
    </row>
    <row r="485" spans="1:8" ht="14.25" thickBot="1">
      <c r="A485" s="18">
        <v>48.2</v>
      </c>
      <c r="B485" s="27">
        <v>0.93716999999999995</v>
      </c>
      <c r="C485" s="11">
        <f t="shared" si="28"/>
        <v>-1.7999999999996818E-3</v>
      </c>
      <c r="D485" s="12">
        <f t="shared" si="29"/>
        <v>1.0239299999999845</v>
      </c>
      <c r="E485" s="18">
        <v>48.2</v>
      </c>
      <c r="F485" s="27">
        <v>0.93801000000000001</v>
      </c>
      <c r="G485" s="11">
        <f t="shared" si="30"/>
        <v>-1.7999999999996818E-3</v>
      </c>
      <c r="H485" s="12">
        <f t="shared" si="31"/>
        <v>1.0247699999999846</v>
      </c>
    </row>
    <row r="486" spans="1:8" ht="14.25" thickBot="1">
      <c r="A486" s="18">
        <v>48.3</v>
      </c>
      <c r="B486" s="27">
        <v>0.93698999999999999</v>
      </c>
      <c r="C486" s="11">
        <f t="shared" si="28"/>
        <v>-1.9000000000002075E-3</v>
      </c>
      <c r="D486" s="12">
        <f t="shared" si="29"/>
        <v>1.0287600000000101</v>
      </c>
      <c r="E486" s="18">
        <v>48.3</v>
      </c>
      <c r="F486" s="27">
        <v>0.93783000000000005</v>
      </c>
      <c r="G486" s="11">
        <f t="shared" si="30"/>
        <v>-1.9000000000002075E-3</v>
      </c>
      <c r="H486" s="12">
        <f t="shared" si="31"/>
        <v>1.0296000000000101</v>
      </c>
    </row>
    <row r="487" spans="1:8" ht="14.25" thickBot="1">
      <c r="A487" s="18">
        <v>48.4</v>
      </c>
      <c r="B487" s="27">
        <v>0.93679999999999997</v>
      </c>
      <c r="C487" s="11">
        <f t="shared" si="28"/>
        <v>-1.8999999999990977E-3</v>
      </c>
      <c r="D487" s="12">
        <f t="shared" si="29"/>
        <v>1.0287599999999564</v>
      </c>
      <c r="E487" s="18">
        <v>48.4</v>
      </c>
      <c r="F487" s="27">
        <v>0.93764000000000003</v>
      </c>
      <c r="G487" s="11">
        <f t="shared" si="30"/>
        <v>-1.9000000000002075E-3</v>
      </c>
      <c r="H487" s="12">
        <f t="shared" si="31"/>
        <v>1.0296000000000101</v>
      </c>
    </row>
    <row r="488" spans="1:8" ht="14.25" thickBot="1">
      <c r="A488" s="18">
        <v>48.5</v>
      </c>
      <c r="B488" s="27">
        <v>0.93661000000000005</v>
      </c>
      <c r="C488" s="11">
        <f t="shared" si="28"/>
        <v>-1.9000000000002075E-3</v>
      </c>
      <c r="D488" s="12">
        <f t="shared" si="29"/>
        <v>1.0287600000000101</v>
      </c>
      <c r="E488" s="18">
        <v>48.5</v>
      </c>
      <c r="F488" s="27">
        <v>0.93745000000000001</v>
      </c>
      <c r="G488" s="11">
        <f t="shared" si="30"/>
        <v>-1.9000000000002075E-3</v>
      </c>
      <c r="H488" s="12">
        <f t="shared" si="31"/>
        <v>1.0296000000000101</v>
      </c>
    </row>
    <row r="489" spans="1:8" ht="14.25" thickBot="1">
      <c r="A489" s="18">
        <v>48.6</v>
      </c>
      <c r="B489" s="27">
        <v>0.93642000000000003</v>
      </c>
      <c r="C489" s="11">
        <f t="shared" si="28"/>
        <v>-1.9000000000002075E-3</v>
      </c>
      <c r="D489" s="12">
        <f t="shared" si="29"/>
        <v>1.0287600000000101</v>
      </c>
      <c r="E489" s="18">
        <v>48.6</v>
      </c>
      <c r="F489" s="27">
        <v>0.93725999999999998</v>
      </c>
      <c r="G489" s="11">
        <f t="shared" si="30"/>
        <v>-1.9000000000002075E-3</v>
      </c>
      <c r="H489" s="12">
        <f t="shared" si="31"/>
        <v>1.0296000000000101</v>
      </c>
    </row>
    <row r="490" spans="1:8" ht="14.25" thickBot="1">
      <c r="A490" s="18">
        <v>48.7</v>
      </c>
      <c r="B490" s="27">
        <v>0.93623000000000001</v>
      </c>
      <c r="C490" s="11">
        <f t="shared" si="28"/>
        <v>-1.7999999999996818E-3</v>
      </c>
      <c r="D490" s="12">
        <f t="shared" si="29"/>
        <v>1.0238899999999844</v>
      </c>
      <c r="E490" s="18">
        <v>48.7</v>
      </c>
      <c r="F490" s="27">
        <v>0.93706999999999996</v>
      </c>
      <c r="G490" s="11">
        <f t="shared" si="30"/>
        <v>-1.7999999999996818E-3</v>
      </c>
      <c r="H490" s="12">
        <f t="shared" si="31"/>
        <v>1.0247299999999844</v>
      </c>
    </row>
    <row r="491" spans="1:8" ht="14.25" thickBot="1">
      <c r="A491" s="18">
        <v>48.8</v>
      </c>
      <c r="B491" s="27">
        <v>0.93605000000000005</v>
      </c>
      <c r="C491" s="11">
        <f t="shared" si="28"/>
        <v>-1.9000000000002075E-3</v>
      </c>
      <c r="D491" s="12">
        <f t="shared" si="29"/>
        <v>1.0287700000000102</v>
      </c>
      <c r="E491" s="18">
        <v>48.8</v>
      </c>
      <c r="F491" s="27">
        <v>0.93689</v>
      </c>
      <c r="G491" s="11">
        <f t="shared" si="30"/>
        <v>-1.9000000000002075E-3</v>
      </c>
      <c r="H491" s="12">
        <f t="shared" si="31"/>
        <v>1.0296100000000101</v>
      </c>
    </row>
    <row r="492" spans="1:8" ht="14.25" thickBot="1">
      <c r="A492" s="18">
        <v>48.9</v>
      </c>
      <c r="B492" s="27">
        <v>0.93586000000000003</v>
      </c>
      <c r="C492" s="11">
        <f t="shared" si="28"/>
        <v>-1.9000000000002075E-3</v>
      </c>
      <c r="D492" s="12">
        <f t="shared" si="29"/>
        <v>1.0287700000000102</v>
      </c>
      <c r="E492" s="18">
        <v>48.9</v>
      </c>
      <c r="F492" s="27">
        <v>0.93669999999999998</v>
      </c>
      <c r="G492" s="11">
        <f t="shared" si="30"/>
        <v>-1.9000000000002075E-3</v>
      </c>
      <c r="H492" s="12">
        <f t="shared" si="31"/>
        <v>1.0296100000000101</v>
      </c>
    </row>
    <row r="493" spans="1:8" ht="14.25" thickBot="1">
      <c r="A493" s="9">
        <v>49</v>
      </c>
      <c r="B493" s="19">
        <v>0.93567</v>
      </c>
      <c r="C493" s="11">
        <f t="shared" si="28"/>
        <v>-1.9000000000002075E-3</v>
      </c>
      <c r="D493" s="12">
        <f t="shared" si="29"/>
        <v>1.0287700000000102</v>
      </c>
      <c r="E493" s="9">
        <v>49</v>
      </c>
      <c r="F493" s="19">
        <v>0.93650999999999995</v>
      </c>
      <c r="G493" s="11">
        <f t="shared" si="30"/>
        <v>-1.8999999999990977E-3</v>
      </c>
      <c r="H493" s="12">
        <f t="shared" si="31"/>
        <v>1.0296099999999557</v>
      </c>
    </row>
    <row r="494" spans="1:8" ht="14.25" thickBot="1">
      <c r="A494" s="18">
        <v>49.1</v>
      </c>
      <c r="B494" s="27">
        <v>0.93547999999999998</v>
      </c>
      <c r="C494" s="11">
        <f t="shared" si="28"/>
        <v>-1.9000000000002075E-3</v>
      </c>
      <c r="D494" s="12">
        <f t="shared" si="29"/>
        <v>1.0287700000000102</v>
      </c>
      <c r="E494" s="18">
        <v>49.1</v>
      </c>
      <c r="F494" s="27">
        <v>0.93632000000000004</v>
      </c>
      <c r="G494" s="11">
        <f t="shared" si="30"/>
        <v>-1.9000000000002075E-3</v>
      </c>
      <c r="H494" s="12">
        <f t="shared" si="31"/>
        <v>1.0296100000000104</v>
      </c>
    </row>
    <row r="495" spans="1:8" ht="14.25" thickBot="1">
      <c r="A495" s="18">
        <v>49.2</v>
      </c>
      <c r="B495" s="27">
        <v>0.93528999999999995</v>
      </c>
      <c r="C495" s="11">
        <f t="shared" si="28"/>
        <v>-1.8999999999992324E-3</v>
      </c>
      <c r="D495" s="12">
        <f t="shared" si="29"/>
        <v>1.0287699999999622</v>
      </c>
      <c r="E495" s="18">
        <v>49.2</v>
      </c>
      <c r="F495" s="27">
        <v>0.93613000000000002</v>
      </c>
      <c r="G495" s="11">
        <f t="shared" si="30"/>
        <v>-1.9000000000003426E-3</v>
      </c>
      <c r="H495" s="12">
        <f t="shared" si="31"/>
        <v>1.0296100000000168</v>
      </c>
    </row>
    <row r="496" spans="1:8" ht="14.25" thickBot="1">
      <c r="A496" s="18">
        <v>49.3</v>
      </c>
      <c r="B496" s="27">
        <v>0.93510000000000004</v>
      </c>
      <c r="C496" s="11">
        <f t="shared" si="28"/>
        <v>-2.0000000000008613E-3</v>
      </c>
      <c r="D496" s="12">
        <f t="shared" si="29"/>
        <v>1.0337000000000425</v>
      </c>
      <c r="E496" s="18">
        <v>49.3</v>
      </c>
      <c r="F496" s="27">
        <v>0.93593999999999999</v>
      </c>
      <c r="G496" s="11">
        <f t="shared" si="30"/>
        <v>-1.9999999999997511E-3</v>
      </c>
      <c r="H496" s="12">
        <f t="shared" si="31"/>
        <v>1.0345399999999878</v>
      </c>
    </row>
    <row r="497" spans="1:8" ht="14.25" thickBot="1">
      <c r="A497" s="18">
        <v>49.4</v>
      </c>
      <c r="B497" s="27">
        <v>0.93489999999999995</v>
      </c>
      <c r="C497" s="11">
        <f t="shared" si="28"/>
        <v>-1.8999999999990977E-3</v>
      </c>
      <c r="D497" s="12">
        <f t="shared" si="29"/>
        <v>1.0287599999999555</v>
      </c>
      <c r="E497" s="18">
        <v>49.4</v>
      </c>
      <c r="F497" s="27">
        <v>0.93574000000000002</v>
      </c>
      <c r="G497" s="11">
        <f t="shared" si="30"/>
        <v>-1.9000000000002075E-3</v>
      </c>
      <c r="H497" s="12">
        <f t="shared" si="31"/>
        <v>1.0296000000000103</v>
      </c>
    </row>
    <row r="498" spans="1:8" ht="14.25" thickBot="1">
      <c r="A498" s="18">
        <v>49.5</v>
      </c>
      <c r="B498" s="27">
        <v>0.93471000000000004</v>
      </c>
      <c r="C498" s="11">
        <f t="shared" si="28"/>
        <v>-1.9000000000002075E-3</v>
      </c>
      <c r="D498" s="12">
        <f t="shared" si="29"/>
        <v>1.0287600000000103</v>
      </c>
      <c r="E498" s="18">
        <v>49.5</v>
      </c>
      <c r="F498" s="27">
        <v>0.93554999999999999</v>
      </c>
      <c r="G498" s="11">
        <f t="shared" si="30"/>
        <v>-1.9000000000002075E-3</v>
      </c>
      <c r="H498" s="12">
        <f t="shared" si="31"/>
        <v>1.0296000000000103</v>
      </c>
    </row>
    <row r="499" spans="1:8" ht="14.25" thickBot="1">
      <c r="A499" s="18">
        <v>49.6</v>
      </c>
      <c r="B499" s="27">
        <v>0.93452000000000002</v>
      </c>
      <c r="C499" s="11">
        <f t="shared" si="28"/>
        <v>-1.9000000000002075E-3</v>
      </c>
      <c r="D499" s="12">
        <f t="shared" si="29"/>
        <v>1.0287600000000103</v>
      </c>
      <c r="E499" s="18">
        <v>49.6</v>
      </c>
      <c r="F499" s="27">
        <v>0.93535999999999997</v>
      </c>
      <c r="G499" s="11">
        <f t="shared" si="30"/>
        <v>-1.9000000000002075E-3</v>
      </c>
      <c r="H499" s="12">
        <f t="shared" si="31"/>
        <v>1.0296000000000103</v>
      </c>
    </row>
    <row r="500" spans="1:8" ht="14.25" thickBot="1">
      <c r="A500" s="18">
        <v>49.7</v>
      </c>
      <c r="B500" s="27">
        <v>0.93432999999999999</v>
      </c>
      <c r="C500" s="11">
        <f t="shared" si="28"/>
        <v>-1.9000000000003426E-3</v>
      </c>
      <c r="D500" s="12">
        <f t="shared" si="29"/>
        <v>1.028760000000017</v>
      </c>
      <c r="E500" s="18">
        <v>49.7</v>
      </c>
      <c r="F500" s="27">
        <v>0.93516999999999995</v>
      </c>
      <c r="G500" s="11">
        <f t="shared" si="30"/>
        <v>-1.8999999999992324E-3</v>
      </c>
      <c r="H500" s="12">
        <f t="shared" si="31"/>
        <v>1.0295999999999619</v>
      </c>
    </row>
    <row r="501" spans="1:8" ht="14.25" thickBot="1">
      <c r="A501" s="18">
        <v>49.8</v>
      </c>
      <c r="B501" s="27">
        <v>0.93413999999999997</v>
      </c>
      <c r="C501" s="11">
        <f t="shared" si="28"/>
        <v>-1.9000000000002075E-3</v>
      </c>
      <c r="D501" s="12">
        <f t="shared" si="29"/>
        <v>1.0287600000000103</v>
      </c>
      <c r="E501" s="18">
        <v>49.8</v>
      </c>
      <c r="F501" s="27">
        <v>0.93498000000000003</v>
      </c>
      <c r="G501" s="11">
        <f t="shared" si="30"/>
        <v>-1.9000000000002075E-3</v>
      </c>
      <c r="H501" s="12">
        <f t="shared" si="31"/>
        <v>1.0296000000000103</v>
      </c>
    </row>
    <row r="502" spans="1:8" ht="14.25" thickBot="1">
      <c r="A502" s="18">
        <v>49.9</v>
      </c>
      <c r="B502" s="27">
        <v>0.93394999999999995</v>
      </c>
      <c r="C502" s="11">
        <f t="shared" si="28"/>
        <v>-1.9999999999997511E-3</v>
      </c>
      <c r="D502" s="12">
        <f t="shared" si="29"/>
        <v>1.0337499999999875</v>
      </c>
      <c r="E502" s="18">
        <v>49.9</v>
      </c>
      <c r="F502" s="27">
        <v>0.93479000000000001</v>
      </c>
      <c r="G502" s="11">
        <f t="shared" si="30"/>
        <v>-1.9999999999997511E-3</v>
      </c>
      <c r="H502" s="12">
        <f t="shared" si="31"/>
        <v>1.0345899999999877</v>
      </c>
    </row>
    <row r="503" spans="1:8" ht="14.25" thickBot="1">
      <c r="A503" s="9">
        <v>50</v>
      </c>
      <c r="B503" s="19">
        <v>0.93374999999999997</v>
      </c>
      <c r="C503" s="11">
        <f t="shared" si="28"/>
        <v>-1.9000000000002075E-3</v>
      </c>
      <c r="D503" s="12">
        <f t="shared" si="29"/>
        <v>1.0287500000000103</v>
      </c>
      <c r="E503" s="9">
        <v>50</v>
      </c>
      <c r="F503" s="19">
        <v>0.93459000000000003</v>
      </c>
      <c r="G503" s="11">
        <f t="shared" si="30"/>
        <v>-1.9000000000002075E-3</v>
      </c>
      <c r="H503" s="12">
        <f t="shared" si="31"/>
        <v>1.0295900000000104</v>
      </c>
    </row>
    <row r="504" spans="1:8" ht="14.25" thickBot="1">
      <c r="A504" s="14">
        <v>50.1</v>
      </c>
      <c r="B504" s="15">
        <v>0.93355999999999995</v>
      </c>
      <c r="C504" s="11">
        <f t="shared" si="28"/>
        <v>-1.8999999999990977E-3</v>
      </c>
      <c r="D504" s="12">
        <f t="shared" si="29"/>
        <v>1.0287499999999548</v>
      </c>
      <c r="E504" s="14">
        <v>50.1</v>
      </c>
      <c r="F504" s="15">
        <v>0.93440000000000001</v>
      </c>
      <c r="G504" s="11">
        <f t="shared" si="30"/>
        <v>-1.9000000000002075E-3</v>
      </c>
      <c r="H504" s="12">
        <f t="shared" si="31"/>
        <v>1.0295900000000104</v>
      </c>
    </row>
    <row r="505" spans="1:8" ht="14.25" thickBot="1">
      <c r="A505" s="14">
        <v>50.2</v>
      </c>
      <c r="B505" s="15">
        <v>0.93337000000000003</v>
      </c>
      <c r="C505" s="11">
        <f t="shared" si="28"/>
        <v>-1.9999999999998934E-3</v>
      </c>
      <c r="D505" s="12">
        <f t="shared" si="29"/>
        <v>1.0337699999999947</v>
      </c>
      <c r="E505" s="14">
        <v>50.2</v>
      </c>
      <c r="F505" s="15">
        <v>0.93420999999999998</v>
      </c>
      <c r="G505" s="11">
        <f t="shared" si="30"/>
        <v>-1.9999999999998934E-3</v>
      </c>
      <c r="H505" s="12">
        <f t="shared" si="31"/>
        <v>1.0346099999999947</v>
      </c>
    </row>
    <row r="506" spans="1:8" ht="14.25" thickBot="1">
      <c r="A506" s="14">
        <v>50.3</v>
      </c>
      <c r="B506" s="15">
        <v>0.93317000000000005</v>
      </c>
      <c r="C506" s="11">
        <f t="shared" si="28"/>
        <v>-1.9000000000002075E-3</v>
      </c>
      <c r="D506" s="12">
        <f t="shared" si="29"/>
        <v>1.0287400000000106</v>
      </c>
      <c r="E506" s="14">
        <v>50.3</v>
      </c>
      <c r="F506" s="15">
        <v>0.93401000000000001</v>
      </c>
      <c r="G506" s="11">
        <f t="shared" si="30"/>
        <v>-1.9000000000002075E-3</v>
      </c>
      <c r="H506" s="12">
        <f t="shared" si="31"/>
        <v>1.0295800000000104</v>
      </c>
    </row>
    <row r="507" spans="1:8" ht="14.25" thickBot="1">
      <c r="A507" s="14">
        <v>50.4</v>
      </c>
      <c r="B507" s="15">
        <v>0.93298000000000003</v>
      </c>
      <c r="C507" s="11">
        <f t="shared" si="28"/>
        <v>-1.9999999999997511E-3</v>
      </c>
      <c r="D507" s="12">
        <f t="shared" si="29"/>
        <v>1.0337799999999875</v>
      </c>
      <c r="E507" s="14">
        <v>50.4</v>
      </c>
      <c r="F507" s="15">
        <v>0.93381999999999998</v>
      </c>
      <c r="G507" s="11">
        <f t="shared" si="30"/>
        <v>-1.9999999999997511E-3</v>
      </c>
      <c r="H507" s="12">
        <f t="shared" si="31"/>
        <v>1.0346199999999874</v>
      </c>
    </row>
    <row r="508" spans="1:8" ht="14.25" thickBot="1">
      <c r="A508" s="14">
        <v>50.5</v>
      </c>
      <c r="B508" s="15">
        <v>0.93278000000000005</v>
      </c>
      <c r="C508" s="11">
        <f t="shared" si="28"/>
        <v>-1.9000000000002075E-3</v>
      </c>
      <c r="D508" s="12">
        <f t="shared" si="29"/>
        <v>1.0287300000000106</v>
      </c>
      <c r="E508" s="14">
        <v>50.5</v>
      </c>
      <c r="F508" s="15">
        <v>0.93362000000000001</v>
      </c>
      <c r="G508" s="11">
        <f t="shared" si="30"/>
        <v>-1.9000000000002075E-3</v>
      </c>
      <c r="H508" s="12">
        <f t="shared" si="31"/>
        <v>1.0295700000000103</v>
      </c>
    </row>
    <row r="509" spans="1:8" ht="14.25" thickBot="1">
      <c r="A509" s="14">
        <v>50.6</v>
      </c>
      <c r="B509" s="15">
        <v>0.93259000000000003</v>
      </c>
      <c r="C509" s="11">
        <f t="shared" si="28"/>
        <v>-1.9999999999997511E-3</v>
      </c>
      <c r="D509" s="12">
        <f t="shared" si="29"/>
        <v>1.0337899999999873</v>
      </c>
      <c r="E509" s="14">
        <v>50.6</v>
      </c>
      <c r="F509" s="15">
        <v>0.93342999999999998</v>
      </c>
      <c r="G509" s="11">
        <f t="shared" si="30"/>
        <v>-1.9999999999997511E-3</v>
      </c>
      <c r="H509" s="12">
        <f t="shared" si="31"/>
        <v>1.0346299999999875</v>
      </c>
    </row>
    <row r="510" spans="1:8" ht="14.25" thickBot="1">
      <c r="A510" s="14">
        <v>50.7</v>
      </c>
      <c r="B510" s="15">
        <v>0.93239000000000005</v>
      </c>
      <c r="C510" s="11">
        <f t="shared" si="28"/>
        <v>-1.9000000000003426E-3</v>
      </c>
      <c r="D510" s="12">
        <f t="shared" si="29"/>
        <v>1.0287200000000174</v>
      </c>
      <c r="E510" s="14">
        <v>50.7</v>
      </c>
      <c r="F510" s="15">
        <v>0.93323</v>
      </c>
      <c r="G510" s="11">
        <f t="shared" si="30"/>
        <v>-1.9000000000003426E-3</v>
      </c>
      <c r="H510" s="12">
        <f t="shared" si="31"/>
        <v>1.0295600000000174</v>
      </c>
    </row>
    <row r="511" spans="1:8" ht="14.25" thickBot="1">
      <c r="A511" s="14">
        <v>50.8</v>
      </c>
      <c r="B511" s="15">
        <v>0.93220000000000003</v>
      </c>
      <c r="C511" s="11">
        <f t="shared" si="28"/>
        <v>-1.9999999999997511E-3</v>
      </c>
      <c r="D511" s="12">
        <f t="shared" si="29"/>
        <v>1.0337999999999874</v>
      </c>
      <c r="E511" s="14">
        <v>50.8</v>
      </c>
      <c r="F511" s="15">
        <v>0.93303999999999998</v>
      </c>
      <c r="G511" s="11">
        <f t="shared" si="30"/>
        <v>-1.9999999999997511E-3</v>
      </c>
      <c r="H511" s="12">
        <f t="shared" si="31"/>
        <v>1.0346399999999873</v>
      </c>
    </row>
    <row r="512" spans="1:8" ht="14.25" thickBot="1">
      <c r="A512" s="14">
        <v>50.9</v>
      </c>
      <c r="B512" s="15">
        <v>0.93200000000000005</v>
      </c>
      <c r="C512" s="11">
        <f t="shared" si="28"/>
        <v>-1.9000000000002075E-3</v>
      </c>
      <c r="D512" s="12">
        <f t="shared" si="29"/>
        <v>1.0287100000000104</v>
      </c>
      <c r="E512" s="14">
        <v>50.9</v>
      </c>
      <c r="F512" s="15">
        <v>0.93284</v>
      </c>
      <c r="G512" s="11">
        <f t="shared" si="30"/>
        <v>-1.9000000000002075E-3</v>
      </c>
      <c r="H512" s="12">
        <f t="shared" si="31"/>
        <v>1.0295500000000106</v>
      </c>
    </row>
    <row r="513" spans="1:8" ht="14.25" thickBot="1">
      <c r="A513" s="9">
        <v>51</v>
      </c>
      <c r="B513" s="19">
        <v>0.93181000000000003</v>
      </c>
      <c r="C513" s="11">
        <f t="shared" si="28"/>
        <v>-1.9999999999997511E-3</v>
      </c>
      <c r="D513" s="12">
        <f t="shared" si="29"/>
        <v>1.0338099999999872</v>
      </c>
      <c r="E513" s="9">
        <v>51</v>
      </c>
      <c r="F513" s="19">
        <v>0.93264999999999998</v>
      </c>
      <c r="G513" s="11">
        <f t="shared" si="30"/>
        <v>-1.9999999999997511E-3</v>
      </c>
      <c r="H513" s="12">
        <f t="shared" si="31"/>
        <v>1.0346499999999872</v>
      </c>
    </row>
    <row r="514" spans="1:8" ht="14.25" thickBot="1">
      <c r="A514" s="18">
        <v>51.1</v>
      </c>
      <c r="B514" s="27">
        <v>0.93161000000000005</v>
      </c>
      <c r="C514" s="11">
        <f t="shared" si="28"/>
        <v>-2.0000000000008613E-3</v>
      </c>
      <c r="D514" s="12">
        <f t="shared" si="29"/>
        <v>1.0338100000000441</v>
      </c>
      <c r="E514" s="18">
        <v>51.1</v>
      </c>
      <c r="F514" s="27">
        <v>0.93245</v>
      </c>
      <c r="G514" s="11">
        <f t="shared" si="30"/>
        <v>-1.9999999999997511E-3</v>
      </c>
      <c r="H514" s="12">
        <f t="shared" si="31"/>
        <v>1.0346499999999872</v>
      </c>
    </row>
    <row r="515" spans="1:8" ht="14.25" thickBot="1">
      <c r="A515" s="18">
        <v>51.2</v>
      </c>
      <c r="B515" s="27">
        <v>0.93140999999999996</v>
      </c>
      <c r="C515" s="11">
        <f t="shared" si="28"/>
        <v>-1.9999999999998934E-3</v>
      </c>
      <c r="D515" s="12">
        <f t="shared" si="29"/>
        <v>1.0338099999999946</v>
      </c>
      <c r="E515" s="18">
        <v>51.2</v>
      </c>
      <c r="F515" s="27">
        <v>0.93225000000000002</v>
      </c>
      <c r="G515" s="11">
        <f t="shared" si="30"/>
        <v>-1.9999999999998934E-3</v>
      </c>
      <c r="H515" s="12">
        <f t="shared" si="31"/>
        <v>1.0346499999999945</v>
      </c>
    </row>
    <row r="516" spans="1:8" ht="14.25" thickBot="1">
      <c r="A516" s="18">
        <v>51.3</v>
      </c>
      <c r="B516" s="27">
        <v>0.93120999999999998</v>
      </c>
      <c r="C516" s="11">
        <f t="shared" ref="C516:C579" si="32">SLOPE(B516:B517,A516:A517)</f>
        <v>-1.9000000000002075E-3</v>
      </c>
      <c r="D516" s="12">
        <f t="shared" ref="D516:D579" si="33">INTERCEPT(B516:B517,A516:A517)</f>
        <v>1.0286800000000105</v>
      </c>
      <c r="E516" s="18">
        <v>51.3</v>
      </c>
      <c r="F516" s="27">
        <v>0.93205000000000005</v>
      </c>
      <c r="G516" s="11">
        <f t="shared" ref="G516:G579" si="34">SLOPE(F516:F517,E516:E517)</f>
        <v>-1.9000000000002075E-3</v>
      </c>
      <c r="H516" s="12">
        <f t="shared" ref="H516:H579" si="35">INTERCEPT(F516:F517,E516:E517)</f>
        <v>1.0295200000000106</v>
      </c>
    </row>
    <row r="517" spans="1:8" ht="14.25" thickBot="1">
      <c r="A517" s="18">
        <v>51.4</v>
      </c>
      <c r="B517" s="27">
        <v>0.93101999999999996</v>
      </c>
      <c r="C517" s="11">
        <f t="shared" si="32"/>
        <v>-1.9999999999997511E-3</v>
      </c>
      <c r="D517" s="12">
        <f t="shared" si="33"/>
        <v>1.0338199999999871</v>
      </c>
      <c r="E517" s="18">
        <v>51.4</v>
      </c>
      <c r="F517" s="27">
        <v>0.93186000000000002</v>
      </c>
      <c r="G517" s="11">
        <f t="shared" si="34"/>
        <v>-1.9999999999997511E-3</v>
      </c>
      <c r="H517" s="12">
        <f t="shared" si="35"/>
        <v>1.0346599999999873</v>
      </c>
    </row>
    <row r="518" spans="1:8" ht="14.25" thickBot="1">
      <c r="A518" s="18">
        <v>51.5</v>
      </c>
      <c r="B518" s="27">
        <v>0.93081999999999998</v>
      </c>
      <c r="C518" s="11">
        <f t="shared" si="32"/>
        <v>-1.9999999999997511E-3</v>
      </c>
      <c r="D518" s="12">
        <f t="shared" si="33"/>
        <v>1.0338199999999871</v>
      </c>
      <c r="E518" s="18">
        <v>51.5</v>
      </c>
      <c r="F518" s="27">
        <v>0.93166000000000004</v>
      </c>
      <c r="G518" s="11">
        <f t="shared" si="34"/>
        <v>-2.0000000000008613E-3</v>
      </c>
      <c r="H518" s="12">
        <f t="shared" si="35"/>
        <v>1.0346600000000443</v>
      </c>
    </row>
    <row r="519" spans="1:8" ht="14.25" thickBot="1">
      <c r="A519" s="18">
        <v>51.6</v>
      </c>
      <c r="B519" s="27">
        <v>0.93062</v>
      </c>
      <c r="C519" s="11">
        <f t="shared" si="32"/>
        <v>-1.9999999999997511E-3</v>
      </c>
      <c r="D519" s="12">
        <f t="shared" si="33"/>
        <v>1.0338199999999871</v>
      </c>
      <c r="E519" s="18">
        <v>51.6</v>
      </c>
      <c r="F519" s="27">
        <v>0.93145999999999995</v>
      </c>
      <c r="G519" s="11">
        <f t="shared" si="34"/>
        <v>-1.9999999999997511E-3</v>
      </c>
      <c r="H519" s="12">
        <f t="shared" si="35"/>
        <v>1.034659999999987</v>
      </c>
    </row>
    <row r="520" spans="1:8" ht="14.25" thickBot="1">
      <c r="A520" s="18">
        <v>51.7</v>
      </c>
      <c r="B520" s="27">
        <v>0.93042000000000002</v>
      </c>
      <c r="C520" s="11">
        <f t="shared" si="32"/>
        <v>-1.9999999999998934E-3</v>
      </c>
      <c r="D520" s="12">
        <f t="shared" si="33"/>
        <v>1.0338199999999946</v>
      </c>
      <c r="E520" s="18">
        <v>51.7</v>
      </c>
      <c r="F520" s="27">
        <v>0.93125999999999998</v>
      </c>
      <c r="G520" s="11">
        <f t="shared" si="34"/>
        <v>-1.9999999999998934E-3</v>
      </c>
      <c r="H520" s="12">
        <f t="shared" si="35"/>
        <v>1.0346599999999944</v>
      </c>
    </row>
    <row r="521" spans="1:8" ht="14.25" thickBot="1">
      <c r="A521" s="18">
        <v>51.8</v>
      </c>
      <c r="B521" s="27">
        <v>0.93022000000000005</v>
      </c>
      <c r="C521" s="11">
        <f t="shared" si="32"/>
        <v>-1.9000000000002075E-3</v>
      </c>
      <c r="D521" s="12">
        <f t="shared" si="33"/>
        <v>1.0286400000000109</v>
      </c>
      <c r="E521" s="18">
        <v>51.8</v>
      </c>
      <c r="F521" s="27">
        <v>0.93106</v>
      </c>
      <c r="G521" s="11">
        <f t="shared" si="34"/>
        <v>-1.9000000000002075E-3</v>
      </c>
      <c r="H521" s="12">
        <f t="shared" si="35"/>
        <v>1.0294800000000108</v>
      </c>
    </row>
    <row r="522" spans="1:8" ht="14.25" thickBot="1">
      <c r="A522" s="18">
        <v>51.9</v>
      </c>
      <c r="B522" s="27">
        <v>0.93003000000000002</v>
      </c>
      <c r="C522" s="11">
        <f t="shared" si="32"/>
        <v>-1.9999999999997511E-3</v>
      </c>
      <c r="D522" s="12">
        <f t="shared" si="33"/>
        <v>1.0338299999999871</v>
      </c>
      <c r="E522" s="18">
        <v>51.9</v>
      </c>
      <c r="F522" s="27">
        <v>0.93086999999999998</v>
      </c>
      <c r="G522" s="11">
        <f t="shared" si="34"/>
        <v>-1.9999999999997511E-3</v>
      </c>
      <c r="H522" s="12">
        <f t="shared" si="35"/>
        <v>1.0346699999999871</v>
      </c>
    </row>
    <row r="523" spans="1:8" ht="14.25" thickBot="1">
      <c r="A523" s="9">
        <v>52</v>
      </c>
      <c r="B523" s="19">
        <v>0.92983000000000005</v>
      </c>
      <c r="C523" s="11">
        <f t="shared" si="32"/>
        <v>-2.0000000000008613E-3</v>
      </c>
      <c r="D523" s="12">
        <f t="shared" si="33"/>
        <v>1.0338300000000449</v>
      </c>
      <c r="E523" s="9">
        <v>52</v>
      </c>
      <c r="F523" s="19">
        <v>0.93067</v>
      </c>
      <c r="G523" s="11">
        <f t="shared" si="34"/>
        <v>-1.9999999999997511E-3</v>
      </c>
      <c r="H523" s="12">
        <f t="shared" si="35"/>
        <v>1.0346699999999871</v>
      </c>
    </row>
    <row r="524" spans="1:8" ht="14.25" thickBot="1">
      <c r="A524" s="18">
        <v>52.1</v>
      </c>
      <c r="B524" s="27">
        <v>0.92962999999999996</v>
      </c>
      <c r="C524" s="11">
        <f t="shared" si="32"/>
        <v>-1.9999999999997511E-3</v>
      </c>
      <c r="D524" s="12">
        <f t="shared" si="33"/>
        <v>1.0338299999999869</v>
      </c>
      <c r="E524" s="18">
        <v>52.1</v>
      </c>
      <c r="F524" s="27">
        <v>0.93047000000000002</v>
      </c>
      <c r="G524" s="11">
        <f t="shared" si="34"/>
        <v>-1.9999999999997511E-3</v>
      </c>
      <c r="H524" s="12">
        <f t="shared" si="35"/>
        <v>1.0346699999999871</v>
      </c>
    </row>
    <row r="525" spans="1:8" ht="14.25" thickBot="1">
      <c r="A525" s="18">
        <v>52.2</v>
      </c>
      <c r="B525" s="27">
        <v>0.92942999999999998</v>
      </c>
      <c r="C525" s="11">
        <f t="shared" si="32"/>
        <v>-1.9999999999998934E-3</v>
      </c>
      <c r="D525" s="12">
        <f t="shared" si="33"/>
        <v>1.0338299999999945</v>
      </c>
      <c r="E525" s="18">
        <v>52.2</v>
      </c>
      <c r="F525" s="27">
        <v>0.93027000000000004</v>
      </c>
      <c r="G525" s="11">
        <f t="shared" si="34"/>
        <v>-2.0000000000010036E-3</v>
      </c>
      <c r="H525" s="12">
        <f t="shared" si="35"/>
        <v>1.0346700000000524</v>
      </c>
    </row>
    <row r="526" spans="1:8" ht="14.25" thickBot="1">
      <c r="A526" s="18">
        <v>52.3</v>
      </c>
      <c r="B526" s="27">
        <v>0.92923</v>
      </c>
      <c r="C526" s="11">
        <f t="shared" si="32"/>
        <v>-1.9999999999997511E-3</v>
      </c>
      <c r="D526" s="12">
        <f t="shared" si="33"/>
        <v>1.0338299999999869</v>
      </c>
      <c r="E526" s="18">
        <v>52.3</v>
      </c>
      <c r="F526" s="27">
        <v>0.93006999999999995</v>
      </c>
      <c r="G526" s="11">
        <f t="shared" si="34"/>
        <v>-1.9999999999997511E-3</v>
      </c>
      <c r="H526" s="12">
        <f t="shared" si="35"/>
        <v>1.0346699999999869</v>
      </c>
    </row>
    <row r="527" spans="1:8" ht="14.25" thickBot="1">
      <c r="A527" s="18">
        <v>52.4</v>
      </c>
      <c r="B527" s="27">
        <v>0.92903000000000002</v>
      </c>
      <c r="C527" s="11">
        <f t="shared" si="32"/>
        <v>-2.1000000000004045E-3</v>
      </c>
      <c r="D527" s="12">
        <f t="shared" si="33"/>
        <v>1.0390700000000213</v>
      </c>
      <c r="E527" s="18">
        <v>52.4</v>
      </c>
      <c r="F527" s="27">
        <v>0.92986999999999997</v>
      </c>
      <c r="G527" s="11">
        <f t="shared" si="34"/>
        <v>-2.0999999999992947E-3</v>
      </c>
      <c r="H527" s="12">
        <f t="shared" si="35"/>
        <v>1.039909999999963</v>
      </c>
    </row>
    <row r="528" spans="1:8" ht="14.25" thickBot="1">
      <c r="A528" s="18">
        <v>52.5</v>
      </c>
      <c r="B528" s="27">
        <v>0.92881999999999998</v>
      </c>
      <c r="C528" s="11">
        <f t="shared" si="32"/>
        <v>-1.9999999999997511E-3</v>
      </c>
      <c r="D528" s="12">
        <f t="shared" si="33"/>
        <v>1.0338199999999869</v>
      </c>
      <c r="E528" s="18">
        <v>52.5</v>
      </c>
      <c r="F528" s="27">
        <v>0.92966000000000004</v>
      </c>
      <c r="G528" s="11">
        <f t="shared" si="34"/>
        <v>-2.0000000000008613E-3</v>
      </c>
      <c r="H528" s="12">
        <f t="shared" si="35"/>
        <v>1.0346600000000452</v>
      </c>
    </row>
    <row r="529" spans="1:8" ht="14.25" thickBot="1">
      <c r="A529" s="18">
        <v>52.6</v>
      </c>
      <c r="B529" s="27">
        <v>0.92862</v>
      </c>
      <c r="C529" s="11">
        <f t="shared" si="32"/>
        <v>-1.9999999999997511E-3</v>
      </c>
      <c r="D529" s="12">
        <f t="shared" si="33"/>
        <v>1.0338199999999869</v>
      </c>
      <c r="E529" s="18">
        <v>52.6</v>
      </c>
      <c r="F529" s="27">
        <v>0.92945999999999995</v>
      </c>
      <c r="G529" s="11">
        <f t="shared" si="34"/>
        <v>-1.9999999999997511E-3</v>
      </c>
      <c r="H529" s="12">
        <f t="shared" si="35"/>
        <v>1.0346599999999868</v>
      </c>
    </row>
    <row r="530" spans="1:8" ht="14.25" thickBot="1">
      <c r="A530" s="18">
        <v>52.7</v>
      </c>
      <c r="B530" s="27">
        <v>0.92842000000000002</v>
      </c>
      <c r="C530" s="11">
        <f t="shared" si="32"/>
        <v>-1.9999999999998934E-3</v>
      </c>
      <c r="D530" s="12">
        <f t="shared" si="33"/>
        <v>1.0338199999999944</v>
      </c>
      <c r="E530" s="18">
        <v>52.7</v>
      </c>
      <c r="F530" s="27">
        <v>0.92925999999999997</v>
      </c>
      <c r="G530" s="11">
        <f t="shared" si="34"/>
        <v>-1.9999999999998934E-3</v>
      </c>
      <c r="H530" s="12">
        <f t="shared" si="35"/>
        <v>1.0346599999999944</v>
      </c>
    </row>
    <row r="531" spans="1:8" ht="14.25" thickBot="1">
      <c r="A531" s="18">
        <v>52.8</v>
      </c>
      <c r="B531" s="27">
        <v>0.92822000000000005</v>
      </c>
      <c r="C531" s="11">
        <f t="shared" si="32"/>
        <v>-2.0000000000008613E-3</v>
      </c>
      <c r="D531" s="12">
        <f t="shared" si="33"/>
        <v>1.0338200000000455</v>
      </c>
      <c r="E531" s="18">
        <v>52.8</v>
      </c>
      <c r="F531" s="27">
        <v>0.92906</v>
      </c>
      <c r="G531" s="11">
        <f t="shared" si="34"/>
        <v>-1.9999999999997511E-3</v>
      </c>
      <c r="H531" s="12">
        <f t="shared" si="35"/>
        <v>1.0346599999999868</v>
      </c>
    </row>
    <row r="532" spans="1:8" ht="14.25" thickBot="1">
      <c r="A532" s="18">
        <v>52.9</v>
      </c>
      <c r="B532" s="27">
        <v>0.92801999999999996</v>
      </c>
      <c r="C532" s="11">
        <f t="shared" si="32"/>
        <v>-1.9999999999997511E-3</v>
      </c>
      <c r="D532" s="12">
        <f t="shared" si="33"/>
        <v>1.0338199999999869</v>
      </c>
      <c r="E532" s="18">
        <v>52.9</v>
      </c>
      <c r="F532" s="27">
        <v>0.92886000000000002</v>
      </c>
      <c r="G532" s="11">
        <f t="shared" si="34"/>
        <v>-1.9999999999997511E-3</v>
      </c>
      <c r="H532" s="12">
        <f t="shared" si="35"/>
        <v>1.0346599999999868</v>
      </c>
    </row>
    <row r="533" spans="1:8" ht="14.25" thickBot="1">
      <c r="A533" s="9">
        <v>53</v>
      </c>
      <c r="B533" s="19">
        <v>0.92781999999999998</v>
      </c>
      <c r="C533" s="11">
        <f t="shared" si="32"/>
        <v>-2.0999999999992947E-3</v>
      </c>
      <c r="D533" s="12">
        <f t="shared" si="33"/>
        <v>1.0391199999999627</v>
      </c>
      <c r="E533" s="9">
        <v>53</v>
      </c>
      <c r="F533" s="19">
        <v>0.92866000000000004</v>
      </c>
      <c r="G533" s="11">
        <f t="shared" si="34"/>
        <v>-2.1000000000004045E-3</v>
      </c>
      <c r="H533" s="12">
        <f t="shared" si="35"/>
        <v>1.0399600000000215</v>
      </c>
    </row>
    <row r="534" spans="1:8" ht="14.25" thickBot="1">
      <c r="A534" s="18">
        <v>53.1</v>
      </c>
      <c r="B534" s="27">
        <v>0.92761000000000005</v>
      </c>
      <c r="C534" s="11">
        <f t="shared" si="32"/>
        <v>-2.0000000000008613E-3</v>
      </c>
      <c r="D534" s="12">
        <f t="shared" si="33"/>
        <v>1.0338100000000459</v>
      </c>
      <c r="E534" s="18">
        <v>53.1</v>
      </c>
      <c r="F534" s="27">
        <v>0.92845</v>
      </c>
      <c r="G534" s="11">
        <f t="shared" si="34"/>
        <v>-1.9999999999997511E-3</v>
      </c>
      <c r="H534" s="12">
        <f t="shared" si="35"/>
        <v>1.0346499999999867</v>
      </c>
    </row>
    <row r="535" spans="1:8" ht="14.25" thickBot="1">
      <c r="A535" s="18">
        <v>53.2</v>
      </c>
      <c r="B535" s="27">
        <v>0.92740999999999996</v>
      </c>
      <c r="C535" s="11">
        <f t="shared" si="32"/>
        <v>-1.9999999999998934E-3</v>
      </c>
      <c r="D535" s="12">
        <f t="shared" si="33"/>
        <v>1.0338099999999943</v>
      </c>
      <c r="E535" s="18">
        <v>53.2</v>
      </c>
      <c r="F535" s="27">
        <v>0.92825000000000002</v>
      </c>
      <c r="G535" s="11">
        <f t="shared" si="34"/>
        <v>-1.9999999999998934E-3</v>
      </c>
      <c r="H535" s="12">
        <f t="shared" si="35"/>
        <v>1.0346499999999943</v>
      </c>
    </row>
    <row r="536" spans="1:8" ht="14.25" thickBot="1">
      <c r="A536" s="18">
        <v>53.3</v>
      </c>
      <c r="B536" s="27">
        <v>0.92720999999999998</v>
      </c>
      <c r="C536" s="11">
        <f t="shared" si="32"/>
        <v>-2.0999999999992947E-3</v>
      </c>
      <c r="D536" s="12">
        <f t="shared" si="33"/>
        <v>1.0391399999999624</v>
      </c>
      <c r="E536" s="18">
        <v>53.3</v>
      </c>
      <c r="F536" s="27">
        <v>0.92805000000000004</v>
      </c>
      <c r="G536" s="11">
        <f t="shared" si="34"/>
        <v>-2.1000000000004045E-3</v>
      </c>
      <c r="H536" s="12">
        <f t="shared" si="35"/>
        <v>1.0399800000000217</v>
      </c>
    </row>
    <row r="537" spans="1:8" ht="14.25" thickBot="1">
      <c r="A537" s="18">
        <v>53.4</v>
      </c>
      <c r="B537" s="27">
        <v>0.92700000000000005</v>
      </c>
      <c r="C537" s="11">
        <f t="shared" si="32"/>
        <v>-2.0000000000008613E-3</v>
      </c>
      <c r="D537" s="12">
        <f t="shared" si="33"/>
        <v>1.033800000000046</v>
      </c>
      <c r="E537" s="18">
        <v>53.4</v>
      </c>
      <c r="F537" s="27">
        <v>0.92784</v>
      </c>
      <c r="G537" s="11">
        <f t="shared" si="34"/>
        <v>-2.1000000000004045E-3</v>
      </c>
      <c r="H537" s="12">
        <f t="shared" si="35"/>
        <v>1.0399800000000217</v>
      </c>
    </row>
    <row r="538" spans="1:8" ht="14.25" thickBot="1">
      <c r="A538" s="18">
        <v>53.5</v>
      </c>
      <c r="B538" s="27">
        <v>0.92679999999999996</v>
      </c>
      <c r="C538" s="11">
        <f t="shared" si="32"/>
        <v>-1.9999999999997511E-3</v>
      </c>
      <c r="D538" s="12">
        <f t="shared" si="33"/>
        <v>1.0337999999999867</v>
      </c>
      <c r="E538" s="18">
        <v>53.5</v>
      </c>
      <c r="F538" s="27">
        <v>0.92762999999999995</v>
      </c>
      <c r="G538" s="11">
        <f t="shared" si="34"/>
        <v>-1.9999999999997511E-3</v>
      </c>
      <c r="H538" s="12">
        <f t="shared" si="35"/>
        <v>1.0346299999999866</v>
      </c>
    </row>
    <row r="539" spans="1:8" ht="14.25" thickBot="1">
      <c r="A539" s="18">
        <v>53.6</v>
      </c>
      <c r="B539" s="27">
        <v>0.92659999999999998</v>
      </c>
      <c r="C539" s="11">
        <f t="shared" si="32"/>
        <v>-2.0999999999992947E-3</v>
      </c>
      <c r="D539" s="12">
        <f t="shared" si="33"/>
        <v>1.0391599999999623</v>
      </c>
      <c r="E539" s="18">
        <v>53.6</v>
      </c>
      <c r="F539" s="27">
        <v>0.92742999999999998</v>
      </c>
      <c r="G539" s="11">
        <f t="shared" si="34"/>
        <v>-2.0999999999992947E-3</v>
      </c>
      <c r="H539" s="12">
        <f t="shared" si="35"/>
        <v>1.0399899999999622</v>
      </c>
    </row>
    <row r="540" spans="1:8" ht="14.25" thickBot="1">
      <c r="A540" s="18">
        <v>53.7</v>
      </c>
      <c r="B540" s="27">
        <v>0.92639000000000005</v>
      </c>
      <c r="C540" s="11">
        <f t="shared" si="32"/>
        <v>-2.0000000000010036E-3</v>
      </c>
      <c r="D540" s="12">
        <f t="shared" si="33"/>
        <v>1.0337900000000539</v>
      </c>
      <c r="E540" s="18">
        <v>53.7</v>
      </c>
      <c r="F540" s="27">
        <v>0.92722000000000004</v>
      </c>
      <c r="G540" s="11">
        <f t="shared" si="34"/>
        <v>-2.0000000000010036E-3</v>
      </c>
      <c r="H540" s="12">
        <f t="shared" si="35"/>
        <v>1.0346200000000538</v>
      </c>
    </row>
    <row r="541" spans="1:8" ht="14.25" thickBot="1">
      <c r="A541" s="18">
        <v>53.8</v>
      </c>
      <c r="B541" s="27">
        <v>0.92618999999999996</v>
      </c>
      <c r="C541" s="11">
        <f t="shared" si="32"/>
        <v>-2.0999999999992947E-3</v>
      </c>
      <c r="D541" s="12">
        <f t="shared" si="33"/>
        <v>1.039169999999962</v>
      </c>
      <c r="E541" s="18">
        <v>53.8</v>
      </c>
      <c r="F541" s="27">
        <v>0.92701999999999996</v>
      </c>
      <c r="G541" s="11">
        <f t="shared" si="34"/>
        <v>-2.0999999999992947E-3</v>
      </c>
      <c r="H541" s="12">
        <f t="shared" si="35"/>
        <v>1.0399999999999618</v>
      </c>
    </row>
    <row r="542" spans="1:8" ht="14.25" thickBot="1">
      <c r="A542" s="18">
        <v>53.9</v>
      </c>
      <c r="B542" s="27">
        <v>0.92598000000000003</v>
      </c>
      <c r="C542" s="11">
        <f t="shared" si="32"/>
        <v>-1.9999999999997511E-3</v>
      </c>
      <c r="D542" s="12">
        <f t="shared" si="33"/>
        <v>1.0337799999999866</v>
      </c>
      <c r="E542" s="18">
        <v>53.9</v>
      </c>
      <c r="F542" s="27">
        <v>0.92681000000000002</v>
      </c>
      <c r="G542" s="11">
        <f t="shared" si="34"/>
        <v>-1.9999999999997511E-3</v>
      </c>
      <c r="H542" s="12">
        <f t="shared" si="35"/>
        <v>1.0346099999999867</v>
      </c>
    </row>
    <row r="543" spans="1:8" ht="14.25" thickBot="1">
      <c r="A543" s="9">
        <v>54</v>
      </c>
      <c r="B543" s="19">
        <v>0.92578000000000005</v>
      </c>
      <c r="C543" s="11">
        <f t="shared" si="32"/>
        <v>-2.1000000000004045E-3</v>
      </c>
      <c r="D543" s="12">
        <f t="shared" si="33"/>
        <v>1.039180000000022</v>
      </c>
      <c r="E543" s="9">
        <v>54</v>
      </c>
      <c r="F543" s="19">
        <v>0.92661000000000004</v>
      </c>
      <c r="G543" s="11">
        <f t="shared" si="34"/>
        <v>-2.1000000000004045E-3</v>
      </c>
      <c r="H543" s="12">
        <f t="shared" si="35"/>
        <v>1.0400100000000219</v>
      </c>
    </row>
    <row r="544" spans="1:8" ht="14.25" thickBot="1">
      <c r="A544" s="18">
        <v>54.1</v>
      </c>
      <c r="B544" s="27">
        <v>0.92557</v>
      </c>
      <c r="C544" s="11">
        <f t="shared" si="32"/>
        <v>-2.1000000000004045E-3</v>
      </c>
      <c r="D544" s="12">
        <f t="shared" si="33"/>
        <v>1.039180000000022</v>
      </c>
      <c r="E544" s="18">
        <v>54.1</v>
      </c>
      <c r="F544" s="27">
        <v>0.9264</v>
      </c>
      <c r="G544" s="11">
        <f t="shared" si="34"/>
        <v>-2.1000000000004045E-3</v>
      </c>
      <c r="H544" s="12">
        <f t="shared" si="35"/>
        <v>1.0400100000000219</v>
      </c>
    </row>
    <row r="545" spans="1:8" ht="14.25" thickBot="1">
      <c r="A545" s="18">
        <v>54.2</v>
      </c>
      <c r="B545" s="27">
        <v>0.92535999999999996</v>
      </c>
      <c r="C545" s="11">
        <f t="shared" si="32"/>
        <v>-1.9999999999998934E-3</v>
      </c>
      <c r="D545" s="12">
        <f t="shared" si="33"/>
        <v>1.0337599999999942</v>
      </c>
      <c r="E545" s="18">
        <v>54.2</v>
      </c>
      <c r="F545" s="27">
        <v>0.92618999999999996</v>
      </c>
      <c r="G545" s="11">
        <f t="shared" si="34"/>
        <v>-1.9999999999998934E-3</v>
      </c>
      <c r="H545" s="12">
        <f t="shared" si="35"/>
        <v>1.0345899999999941</v>
      </c>
    </row>
    <row r="546" spans="1:8" ht="14.25" thickBot="1">
      <c r="A546" s="18">
        <v>54.3</v>
      </c>
      <c r="B546" s="27">
        <v>0.92515999999999998</v>
      </c>
      <c r="C546" s="11">
        <f t="shared" si="32"/>
        <v>-2.0999999999992947E-3</v>
      </c>
      <c r="D546" s="12">
        <f t="shared" si="33"/>
        <v>1.0391899999999616</v>
      </c>
      <c r="E546" s="18">
        <v>54.3</v>
      </c>
      <c r="F546" s="27">
        <v>0.92598999999999998</v>
      </c>
      <c r="G546" s="11">
        <f t="shared" si="34"/>
        <v>-2.0999999999992947E-3</v>
      </c>
      <c r="H546" s="12">
        <f t="shared" si="35"/>
        <v>1.0400199999999618</v>
      </c>
    </row>
    <row r="547" spans="1:8" ht="14.25" thickBot="1">
      <c r="A547" s="18">
        <v>54.4</v>
      </c>
      <c r="B547" s="27">
        <v>0.92495000000000005</v>
      </c>
      <c r="C547" s="11">
        <f t="shared" si="32"/>
        <v>-2.1000000000004045E-3</v>
      </c>
      <c r="D547" s="12">
        <f t="shared" si="33"/>
        <v>1.039190000000022</v>
      </c>
      <c r="E547" s="18">
        <v>54.4</v>
      </c>
      <c r="F547" s="27">
        <v>0.92578000000000005</v>
      </c>
      <c r="G547" s="11">
        <f t="shared" si="34"/>
        <v>-2.1000000000004045E-3</v>
      </c>
      <c r="H547" s="12">
        <f t="shared" si="35"/>
        <v>1.0400200000000221</v>
      </c>
    </row>
    <row r="548" spans="1:8" ht="14.25" thickBot="1">
      <c r="A548" s="18">
        <v>54.5</v>
      </c>
      <c r="B548" s="27">
        <v>0.92474000000000001</v>
      </c>
      <c r="C548" s="11">
        <f t="shared" si="32"/>
        <v>-1.9999999999997511E-3</v>
      </c>
      <c r="D548" s="12">
        <f t="shared" si="33"/>
        <v>1.0337399999999863</v>
      </c>
      <c r="E548" s="18">
        <v>54.5</v>
      </c>
      <c r="F548" s="27">
        <v>0.92557</v>
      </c>
      <c r="G548" s="11">
        <f t="shared" si="34"/>
        <v>-1.9999999999997511E-3</v>
      </c>
      <c r="H548" s="12">
        <f t="shared" si="35"/>
        <v>1.0345699999999864</v>
      </c>
    </row>
    <row r="549" spans="1:8" ht="14.25" thickBot="1">
      <c r="A549" s="18">
        <v>54.6</v>
      </c>
      <c r="B549" s="27">
        <v>0.92454000000000003</v>
      </c>
      <c r="C549" s="11">
        <f t="shared" si="32"/>
        <v>-2.1000000000004045E-3</v>
      </c>
      <c r="D549" s="12">
        <f t="shared" si="33"/>
        <v>1.0392000000000221</v>
      </c>
      <c r="E549" s="18">
        <v>54.6</v>
      </c>
      <c r="F549" s="27">
        <v>0.92537000000000003</v>
      </c>
      <c r="G549" s="11">
        <f t="shared" si="34"/>
        <v>-2.1000000000004045E-3</v>
      </c>
      <c r="H549" s="12">
        <f t="shared" si="35"/>
        <v>1.0400300000000222</v>
      </c>
    </row>
    <row r="550" spans="1:8" ht="14.25" thickBot="1">
      <c r="A550" s="18">
        <v>54.7</v>
      </c>
      <c r="B550" s="27">
        <v>0.92432999999999998</v>
      </c>
      <c r="C550" s="11">
        <f t="shared" si="32"/>
        <v>-2.0999999999994439E-3</v>
      </c>
      <c r="D550" s="12">
        <f t="shared" si="33"/>
        <v>1.0391999999999697</v>
      </c>
      <c r="E550" s="18">
        <v>54.7</v>
      </c>
      <c r="F550" s="27">
        <v>0.92515999999999998</v>
      </c>
      <c r="G550" s="11">
        <f t="shared" si="34"/>
        <v>-2.0999999999994439E-3</v>
      </c>
      <c r="H550" s="12">
        <f t="shared" si="35"/>
        <v>1.0400299999999696</v>
      </c>
    </row>
    <row r="551" spans="1:8" ht="14.25" thickBot="1">
      <c r="A551" s="18">
        <v>54.8</v>
      </c>
      <c r="B551" s="27">
        <v>0.92412000000000005</v>
      </c>
      <c r="C551" s="11">
        <f t="shared" si="32"/>
        <v>-2.1000000000004045E-3</v>
      </c>
      <c r="D551" s="12">
        <f t="shared" si="33"/>
        <v>1.0392000000000221</v>
      </c>
      <c r="E551" s="18">
        <v>54.8</v>
      </c>
      <c r="F551" s="27">
        <v>0.92495000000000005</v>
      </c>
      <c r="G551" s="11">
        <f t="shared" si="34"/>
        <v>-2.1000000000004045E-3</v>
      </c>
      <c r="H551" s="12">
        <f t="shared" si="35"/>
        <v>1.0400300000000222</v>
      </c>
    </row>
    <row r="552" spans="1:8" ht="14.25" thickBot="1">
      <c r="A552" s="18">
        <v>54.9</v>
      </c>
      <c r="B552" s="27">
        <v>0.92391000000000001</v>
      </c>
      <c r="C552" s="11">
        <f t="shared" si="32"/>
        <v>-1.9999999999997511E-3</v>
      </c>
      <c r="D552" s="12">
        <f t="shared" si="33"/>
        <v>1.0337099999999864</v>
      </c>
      <c r="E552" s="18">
        <v>54.9</v>
      </c>
      <c r="F552" s="27">
        <v>0.92474000000000001</v>
      </c>
      <c r="G552" s="11">
        <f t="shared" si="34"/>
        <v>-1.9999999999997511E-3</v>
      </c>
      <c r="H552" s="12">
        <f t="shared" si="35"/>
        <v>1.0345399999999862</v>
      </c>
    </row>
    <row r="553" spans="1:8" ht="14.25" thickBot="1">
      <c r="A553" s="9">
        <v>55</v>
      </c>
      <c r="B553" s="19">
        <v>0.92371000000000003</v>
      </c>
      <c r="C553" s="11">
        <f t="shared" si="32"/>
        <v>-2.1000000000004045E-3</v>
      </c>
      <c r="D553" s="12">
        <f t="shared" si="33"/>
        <v>1.0392100000000222</v>
      </c>
      <c r="E553" s="9">
        <v>55</v>
      </c>
      <c r="F553" s="19">
        <v>0.92454000000000003</v>
      </c>
      <c r="G553" s="11">
        <f t="shared" si="34"/>
        <v>-2.1000000000004045E-3</v>
      </c>
      <c r="H553" s="12">
        <f t="shared" si="35"/>
        <v>1.0400400000000223</v>
      </c>
    </row>
    <row r="554" spans="1:8" ht="14.25" thickBot="1">
      <c r="A554" s="18">
        <v>55.1</v>
      </c>
      <c r="B554" s="27">
        <v>0.92349999999999999</v>
      </c>
      <c r="C554" s="11">
        <f t="shared" si="32"/>
        <v>-2.0999999999992947E-3</v>
      </c>
      <c r="D554" s="12">
        <f t="shared" si="33"/>
        <v>1.0392099999999611</v>
      </c>
      <c r="E554" s="18">
        <v>55.1</v>
      </c>
      <c r="F554" s="27">
        <v>0.92432999999999998</v>
      </c>
      <c r="G554" s="11">
        <f t="shared" si="34"/>
        <v>-2.0999999999992947E-3</v>
      </c>
      <c r="H554" s="12">
        <f t="shared" si="35"/>
        <v>1.0400399999999612</v>
      </c>
    </row>
    <row r="555" spans="1:8" ht="14.25" thickBot="1">
      <c r="A555" s="18">
        <v>55.2</v>
      </c>
      <c r="B555" s="27">
        <v>0.92329000000000006</v>
      </c>
      <c r="C555" s="11">
        <f t="shared" si="32"/>
        <v>-2.1000000000005537E-3</v>
      </c>
      <c r="D555" s="12">
        <f t="shared" si="33"/>
        <v>1.0392100000000306</v>
      </c>
      <c r="E555" s="18">
        <v>55.2</v>
      </c>
      <c r="F555" s="27">
        <v>0.92412000000000005</v>
      </c>
      <c r="G555" s="11">
        <f t="shared" si="34"/>
        <v>-2.1000000000005537E-3</v>
      </c>
      <c r="H555" s="12">
        <f t="shared" si="35"/>
        <v>1.0400400000000307</v>
      </c>
    </row>
    <row r="556" spans="1:8" ht="14.25" thickBot="1">
      <c r="A556" s="18">
        <v>55.3</v>
      </c>
      <c r="B556" s="27">
        <v>0.92308000000000001</v>
      </c>
      <c r="C556" s="11">
        <f t="shared" si="32"/>
        <v>-2.1000000000004045E-3</v>
      </c>
      <c r="D556" s="12">
        <f t="shared" si="33"/>
        <v>1.0392100000000224</v>
      </c>
      <c r="E556" s="18">
        <v>55.3</v>
      </c>
      <c r="F556" s="27">
        <v>0.92391000000000001</v>
      </c>
      <c r="G556" s="11">
        <f t="shared" si="34"/>
        <v>-2.1000000000004045E-3</v>
      </c>
      <c r="H556" s="12">
        <f t="shared" si="35"/>
        <v>1.0400400000000223</v>
      </c>
    </row>
    <row r="557" spans="1:8" ht="14.25" thickBot="1">
      <c r="A557" s="18">
        <v>55.4</v>
      </c>
      <c r="B557" s="27">
        <v>0.92286999999999997</v>
      </c>
      <c r="C557" s="11">
        <f t="shared" si="32"/>
        <v>-2.0999999999992947E-3</v>
      </c>
      <c r="D557" s="12">
        <f t="shared" si="33"/>
        <v>1.0392099999999609</v>
      </c>
      <c r="E557" s="18">
        <v>55.4</v>
      </c>
      <c r="F557" s="27">
        <v>0.92369999999999997</v>
      </c>
      <c r="G557" s="11">
        <f t="shared" si="34"/>
        <v>-2.0999999999992947E-3</v>
      </c>
      <c r="H557" s="12">
        <f t="shared" si="35"/>
        <v>1.0400399999999608</v>
      </c>
    </row>
    <row r="558" spans="1:8" ht="14.25" thickBot="1">
      <c r="A558" s="18">
        <v>55.5</v>
      </c>
      <c r="B558" s="27">
        <v>0.92266000000000004</v>
      </c>
      <c r="C558" s="11">
        <f t="shared" si="32"/>
        <v>-2.1000000000004045E-3</v>
      </c>
      <c r="D558" s="12">
        <f t="shared" si="33"/>
        <v>1.0392100000000224</v>
      </c>
      <c r="E558" s="18">
        <v>55.5</v>
      </c>
      <c r="F558" s="27">
        <v>0.92349000000000003</v>
      </c>
      <c r="G558" s="11">
        <f t="shared" si="34"/>
        <v>-2.1000000000004045E-3</v>
      </c>
      <c r="H558" s="12">
        <f t="shared" si="35"/>
        <v>1.0400400000000225</v>
      </c>
    </row>
    <row r="559" spans="1:8" ht="14.25" thickBot="1">
      <c r="A559" s="18">
        <v>55.6</v>
      </c>
      <c r="B559" s="27">
        <v>0.92244999999999999</v>
      </c>
      <c r="C559" s="11">
        <f t="shared" si="32"/>
        <v>-2.1000000000004045E-3</v>
      </c>
      <c r="D559" s="12">
        <f t="shared" si="33"/>
        <v>1.0392100000000224</v>
      </c>
      <c r="E559" s="18">
        <v>55.6</v>
      </c>
      <c r="F559" s="27">
        <v>0.92327999999999999</v>
      </c>
      <c r="G559" s="11">
        <f t="shared" si="34"/>
        <v>-2.1000000000004045E-3</v>
      </c>
      <c r="H559" s="12">
        <f t="shared" si="35"/>
        <v>1.0400400000000225</v>
      </c>
    </row>
    <row r="560" spans="1:8" ht="14.25" thickBot="1">
      <c r="A560" s="18">
        <v>55.7</v>
      </c>
      <c r="B560" s="27">
        <v>0.92223999999999995</v>
      </c>
      <c r="C560" s="11">
        <f t="shared" si="32"/>
        <v>-2.0999999999994439E-3</v>
      </c>
      <c r="D560" s="12">
        <f t="shared" si="33"/>
        <v>1.0392099999999689</v>
      </c>
      <c r="E560" s="18">
        <v>55.7</v>
      </c>
      <c r="F560" s="27">
        <v>0.92306999999999995</v>
      </c>
      <c r="G560" s="11">
        <f t="shared" si="34"/>
        <v>-2.0999999999994439E-3</v>
      </c>
      <c r="H560" s="12">
        <f t="shared" si="35"/>
        <v>1.040039999999969</v>
      </c>
    </row>
    <row r="561" spans="1:8" ht="14.25" thickBot="1">
      <c r="A561" s="18">
        <v>55.8</v>
      </c>
      <c r="B561" s="27">
        <v>0.92203000000000002</v>
      </c>
      <c r="C561" s="11">
        <f t="shared" si="32"/>
        <v>-2.1000000000004045E-3</v>
      </c>
      <c r="D561" s="12">
        <f t="shared" si="33"/>
        <v>1.0392100000000226</v>
      </c>
      <c r="E561" s="18">
        <v>55.8</v>
      </c>
      <c r="F561" s="27">
        <v>0.92286000000000001</v>
      </c>
      <c r="G561" s="11">
        <f t="shared" si="34"/>
        <v>-2.1000000000004045E-3</v>
      </c>
      <c r="H561" s="12">
        <f t="shared" si="35"/>
        <v>1.0400400000000225</v>
      </c>
    </row>
    <row r="562" spans="1:8" ht="14.25" thickBot="1">
      <c r="A562" s="18">
        <v>55.9</v>
      </c>
      <c r="B562" s="27">
        <v>0.92181999999999997</v>
      </c>
      <c r="C562" s="11">
        <f t="shared" si="32"/>
        <v>-2.0999999999992947E-3</v>
      </c>
      <c r="D562" s="12">
        <f t="shared" si="33"/>
        <v>1.0392099999999607</v>
      </c>
      <c r="E562" s="18">
        <v>55.9</v>
      </c>
      <c r="F562" s="27">
        <v>0.92264999999999997</v>
      </c>
      <c r="G562" s="11">
        <f t="shared" si="34"/>
        <v>-2.0999999999992947E-3</v>
      </c>
      <c r="H562" s="12">
        <f t="shared" si="35"/>
        <v>1.0400399999999606</v>
      </c>
    </row>
    <row r="563" spans="1:8" ht="14.25" thickBot="1">
      <c r="A563" s="9">
        <v>56</v>
      </c>
      <c r="B563" s="19">
        <v>0.92161000000000004</v>
      </c>
      <c r="C563" s="11">
        <f t="shared" si="32"/>
        <v>-2.1000000000004045E-3</v>
      </c>
      <c r="D563" s="12">
        <f t="shared" si="33"/>
        <v>1.0392100000000226</v>
      </c>
      <c r="E563" s="9">
        <v>56</v>
      </c>
      <c r="F563" s="19">
        <v>0.92244000000000004</v>
      </c>
      <c r="G563" s="11">
        <f t="shared" si="34"/>
        <v>-2.1000000000004045E-3</v>
      </c>
      <c r="H563" s="12">
        <f t="shared" si="35"/>
        <v>1.0400400000000227</v>
      </c>
    </row>
    <row r="564" spans="1:8" ht="14.25" thickBot="1">
      <c r="A564" s="18">
        <v>56.1</v>
      </c>
      <c r="B564" s="27">
        <v>0.9214</v>
      </c>
      <c r="C564" s="11">
        <f t="shared" si="32"/>
        <v>-2.1000000000004045E-3</v>
      </c>
      <c r="D564" s="12">
        <f t="shared" si="33"/>
        <v>1.0392100000000226</v>
      </c>
      <c r="E564" s="18">
        <v>56.1</v>
      </c>
      <c r="F564" s="27">
        <v>0.92222999999999999</v>
      </c>
      <c r="G564" s="11">
        <f t="shared" si="34"/>
        <v>-2.1000000000004045E-3</v>
      </c>
      <c r="H564" s="12">
        <f t="shared" si="35"/>
        <v>1.0400400000000227</v>
      </c>
    </row>
    <row r="565" spans="1:8" ht="14.25" thickBot="1">
      <c r="A565" s="18">
        <v>56.2</v>
      </c>
      <c r="B565" s="27">
        <v>0.92118999999999995</v>
      </c>
      <c r="C565" s="11">
        <f t="shared" si="32"/>
        <v>-2.2000000000001046E-3</v>
      </c>
      <c r="D565" s="12">
        <f t="shared" si="33"/>
        <v>1.0448300000000057</v>
      </c>
      <c r="E565" s="18">
        <v>56.2</v>
      </c>
      <c r="F565" s="27">
        <v>0.92201999999999995</v>
      </c>
      <c r="G565" s="11">
        <f t="shared" si="34"/>
        <v>-2.2000000000001046E-3</v>
      </c>
      <c r="H565" s="12">
        <f t="shared" si="35"/>
        <v>1.0456600000000058</v>
      </c>
    </row>
    <row r="566" spans="1:8" ht="14.25" thickBot="1">
      <c r="A566" s="18">
        <v>56.3</v>
      </c>
      <c r="B566" s="27">
        <v>0.92096999999999996</v>
      </c>
      <c r="C566" s="11">
        <f t="shared" si="32"/>
        <v>-2.0999999999992947E-3</v>
      </c>
      <c r="D566" s="12">
        <f t="shared" si="33"/>
        <v>1.0391999999999604</v>
      </c>
      <c r="E566" s="18">
        <v>56.3</v>
      </c>
      <c r="F566" s="27">
        <v>0.92179999999999995</v>
      </c>
      <c r="G566" s="11">
        <f t="shared" si="34"/>
        <v>-2.0999999999992947E-3</v>
      </c>
      <c r="H566" s="12">
        <f t="shared" si="35"/>
        <v>1.0400299999999603</v>
      </c>
    </row>
    <row r="567" spans="1:8" ht="14.25" thickBot="1">
      <c r="A567" s="18">
        <v>56.4</v>
      </c>
      <c r="B567" s="27">
        <v>0.92076000000000002</v>
      </c>
      <c r="C567" s="11">
        <f t="shared" si="32"/>
        <v>-2.1000000000004045E-3</v>
      </c>
      <c r="D567" s="12">
        <f t="shared" si="33"/>
        <v>1.0392000000000228</v>
      </c>
      <c r="E567" s="18">
        <v>56.4</v>
      </c>
      <c r="F567" s="27">
        <v>0.92159000000000002</v>
      </c>
      <c r="G567" s="11">
        <f t="shared" si="34"/>
        <v>-2.1000000000004045E-3</v>
      </c>
      <c r="H567" s="12">
        <f t="shared" si="35"/>
        <v>1.0400300000000229</v>
      </c>
    </row>
    <row r="568" spans="1:8" ht="14.25" thickBot="1">
      <c r="A568" s="18">
        <v>56.5</v>
      </c>
      <c r="B568" s="27">
        <v>0.92054999999999998</v>
      </c>
      <c r="C568" s="11">
        <f t="shared" si="32"/>
        <v>-2.0999999999992947E-3</v>
      </c>
      <c r="D568" s="12">
        <f t="shared" si="33"/>
        <v>1.0391999999999602</v>
      </c>
      <c r="E568" s="18">
        <v>56.5</v>
      </c>
      <c r="F568" s="27">
        <v>0.92137999999999998</v>
      </c>
      <c r="G568" s="11">
        <f t="shared" si="34"/>
        <v>-2.0999999999992947E-3</v>
      </c>
      <c r="H568" s="12">
        <f t="shared" si="35"/>
        <v>1.0400299999999603</v>
      </c>
    </row>
    <row r="569" spans="1:8" ht="14.25" thickBot="1">
      <c r="A569" s="18">
        <v>56.6</v>
      </c>
      <c r="B569" s="27">
        <v>0.92034000000000005</v>
      </c>
      <c r="C569" s="11">
        <f t="shared" si="32"/>
        <v>-2.1000000000004045E-3</v>
      </c>
      <c r="D569" s="12">
        <f t="shared" si="33"/>
        <v>1.039200000000023</v>
      </c>
      <c r="E569" s="18">
        <v>56.6</v>
      </c>
      <c r="F569" s="27">
        <v>0.92117000000000004</v>
      </c>
      <c r="G569" s="11">
        <f t="shared" si="34"/>
        <v>-2.1000000000004045E-3</v>
      </c>
      <c r="H569" s="12">
        <f t="shared" si="35"/>
        <v>1.0400300000000229</v>
      </c>
    </row>
    <row r="570" spans="1:8" ht="14.25" thickBot="1">
      <c r="A570" s="18">
        <v>56.7</v>
      </c>
      <c r="B570" s="27">
        <v>0.92013</v>
      </c>
      <c r="C570" s="11">
        <f t="shared" si="32"/>
        <v>-2.2000000000001046E-3</v>
      </c>
      <c r="D570" s="12">
        <f t="shared" si="33"/>
        <v>1.044870000000006</v>
      </c>
      <c r="E570" s="18">
        <v>56.7</v>
      </c>
      <c r="F570" s="27">
        <v>0.92096</v>
      </c>
      <c r="G570" s="11">
        <f t="shared" si="34"/>
        <v>-2.2000000000001046E-3</v>
      </c>
      <c r="H570" s="12">
        <f t="shared" si="35"/>
        <v>1.0457000000000058</v>
      </c>
    </row>
    <row r="571" spans="1:8" ht="14.25" thickBot="1">
      <c r="A571" s="18">
        <v>56.8</v>
      </c>
      <c r="B571" s="27">
        <v>0.91991000000000001</v>
      </c>
      <c r="C571" s="11">
        <f t="shared" si="32"/>
        <v>-2.1000000000004045E-3</v>
      </c>
      <c r="D571" s="12">
        <f t="shared" si="33"/>
        <v>1.0391900000000229</v>
      </c>
      <c r="E571" s="18">
        <v>56.8</v>
      </c>
      <c r="F571" s="27">
        <v>0.92074</v>
      </c>
      <c r="G571" s="11">
        <f t="shared" si="34"/>
        <v>-2.1000000000004045E-3</v>
      </c>
      <c r="H571" s="12">
        <f t="shared" si="35"/>
        <v>1.040020000000023</v>
      </c>
    </row>
    <row r="572" spans="1:8" ht="14.25" thickBot="1">
      <c r="A572" s="18">
        <v>56.9</v>
      </c>
      <c r="B572" s="27">
        <v>0.91969999999999996</v>
      </c>
      <c r="C572" s="11">
        <f t="shared" si="32"/>
        <v>-2.0999999999992947E-3</v>
      </c>
      <c r="D572" s="12">
        <f t="shared" si="33"/>
        <v>1.0391899999999599</v>
      </c>
      <c r="E572" s="18">
        <v>56.9</v>
      </c>
      <c r="F572" s="27">
        <v>0.92052999999999996</v>
      </c>
      <c r="G572" s="11">
        <f t="shared" si="34"/>
        <v>-2.0999999999992947E-3</v>
      </c>
      <c r="H572" s="12">
        <f t="shared" si="35"/>
        <v>1.04001999999996</v>
      </c>
    </row>
    <row r="573" spans="1:8" ht="14.25" thickBot="1">
      <c r="A573" s="9">
        <v>57</v>
      </c>
      <c r="B573" s="19">
        <v>0.91949000000000003</v>
      </c>
      <c r="C573" s="11">
        <f t="shared" si="32"/>
        <v>-2.1999999999999485E-3</v>
      </c>
      <c r="D573" s="12">
        <f t="shared" si="33"/>
        <v>1.0448899999999972</v>
      </c>
      <c r="E573" s="9">
        <v>57</v>
      </c>
      <c r="F573" s="19">
        <v>0.92032000000000003</v>
      </c>
      <c r="G573" s="11">
        <f t="shared" si="34"/>
        <v>-2.1999999999999481E-3</v>
      </c>
      <c r="H573" s="12">
        <f t="shared" si="35"/>
        <v>1.0457199999999971</v>
      </c>
    </row>
    <row r="574" spans="1:8" ht="14.25" thickBot="1">
      <c r="A574" s="18">
        <v>57.1</v>
      </c>
      <c r="B574" s="27">
        <v>0.91927000000000003</v>
      </c>
      <c r="C574" s="11">
        <f t="shared" si="32"/>
        <v>-2.1000000000004045E-3</v>
      </c>
      <c r="D574" s="12">
        <f t="shared" si="33"/>
        <v>1.0391800000000231</v>
      </c>
      <c r="E574" s="18">
        <v>57.1</v>
      </c>
      <c r="F574" s="27">
        <v>0.92010000000000003</v>
      </c>
      <c r="G574" s="11">
        <f t="shared" si="34"/>
        <v>-2.1000000000004045E-3</v>
      </c>
      <c r="H574" s="12">
        <f t="shared" si="35"/>
        <v>1.0400100000000232</v>
      </c>
    </row>
    <row r="575" spans="1:8" ht="14.25" thickBot="1">
      <c r="A575" s="18">
        <v>57.2</v>
      </c>
      <c r="B575" s="27">
        <v>0.91905999999999999</v>
      </c>
      <c r="C575" s="11">
        <f t="shared" si="32"/>
        <v>-2.2000000000001046E-3</v>
      </c>
      <c r="D575" s="12">
        <f t="shared" si="33"/>
        <v>1.0449000000000059</v>
      </c>
      <c r="E575" s="18">
        <v>57.2</v>
      </c>
      <c r="F575" s="27">
        <v>0.91988999999999999</v>
      </c>
      <c r="G575" s="11">
        <f t="shared" si="34"/>
        <v>-2.2000000000001046E-3</v>
      </c>
      <c r="H575" s="12">
        <f t="shared" si="35"/>
        <v>1.045730000000006</v>
      </c>
    </row>
    <row r="576" spans="1:8" ht="14.25" thickBot="1">
      <c r="A576" s="18">
        <v>57.3</v>
      </c>
      <c r="B576" s="27">
        <v>0.91883999999999999</v>
      </c>
      <c r="C576" s="11">
        <f t="shared" si="32"/>
        <v>-2.1000000000004045E-3</v>
      </c>
      <c r="D576" s="12">
        <f t="shared" si="33"/>
        <v>1.0391700000000232</v>
      </c>
      <c r="E576" s="18">
        <v>57.3</v>
      </c>
      <c r="F576" s="27">
        <v>0.91966999999999999</v>
      </c>
      <c r="G576" s="11">
        <f t="shared" si="34"/>
        <v>-2.0999999999992947E-3</v>
      </c>
      <c r="H576" s="12">
        <f t="shared" si="35"/>
        <v>1.0399999999999594</v>
      </c>
    </row>
    <row r="577" spans="1:8" ht="14.25" thickBot="1">
      <c r="A577" s="18">
        <v>57.4</v>
      </c>
      <c r="B577" s="27">
        <v>0.91862999999999995</v>
      </c>
      <c r="C577" s="11">
        <f t="shared" si="32"/>
        <v>-2.1999999999999481E-3</v>
      </c>
      <c r="D577" s="12">
        <f t="shared" si="33"/>
        <v>1.0449099999999971</v>
      </c>
      <c r="E577" s="18">
        <v>57.4</v>
      </c>
      <c r="F577" s="27">
        <v>0.91946000000000006</v>
      </c>
      <c r="G577" s="11">
        <f t="shared" si="34"/>
        <v>-2.2000000000010587E-3</v>
      </c>
      <c r="H577" s="12">
        <f t="shared" si="35"/>
        <v>1.0457400000000607</v>
      </c>
    </row>
    <row r="578" spans="1:8" ht="14.25" thickBot="1">
      <c r="A578" s="18">
        <v>57.5</v>
      </c>
      <c r="B578" s="27">
        <v>0.91840999999999995</v>
      </c>
      <c r="C578" s="11">
        <f t="shared" si="32"/>
        <v>-2.0999999999992947E-3</v>
      </c>
      <c r="D578" s="12">
        <f t="shared" si="33"/>
        <v>1.0391599999999592</v>
      </c>
      <c r="E578" s="18">
        <v>57.5</v>
      </c>
      <c r="F578" s="27">
        <v>0.91923999999999995</v>
      </c>
      <c r="G578" s="11">
        <f t="shared" si="34"/>
        <v>-2.0999999999992947E-3</v>
      </c>
      <c r="H578" s="12">
        <f t="shared" si="35"/>
        <v>1.0399899999999593</v>
      </c>
    </row>
    <row r="579" spans="1:8" ht="14.25" thickBot="1">
      <c r="A579" s="18">
        <v>57.6</v>
      </c>
      <c r="B579" s="27">
        <v>0.91820000000000002</v>
      </c>
      <c r="C579" s="11">
        <f t="shared" si="32"/>
        <v>-2.1999999999999481E-3</v>
      </c>
      <c r="D579" s="12">
        <f t="shared" si="33"/>
        <v>1.0449199999999972</v>
      </c>
      <c r="E579" s="18">
        <v>57.6</v>
      </c>
      <c r="F579" s="27">
        <v>0.91903000000000001</v>
      </c>
      <c r="G579" s="11">
        <f t="shared" si="34"/>
        <v>-2.1999999999999485E-3</v>
      </c>
      <c r="H579" s="12">
        <f t="shared" si="35"/>
        <v>1.0457499999999971</v>
      </c>
    </row>
    <row r="580" spans="1:8" ht="14.25" thickBot="1">
      <c r="A580" s="18">
        <v>57.7</v>
      </c>
      <c r="B580" s="27">
        <v>0.91798000000000002</v>
      </c>
      <c r="C580" s="11">
        <f t="shared" ref="C580:C643" si="36">SLOPE(B580:B581,A580:A581)</f>
        <v>-2.1000000000005537E-3</v>
      </c>
      <c r="D580" s="12">
        <f t="shared" ref="D580:D643" si="37">INTERCEPT(B580:B581,A580:A581)</f>
        <v>1.039150000000032</v>
      </c>
      <c r="E580" s="18">
        <v>57.7</v>
      </c>
      <c r="F580" s="27">
        <v>0.91881000000000002</v>
      </c>
      <c r="G580" s="11">
        <f t="shared" ref="G580:G643" si="38">SLOPE(F580:F581,E580:E581)</f>
        <v>-2.1000000000005537E-3</v>
      </c>
      <c r="H580" s="12">
        <f t="shared" ref="H580:H643" si="39">INTERCEPT(F580:F581,E580:E581)</f>
        <v>1.0399800000000319</v>
      </c>
    </row>
    <row r="581" spans="1:8" ht="14.25" thickBot="1">
      <c r="A581" s="18">
        <v>57.8</v>
      </c>
      <c r="B581" s="27">
        <v>0.91776999999999997</v>
      </c>
      <c r="C581" s="11">
        <f t="shared" si="36"/>
        <v>-2.1999999999999481E-3</v>
      </c>
      <c r="D581" s="12">
        <f t="shared" si="37"/>
        <v>1.0449299999999968</v>
      </c>
      <c r="E581" s="18">
        <v>57.8</v>
      </c>
      <c r="F581" s="27">
        <v>0.91859999999999997</v>
      </c>
      <c r="G581" s="11">
        <f t="shared" si="38"/>
        <v>-2.1999999999999485E-3</v>
      </c>
      <c r="H581" s="12">
        <f t="shared" si="39"/>
        <v>1.0457599999999969</v>
      </c>
    </row>
    <row r="582" spans="1:8" ht="14.25" thickBot="1">
      <c r="A582" s="18">
        <v>57.9</v>
      </c>
      <c r="B582" s="27">
        <v>0.91754999999999998</v>
      </c>
      <c r="C582" s="11">
        <f t="shared" si="36"/>
        <v>-2.1999999999999481E-3</v>
      </c>
      <c r="D582" s="12">
        <f t="shared" si="37"/>
        <v>1.044929999999997</v>
      </c>
      <c r="E582" s="18">
        <v>57.9</v>
      </c>
      <c r="F582" s="27">
        <v>0.91837999999999997</v>
      </c>
      <c r="G582" s="11">
        <f t="shared" si="38"/>
        <v>-2.1999999999999485E-3</v>
      </c>
      <c r="H582" s="12">
        <f t="shared" si="39"/>
        <v>1.0457599999999969</v>
      </c>
    </row>
    <row r="583" spans="1:8" ht="14.25" thickBot="1">
      <c r="A583" s="9">
        <v>58</v>
      </c>
      <c r="B583" s="19">
        <v>0.91732999999999998</v>
      </c>
      <c r="C583" s="11">
        <f t="shared" si="36"/>
        <v>-2.0999999999992947E-3</v>
      </c>
      <c r="D583" s="12">
        <f t="shared" si="37"/>
        <v>1.039129999999959</v>
      </c>
      <c r="E583" s="9">
        <v>58</v>
      </c>
      <c r="F583" s="19">
        <v>0.91815999999999998</v>
      </c>
      <c r="G583" s="11">
        <f t="shared" si="38"/>
        <v>-2.0999999999992947E-3</v>
      </c>
      <c r="H583" s="12">
        <f t="shared" si="39"/>
        <v>1.0399599999999591</v>
      </c>
    </row>
    <row r="584" spans="1:8" ht="14.25" thickBot="1">
      <c r="A584" s="18">
        <v>58.1</v>
      </c>
      <c r="B584" s="27">
        <v>0.91712000000000005</v>
      </c>
      <c r="C584" s="11">
        <f t="shared" si="36"/>
        <v>-2.1999999999999481E-3</v>
      </c>
      <c r="D584" s="12">
        <f t="shared" si="37"/>
        <v>1.0449399999999971</v>
      </c>
      <c r="E584" s="18">
        <v>58.1</v>
      </c>
      <c r="F584" s="27">
        <v>0.91795000000000004</v>
      </c>
      <c r="G584" s="11">
        <f t="shared" si="38"/>
        <v>-2.1999999999999485E-3</v>
      </c>
      <c r="H584" s="12">
        <f t="shared" si="39"/>
        <v>1.045769999999997</v>
      </c>
    </row>
    <row r="585" spans="1:8" ht="14.25" thickBot="1">
      <c r="A585" s="18">
        <v>58.2</v>
      </c>
      <c r="B585" s="27">
        <v>0.91690000000000005</v>
      </c>
      <c r="C585" s="11">
        <f t="shared" si="36"/>
        <v>-2.2000000000001046E-3</v>
      </c>
      <c r="D585" s="12">
        <f t="shared" si="37"/>
        <v>1.0449400000000062</v>
      </c>
      <c r="E585" s="18">
        <v>58.2</v>
      </c>
      <c r="F585" s="27">
        <v>0.91773000000000005</v>
      </c>
      <c r="G585" s="11">
        <f t="shared" si="38"/>
        <v>-2.2000000000001046E-3</v>
      </c>
      <c r="H585" s="12">
        <f t="shared" si="39"/>
        <v>1.0457700000000063</v>
      </c>
    </row>
    <row r="586" spans="1:8" ht="14.25" thickBot="1">
      <c r="A586" s="18">
        <v>58.3</v>
      </c>
      <c r="B586" s="27">
        <v>0.91668000000000005</v>
      </c>
      <c r="C586" s="11">
        <f t="shared" si="36"/>
        <v>-2.1000000000004045E-3</v>
      </c>
      <c r="D586" s="12">
        <f t="shared" si="37"/>
        <v>1.0391100000000235</v>
      </c>
      <c r="E586" s="18">
        <v>58.3</v>
      </c>
      <c r="F586" s="27">
        <v>0.91751000000000005</v>
      </c>
      <c r="G586" s="11">
        <f t="shared" si="38"/>
        <v>-2.1000000000004045E-3</v>
      </c>
      <c r="H586" s="12">
        <f t="shared" si="39"/>
        <v>1.0399400000000236</v>
      </c>
    </row>
    <row r="587" spans="1:8" ht="14.25" thickBot="1">
      <c r="A587" s="18">
        <v>58.4</v>
      </c>
      <c r="B587" s="27">
        <v>0.91647000000000001</v>
      </c>
      <c r="C587" s="11">
        <f t="shared" si="36"/>
        <v>-2.1999999999999481E-3</v>
      </c>
      <c r="D587" s="12">
        <f t="shared" si="37"/>
        <v>1.0449499999999969</v>
      </c>
      <c r="E587" s="18">
        <v>58.4</v>
      </c>
      <c r="F587" s="27">
        <v>0.9173</v>
      </c>
      <c r="G587" s="11">
        <f t="shared" si="38"/>
        <v>-2.1999999999999485E-3</v>
      </c>
      <c r="H587" s="12">
        <f t="shared" si="39"/>
        <v>1.045779999999997</v>
      </c>
    </row>
    <row r="588" spans="1:8" ht="14.25" thickBot="1">
      <c r="A588" s="18">
        <v>58.5</v>
      </c>
      <c r="B588" s="27">
        <v>0.91625000000000001</v>
      </c>
      <c r="C588" s="11">
        <f t="shared" si="36"/>
        <v>-2.1999999999999481E-3</v>
      </c>
      <c r="D588" s="12">
        <f t="shared" si="37"/>
        <v>1.0449499999999969</v>
      </c>
      <c r="E588" s="18">
        <v>58.5</v>
      </c>
      <c r="F588" s="27">
        <v>0.91708000000000001</v>
      </c>
      <c r="G588" s="11">
        <f t="shared" si="38"/>
        <v>-2.1999999999999485E-3</v>
      </c>
      <c r="H588" s="12">
        <f t="shared" si="39"/>
        <v>1.045779999999997</v>
      </c>
    </row>
    <row r="589" spans="1:8" ht="14.25" thickBot="1">
      <c r="A589" s="18">
        <v>58.6</v>
      </c>
      <c r="B589" s="27">
        <v>0.91603000000000001</v>
      </c>
      <c r="C589" s="11">
        <f t="shared" si="36"/>
        <v>-2.1999999999999481E-3</v>
      </c>
      <c r="D589" s="12">
        <f t="shared" si="37"/>
        <v>1.0449499999999969</v>
      </c>
      <c r="E589" s="18">
        <v>58.6</v>
      </c>
      <c r="F589" s="27">
        <v>0.91686000000000001</v>
      </c>
      <c r="G589" s="11">
        <f t="shared" si="38"/>
        <v>-2.3000000000006019E-3</v>
      </c>
      <c r="H589" s="12">
        <f t="shared" si="39"/>
        <v>1.0516400000000352</v>
      </c>
    </row>
    <row r="590" spans="1:8" ht="14.25" thickBot="1">
      <c r="A590" s="18">
        <v>58.7</v>
      </c>
      <c r="B590" s="27">
        <v>0.91581000000000001</v>
      </c>
      <c r="C590" s="11">
        <f t="shared" si="36"/>
        <v>-2.1000000000005537E-3</v>
      </c>
      <c r="D590" s="12">
        <f t="shared" si="37"/>
        <v>1.0390800000000324</v>
      </c>
      <c r="E590" s="18">
        <v>58.7</v>
      </c>
      <c r="F590" s="27">
        <v>0.91662999999999994</v>
      </c>
      <c r="G590" s="11">
        <f t="shared" si="38"/>
        <v>-2.0999999999994439E-3</v>
      </c>
      <c r="H590" s="12">
        <f t="shared" si="39"/>
        <v>1.0398999999999674</v>
      </c>
    </row>
    <row r="591" spans="1:8" ht="14.25" thickBot="1">
      <c r="A591" s="18">
        <v>58.8</v>
      </c>
      <c r="B591" s="27">
        <v>0.91559999999999997</v>
      </c>
      <c r="C591" s="11">
        <f t="shared" si="36"/>
        <v>-2.1999999999999481E-3</v>
      </c>
      <c r="D591" s="12">
        <f t="shared" si="37"/>
        <v>1.0449599999999968</v>
      </c>
      <c r="E591" s="18">
        <v>58.8</v>
      </c>
      <c r="F591" s="27">
        <v>0.91642000000000001</v>
      </c>
      <c r="G591" s="11">
        <f t="shared" si="38"/>
        <v>-2.1999999999999481E-3</v>
      </c>
      <c r="H591" s="12">
        <f t="shared" si="39"/>
        <v>1.0457799999999968</v>
      </c>
    </row>
    <row r="592" spans="1:8" ht="14.25" thickBot="1">
      <c r="A592" s="18">
        <v>58.9</v>
      </c>
      <c r="B592" s="27">
        <v>0.91537999999999997</v>
      </c>
      <c r="C592" s="11">
        <f t="shared" si="36"/>
        <v>-2.1999999999999481E-3</v>
      </c>
      <c r="D592" s="12">
        <f t="shared" si="37"/>
        <v>1.044959999999997</v>
      </c>
      <c r="E592" s="18">
        <v>58.9</v>
      </c>
      <c r="F592" s="27">
        <v>0.91620000000000001</v>
      </c>
      <c r="G592" s="11">
        <f t="shared" si="38"/>
        <v>-2.1999999999999481E-3</v>
      </c>
      <c r="H592" s="12">
        <f t="shared" si="39"/>
        <v>1.045779999999997</v>
      </c>
    </row>
    <row r="593" spans="1:8" ht="14.25" thickBot="1">
      <c r="A593" s="9">
        <v>59</v>
      </c>
      <c r="B593" s="19">
        <v>0.91515999999999997</v>
      </c>
      <c r="C593" s="11">
        <f t="shared" si="36"/>
        <v>-2.1999999999999481E-3</v>
      </c>
      <c r="D593" s="12">
        <f t="shared" si="37"/>
        <v>1.0449599999999968</v>
      </c>
      <c r="E593" s="9">
        <v>59</v>
      </c>
      <c r="F593" s="19">
        <v>0.91598000000000002</v>
      </c>
      <c r="G593" s="11">
        <f t="shared" si="38"/>
        <v>-2.1999999999999481E-3</v>
      </c>
      <c r="H593" s="12">
        <f t="shared" si="39"/>
        <v>1.0457799999999968</v>
      </c>
    </row>
    <row r="594" spans="1:8" ht="14.25" thickBot="1">
      <c r="A594" s="18">
        <v>59.1</v>
      </c>
      <c r="B594" s="27">
        <v>0.91493999999999998</v>
      </c>
      <c r="C594" s="11">
        <f t="shared" si="36"/>
        <v>-2.1999999999999481E-3</v>
      </c>
      <c r="D594" s="12">
        <f t="shared" si="37"/>
        <v>1.044959999999997</v>
      </c>
      <c r="E594" s="18">
        <v>59.1</v>
      </c>
      <c r="F594" s="27">
        <v>0.91576000000000002</v>
      </c>
      <c r="G594" s="11">
        <f t="shared" si="38"/>
        <v>-2.1999999999999481E-3</v>
      </c>
      <c r="H594" s="12">
        <f t="shared" si="39"/>
        <v>1.045779999999997</v>
      </c>
    </row>
    <row r="595" spans="1:8" ht="14.25" thickBot="1">
      <c r="A595" s="18">
        <v>59.2</v>
      </c>
      <c r="B595" s="27">
        <v>0.91471999999999998</v>
      </c>
      <c r="C595" s="11">
        <f t="shared" si="36"/>
        <v>-2.2000000000001046E-3</v>
      </c>
      <c r="D595" s="12">
        <f t="shared" si="37"/>
        <v>1.0449600000000061</v>
      </c>
      <c r="E595" s="18">
        <v>59.2</v>
      </c>
      <c r="F595" s="27">
        <v>0.91554000000000002</v>
      </c>
      <c r="G595" s="11">
        <f t="shared" si="38"/>
        <v>-2.2000000000001046E-3</v>
      </c>
      <c r="H595" s="12">
        <f t="shared" si="39"/>
        <v>1.0457800000000061</v>
      </c>
    </row>
    <row r="596" spans="1:8" ht="14.25" thickBot="1">
      <c r="A596" s="18">
        <v>59.3</v>
      </c>
      <c r="B596" s="27">
        <v>0.91449999999999998</v>
      </c>
      <c r="C596" s="11">
        <f t="shared" si="36"/>
        <v>-2.1999999999999485E-3</v>
      </c>
      <c r="D596" s="12">
        <f t="shared" si="37"/>
        <v>1.044959999999997</v>
      </c>
      <c r="E596" s="18">
        <v>59.3</v>
      </c>
      <c r="F596" s="27">
        <v>0.91532000000000002</v>
      </c>
      <c r="G596" s="11">
        <f t="shared" si="38"/>
        <v>-2.1999999999999485E-3</v>
      </c>
      <c r="H596" s="12">
        <f t="shared" si="39"/>
        <v>1.045779999999997</v>
      </c>
    </row>
    <row r="597" spans="1:8" ht="14.25" thickBot="1">
      <c r="A597" s="18">
        <v>59.4</v>
      </c>
      <c r="B597" s="27">
        <v>0.91427999999999998</v>
      </c>
      <c r="C597" s="11">
        <f t="shared" si="36"/>
        <v>-2.1999999999999485E-3</v>
      </c>
      <c r="D597" s="12">
        <f t="shared" si="37"/>
        <v>1.0449599999999968</v>
      </c>
      <c r="E597" s="18">
        <v>59.4</v>
      </c>
      <c r="F597" s="27">
        <v>0.91510000000000002</v>
      </c>
      <c r="G597" s="11">
        <f t="shared" si="38"/>
        <v>-2.1999999999999485E-3</v>
      </c>
      <c r="H597" s="12">
        <f t="shared" si="39"/>
        <v>1.0457799999999968</v>
      </c>
    </row>
    <row r="598" spans="1:8" ht="14.25" thickBot="1">
      <c r="A598" s="18">
        <v>59.5</v>
      </c>
      <c r="B598" s="27">
        <v>0.91405999999999998</v>
      </c>
      <c r="C598" s="11">
        <f t="shared" si="36"/>
        <v>-2.1999999999999485E-3</v>
      </c>
      <c r="D598" s="12">
        <f t="shared" si="37"/>
        <v>1.044959999999997</v>
      </c>
      <c r="E598" s="18">
        <v>59.5</v>
      </c>
      <c r="F598" s="27">
        <v>0.91488000000000003</v>
      </c>
      <c r="G598" s="11">
        <f t="shared" si="38"/>
        <v>-2.1999999999999485E-3</v>
      </c>
      <c r="H598" s="12">
        <f t="shared" si="39"/>
        <v>1.045779999999997</v>
      </c>
    </row>
    <row r="599" spans="1:8" ht="14.25" thickBot="1">
      <c r="A599" s="18">
        <v>59.6</v>
      </c>
      <c r="B599" s="27">
        <v>0.91383999999999999</v>
      </c>
      <c r="C599" s="11">
        <f t="shared" si="36"/>
        <v>-2.1999999999999485E-3</v>
      </c>
      <c r="D599" s="12">
        <f t="shared" si="37"/>
        <v>1.0449599999999968</v>
      </c>
      <c r="E599" s="18">
        <v>59.6</v>
      </c>
      <c r="F599" s="27">
        <v>0.91466000000000003</v>
      </c>
      <c r="G599" s="11">
        <f t="shared" si="38"/>
        <v>-2.1999999999999485E-3</v>
      </c>
      <c r="H599" s="12">
        <f t="shared" si="39"/>
        <v>1.0457799999999968</v>
      </c>
    </row>
    <row r="600" spans="1:8" ht="14.25" thickBot="1">
      <c r="A600" s="18">
        <v>59.7</v>
      </c>
      <c r="B600" s="27">
        <v>0.91361999999999999</v>
      </c>
      <c r="C600" s="11">
        <f t="shared" si="36"/>
        <v>-2.2000000000001046E-3</v>
      </c>
      <c r="D600" s="12">
        <f t="shared" si="37"/>
        <v>1.0449600000000063</v>
      </c>
      <c r="E600" s="18">
        <v>59.7</v>
      </c>
      <c r="F600" s="27">
        <v>0.91444000000000003</v>
      </c>
      <c r="G600" s="11">
        <f t="shared" si="38"/>
        <v>-2.2000000000001046E-3</v>
      </c>
      <c r="H600" s="12">
        <f t="shared" si="39"/>
        <v>1.0457800000000064</v>
      </c>
    </row>
    <row r="601" spans="1:8" ht="14.25" thickBot="1">
      <c r="A601" s="18">
        <v>59.8</v>
      </c>
      <c r="B601" s="27">
        <v>0.91339999999999999</v>
      </c>
      <c r="C601" s="11">
        <f t="shared" si="36"/>
        <v>-2.1999999999999481E-3</v>
      </c>
      <c r="D601" s="12">
        <f t="shared" si="37"/>
        <v>1.0449599999999968</v>
      </c>
      <c r="E601" s="18">
        <v>59.8</v>
      </c>
      <c r="F601" s="27">
        <v>0.91422000000000003</v>
      </c>
      <c r="G601" s="11">
        <f t="shared" si="38"/>
        <v>-2.1999999999999481E-3</v>
      </c>
      <c r="H601" s="12">
        <f t="shared" si="39"/>
        <v>1.0457799999999968</v>
      </c>
    </row>
    <row r="602" spans="1:8" ht="14.25" thickBot="1">
      <c r="A602" s="18">
        <v>59.9</v>
      </c>
      <c r="B602" s="27">
        <v>0.91317999999999999</v>
      </c>
      <c r="C602" s="11">
        <f t="shared" si="36"/>
        <v>-2.1999999999999481E-3</v>
      </c>
      <c r="D602" s="12">
        <f t="shared" si="37"/>
        <v>1.044959999999997</v>
      </c>
      <c r="E602" s="18">
        <v>59.9</v>
      </c>
      <c r="F602" s="27">
        <v>0.91400000000000003</v>
      </c>
      <c r="G602" s="11">
        <f t="shared" si="38"/>
        <v>-2.1999999999999481E-3</v>
      </c>
      <c r="H602" s="12">
        <f t="shared" si="39"/>
        <v>1.045779999999997</v>
      </c>
    </row>
    <row r="603" spans="1:8" ht="14.25" thickBot="1">
      <c r="A603" s="9">
        <v>60</v>
      </c>
      <c r="B603" s="19">
        <v>0.91295999999999999</v>
      </c>
      <c r="C603" s="11">
        <f t="shared" si="36"/>
        <v>-2.2999999999994917E-3</v>
      </c>
      <c r="D603" s="12">
        <f t="shared" si="37"/>
        <v>1.0509599999999695</v>
      </c>
      <c r="E603" s="9">
        <v>60</v>
      </c>
      <c r="F603" s="19">
        <v>0.91378000000000004</v>
      </c>
      <c r="G603" s="11">
        <f t="shared" si="38"/>
        <v>-2.3000000000006023E-3</v>
      </c>
      <c r="H603" s="12">
        <f t="shared" si="39"/>
        <v>1.0517800000000361</v>
      </c>
    </row>
    <row r="604" spans="1:8" ht="14.25" thickBot="1">
      <c r="A604" s="18">
        <v>60.1</v>
      </c>
      <c r="B604" s="27">
        <v>0.91273000000000004</v>
      </c>
      <c r="C604" s="11">
        <f t="shared" si="36"/>
        <v>-2.1999999999999485E-3</v>
      </c>
      <c r="D604" s="12">
        <f t="shared" si="37"/>
        <v>1.0449499999999969</v>
      </c>
      <c r="E604" s="18">
        <v>60.1</v>
      </c>
      <c r="F604" s="27">
        <v>0.91354999999999997</v>
      </c>
      <c r="G604" s="11">
        <f t="shared" si="38"/>
        <v>-2.1999999999999481E-3</v>
      </c>
      <c r="H604" s="12">
        <f t="shared" si="39"/>
        <v>1.045769999999997</v>
      </c>
    </row>
    <row r="605" spans="1:8" ht="14.25" thickBot="1">
      <c r="A605" s="18">
        <v>60.2</v>
      </c>
      <c r="B605" s="27">
        <v>0.91251000000000004</v>
      </c>
      <c r="C605" s="11">
        <f t="shared" si="36"/>
        <v>-2.2000000000001046E-3</v>
      </c>
      <c r="D605" s="12">
        <f t="shared" si="37"/>
        <v>1.0449500000000065</v>
      </c>
      <c r="E605" s="18">
        <v>60.2</v>
      </c>
      <c r="F605" s="27">
        <v>0.91332999999999998</v>
      </c>
      <c r="G605" s="11">
        <f t="shared" si="38"/>
        <v>-2.2000000000001046E-3</v>
      </c>
      <c r="H605" s="12">
        <f t="shared" si="39"/>
        <v>1.0457700000000063</v>
      </c>
    </row>
    <row r="606" spans="1:8" ht="14.25" thickBot="1">
      <c r="A606" s="18">
        <v>60.3</v>
      </c>
      <c r="B606" s="27">
        <v>0.91229000000000005</v>
      </c>
      <c r="C606" s="11">
        <f t="shared" si="36"/>
        <v>-2.1999999999999481E-3</v>
      </c>
      <c r="D606" s="12">
        <f t="shared" si="37"/>
        <v>1.0449499999999969</v>
      </c>
      <c r="E606" s="18">
        <v>60.3</v>
      </c>
      <c r="F606" s="27">
        <v>0.91310999999999998</v>
      </c>
      <c r="G606" s="11">
        <f t="shared" si="38"/>
        <v>-2.1999999999999485E-3</v>
      </c>
      <c r="H606" s="12">
        <f t="shared" si="39"/>
        <v>1.045769999999997</v>
      </c>
    </row>
    <row r="607" spans="1:8" ht="14.25" thickBot="1">
      <c r="A607" s="18">
        <v>60.4</v>
      </c>
      <c r="B607" s="27">
        <v>0.91207000000000005</v>
      </c>
      <c r="C607" s="11">
        <f t="shared" si="36"/>
        <v>-2.1999999999999481E-3</v>
      </c>
      <c r="D607" s="12">
        <f t="shared" si="37"/>
        <v>1.0449499999999969</v>
      </c>
      <c r="E607" s="18">
        <v>60.4</v>
      </c>
      <c r="F607" s="27">
        <v>0.91288999999999998</v>
      </c>
      <c r="G607" s="11">
        <f t="shared" si="38"/>
        <v>-2.1999999999999485E-3</v>
      </c>
      <c r="H607" s="12">
        <f t="shared" si="39"/>
        <v>1.0457699999999968</v>
      </c>
    </row>
    <row r="608" spans="1:8" ht="14.25" thickBot="1">
      <c r="A608" s="18">
        <v>60.5</v>
      </c>
      <c r="B608" s="27">
        <v>0.91185000000000005</v>
      </c>
      <c r="C608" s="11">
        <f t="shared" si="36"/>
        <v>-2.3000000000006023E-3</v>
      </c>
      <c r="D608" s="12">
        <f t="shared" si="37"/>
        <v>1.0510000000000363</v>
      </c>
      <c r="E608" s="18">
        <v>60.5</v>
      </c>
      <c r="F608" s="27">
        <v>0.91266999999999998</v>
      </c>
      <c r="G608" s="11">
        <f t="shared" si="38"/>
        <v>-2.2999999999994917E-3</v>
      </c>
      <c r="H608" s="12">
        <f t="shared" si="39"/>
        <v>1.0518199999999691</v>
      </c>
    </row>
    <row r="609" spans="1:8" ht="14.25" thickBot="1">
      <c r="A609" s="18">
        <v>60.6</v>
      </c>
      <c r="B609" s="27">
        <v>0.91161999999999999</v>
      </c>
      <c r="C609" s="11">
        <f t="shared" si="36"/>
        <v>-2.1999999999999481E-3</v>
      </c>
      <c r="D609" s="12">
        <f t="shared" si="37"/>
        <v>1.0449399999999969</v>
      </c>
      <c r="E609" s="18">
        <v>60.6</v>
      </c>
      <c r="F609" s="27">
        <v>0.91244000000000003</v>
      </c>
      <c r="G609" s="11">
        <f t="shared" si="38"/>
        <v>-2.1999999999999481E-3</v>
      </c>
      <c r="H609" s="12">
        <f t="shared" si="39"/>
        <v>1.0457599999999969</v>
      </c>
    </row>
    <row r="610" spans="1:8" ht="14.25" thickBot="1">
      <c r="A610" s="18">
        <v>60.7</v>
      </c>
      <c r="B610" s="27">
        <v>0.91139999999999999</v>
      </c>
      <c r="C610" s="11">
        <f t="shared" si="36"/>
        <v>-2.2000000000001046E-3</v>
      </c>
      <c r="D610" s="12">
        <f t="shared" si="37"/>
        <v>1.0449400000000062</v>
      </c>
      <c r="E610" s="18">
        <v>60.7</v>
      </c>
      <c r="F610" s="27">
        <v>0.91222000000000003</v>
      </c>
      <c r="G610" s="11">
        <f t="shared" si="38"/>
        <v>-2.2000000000001046E-3</v>
      </c>
      <c r="H610" s="12">
        <f t="shared" si="39"/>
        <v>1.0457600000000062</v>
      </c>
    </row>
    <row r="611" spans="1:8" ht="14.25" thickBot="1">
      <c r="A611" s="18">
        <v>60.8</v>
      </c>
      <c r="B611" s="27">
        <v>0.91117999999999999</v>
      </c>
      <c r="C611" s="11">
        <f t="shared" si="36"/>
        <v>-2.2999999999994917E-3</v>
      </c>
      <c r="D611" s="12">
        <f t="shared" si="37"/>
        <v>1.051019999999969</v>
      </c>
      <c r="E611" s="18">
        <v>60.8</v>
      </c>
      <c r="F611" s="27">
        <v>0.91200000000000003</v>
      </c>
      <c r="G611" s="11">
        <f t="shared" si="38"/>
        <v>-2.3000000000006019E-3</v>
      </c>
      <c r="H611" s="12">
        <f t="shared" si="39"/>
        <v>1.0518400000000367</v>
      </c>
    </row>
    <row r="612" spans="1:8" ht="14.25" thickBot="1">
      <c r="A612" s="28">
        <v>60.9</v>
      </c>
      <c r="B612" s="29">
        <v>0.91095000000000004</v>
      </c>
      <c r="C612" s="11">
        <f t="shared" si="36"/>
        <v>-2.1999999999999481E-3</v>
      </c>
      <c r="D612" s="12">
        <f t="shared" si="37"/>
        <v>1.044929999999997</v>
      </c>
      <c r="E612" s="28">
        <v>60.9</v>
      </c>
      <c r="F612" s="29">
        <v>0.91176999999999997</v>
      </c>
      <c r="G612" s="11">
        <f t="shared" si="38"/>
        <v>-2.1999999999999485E-3</v>
      </c>
      <c r="H612" s="12">
        <f t="shared" si="39"/>
        <v>1.0457499999999968</v>
      </c>
    </row>
    <row r="613" spans="1:8" ht="14.25" thickBot="1">
      <c r="A613" s="16">
        <v>61</v>
      </c>
      <c r="B613" s="17">
        <v>0.91073000000000004</v>
      </c>
      <c r="C613" s="11">
        <f t="shared" si="36"/>
        <v>-2.1999999999999481E-3</v>
      </c>
      <c r="D613" s="12">
        <f t="shared" si="37"/>
        <v>1.0449299999999968</v>
      </c>
      <c r="E613" s="16">
        <v>61</v>
      </c>
      <c r="F613" s="17">
        <v>0.91154999999999997</v>
      </c>
      <c r="G613" s="11">
        <f t="shared" si="38"/>
        <v>-2.1999999999999485E-3</v>
      </c>
      <c r="H613" s="12">
        <f t="shared" si="39"/>
        <v>1.0457499999999968</v>
      </c>
    </row>
    <row r="614" spans="1:8" ht="14.25" thickBot="1">
      <c r="A614" s="18">
        <v>61.1</v>
      </c>
      <c r="B614" s="27">
        <v>0.91051000000000004</v>
      </c>
      <c r="C614" s="11">
        <f t="shared" si="36"/>
        <v>-2.3000000000006023E-3</v>
      </c>
      <c r="D614" s="12">
        <f t="shared" si="37"/>
        <v>1.0510400000000368</v>
      </c>
      <c r="E614" s="18">
        <v>61.1</v>
      </c>
      <c r="F614" s="27">
        <v>0.91132999999999997</v>
      </c>
      <c r="G614" s="11">
        <f t="shared" si="38"/>
        <v>-2.2999999999994917E-3</v>
      </c>
      <c r="H614" s="12">
        <f t="shared" si="39"/>
        <v>1.0518599999999689</v>
      </c>
    </row>
    <row r="615" spans="1:8" ht="14.25" thickBot="1">
      <c r="A615" s="18">
        <v>61.2</v>
      </c>
      <c r="B615" s="27">
        <v>0.91027999999999998</v>
      </c>
      <c r="C615" s="11">
        <f t="shared" si="36"/>
        <v>-2.2000000000001046E-3</v>
      </c>
      <c r="D615" s="12">
        <f t="shared" si="37"/>
        <v>1.0449200000000063</v>
      </c>
      <c r="E615" s="18">
        <v>61.2</v>
      </c>
      <c r="F615" s="27">
        <v>0.91110000000000002</v>
      </c>
      <c r="G615" s="11">
        <f t="shared" si="38"/>
        <v>-2.2000000000001046E-3</v>
      </c>
      <c r="H615" s="12">
        <f t="shared" si="39"/>
        <v>1.0457400000000063</v>
      </c>
    </row>
    <row r="616" spans="1:8" ht="14.25" thickBot="1">
      <c r="A616" s="18">
        <v>61.3</v>
      </c>
      <c r="B616" s="27">
        <v>0.91005999999999998</v>
      </c>
      <c r="C616" s="11">
        <f t="shared" si="36"/>
        <v>-2.2999999999994917E-3</v>
      </c>
      <c r="D616" s="12">
        <f t="shared" si="37"/>
        <v>1.0510499999999687</v>
      </c>
      <c r="E616" s="18">
        <v>61.3</v>
      </c>
      <c r="F616" s="27">
        <v>0.91088000000000002</v>
      </c>
      <c r="G616" s="11">
        <f t="shared" si="38"/>
        <v>-2.3000000000006019E-3</v>
      </c>
      <c r="H616" s="12">
        <f t="shared" si="39"/>
        <v>1.0518700000000369</v>
      </c>
    </row>
    <row r="617" spans="1:8" ht="14.25" thickBot="1">
      <c r="A617" s="18">
        <v>61.4</v>
      </c>
      <c r="B617" s="27">
        <v>0.90983000000000003</v>
      </c>
      <c r="C617" s="11">
        <f t="shared" si="36"/>
        <v>-2.1999999999999481E-3</v>
      </c>
      <c r="D617" s="12">
        <f t="shared" si="37"/>
        <v>1.0449099999999969</v>
      </c>
      <c r="E617" s="18">
        <v>61.4</v>
      </c>
      <c r="F617" s="27">
        <v>0.91064999999999996</v>
      </c>
      <c r="G617" s="11">
        <f t="shared" si="38"/>
        <v>-2.1999999999999485E-3</v>
      </c>
      <c r="H617" s="12">
        <f t="shared" si="39"/>
        <v>1.0457299999999967</v>
      </c>
    </row>
    <row r="618" spans="1:8" ht="14.25" thickBot="1">
      <c r="A618" s="18">
        <v>61.5</v>
      </c>
      <c r="B618" s="27">
        <v>0.90961000000000003</v>
      </c>
      <c r="C618" s="11">
        <f t="shared" si="36"/>
        <v>-2.3000000000006023E-3</v>
      </c>
      <c r="D618" s="12">
        <f t="shared" si="37"/>
        <v>1.051060000000037</v>
      </c>
      <c r="E618" s="18">
        <v>61.5</v>
      </c>
      <c r="F618" s="27">
        <v>0.91042999999999996</v>
      </c>
      <c r="G618" s="11">
        <f t="shared" si="38"/>
        <v>-2.2999999999994917E-3</v>
      </c>
      <c r="H618" s="12">
        <f t="shared" si="39"/>
        <v>1.0518799999999686</v>
      </c>
    </row>
    <row r="619" spans="1:8" ht="14.25" thickBot="1">
      <c r="A619" s="18">
        <v>61.6</v>
      </c>
      <c r="B619" s="27">
        <v>0.90937999999999997</v>
      </c>
      <c r="C619" s="11">
        <f t="shared" si="36"/>
        <v>-2.1999999999999481E-3</v>
      </c>
      <c r="D619" s="12">
        <f t="shared" si="37"/>
        <v>1.0448999999999968</v>
      </c>
      <c r="E619" s="18">
        <v>61.6</v>
      </c>
      <c r="F619" s="27">
        <v>0.91020000000000001</v>
      </c>
      <c r="G619" s="11">
        <f t="shared" si="38"/>
        <v>-2.1999999999999481E-3</v>
      </c>
      <c r="H619" s="12">
        <f t="shared" si="39"/>
        <v>1.0457199999999969</v>
      </c>
    </row>
    <row r="620" spans="1:8" ht="14.25" thickBot="1">
      <c r="A620" s="18">
        <v>61.7</v>
      </c>
      <c r="B620" s="27">
        <v>0.90915999999999997</v>
      </c>
      <c r="C620" s="11">
        <f t="shared" si="36"/>
        <v>-2.2999999999996552E-3</v>
      </c>
      <c r="D620" s="12">
        <f t="shared" si="37"/>
        <v>1.0510699999999786</v>
      </c>
      <c r="E620" s="18">
        <v>61.7</v>
      </c>
      <c r="F620" s="27">
        <v>0.90998000000000001</v>
      </c>
      <c r="G620" s="11">
        <f t="shared" si="38"/>
        <v>-2.3000000000007654E-3</v>
      </c>
      <c r="H620" s="12">
        <f t="shared" si="39"/>
        <v>1.0518900000000473</v>
      </c>
    </row>
    <row r="621" spans="1:8" ht="14.25" thickBot="1">
      <c r="A621" s="18">
        <v>61.8</v>
      </c>
      <c r="B621" s="27">
        <v>0.90893000000000002</v>
      </c>
      <c r="C621" s="11">
        <f t="shared" si="36"/>
        <v>-2.3000000000006023E-3</v>
      </c>
      <c r="D621" s="12">
        <f t="shared" si="37"/>
        <v>1.0510700000000373</v>
      </c>
      <c r="E621" s="18">
        <v>61.8</v>
      </c>
      <c r="F621" s="27">
        <v>0.90974999999999995</v>
      </c>
      <c r="G621" s="11">
        <f t="shared" si="38"/>
        <v>-2.2999999999994917E-3</v>
      </c>
      <c r="H621" s="12">
        <f t="shared" si="39"/>
        <v>1.0518899999999685</v>
      </c>
    </row>
    <row r="622" spans="1:8" ht="14.25" thickBot="1">
      <c r="A622" s="18">
        <v>61.9</v>
      </c>
      <c r="B622" s="27">
        <v>0.90869999999999995</v>
      </c>
      <c r="C622" s="11">
        <f t="shared" si="36"/>
        <v>-2.1999999999999481E-3</v>
      </c>
      <c r="D622" s="12">
        <f t="shared" si="37"/>
        <v>1.0448799999999969</v>
      </c>
      <c r="E622" s="18">
        <v>61.9</v>
      </c>
      <c r="F622" s="27">
        <v>0.90952</v>
      </c>
      <c r="G622" s="11">
        <f t="shared" si="38"/>
        <v>-2.1999999999999481E-3</v>
      </c>
      <c r="H622" s="12">
        <f t="shared" si="39"/>
        <v>1.045699999999997</v>
      </c>
    </row>
    <row r="623" spans="1:8" ht="14.25" thickBot="1">
      <c r="A623" s="9">
        <v>62</v>
      </c>
      <c r="B623" s="19">
        <v>0.90847999999999995</v>
      </c>
      <c r="C623" s="11">
        <f t="shared" si="36"/>
        <v>-2.2999999999994917E-3</v>
      </c>
      <c r="D623" s="12">
        <f t="shared" si="37"/>
        <v>1.0510799999999685</v>
      </c>
      <c r="E623" s="9">
        <v>62</v>
      </c>
      <c r="F623" s="19">
        <v>0.9093</v>
      </c>
      <c r="G623" s="11">
        <f t="shared" si="38"/>
        <v>-2.2999999999994917E-3</v>
      </c>
      <c r="H623" s="12">
        <f t="shared" si="39"/>
        <v>1.0518999999999685</v>
      </c>
    </row>
    <row r="624" spans="1:8" ht="14.25" thickBot="1">
      <c r="A624" s="18">
        <v>62.1</v>
      </c>
      <c r="B624" s="27">
        <v>0.90825</v>
      </c>
      <c r="C624" s="11">
        <f t="shared" si="36"/>
        <v>-2.2999999999994917E-3</v>
      </c>
      <c r="D624" s="12">
        <f t="shared" si="37"/>
        <v>1.0510799999999685</v>
      </c>
      <c r="E624" s="18">
        <v>62.1</v>
      </c>
      <c r="F624" s="27">
        <v>0.90907000000000004</v>
      </c>
      <c r="G624" s="11">
        <f t="shared" si="38"/>
        <v>-2.3000000000006019E-3</v>
      </c>
      <c r="H624" s="12">
        <f t="shared" si="39"/>
        <v>1.0519000000000374</v>
      </c>
    </row>
    <row r="625" spans="1:8" ht="14.25" thickBot="1">
      <c r="A625" s="18">
        <v>62.2</v>
      </c>
      <c r="B625" s="27">
        <v>0.90802000000000005</v>
      </c>
      <c r="C625" s="11">
        <f t="shared" si="36"/>
        <v>-2.2000000000001046E-3</v>
      </c>
      <c r="D625" s="12">
        <f t="shared" si="37"/>
        <v>1.0448600000000066</v>
      </c>
      <c r="E625" s="18">
        <v>62.2</v>
      </c>
      <c r="F625" s="27">
        <v>0.90883999999999998</v>
      </c>
      <c r="G625" s="11">
        <f t="shared" si="38"/>
        <v>-2.2000000000001046E-3</v>
      </c>
      <c r="H625" s="12">
        <f t="shared" si="39"/>
        <v>1.0456800000000066</v>
      </c>
    </row>
    <row r="626" spans="1:8" ht="14.25" thickBot="1">
      <c r="A626" s="18">
        <v>62.3</v>
      </c>
      <c r="B626" s="27">
        <v>0.90780000000000005</v>
      </c>
      <c r="C626" s="11">
        <f t="shared" si="36"/>
        <v>-2.3000000000006019E-3</v>
      </c>
      <c r="D626" s="12">
        <f t="shared" si="37"/>
        <v>1.0510900000000376</v>
      </c>
      <c r="E626" s="18">
        <v>62.3</v>
      </c>
      <c r="F626" s="27">
        <v>0.90861999999999998</v>
      </c>
      <c r="G626" s="11">
        <f t="shared" si="38"/>
        <v>-2.2999999999994917E-3</v>
      </c>
      <c r="H626" s="12">
        <f t="shared" si="39"/>
        <v>1.0519099999999684</v>
      </c>
    </row>
    <row r="627" spans="1:8" ht="14.25" thickBot="1">
      <c r="A627" s="18">
        <v>62.4</v>
      </c>
      <c r="B627" s="27">
        <v>0.90756999999999999</v>
      </c>
      <c r="C627" s="11">
        <f t="shared" si="36"/>
        <v>-2.2999999999994917E-3</v>
      </c>
      <c r="D627" s="12">
        <f t="shared" si="37"/>
        <v>1.0510899999999683</v>
      </c>
      <c r="E627" s="18">
        <v>62.4</v>
      </c>
      <c r="F627" s="27">
        <v>0.90839000000000003</v>
      </c>
      <c r="G627" s="11">
        <f t="shared" si="38"/>
        <v>-2.3000000000006019E-3</v>
      </c>
      <c r="H627" s="12">
        <f t="shared" si="39"/>
        <v>1.0519100000000376</v>
      </c>
    </row>
    <row r="628" spans="1:8" ht="14.25" thickBot="1">
      <c r="A628" s="18">
        <v>62.5</v>
      </c>
      <c r="B628" s="27">
        <v>0.90734000000000004</v>
      </c>
      <c r="C628" s="11">
        <f t="shared" si="36"/>
        <v>-2.1999999999999481E-3</v>
      </c>
      <c r="D628" s="12">
        <f t="shared" si="37"/>
        <v>1.0448399999999967</v>
      </c>
      <c r="E628" s="18">
        <v>62.5</v>
      </c>
      <c r="F628" s="27">
        <v>0.90815999999999997</v>
      </c>
      <c r="G628" s="11">
        <f t="shared" si="38"/>
        <v>-2.1999999999999485E-3</v>
      </c>
      <c r="H628" s="12">
        <f t="shared" si="39"/>
        <v>1.0456599999999967</v>
      </c>
    </row>
    <row r="629" spans="1:8" ht="14.25" thickBot="1">
      <c r="A629" s="18">
        <v>62.6</v>
      </c>
      <c r="B629" s="27">
        <v>0.90712000000000004</v>
      </c>
      <c r="C629" s="11">
        <f t="shared" si="36"/>
        <v>-2.3000000000006023E-3</v>
      </c>
      <c r="D629" s="12">
        <f t="shared" si="37"/>
        <v>1.0511000000000379</v>
      </c>
      <c r="E629" s="18">
        <v>62.6</v>
      </c>
      <c r="F629" s="27">
        <v>0.90793999999999997</v>
      </c>
      <c r="G629" s="11">
        <f t="shared" si="38"/>
        <v>-2.2999999999994917E-3</v>
      </c>
      <c r="H629" s="12">
        <f t="shared" si="39"/>
        <v>1.0519199999999682</v>
      </c>
    </row>
    <row r="630" spans="1:8" ht="14.25" thickBot="1">
      <c r="A630" s="18">
        <v>62.7</v>
      </c>
      <c r="B630" s="27">
        <v>0.90688999999999997</v>
      </c>
      <c r="C630" s="11">
        <f t="shared" si="36"/>
        <v>-2.2999999999996552E-3</v>
      </c>
      <c r="D630" s="12">
        <f t="shared" si="37"/>
        <v>1.0510999999999784</v>
      </c>
      <c r="E630" s="18">
        <v>62.7</v>
      </c>
      <c r="F630" s="27">
        <v>0.90771000000000002</v>
      </c>
      <c r="G630" s="11">
        <f t="shared" si="38"/>
        <v>-2.3000000000007654E-3</v>
      </c>
      <c r="H630" s="12">
        <f t="shared" si="39"/>
        <v>1.0519200000000479</v>
      </c>
    </row>
    <row r="631" spans="1:8" ht="14.25" thickBot="1">
      <c r="A631" s="18">
        <v>62.8</v>
      </c>
      <c r="B631" s="27">
        <v>0.90666000000000002</v>
      </c>
      <c r="C631" s="11">
        <f t="shared" si="36"/>
        <v>-2.3000000000006023E-3</v>
      </c>
      <c r="D631" s="12">
        <f t="shared" si="37"/>
        <v>1.0511000000000377</v>
      </c>
      <c r="E631" s="18">
        <v>62.8</v>
      </c>
      <c r="F631" s="27">
        <v>0.90747999999999995</v>
      </c>
      <c r="G631" s="11">
        <f t="shared" si="38"/>
        <v>-2.2999999999994917E-3</v>
      </c>
      <c r="H631" s="12">
        <f t="shared" si="39"/>
        <v>1.051919999999968</v>
      </c>
    </row>
    <row r="632" spans="1:8" ht="14.25" thickBot="1">
      <c r="A632" s="18">
        <v>62.9</v>
      </c>
      <c r="B632" s="27">
        <v>0.90642999999999996</v>
      </c>
      <c r="C632" s="11">
        <f t="shared" si="36"/>
        <v>-2.2999999999994917E-3</v>
      </c>
      <c r="D632" s="12">
        <f t="shared" si="37"/>
        <v>1.0510999999999679</v>
      </c>
      <c r="E632" s="18">
        <v>62.9</v>
      </c>
      <c r="F632" s="27">
        <v>0.90725</v>
      </c>
      <c r="G632" s="11">
        <f t="shared" si="38"/>
        <v>-2.2999999999994917E-3</v>
      </c>
      <c r="H632" s="12">
        <f t="shared" si="39"/>
        <v>1.051919999999968</v>
      </c>
    </row>
    <row r="633" spans="1:8" ht="14.25" thickBot="1">
      <c r="A633" s="9">
        <v>63</v>
      </c>
      <c r="B633" s="19">
        <v>0.90620000000000001</v>
      </c>
      <c r="C633" s="11">
        <f t="shared" si="36"/>
        <v>-2.2999999999994917E-3</v>
      </c>
      <c r="D633" s="12">
        <f t="shared" si="37"/>
        <v>1.0510999999999679</v>
      </c>
      <c r="E633" s="9">
        <v>63</v>
      </c>
      <c r="F633" s="19">
        <v>0.90702000000000005</v>
      </c>
      <c r="G633" s="11">
        <f t="shared" si="38"/>
        <v>-2.3000000000006019E-3</v>
      </c>
      <c r="H633" s="12">
        <f t="shared" si="39"/>
        <v>1.0519200000000379</v>
      </c>
    </row>
    <row r="634" spans="1:8" ht="14.25" thickBot="1">
      <c r="A634" s="18">
        <v>63.1</v>
      </c>
      <c r="B634" s="27">
        <v>0.90597000000000005</v>
      </c>
      <c r="C634" s="11">
        <f t="shared" si="36"/>
        <v>-2.3000000000006023E-3</v>
      </c>
      <c r="D634" s="12">
        <f t="shared" si="37"/>
        <v>1.0511000000000381</v>
      </c>
      <c r="E634" s="18">
        <v>63.1</v>
      </c>
      <c r="F634" s="27">
        <v>0.90678999999999998</v>
      </c>
      <c r="G634" s="11">
        <f t="shared" si="38"/>
        <v>-2.2999999999994917E-3</v>
      </c>
      <c r="H634" s="12">
        <f t="shared" si="39"/>
        <v>1.051919999999968</v>
      </c>
    </row>
    <row r="635" spans="1:8" ht="14.25" thickBot="1">
      <c r="A635" s="18">
        <v>63.2</v>
      </c>
      <c r="B635" s="27">
        <v>0.90573999999999999</v>
      </c>
      <c r="C635" s="11">
        <f t="shared" si="36"/>
        <v>-2.2999999999996552E-3</v>
      </c>
      <c r="D635" s="12">
        <f t="shared" si="37"/>
        <v>1.0510999999999782</v>
      </c>
      <c r="E635" s="18">
        <v>63.2</v>
      </c>
      <c r="F635" s="27">
        <v>0.90656000000000003</v>
      </c>
      <c r="G635" s="11">
        <f t="shared" si="38"/>
        <v>-2.3000000000007654E-3</v>
      </c>
      <c r="H635" s="12">
        <f t="shared" si="39"/>
        <v>1.0519200000000484</v>
      </c>
    </row>
    <row r="636" spans="1:8" ht="14.25" thickBot="1">
      <c r="A636" s="18">
        <v>63.3</v>
      </c>
      <c r="B636" s="27">
        <v>0.90551000000000004</v>
      </c>
      <c r="C636" s="11">
        <f t="shared" si="36"/>
        <v>-2.3000000000006023E-3</v>
      </c>
      <c r="D636" s="12">
        <f t="shared" si="37"/>
        <v>1.0511000000000381</v>
      </c>
      <c r="E636" s="18">
        <v>63.3</v>
      </c>
      <c r="F636" s="27">
        <v>0.90632999999999997</v>
      </c>
      <c r="G636" s="11">
        <f t="shared" si="38"/>
        <v>-2.2999999999994917E-3</v>
      </c>
      <c r="H636" s="12">
        <f t="shared" si="39"/>
        <v>1.0519199999999678</v>
      </c>
    </row>
    <row r="637" spans="1:8" ht="14.25" thickBot="1">
      <c r="A637" s="18">
        <v>63.4</v>
      </c>
      <c r="B637" s="27">
        <v>0.90527999999999997</v>
      </c>
      <c r="C637" s="11">
        <f t="shared" si="36"/>
        <v>-2.2999999999994917E-3</v>
      </c>
      <c r="D637" s="12">
        <f t="shared" si="37"/>
        <v>1.0510999999999677</v>
      </c>
      <c r="E637" s="18">
        <v>63.4</v>
      </c>
      <c r="F637" s="27">
        <v>0.90610000000000002</v>
      </c>
      <c r="G637" s="11">
        <f t="shared" si="38"/>
        <v>-2.3000000000006023E-3</v>
      </c>
      <c r="H637" s="12">
        <f t="shared" si="39"/>
        <v>1.0519200000000382</v>
      </c>
    </row>
    <row r="638" spans="1:8" ht="14.25" thickBot="1">
      <c r="A638" s="18">
        <v>63.5</v>
      </c>
      <c r="B638" s="27">
        <v>0.90505000000000002</v>
      </c>
      <c r="C638" s="11">
        <f t="shared" si="36"/>
        <v>-2.3000000000006019E-3</v>
      </c>
      <c r="D638" s="12">
        <f t="shared" si="37"/>
        <v>1.0511000000000383</v>
      </c>
      <c r="E638" s="18">
        <v>63.5</v>
      </c>
      <c r="F638" s="27">
        <v>0.90586999999999995</v>
      </c>
      <c r="G638" s="11">
        <f t="shared" si="38"/>
        <v>-2.2999999999994917E-3</v>
      </c>
      <c r="H638" s="12">
        <f t="shared" si="39"/>
        <v>1.0519199999999675</v>
      </c>
    </row>
    <row r="639" spans="1:8" ht="14.25" thickBot="1">
      <c r="A639" s="18">
        <v>63.6</v>
      </c>
      <c r="B639" s="27">
        <v>0.90481999999999996</v>
      </c>
      <c r="C639" s="11">
        <f t="shared" si="36"/>
        <v>-2.2999999999994917E-3</v>
      </c>
      <c r="D639" s="12">
        <f t="shared" si="37"/>
        <v>1.0510999999999677</v>
      </c>
      <c r="E639" s="18">
        <v>63.6</v>
      </c>
      <c r="F639" s="27">
        <v>0.90564</v>
      </c>
      <c r="G639" s="11">
        <f t="shared" si="38"/>
        <v>-2.4000000000001455E-3</v>
      </c>
      <c r="H639" s="12">
        <f t="shared" si="39"/>
        <v>1.0582800000000092</v>
      </c>
    </row>
    <row r="640" spans="1:8" ht="14.25" thickBot="1">
      <c r="A640" s="18">
        <v>63.7</v>
      </c>
      <c r="B640" s="27">
        <v>0.90459000000000001</v>
      </c>
      <c r="C640" s="11">
        <f t="shared" si="36"/>
        <v>-2.2999999999996552E-3</v>
      </c>
      <c r="D640" s="12">
        <f t="shared" si="37"/>
        <v>1.0510999999999782</v>
      </c>
      <c r="E640" s="18">
        <v>63.7</v>
      </c>
      <c r="F640" s="27">
        <v>0.90539999999999998</v>
      </c>
      <c r="G640" s="11">
        <f t="shared" si="38"/>
        <v>-2.2999999999996552E-3</v>
      </c>
      <c r="H640" s="12">
        <f t="shared" si="39"/>
        <v>1.0519099999999781</v>
      </c>
    </row>
    <row r="641" spans="1:8" ht="14.25" thickBot="1">
      <c r="A641" s="18">
        <v>63.8</v>
      </c>
      <c r="B641" s="27">
        <v>0.90436000000000005</v>
      </c>
      <c r="C641" s="11">
        <f t="shared" si="36"/>
        <v>-2.3000000000006023E-3</v>
      </c>
      <c r="D641" s="12">
        <f t="shared" si="37"/>
        <v>1.0511000000000383</v>
      </c>
      <c r="E641" s="18">
        <v>63.8</v>
      </c>
      <c r="F641" s="27">
        <v>0.90517000000000003</v>
      </c>
      <c r="G641" s="11">
        <f t="shared" si="38"/>
        <v>-2.3000000000006023E-3</v>
      </c>
      <c r="H641" s="12">
        <f t="shared" si="39"/>
        <v>1.0519100000000383</v>
      </c>
    </row>
    <row r="642" spans="1:8" ht="14.25" thickBot="1">
      <c r="A642" s="18">
        <v>63.9</v>
      </c>
      <c r="B642" s="27">
        <v>0.90412999999999999</v>
      </c>
      <c r="C642" s="11">
        <f t="shared" si="36"/>
        <v>-2.2999999999994917E-3</v>
      </c>
      <c r="D642" s="12">
        <f t="shared" si="37"/>
        <v>1.0510999999999675</v>
      </c>
      <c r="E642" s="18">
        <v>63.9</v>
      </c>
      <c r="F642" s="27">
        <v>0.90493999999999997</v>
      </c>
      <c r="G642" s="11">
        <f t="shared" si="38"/>
        <v>-2.2999999999994917E-3</v>
      </c>
      <c r="H642" s="12">
        <f t="shared" si="39"/>
        <v>1.0519099999999675</v>
      </c>
    </row>
    <row r="643" spans="1:8" ht="14.25" thickBot="1">
      <c r="A643" s="9">
        <v>64</v>
      </c>
      <c r="B643" s="19">
        <v>0.90390000000000004</v>
      </c>
      <c r="C643" s="11">
        <f t="shared" si="36"/>
        <v>-2.3000000000007654E-3</v>
      </c>
      <c r="D643" s="12">
        <f t="shared" si="37"/>
        <v>1.051100000000049</v>
      </c>
      <c r="E643" s="9">
        <v>64</v>
      </c>
      <c r="F643" s="19">
        <v>0.90471000000000001</v>
      </c>
      <c r="G643" s="11">
        <f t="shared" si="38"/>
        <v>-2.3000000000007654E-3</v>
      </c>
      <c r="H643" s="12">
        <f t="shared" si="39"/>
        <v>1.051910000000049</v>
      </c>
    </row>
    <row r="644" spans="1:8" ht="14.25" thickBot="1">
      <c r="A644" s="18">
        <v>64.099999999999994</v>
      </c>
      <c r="B644" s="27">
        <v>0.90366999999999997</v>
      </c>
      <c r="C644" s="11">
        <f t="shared" ref="C644:C707" si="40">SLOPE(B644:B645,A644:A645)</f>
        <v>-2.2999999999993286E-3</v>
      </c>
      <c r="D644" s="12">
        <f t="shared" ref="D644:D707" si="41">INTERCEPT(B644:B645,A644:A645)</f>
        <v>1.0510999999999568</v>
      </c>
      <c r="E644" s="18">
        <v>64.099999999999994</v>
      </c>
      <c r="F644" s="27">
        <v>0.90447999999999995</v>
      </c>
      <c r="G644" s="11">
        <f t="shared" ref="G644:G707" si="42">SLOPE(F644:F645,E644:E645)</f>
        <v>-2.2999999999993286E-3</v>
      </c>
      <c r="H644" s="12">
        <f t="shared" ref="H644:H707" si="43">INTERCEPT(F644:F645,E644:E645)</f>
        <v>1.0519099999999568</v>
      </c>
    </row>
    <row r="645" spans="1:8" ht="14.25" thickBot="1">
      <c r="A645" s="18">
        <v>64.2</v>
      </c>
      <c r="B645" s="27">
        <v>0.90344000000000002</v>
      </c>
      <c r="C645" s="11">
        <f t="shared" si="40"/>
        <v>-2.3000000000007654E-3</v>
      </c>
      <c r="D645" s="12">
        <f t="shared" si="41"/>
        <v>1.0511000000000492</v>
      </c>
      <c r="E645" s="18">
        <v>64.2</v>
      </c>
      <c r="F645" s="27">
        <v>0.90425</v>
      </c>
      <c r="G645" s="11">
        <f t="shared" si="42"/>
        <v>-2.2999999999996552E-3</v>
      </c>
      <c r="H645" s="12">
        <f t="shared" si="43"/>
        <v>1.0519099999999779</v>
      </c>
    </row>
    <row r="646" spans="1:8" ht="14.25" thickBot="1">
      <c r="A646" s="18">
        <v>64.3</v>
      </c>
      <c r="B646" s="27">
        <v>0.90320999999999996</v>
      </c>
      <c r="C646" s="11">
        <f t="shared" si="40"/>
        <v>-2.3999999999988648E-3</v>
      </c>
      <c r="D646" s="12">
        <f t="shared" si="41"/>
        <v>1.0575299999999268</v>
      </c>
      <c r="E646" s="18">
        <v>64.3</v>
      </c>
      <c r="F646" s="27">
        <v>0.90402000000000005</v>
      </c>
      <c r="G646" s="11">
        <f t="shared" si="42"/>
        <v>-2.3999999999999751E-3</v>
      </c>
      <c r="H646" s="12">
        <f t="shared" si="43"/>
        <v>1.0583399999999985</v>
      </c>
    </row>
    <row r="647" spans="1:8" ht="14.25" thickBot="1">
      <c r="A647" s="18">
        <v>64.400000000000006</v>
      </c>
      <c r="B647" s="27">
        <v>0.90297000000000005</v>
      </c>
      <c r="C647" s="11">
        <f t="shared" si="40"/>
        <v>-2.3000000000007654E-3</v>
      </c>
      <c r="D647" s="12">
        <f t="shared" si="41"/>
        <v>1.0510900000000494</v>
      </c>
      <c r="E647" s="18">
        <v>64.400000000000006</v>
      </c>
      <c r="F647" s="27">
        <v>0.90378000000000003</v>
      </c>
      <c r="G647" s="11">
        <f t="shared" si="42"/>
        <v>-2.3000000000007654E-3</v>
      </c>
      <c r="H647" s="12">
        <f t="shared" si="43"/>
        <v>1.0519000000000494</v>
      </c>
    </row>
    <row r="648" spans="1:8" ht="14.25" thickBot="1">
      <c r="A648" s="18">
        <v>64.5</v>
      </c>
      <c r="B648" s="27">
        <v>0.90273999999999999</v>
      </c>
      <c r="C648" s="11">
        <f t="shared" si="40"/>
        <v>-2.2999999999996552E-3</v>
      </c>
      <c r="D648" s="12">
        <f t="shared" si="41"/>
        <v>1.0510899999999777</v>
      </c>
      <c r="E648" s="18">
        <v>64.5</v>
      </c>
      <c r="F648" s="27">
        <v>0.90354999999999996</v>
      </c>
      <c r="G648" s="11">
        <f t="shared" si="42"/>
        <v>-2.2999999999996552E-3</v>
      </c>
      <c r="H648" s="12">
        <f t="shared" si="43"/>
        <v>1.0518999999999776</v>
      </c>
    </row>
    <row r="649" spans="1:8" ht="14.25" thickBot="1">
      <c r="A649" s="18">
        <v>64.599999999999994</v>
      </c>
      <c r="B649" s="27">
        <v>0.90251000000000003</v>
      </c>
      <c r="C649" s="11">
        <f t="shared" si="40"/>
        <v>-2.3000000000004388E-3</v>
      </c>
      <c r="D649" s="12">
        <f t="shared" si="41"/>
        <v>1.0510900000000285</v>
      </c>
      <c r="E649" s="18">
        <v>64.599999999999994</v>
      </c>
      <c r="F649" s="27">
        <v>0.90332000000000001</v>
      </c>
      <c r="G649" s="11">
        <f t="shared" si="42"/>
        <v>-2.3000000000004388E-3</v>
      </c>
      <c r="H649" s="12">
        <f t="shared" si="43"/>
        <v>1.0519000000000285</v>
      </c>
    </row>
    <row r="650" spans="1:8" ht="14.25" thickBot="1">
      <c r="A650" s="18">
        <v>64.7</v>
      </c>
      <c r="B650" s="27">
        <v>0.90227999999999997</v>
      </c>
      <c r="C650" s="11">
        <f t="shared" si="40"/>
        <v>-2.4000000000003159E-3</v>
      </c>
      <c r="D650" s="12">
        <f t="shared" si="41"/>
        <v>1.0575600000000205</v>
      </c>
      <c r="E650" s="18">
        <v>64.7</v>
      </c>
      <c r="F650" s="27">
        <v>0.90308999999999995</v>
      </c>
      <c r="G650" s="11">
        <f t="shared" si="42"/>
        <v>-2.3999999999992057E-3</v>
      </c>
      <c r="H650" s="12">
        <f t="shared" si="43"/>
        <v>1.0583699999999485</v>
      </c>
    </row>
    <row r="651" spans="1:8" ht="14.25" thickBot="1">
      <c r="A651" s="18">
        <v>64.8</v>
      </c>
      <c r="B651" s="27">
        <v>0.90203999999999995</v>
      </c>
      <c r="C651" s="11">
        <f t="shared" si="40"/>
        <v>-2.2999999999993286E-3</v>
      </c>
      <c r="D651" s="12">
        <f t="shared" si="41"/>
        <v>1.0510799999999565</v>
      </c>
      <c r="E651" s="18">
        <v>64.8</v>
      </c>
      <c r="F651" s="27">
        <v>0.90285000000000004</v>
      </c>
      <c r="G651" s="11">
        <f t="shared" si="42"/>
        <v>-2.3000000000004388E-3</v>
      </c>
      <c r="H651" s="12">
        <f t="shared" si="43"/>
        <v>1.0518900000000286</v>
      </c>
    </row>
    <row r="652" spans="1:8" ht="14.25" thickBot="1">
      <c r="A652" s="18">
        <v>64.900000000000006</v>
      </c>
      <c r="B652" s="27">
        <v>0.90181</v>
      </c>
      <c r="C652" s="11">
        <f t="shared" si="40"/>
        <v>-2.4000000000003159E-3</v>
      </c>
      <c r="D652" s="12">
        <f t="shared" si="41"/>
        <v>1.0575700000000205</v>
      </c>
      <c r="E652" s="18">
        <v>64.900000000000006</v>
      </c>
      <c r="F652" s="27">
        <v>0.90261999999999998</v>
      </c>
      <c r="G652" s="11">
        <f t="shared" si="42"/>
        <v>-2.4000000000003159E-3</v>
      </c>
      <c r="H652" s="12">
        <f t="shared" si="43"/>
        <v>1.0583800000000205</v>
      </c>
    </row>
    <row r="653" spans="1:8" ht="14.25" thickBot="1">
      <c r="A653" s="9">
        <v>65</v>
      </c>
      <c r="B653" s="19">
        <v>0.90156999999999998</v>
      </c>
      <c r="C653" s="11">
        <f t="shared" si="40"/>
        <v>-2.2999999999996552E-3</v>
      </c>
      <c r="D653" s="12">
        <f t="shared" si="41"/>
        <v>1.0510699999999775</v>
      </c>
      <c r="E653" s="9">
        <v>65</v>
      </c>
      <c r="F653" s="19">
        <v>0.90237999999999996</v>
      </c>
      <c r="G653" s="11">
        <f t="shared" si="42"/>
        <v>-2.2999999999996552E-3</v>
      </c>
      <c r="H653" s="12">
        <f t="shared" si="43"/>
        <v>1.0518799999999775</v>
      </c>
    </row>
    <row r="654" spans="1:8" ht="14.25" thickBot="1">
      <c r="A654" s="18">
        <v>65.099999999999994</v>
      </c>
      <c r="B654" s="27">
        <v>0.90134000000000003</v>
      </c>
      <c r="C654" s="11">
        <f t="shared" si="40"/>
        <v>-2.3000000000004388E-3</v>
      </c>
      <c r="D654" s="12">
        <f t="shared" si="41"/>
        <v>1.0510700000000286</v>
      </c>
      <c r="E654" s="18">
        <v>65.099999999999994</v>
      </c>
      <c r="F654" s="27">
        <v>0.90215000000000001</v>
      </c>
      <c r="G654" s="11">
        <f t="shared" si="42"/>
        <v>-2.2999999999993286E-3</v>
      </c>
      <c r="H654" s="12">
        <f t="shared" si="43"/>
        <v>1.0518799999999562</v>
      </c>
    </row>
    <row r="655" spans="1:8" ht="14.25" thickBot="1">
      <c r="A655" s="18">
        <v>65.2</v>
      </c>
      <c r="B655" s="27">
        <v>0.90110999999999997</v>
      </c>
      <c r="C655" s="11">
        <f t="shared" si="40"/>
        <v>-2.4000000000003159E-3</v>
      </c>
      <c r="D655" s="12">
        <f t="shared" si="41"/>
        <v>1.0575900000000207</v>
      </c>
      <c r="E655" s="18">
        <v>65.2</v>
      </c>
      <c r="F655" s="27">
        <v>0.90192000000000005</v>
      </c>
      <c r="G655" s="11">
        <f t="shared" si="42"/>
        <v>-2.4000000000003159E-3</v>
      </c>
      <c r="H655" s="12">
        <f t="shared" si="43"/>
        <v>1.0584000000000207</v>
      </c>
    </row>
    <row r="656" spans="1:8" ht="14.25" thickBot="1">
      <c r="A656" s="18">
        <v>65.3</v>
      </c>
      <c r="B656" s="27">
        <v>0.90086999999999995</v>
      </c>
      <c r="C656" s="11">
        <f t="shared" si="40"/>
        <v>-2.2999999999993286E-3</v>
      </c>
      <c r="D656" s="12">
        <f t="shared" si="41"/>
        <v>1.0510599999999561</v>
      </c>
      <c r="E656" s="18">
        <v>65.3</v>
      </c>
      <c r="F656" s="27">
        <v>0.90168000000000004</v>
      </c>
      <c r="G656" s="11">
        <f t="shared" si="42"/>
        <v>-2.3000000000004388E-3</v>
      </c>
      <c r="H656" s="12">
        <f t="shared" si="43"/>
        <v>1.0518700000000285</v>
      </c>
    </row>
    <row r="657" spans="1:8" ht="14.25" thickBot="1">
      <c r="A657" s="18">
        <v>65.400000000000006</v>
      </c>
      <c r="B657" s="27">
        <v>0.90064</v>
      </c>
      <c r="C657" s="11">
        <f t="shared" si="40"/>
        <v>-2.4000000000003159E-3</v>
      </c>
      <c r="D657" s="12">
        <f t="shared" si="41"/>
        <v>1.0576000000000207</v>
      </c>
      <c r="E657" s="18">
        <v>65.400000000000006</v>
      </c>
      <c r="F657" s="27">
        <v>0.90144999999999997</v>
      </c>
      <c r="G657" s="11">
        <f t="shared" si="42"/>
        <v>-2.4000000000003159E-3</v>
      </c>
      <c r="H657" s="12">
        <f t="shared" si="43"/>
        <v>1.0584100000000207</v>
      </c>
    </row>
    <row r="658" spans="1:8" ht="14.25" thickBot="1">
      <c r="A658" s="18">
        <v>65.5</v>
      </c>
      <c r="B658" s="27">
        <v>0.90039999999999998</v>
      </c>
      <c r="C658" s="11">
        <f t="shared" si="40"/>
        <v>-2.2999999999996552E-3</v>
      </c>
      <c r="D658" s="12">
        <f t="shared" si="41"/>
        <v>1.0510499999999774</v>
      </c>
      <c r="E658" s="18">
        <v>65.5</v>
      </c>
      <c r="F658" s="27">
        <v>0.90120999999999996</v>
      </c>
      <c r="G658" s="11">
        <f t="shared" si="42"/>
        <v>-2.2999999999996552E-3</v>
      </c>
      <c r="H658" s="12">
        <f t="shared" si="43"/>
        <v>1.0518599999999774</v>
      </c>
    </row>
    <row r="659" spans="1:8" ht="14.25" thickBot="1">
      <c r="A659" s="18">
        <v>65.599999999999994</v>
      </c>
      <c r="B659" s="27">
        <v>0.90017000000000003</v>
      </c>
      <c r="C659" s="11">
        <f t="shared" si="40"/>
        <v>-2.3999999999999751E-3</v>
      </c>
      <c r="D659" s="12">
        <f t="shared" si="41"/>
        <v>1.0576099999999984</v>
      </c>
      <c r="E659" s="18">
        <v>65.599999999999994</v>
      </c>
      <c r="F659" s="27">
        <v>0.90098</v>
      </c>
      <c r="G659" s="11">
        <f t="shared" si="42"/>
        <v>-2.3999999999999751E-3</v>
      </c>
      <c r="H659" s="12">
        <f t="shared" si="43"/>
        <v>1.0584199999999984</v>
      </c>
    </row>
    <row r="660" spans="1:8" ht="14.25" thickBot="1">
      <c r="A660" s="18">
        <v>65.7</v>
      </c>
      <c r="B660" s="27">
        <v>0.89993000000000001</v>
      </c>
      <c r="C660" s="11">
        <f t="shared" si="40"/>
        <v>-2.2999999999996552E-3</v>
      </c>
      <c r="D660" s="12">
        <f t="shared" si="41"/>
        <v>1.0510399999999773</v>
      </c>
      <c r="E660" s="18">
        <v>65.7</v>
      </c>
      <c r="F660" s="27">
        <v>0.90073999999999999</v>
      </c>
      <c r="G660" s="11">
        <f t="shared" si="42"/>
        <v>-2.2999999999996552E-3</v>
      </c>
      <c r="H660" s="12">
        <f t="shared" si="43"/>
        <v>1.0518499999999773</v>
      </c>
    </row>
    <row r="661" spans="1:8" ht="14.25" thickBot="1">
      <c r="A661" s="18">
        <v>65.8</v>
      </c>
      <c r="B661" s="27">
        <v>0.89970000000000006</v>
      </c>
      <c r="C661" s="11">
        <f t="shared" si="40"/>
        <v>-2.3999999999999751E-3</v>
      </c>
      <c r="D661" s="12">
        <f t="shared" si="41"/>
        <v>1.0576199999999985</v>
      </c>
      <c r="E661" s="18">
        <v>65.8</v>
      </c>
      <c r="F661" s="27">
        <v>0.90051000000000003</v>
      </c>
      <c r="G661" s="11">
        <f t="shared" si="42"/>
        <v>-2.3999999999999751E-3</v>
      </c>
      <c r="H661" s="12">
        <f t="shared" si="43"/>
        <v>1.0584299999999984</v>
      </c>
    </row>
    <row r="662" spans="1:8" ht="14.25" thickBot="1">
      <c r="A662" s="18">
        <v>65.900000000000006</v>
      </c>
      <c r="B662" s="27">
        <v>0.89946000000000004</v>
      </c>
      <c r="C662" s="11">
        <f t="shared" si="40"/>
        <v>-2.4000000000003159E-3</v>
      </c>
      <c r="D662" s="12">
        <f t="shared" si="41"/>
        <v>1.0576200000000209</v>
      </c>
      <c r="E662" s="18">
        <v>65.900000000000006</v>
      </c>
      <c r="F662" s="27">
        <v>0.90027000000000001</v>
      </c>
      <c r="G662" s="11">
        <f t="shared" si="42"/>
        <v>-2.4000000000003159E-3</v>
      </c>
      <c r="H662" s="12">
        <f t="shared" si="43"/>
        <v>1.0584300000000209</v>
      </c>
    </row>
    <row r="663" spans="1:8" ht="14.25" thickBot="1">
      <c r="A663" s="9">
        <v>66</v>
      </c>
      <c r="B663" s="19">
        <v>0.89922000000000002</v>
      </c>
      <c r="C663" s="11">
        <f t="shared" si="40"/>
        <v>-2.3000000000007654E-3</v>
      </c>
      <c r="D663" s="12">
        <f t="shared" si="41"/>
        <v>1.0510200000000505</v>
      </c>
      <c r="E663" s="9">
        <v>66</v>
      </c>
      <c r="F663" s="19">
        <v>0.90003</v>
      </c>
      <c r="G663" s="11">
        <f t="shared" si="42"/>
        <v>-2.2999999999996552E-3</v>
      </c>
      <c r="H663" s="12">
        <f t="shared" si="43"/>
        <v>1.0518299999999772</v>
      </c>
    </row>
    <row r="664" spans="1:8" ht="14.25" thickBot="1">
      <c r="A664" s="18">
        <v>66.099999999999994</v>
      </c>
      <c r="B664" s="27">
        <v>0.89898999999999996</v>
      </c>
      <c r="C664" s="11">
        <f t="shared" si="40"/>
        <v>-2.3999999999988648E-3</v>
      </c>
      <c r="D664" s="12">
        <f t="shared" si="41"/>
        <v>1.057629999999925</v>
      </c>
      <c r="E664" s="18">
        <v>66.099999999999994</v>
      </c>
      <c r="F664" s="27">
        <v>0.89980000000000004</v>
      </c>
      <c r="G664" s="11">
        <f t="shared" si="42"/>
        <v>-2.3999999999999751E-3</v>
      </c>
      <c r="H664" s="12">
        <f t="shared" si="43"/>
        <v>1.0584399999999985</v>
      </c>
    </row>
    <row r="665" spans="1:8" ht="14.25" thickBot="1">
      <c r="A665" s="18">
        <v>66.2</v>
      </c>
      <c r="B665" s="27">
        <v>0.89875000000000005</v>
      </c>
      <c r="C665" s="11">
        <f t="shared" si="40"/>
        <v>-2.4000000000003159E-3</v>
      </c>
      <c r="D665" s="12">
        <f t="shared" si="41"/>
        <v>1.0576300000000209</v>
      </c>
      <c r="E665" s="18">
        <v>66.2</v>
      </c>
      <c r="F665" s="27">
        <v>0.89956000000000003</v>
      </c>
      <c r="G665" s="11">
        <f t="shared" si="42"/>
        <v>-2.4000000000003159E-3</v>
      </c>
      <c r="H665" s="12">
        <f t="shared" si="43"/>
        <v>1.0584400000000209</v>
      </c>
    </row>
    <row r="666" spans="1:8" ht="14.25" thickBot="1">
      <c r="A666" s="18">
        <v>66.3</v>
      </c>
      <c r="B666" s="27">
        <v>0.89851000000000003</v>
      </c>
      <c r="C666" s="11">
        <f t="shared" si="40"/>
        <v>-2.3000000000004388E-3</v>
      </c>
      <c r="D666" s="12">
        <f t="shared" si="41"/>
        <v>1.0510000000000292</v>
      </c>
      <c r="E666" s="18">
        <v>66.3</v>
      </c>
      <c r="F666" s="27">
        <v>0.89932000000000001</v>
      </c>
      <c r="G666" s="11">
        <f t="shared" si="42"/>
        <v>-2.3000000000004388E-3</v>
      </c>
      <c r="H666" s="12">
        <f t="shared" si="43"/>
        <v>1.0518100000000292</v>
      </c>
    </row>
    <row r="667" spans="1:8" ht="14.25" thickBot="1">
      <c r="A667" s="18">
        <v>66.400000000000006</v>
      </c>
      <c r="B667" s="27">
        <v>0.89827999999999997</v>
      </c>
      <c r="C667" s="11">
        <f t="shared" si="40"/>
        <v>-2.4000000000003159E-3</v>
      </c>
      <c r="D667" s="12">
        <f t="shared" si="41"/>
        <v>1.057640000000021</v>
      </c>
      <c r="E667" s="18">
        <v>66.400000000000006</v>
      </c>
      <c r="F667" s="27">
        <v>0.89908999999999994</v>
      </c>
      <c r="G667" s="11">
        <f t="shared" si="42"/>
        <v>-2.3999999999992057E-3</v>
      </c>
      <c r="H667" s="12">
        <f t="shared" si="43"/>
        <v>1.0584499999999473</v>
      </c>
    </row>
    <row r="668" spans="1:8" ht="14.25" thickBot="1">
      <c r="A668" s="18">
        <v>66.5</v>
      </c>
      <c r="B668" s="27">
        <v>0.89803999999999995</v>
      </c>
      <c r="C668" s="11">
        <f t="shared" si="40"/>
        <v>-2.3999999999992057E-3</v>
      </c>
      <c r="D668" s="12">
        <f t="shared" si="41"/>
        <v>1.0576399999999473</v>
      </c>
      <c r="E668" s="18">
        <v>66.5</v>
      </c>
      <c r="F668" s="27">
        <v>0.89885000000000004</v>
      </c>
      <c r="G668" s="11">
        <f t="shared" si="42"/>
        <v>-2.4000000000003159E-3</v>
      </c>
      <c r="H668" s="12">
        <f t="shared" si="43"/>
        <v>1.058450000000021</v>
      </c>
    </row>
    <row r="669" spans="1:8" ht="14.25" thickBot="1">
      <c r="A669" s="18">
        <v>66.599999999999994</v>
      </c>
      <c r="B669" s="27">
        <v>0.89780000000000004</v>
      </c>
      <c r="C669" s="11">
        <f t="shared" si="40"/>
        <v>-2.3999999999999751E-3</v>
      </c>
      <c r="D669" s="12">
        <f t="shared" si="41"/>
        <v>1.0576399999999984</v>
      </c>
      <c r="E669" s="18">
        <v>66.599999999999994</v>
      </c>
      <c r="F669" s="27">
        <v>0.89861000000000002</v>
      </c>
      <c r="G669" s="11">
        <f t="shared" si="42"/>
        <v>-2.3999999999999751E-3</v>
      </c>
      <c r="H669" s="12">
        <f t="shared" si="43"/>
        <v>1.0584499999999983</v>
      </c>
    </row>
    <row r="670" spans="1:8" ht="14.25" thickBot="1">
      <c r="A670" s="18">
        <v>66.7</v>
      </c>
      <c r="B670" s="27">
        <v>0.89756000000000002</v>
      </c>
      <c r="C670" s="11">
        <f t="shared" si="40"/>
        <v>-2.4000000000003159E-3</v>
      </c>
      <c r="D670" s="12">
        <f t="shared" si="41"/>
        <v>1.057640000000021</v>
      </c>
      <c r="E670" s="18">
        <v>66.7</v>
      </c>
      <c r="F670" s="27">
        <v>0.89837</v>
      </c>
      <c r="G670" s="11">
        <f t="shared" si="42"/>
        <v>-2.4000000000003159E-3</v>
      </c>
      <c r="H670" s="12">
        <f t="shared" si="43"/>
        <v>1.058450000000021</v>
      </c>
    </row>
    <row r="671" spans="1:8" ht="14.25" thickBot="1">
      <c r="A671" s="18">
        <v>66.8</v>
      </c>
      <c r="B671" s="27">
        <v>0.89732000000000001</v>
      </c>
      <c r="C671" s="11">
        <f t="shared" si="40"/>
        <v>-2.2999999999993286E-3</v>
      </c>
      <c r="D671" s="12">
        <f t="shared" si="41"/>
        <v>1.050959999999955</v>
      </c>
      <c r="E671" s="18">
        <v>66.8</v>
      </c>
      <c r="F671" s="27">
        <v>0.89812999999999998</v>
      </c>
      <c r="G671" s="11">
        <f t="shared" si="42"/>
        <v>-2.2999999999993286E-3</v>
      </c>
      <c r="H671" s="12">
        <f t="shared" si="43"/>
        <v>1.051769999999955</v>
      </c>
    </row>
    <row r="672" spans="1:8" ht="14.25" thickBot="1">
      <c r="A672" s="18">
        <v>66.900000000000006</v>
      </c>
      <c r="B672" s="27">
        <v>0.89709000000000005</v>
      </c>
      <c r="C672" s="11">
        <f t="shared" si="40"/>
        <v>-2.4000000000003159E-3</v>
      </c>
      <c r="D672" s="12">
        <f t="shared" si="41"/>
        <v>1.0576500000000213</v>
      </c>
      <c r="E672" s="18">
        <v>66.900000000000006</v>
      </c>
      <c r="F672" s="27">
        <v>0.89790000000000003</v>
      </c>
      <c r="G672" s="11">
        <f t="shared" si="42"/>
        <v>-2.4000000000003159E-3</v>
      </c>
      <c r="H672" s="12">
        <f t="shared" si="43"/>
        <v>1.0584600000000213</v>
      </c>
    </row>
    <row r="673" spans="1:8" ht="14.25" thickBot="1">
      <c r="A673" s="9">
        <v>67</v>
      </c>
      <c r="B673" s="19">
        <v>0.89685000000000004</v>
      </c>
      <c r="C673" s="11">
        <f t="shared" si="40"/>
        <v>-2.4000000000003159E-3</v>
      </c>
      <c r="D673" s="12">
        <f t="shared" si="41"/>
        <v>1.0576500000000213</v>
      </c>
      <c r="E673" s="9">
        <v>67</v>
      </c>
      <c r="F673" s="19">
        <v>0.89766000000000001</v>
      </c>
      <c r="G673" s="11">
        <f t="shared" si="42"/>
        <v>-2.4000000000003159E-3</v>
      </c>
      <c r="H673" s="12">
        <f t="shared" si="43"/>
        <v>1.0584600000000213</v>
      </c>
    </row>
    <row r="674" spans="1:8" ht="14.25" thickBot="1">
      <c r="A674" s="18">
        <v>67.099999999999994</v>
      </c>
      <c r="B674" s="27">
        <v>0.89661000000000002</v>
      </c>
      <c r="C674" s="11">
        <f t="shared" si="40"/>
        <v>-2.3999999999999751E-3</v>
      </c>
      <c r="D674" s="12">
        <f t="shared" si="41"/>
        <v>1.0576499999999984</v>
      </c>
      <c r="E674" s="18">
        <v>67.099999999999994</v>
      </c>
      <c r="F674" s="27">
        <v>0.89742</v>
      </c>
      <c r="G674" s="11">
        <f t="shared" si="42"/>
        <v>-2.3999999999999751E-3</v>
      </c>
      <c r="H674" s="12">
        <f t="shared" si="43"/>
        <v>1.0584599999999984</v>
      </c>
    </row>
    <row r="675" spans="1:8" ht="14.25" thickBot="1">
      <c r="A675" s="18">
        <v>67.2</v>
      </c>
      <c r="B675" s="27">
        <v>0.89637</v>
      </c>
      <c r="C675" s="11">
        <f t="shared" si="40"/>
        <v>-2.4000000000003159E-3</v>
      </c>
      <c r="D675" s="12">
        <f t="shared" si="41"/>
        <v>1.0576500000000213</v>
      </c>
      <c r="E675" s="18">
        <v>67.2</v>
      </c>
      <c r="F675" s="27">
        <v>0.89717999999999998</v>
      </c>
      <c r="G675" s="11">
        <f t="shared" si="42"/>
        <v>-2.4000000000003159E-3</v>
      </c>
      <c r="H675" s="12">
        <f t="shared" si="43"/>
        <v>1.0584600000000213</v>
      </c>
    </row>
    <row r="676" spans="1:8" ht="14.25" thickBot="1">
      <c r="A676" s="18">
        <v>67.3</v>
      </c>
      <c r="B676" s="27">
        <v>0.89612999999999998</v>
      </c>
      <c r="C676" s="11">
        <f t="shared" si="40"/>
        <v>-2.3999999999999751E-3</v>
      </c>
      <c r="D676" s="12">
        <f t="shared" si="41"/>
        <v>1.0576499999999982</v>
      </c>
      <c r="E676" s="18">
        <v>67.3</v>
      </c>
      <c r="F676" s="27">
        <v>0.89693999999999996</v>
      </c>
      <c r="G676" s="11">
        <f t="shared" si="42"/>
        <v>-2.3999999999988648E-3</v>
      </c>
      <c r="H676" s="12">
        <f t="shared" si="43"/>
        <v>1.0584599999999236</v>
      </c>
    </row>
    <row r="677" spans="1:8" ht="14.25" thickBot="1">
      <c r="A677" s="18">
        <v>67.400000000000006</v>
      </c>
      <c r="B677" s="27">
        <v>0.89588999999999996</v>
      </c>
      <c r="C677" s="11">
        <f t="shared" si="40"/>
        <v>-2.4000000000003159E-3</v>
      </c>
      <c r="D677" s="12">
        <f t="shared" si="41"/>
        <v>1.0576500000000213</v>
      </c>
      <c r="E677" s="18">
        <v>67.400000000000006</v>
      </c>
      <c r="F677" s="27">
        <v>0.89670000000000005</v>
      </c>
      <c r="G677" s="11">
        <f t="shared" si="42"/>
        <v>-2.4000000000003159E-3</v>
      </c>
      <c r="H677" s="12">
        <f t="shared" si="43"/>
        <v>1.0584600000000213</v>
      </c>
    </row>
    <row r="678" spans="1:8" ht="14.25" thickBot="1">
      <c r="A678" s="18">
        <v>67.5</v>
      </c>
      <c r="B678" s="27">
        <v>0.89564999999999995</v>
      </c>
      <c r="C678" s="11">
        <f t="shared" si="40"/>
        <v>-2.3999999999992057E-3</v>
      </c>
      <c r="D678" s="12">
        <f t="shared" si="41"/>
        <v>1.0576499999999462</v>
      </c>
      <c r="E678" s="18">
        <v>67.5</v>
      </c>
      <c r="F678" s="27">
        <v>0.89646000000000003</v>
      </c>
      <c r="G678" s="11">
        <f t="shared" si="42"/>
        <v>-2.4000000000003159E-3</v>
      </c>
      <c r="H678" s="12">
        <f t="shared" si="43"/>
        <v>1.0584600000000213</v>
      </c>
    </row>
    <row r="679" spans="1:8" ht="14.25" thickBot="1">
      <c r="A679" s="18">
        <v>67.599999999999994</v>
      </c>
      <c r="B679" s="27">
        <v>0.89541000000000004</v>
      </c>
      <c r="C679" s="11">
        <f t="shared" si="40"/>
        <v>-2.3999999999999751E-3</v>
      </c>
      <c r="D679" s="12">
        <f t="shared" si="41"/>
        <v>1.0576499999999984</v>
      </c>
      <c r="E679" s="18">
        <v>67.599999999999994</v>
      </c>
      <c r="F679" s="27">
        <v>0.89622000000000002</v>
      </c>
      <c r="G679" s="11">
        <f t="shared" si="42"/>
        <v>-2.3999999999999751E-3</v>
      </c>
      <c r="H679" s="12">
        <f t="shared" si="43"/>
        <v>1.0584599999999984</v>
      </c>
    </row>
    <row r="680" spans="1:8" ht="14.25" thickBot="1">
      <c r="A680" s="18">
        <v>67.7</v>
      </c>
      <c r="B680" s="27">
        <v>0.89517000000000002</v>
      </c>
      <c r="C680" s="11">
        <f t="shared" si="40"/>
        <v>-2.4000000000003159E-3</v>
      </c>
      <c r="D680" s="12">
        <f t="shared" si="41"/>
        <v>1.0576500000000215</v>
      </c>
      <c r="E680" s="18">
        <v>67.7</v>
      </c>
      <c r="F680" s="27">
        <v>0.89598</v>
      </c>
      <c r="G680" s="11">
        <f t="shared" si="42"/>
        <v>-2.4000000000003159E-3</v>
      </c>
      <c r="H680" s="12">
        <f t="shared" si="43"/>
        <v>1.0584600000000215</v>
      </c>
    </row>
    <row r="681" spans="1:8" ht="14.25" thickBot="1">
      <c r="A681" s="18">
        <v>67.8</v>
      </c>
      <c r="B681" s="27">
        <v>0.89493</v>
      </c>
      <c r="C681" s="11">
        <f t="shared" si="40"/>
        <v>-2.3999999999999751E-3</v>
      </c>
      <c r="D681" s="12">
        <f t="shared" si="41"/>
        <v>1.0576499999999982</v>
      </c>
      <c r="E681" s="18">
        <v>67.8</v>
      </c>
      <c r="F681" s="27">
        <v>0.89573999999999998</v>
      </c>
      <c r="G681" s="11">
        <f t="shared" si="42"/>
        <v>-2.3999999999999751E-3</v>
      </c>
      <c r="H681" s="12">
        <f t="shared" si="43"/>
        <v>1.0584599999999982</v>
      </c>
    </row>
    <row r="682" spans="1:8" ht="14.25" thickBot="1">
      <c r="A682" s="18">
        <v>67.900000000000006</v>
      </c>
      <c r="B682" s="27">
        <v>0.89468999999999999</v>
      </c>
      <c r="C682" s="11">
        <f t="shared" si="40"/>
        <v>-2.4000000000003159E-3</v>
      </c>
      <c r="D682" s="12">
        <f t="shared" si="41"/>
        <v>1.0576500000000215</v>
      </c>
      <c r="E682" s="18">
        <v>67.900000000000006</v>
      </c>
      <c r="F682" s="27">
        <v>0.89549999999999996</v>
      </c>
      <c r="G682" s="11">
        <f t="shared" si="42"/>
        <v>-2.4000000000003159E-3</v>
      </c>
      <c r="H682" s="12">
        <f t="shared" si="43"/>
        <v>1.0584600000000215</v>
      </c>
    </row>
    <row r="683" spans="1:8" ht="14.25" thickBot="1">
      <c r="A683" s="9">
        <v>68</v>
      </c>
      <c r="B683" s="19">
        <v>0.89444999999999997</v>
      </c>
      <c r="C683" s="11">
        <f t="shared" si="40"/>
        <v>-2.4999999999998665E-3</v>
      </c>
      <c r="D683" s="12">
        <f t="shared" si="41"/>
        <v>1.064449999999991</v>
      </c>
      <c r="E683" s="9">
        <v>68</v>
      </c>
      <c r="F683" s="19">
        <v>0.89525999999999994</v>
      </c>
      <c r="G683" s="11">
        <f t="shared" si="42"/>
        <v>-2.4999999999998665E-3</v>
      </c>
      <c r="H683" s="12">
        <f t="shared" si="43"/>
        <v>1.065259999999991</v>
      </c>
    </row>
    <row r="684" spans="1:8" ht="14.25" thickBot="1">
      <c r="A684" s="18">
        <v>68.099999999999994</v>
      </c>
      <c r="B684" s="27">
        <v>0.89419999999999999</v>
      </c>
      <c r="C684" s="11">
        <f t="shared" si="40"/>
        <v>-2.3999999999999751E-3</v>
      </c>
      <c r="D684" s="12">
        <f t="shared" si="41"/>
        <v>1.0576399999999984</v>
      </c>
      <c r="E684" s="18">
        <v>68.099999999999994</v>
      </c>
      <c r="F684" s="27">
        <v>0.89500999999999997</v>
      </c>
      <c r="G684" s="11">
        <f t="shared" si="42"/>
        <v>-2.3999999999999751E-3</v>
      </c>
      <c r="H684" s="12">
        <f t="shared" si="43"/>
        <v>1.0584499999999983</v>
      </c>
    </row>
    <row r="685" spans="1:8" ht="14.25" thickBot="1">
      <c r="A685" s="18">
        <v>68.2</v>
      </c>
      <c r="B685" s="27">
        <v>0.89395999999999998</v>
      </c>
      <c r="C685" s="11">
        <f t="shared" si="40"/>
        <v>-2.4000000000003159E-3</v>
      </c>
      <c r="D685" s="12">
        <f t="shared" si="41"/>
        <v>1.0576400000000215</v>
      </c>
      <c r="E685" s="18">
        <v>68.2</v>
      </c>
      <c r="F685" s="27">
        <v>0.89476999999999995</v>
      </c>
      <c r="G685" s="11">
        <f t="shared" si="42"/>
        <v>-2.3999999999992057E-3</v>
      </c>
      <c r="H685" s="12">
        <f t="shared" si="43"/>
        <v>1.0584499999999457</v>
      </c>
    </row>
    <row r="686" spans="1:8" ht="14.25" thickBot="1">
      <c r="A686" s="18">
        <v>68.3</v>
      </c>
      <c r="B686" s="27">
        <v>0.89371999999999996</v>
      </c>
      <c r="C686" s="11">
        <f t="shared" si="40"/>
        <v>-2.3999999999988648E-3</v>
      </c>
      <c r="D686" s="12">
        <f t="shared" si="41"/>
        <v>1.0576399999999224</v>
      </c>
      <c r="E686" s="18">
        <v>68.3</v>
      </c>
      <c r="F686" s="27">
        <v>0.89453000000000005</v>
      </c>
      <c r="G686" s="11">
        <f t="shared" si="42"/>
        <v>-2.5000000000006215E-3</v>
      </c>
      <c r="H686" s="12">
        <f t="shared" si="43"/>
        <v>1.0652800000000424</v>
      </c>
    </row>
    <row r="687" spans="1:8" ht="14.25" thickBot="1">
      <c r="A687" s="18">
        <v>68.400000000000006</v>
      </c>
      <c r="B687" s="27">
        <v>0.89348000000000005</v>
      </c>
      <c r="C687" s="11">
        <f t="shared" si="40"/>
        <v>-2.5000000000009767E-3</v>
      </c>
      <c r="D687" s="12">
        <f t="shared" si="41"/>
        <v>1.0644800000000669</v>
      </c>
      <c r="E687" s="18">
        <v>68.400000000000006</v>
      </c>
      <c r="F687" s="27">
        <v>0.89427999999999996</v>
      </c>
      <c r="G687" s="11">
        <f t="shared" si="42"/>
        <v>-2.4999999999998665E-3</v>
      </c>
      <c r="H687" s="12">
        <f t="shared" si="43"/>
        <v>1.0652799999999909</v>
      </c>
    </row>
    <row r="688" spans="1:8" ht="14.25" thickBot="1">
      <c r="A688" s="18">
        <v>68.5</v>
      </c>
      <c r="B688" s="27">
        <v>0.89322999999999997</v>
      </c>
      <c r="C688" s="11">
        <f t="shared" si="40"/>
        <v>-2.4000000000003159E-3</v>
      </c>
      <c r="D688" s="12">
        <f t="shared" si="41"/>
        <v>1.0576300000000216</v>
      </c>
      <c r="E688" s="18">
        <v>68.5</v>
      </c>
      <c r="F688" s="27">
        <v>0.89402999999999999</v>
      </c>
      <c r="G688" s="11">
        <f t="shared" si="42"/>
        <v>-2.4000000000003159E-3</v>
      </c>
      <c r="H688" s="12">
        <f t="shared" si="43"/>
        <v>1.0584300000000217</v>
      </c>
    </row>
    <row r="689" spans="1:8" ht="14.25" thickBot="1">
      <c r="A689" s="18">
        <v>68.599999999999994</v>
      </c>
      <c r="B689" s="27">
        <v>0.89298999999999995</v>
      </c>
      <c r="C689" s="11">
        <f t="shared" si="40"/>
        <v>-2.3999999999988648E-3</v>
      </c>
      <c r="D689" s="12">
        <f t="shared" si="41"/>
        <v>1.0576299999999221</v>
      </c>
      <c r="E689" s="18">
        <v>68.599999999999994</v>
      </c>
      <c r="F689" s="27">
        <v>0.89378999999999997</v>
      </c>
      <c r="G689" s="11">
        <f t="shared" si="42"/>
        <v>-2.3999999999999751E-3</v>
      </c>
      <c r="H689" s="12">
        <f t="shared" si="43"/>
        <v>1.0584299999999982</v>
      </c>
    </row>
    <row r="690" spans="1:8" ht="14.25" thickBot="1">
      <c r="A690" s="18">
        <v>68.7</v>
      </c>
      <c r="B690" s="27">
        <v>0.89275000000000004</v>
      </c>
      <c r="C690" s="11">
        <f t="shared" si="40"/>
        <v>-2.5000000000009767E-3</v>
      </c>
      <c r="D690" s="12">
        <f t="shared" si="41"/>
        <v>1.0645000000000671</v>
      </c>
      <c r="E690" s="18">
        <v>68.7</v>
      </c>
      <c r="F690" s="27">
        <v>0.89354999999999996</v>
      </c>
      <c r="G690" s="11">
        <f t="shared" si="42"/>
        <v>-2.4999999999998665E-3</v>
      </c>
      <c r="H690" s="12">
        <f t="shared" si="43"/>
        <v>1.0652999999999908</v>
      </c>
    </row>
    <row r="691" spans="1:8" ht="14.25" thickBot="1">
      <c r="A691" s="18">
        <v>68.8</v>
      </c>
      <c r="B691" s="27">
        <v>0.89249999999999996</v>
      </c>
      <c r="C691" s="11">
        <f t="shared" si="40"/>
        <v>-2.3999999999988648E-3</v>
      </c>
      <c r="D691" s="12">
        <f t="shared" si="41"/>
        <v>1.0576199999999218</v>
      </c>
      <c r="E691" s="18">
        <v>68.8</v>
      </c>
      <c r="F691" s="27">
        <v>0.89329999999999998</v>
      </c>
      <c r="G691" s="11">
        <f t="shared" si="42"/>
        <v>-2.3999999999999751E-3</v>
      </c>
      <c r="H691" s="12">
        <f t="shared" si="43"/>
        <v>1.0584199999999981</v>
      </c>
    </row>
    <row r="692" spans="1:8" ht="14.25" thickBot="1">
      <c r="A692" s="18">
        <v>68.900000000000006</v>
      </c>
      <c r="B692" s="27">
        <v>0.89226000000000005</v>
      </c>
      <c r="C692" s="11">
        <f t="shared" si="40"/>
        <v>-2.4000000000003159E-3</v>
      </c>
      <c r="D692" s="12">
        <f t="shared" si="41"/>
        <v>1.0576200000000218</v>
      </c>
      <c r="E692" s="18">
        <v>68.900000000000006</v>
      </c>
      <c r="F692" s="27">
        <v>0.89305999999999996</v>
      </c>
      <c r="G692" s="11">
        <f t="shared" si="42"/>
        <v>-2.4000000000003159E-3</v>
      </c>
      <c r="H692" s="12">
        <f t="shared" si="43"/>
        <v>1.0584200000000217</v>
      </c>
    </row>
    <row r="693" spans="1:8" ht="14.25" thickBot="1">
      <c r="A693" s="9">
        <v>69</v>
      </c>
      <c r="B693" s="19">
        <v>0.89202000000000004</v>
      </c>
      <c r="C693" s="11">
        <f t="shared" si="40"/>
        <v>-2.5000000000009767E-3</v>
      </c>
      <c r="D693" s="12">
        <f t="shared" si="41"/>
        <v>1.0645200000000674</v>
      </c>
      <c r="E693" s="9">
        <v>69</v>
      </c>
      <c r="F693" s="19">
        <v>0.89281999999999995</v>
      </c>
      <c r="G693" s="11">
        <f t="shared" si="42"/>
        <v>-2.4999999999998665E-3</v>
      </c>
      <c r="H693" s="12">
        <f t="shared" si="43"/>
        <v>1.0653199999999907</v>
      </c>
    </row>
    <row r="694" spans="1:8" ht="14.25" thickBot="1">
      <c r="A694" s="18">
        <v>69.099999999999994</v>
      </c>
      <c r="B694" s="27">
        <v>0.89176999999999995</v>
      </c>
      <c r="C694" s="11">
        <f t="shared" si="40"/>
        <v>-2.3999999999988648E-3</v>
      </c>
      <c r="D694" s="12">
        <f t="shared" si="41"/>
        <v>1.0576099999999216</v>
      </c>
      <c r="E694" s="18">
        <v>69.099999999999994</v>
      </c>
      <c r="F694" s="27">
        <v>0.89256999999999997</v>
      </c>
      <c r="G694" s="11">
        <f t="shared" si="42"/>
        <v>-2.3999999999999751E-3</v>
      </c>
      <c r="H694" s="12">
        <f t="shared" si="43"/>
        <v>1.0584099999999983</v>
      </c>
    </row>
    <row r="695" spans="1:8" ht="14.25" thickBot="1">
      <c r="A695" s="18">
        <v>69.2</v>
      </c>
      <c r="B695" s="27">
        <v>0.89153000000000004</v>
      </c>
      <c r="C695" s="11">
        <f t="shared" si="40"/>
        <v>-2.5000000000009767E-3</v>
      </c>
      <c r="D695" s="12">
        <f t="shared" si="41"/>
        <v>1.0645300000000677</v>
      </c>
      <c r="E695" s="18">
        <v>69.2</v>
      </c>
      <c r="F695" s="27">
        <v>0.89232999999999996</v>
      </c>
      <c r="G695" s="11">
        <f t="shared" si="42"/>
        <v>-2.4999999999998665E-3</v>
      </c>
      <c r="H695" s="12">
        <f t="shared" si="43"/>
        <v>1.0653299999999906</v>
      </c>
    </row>
    <row r="696" spans="1:8" ht="14.25" thickBot="1">
      <c r="A696" s="18">
        <v>69.3</v>
      </c>
      <c r="B696" s="27">
        <v>0.89127999999999996</v>
      </c>
      <c r="C696" s="11">
        <f t="shared" si="40"/>
        <v>-2.3999999999988648E-3</v>
      </c>
      <c r="D696" s="12">
        <f t="shared" si="41"/>
        <v>1.0575999999999213</v>
      </c>
      <c r="E696" s="18">
        <v>69.3</v>
      </c>
      <c r="F696" s="27">
        <v>0.89207999999999998</v>
      </c>
      <c r="G696" s="11">
        <f t="shared" si="42"/>
        <v>-2.3999999999999751E-3</v>
      </c>
      <c r="H696" s="12">
        <f t="shared" si="43"/>
        <v>1.0583999999999982</v>
      </c>
    </row>
    <row r="697" spans="1:8" ht="14.25" thickBot="1">
      <c r="A697" s="18">
        <v>69.400000000000006</v>
      </c>
      <c r="B697" s="27">
        <v>0.89104000000000005</v>
      </c>
      <c r="C697" s="11">
        <f t="shared" si="40"/>
        <v>-2.5000000000009767E-3</v>
      </c>
      <c r="D697" s="12">
        <f t="shared" si="41"/>
        <v>1.0645400000000678</v>
      </c>
      <c r="E697" s="18">
        <v>69.400000000000006</v>
      </c>
      <c r="F697" s="27">
        <v>0.89183999999999997</v>
      </c>
      <c r="G697" s="11">
        <f t="shared" si="42"/>
        <v>-2.4999999999998665E-3</v>
      </c>
      <c r="H697" s="12">
        <f t="shared" si="43"/>
        <v>1.0653399999999908</v>
      </c>
    </row>
    <row r="698" spans="1:8" ht="14.25" thickBot="1">
      <c r="A698" s="18">
        <v>69.5</v>
      </c>
      <c r="B698" s="27">
        <v>0.89078999999999997</v>
      </c>
      <c r="C698" s="11">
        <f t="shared" si="40"/>
        <v>-2.4000000000003159E-3</v>
      </c>
      <c r="D698" s="12">
        <f t="shared" si="41"/>
        <v>1.057590000000022</v>
      </c>
      <c r="E698" s="18">
        <v>69.5</v>
      </c>
      <c r="F698" s="27">
        <v>0.89158999999999999</v>
      </c>
      <c r="G698" s="11">
        <f t="shared" si="42"/>
        <v>-2.4000000000003159E-3</v>
      </c>
      <c r="H698" s="12">
        <f t="shared" si="43"/>
        <v>1.0583900000000219</v>
      </c>
    </row>
    <row r="699" spans="1:8" ht="14.25" thickBot="1">
      <c r="A699" s="18">
        <v>69.599999999999994</v>
      </c>
      <c r="B699" s="27">
        <v>0.89054999999999995</v>
      </c>
      <c r="C699" s="11">
        <f t="shared" si="40"/>
        <v>-2.4999999999995113E-3</v>
      </c>
      <c r="D699" s="12">
        <f t="shared" si="41"/>
        <v>1.0645499999999659</v>
      </c>
      <c r="E699" s="18">
        <v>69.599999999999994</v>
      </c>
      <c r="F699" s="27">
        <v>0.89134999999999998</v>
      </c>
      <c r="G699" s="11">
        <f t="shared" si="42"/>
        <v>-2.4999999999995117E-3</v>
      </c>
      <c r="H699" s="12">
        <f t="shared" si="43"/>
        <v>1.0653499999999658</v>
      </c>
    </row>
    <row r="700" spans="1:8" ht="14.25" thickBot="1">
      <c r="A700" s="18">
        <v>69.7</v>
      </c>
      <c r="B700" s="27">
        <v>0.89029999999999998</v>
      </c>
      <c r="C700" s="11">
        <f t="shared" si="40"/>
        <v>-2.4999999999998665E-3</v>
      </c>
      <c r="D700" s="12">
        <f t="shared" si="41"/>
        <v>1.0645499999999906</v>
      </c>
      <c r="E700" s="18">
        <v>69.7</v>
      </c>
      <c r="F700" s="27">
        <v>0.8911</v>
      </c>
      <c r="G700" s="11">
        <f t="shared" si="42"/>
        <v>-2.4999999999998665E-3</v>
      </c>
      <c r="H700" s="12">
        <f t="shared" si="43"/>
        <v>1.0653499999999907</v>
      </c>
    </row>
    <row r="701" spans="1:8" ht="14.25" thickBot="1">
      <c r="A701" s="18">
        <v>69.8</v>
      </c>
      <c r="B701" s="27">
        <v>0.89005000000000001</v>
      </c>
      <c r="C701" s="11">
        <f t="shared" si="40"/>
        <v>-2.3999999999999751E-3</v>
      </c>
      <c r="D701" s="12">
        <f t="shared" si="41"/>
        <v>1.0575699999999983</v>
      </c>
      <c r="E701" s="18">
        <v>69.8</v>
      </c>
      <c r="F701" s="27">
        <v>0.89085000000000003</v>
      </c>
      <c r="G701" s="11">
        <f t="shared" si="42"/>
        <v>-2.3999999999999751E-3</v>
      </c>
      <c r="H701" s="12">
        <f t="shared" si="43"/>
        <v>1.0583699999999983</v>
      </c>
    </row>
    <row r="702" spans="1:8" ht="14.25" thickBot="1">
      <c r="A702" s="18">
        <v>69.900000000000006</v>
      </c>
      <c r="B702" s="27">
        <v>0.88980999999999999</v>
      </c>
      <c r="C702" s="11">
        <f t="shared" si="40"/>
        <v>-2.4999999999998665E-3</v>
      </c>
      <c r="D702" s="12">
        <f t="shared" si="41"/>
        <v>1.0645599999999908</v>
      </c>
      <c r="E702" s="18">
        <v>69.900000000000006</v>
      </c>
      <c r="F702" s="27">
        <v>0.89061000000000001</v>
      </c>
      <c r="G702" s="11">
        <f t="shared" si="42"/>
        <v>-2.4999999999998665E-3</v>
      </c>
      <c r="H702" s="12">
        <f t="shared" si="43"/>
        <v>1.0653599999999908</v>
      </c>
    </row>
    <row r="703" spans="1:8" ht="14.25" thickBot="1">
      <c r="A703" s="9">
        <v>70</v>
      </c>
      <c r="B703" s="19">
        <v>0.88956000000000002</v>
      </c>
      <c r="C703" s="11">
        <f t="shared" si="40"/>
        <v>-2.4999999999998665E-3</v>
      </c>
      <c r="D703" s="12">
        <f t="shared" si="41"/>
        <v>1.0645599999999906</v>
      </c>
      <c r="E703" s="9">
        <v>70</v>
      </c>
      <c r="F703" s="19">
        <v>0.89036000000000004</v>
      </c>
      <c r="G703" s="11">
        <f t="shared" si="42"/>
        <v>-2.5000000000009767E-3</v>
      </c>
      <c r="H703" s="12">
        <f t="shared" si="43"/>
        <v>1.0653600000000685</v>
      </c>
    </row>
    <row r="704" spans="1:8" ht="14.25" thickBot="1">
      <c r="A704" s="18">
        <v>70.099999999999994</v>
      </c>
      <c r="B704" s="27">
        <v>0.88931000000000004</v>
      </c>
      <c r="C704" s="11">
        <f t="shared" si="40"/>
        <v>-2.3999999999999751E-3</v>
      </c>
      <c r="D704" s="12">
        <f t="shared" si="41"/>
        <v>1.0575499999999982</v>
      </c>
      <c r="E704" s="18">
        <v>70.099999999999994</v>
      </c>
      <c r="F704" s="27">
        <v>0.89010999999999996</v>
      </c>
      <c r="G704" s="11">
        <f t="shared" si="42"/>
        <v>-2.3999999999988648E-3</v>
      </c>
      <c r="H704" s="12">
        <f t="shared" si="43"/>
        <v>1.0583499999999204</v>
      </c>
    </row>
    <row r="705" spans="1:8" ht="14.25" thickBot="1">
      <c r="A705" s="18">
        <v>70.2</v>
      </c>
      <c r="B705" s="27">
        <v>0.88907000000000003</v>
      </c>
      <c r="C705" s="11">
        <f t="shared" si="40"/>
        <v>-2.4999999999998665E-3</v>
      </c>
      <c r="D705" s="12">
        <f t="shared" si="41"/>
        <v>1.0645699999999907</v>
      </c>
      <c r="E705" s="18">
        <v>70.2</v>
      </c>
      <c r="F705" s="27">
        <v>0.88987000000000005</v>
      </c>
      <c r="G705" s="11">
        <f t="shared" si="42"/>
        <v>-2.5000000000009767E-3</v>
      </c>
      <c r="H705" s="12">
        <f t="shared" si="43"/>
        <v>1.0653700000000685</v>
      </c>
    </row>
    <row r="706" spans="1:8" ht="14.25" thickBot="1">
      <c r="A706" s="18">
        <v>70.3</v>
      </c>
      <c r="B706" s="27">
        <v>0.88882000000000005</v>
      </c>
      <c r="C706" s="11">
        <f t="shared" si="40"/>
        <v>-2.5000000000006215E-3</v>
      </c>
      <c r="D706" s="12">
        <f t="shared" si="41"/>
        <v>1.0645700000000438</v>
      </c>
      <c r="E706" s="18">
        <v>70.3</v>
      </c>
      <c r="F706" s="27">
        <v>0.88961999999999997</v>
      </c>
      <c r="G706" s="11">
        <f t="shared" si="42"/>
        <v>-2.4999999999995113E-3</v>
      </c>
      <c r="H706" s="12">
        <f t="shared" si="43"/>
        <v>1.0653699999999655</v>
      </c>
    </row>
    <row r="707" spans="1:8" ht="14.25" thickBot="1">
      <c r="A707" s="18">
        <v>70.400000000000006</v>
      </c>
      <c r="B707" s="27">
        <v>0.88856999999999997</v>
      </c>
      <c r="C707" s="11">
        <f t="shared" si="40"/>
        <v>-2.4999999999998665E-3</v>
      </c>
      <c r="D707" s="12">
        <f t="shared" si="41"/>
        <v>1.0645699999999905</v>
      </c>
      <c r="E707" s="18">
        <v>70.400000000000006</v>
      </c>
      <c r="F707" s="27">
        <v>0.88936999999999999</v>
      </c>
      <c r="G707" s="11">
        <f t="shared" si="42"/>
        <v>-2.4999999999998665E-3</v>
      </c>
      <c r="H707" s="12">
        <f t="shared" si="43"/>
        <v>1.0653699999999906</v>
      </c>
    </row>
    <row r="708" spans="1:8" ht="14.25" thickBot="1">
      <c r="A708" s="18">
        <v>70.5</v>
      </c>
      <c r="B708" s="27">
        <v>0.88832</v>
      </c>
      <c r="C708" s="11">
        <f t="shared" ref="C708:C771" si="44">SLOPE(B708:B709,A708:A709)</f>
        <v>-2.4000000000003159E-3</v>
      </c>
      <c r="D708" s="12">
        <f t="shared" ref="D708:D771" si="45">INTERCEPT(B708:B709,A708:A709)</f>
        <v>1.0575200000000222</v>
      </c>
      <c r="E708" s="18">
        <v>70.5</v>
      </c>
      <c r="F708" s="27">
        <v>0.88912000000000002</v>
      </c>
      <c r="G708" s="11">
        <f t="shared" ref="G708:G771" si="46">SLOPE(F708:F709,E708:E709)</f>
        <v>-2.4000000000003159E-3</v>
      </c>
      <c r="H708" s="12">
        <f t="shared" ref="H708:H771" si="47">INTERCEPT(F708:F709,E708:E709)</f>
        <v>1.0583200000000224</v>
      </c>
    </row>
    <row r="709" spans="1:8" ht="14.25" thickBot="1">
      <c r="A709" s="18">
        <v>70.599999999999994</v>
      </c>
      <c r="B709" s="27">
        <v>0.88807999999999998</v>
      </c>
      <c r="C709" s="11">
        <f t="shared" si="44"/>
        <v>-2.4999999999995113E-3</v>
      </c>
      <c r="D709" s="12">
        <f t="shared" si="45"/>
        <v>1.0645799999999654</v>
      </c>
      <c r="E709" s="18">
        <v>70.599999999999994</v>
      </c>
      <c r="F709" s="27">
        <v>0.88888</v>
      </c>
      <c r="G709" s="11">
        <f t="shared" si="46"/>
        <v>-2.4999999999995117E-3</v>
      </c>
      <c r="H709" s="12">
        <f t="shared" si="47"/>
        <v>1.0653799999999656</v>
      </c>
    </row>
    <row r="710" spans="1:8" ht="14.25" thickBot="1">
      <c r="A710" s="18">
        <v>70.7</v>
      </c>
      <c r="B710" s="27">
        <v>0.88783000000000001</v>
      </c>
      <c r="C710" s="11">
        <f t="shared" si="44"/>
        <v>-2.4999999999998665E-3</v>
      </c>
      <c r="D710" s="12">
        <f t="shared" si="45"/>
        <v>1.0645799999999905</v>
      </c>
      <c r="E710" s="18">
        <v>70.7</v>
      </c>
      <c r="F710" s="27">
        <v>0.88863000000000003</v>
      </c>
      <c r="G710" s="11">
        <f t="shared" si="46"/>
        <v>-2.5000000000009767E-3</v>
      </c>
      <c r="H710" s="12">
        <f t="shared" si="47"/>
        <v>1.065380000000069</v>
      </c>
    </row>
    <row r="711" spans="1:8" ht="14.25" thickBot="1">
      <c r="A711" s="18">
        <v>70.8</v>
      </c>
      <c r="B711" s="27">
        <v>0.88758000000000004</v>
      </c>
      <c r="C711" s="11">
        <f t="shared" si="44"/>
        <v>-2.5000000000006215E-3</v>
      </c>
      <c r="D711" s="12">
        <f t="shared" si="45"/>
        <v>1.064580000000044</v>
      </c>
      <c r="E711" s="18">
        <v>70.8</v>
      </c>
      <c r="F711" s="27">
        <v>0.88837999999999995</v>
      </c>
      <c r="G711" s="11">
        <f t="shared" si="46"/>
        <v>-2.4999999999995117E-3</v>
      </c>
      <c r="H711" s="12">
        <f t="shared" si="47"/>
        <v>1.0653799999999654</v>
      </c>
    </row>
    <row r="712" spans="1:8" ht="14.25" thickBot="1">
      <c r="A712" s="18">
        <v>70.900000000000006</v>
      </c>
      <c r="B712" s="27">
        <v>0.88732999999999995</v>
      </c>
      <c r="C712" s="11">
        <f t="shared" si="44"/>
        <v>-2.4999999999998665E-3</v>
      </c>
      <c r="D712" s="12">
        <f t="shared" si="45"/>
        <v>1.0645799999999905</v>
      </c>
      <c r="E712" s="18">
        <v>70.900000000000006</v>
      </c>
      <c r="F712" s="27">
        <v>0.88812999999999998</v>
      </c>
      <c r="G712" s="11">
        <f t="shared" si="46"/>
        <v>-2.4999999999998665E-3</v>
      </c>
      <c r="H712" s="12">
        <f t="shared" si="47"/>
        <v>1.0653799999999904</v>
      </c>
    </row>
    <row r="713" spans="1:8" ht="14.25" thickBot="1">
      <c r="A713" s="9">
        <v>71</v>
      </c>
      <c r="B713" s="19">
        <v>0.88707999999999998</v>
      </c>
      <c r="C713" s="11">
        <f t="shared" si="44"/>
        <v>-2.4999999999998665E-3</v>
      </c>
      <c r="D713" s="12">
        <f t="shared" si="45"/>
        <v>1.0645799999999905</v>
      </c>
      <c r="E713" s="9">
        <v>71</v>
      </c>
      <c r="F713" s="19">
        <v>0.88788</v>
      </c>
      <c r="G713" s="11">
        <f t="shared" si="46"/>
        <v>-2.4999999999998665E-3</v>
      </c>
      <c r="H713" s="12">
        <f t="shared" si="47"/>
        <v>1.0653799999999907</v>
      </c>
    </row>
    <row r="714" spans="1:8" ht="14.25" thickBot="1">
      <c r="A714" s="18">
        <v>71.099999999999994</v>
      </c>
      <c r="B714" s="27">
        <v>0.88683000000000001</v>
      </c>
      <c r="C714" s="11">
        <f t="shared" si="44"/>
        <v>-2.4999999999995113E-3</v>
      </c>
      <c r="D714" s="12">
        <f t="shared" si="45"/>
        <v>1.0645799999999652</v>
      </c>
      <c r="E714" s="18">
        <v>71.099999999999994</v>
      </c>
      <c r="F714" s="27">
        <v>0.88763000000000003</v>
      </c>
      <c r="G714" s="11">
        <f t="shared" si="46"/>
        <v>-2.5000000000006215E-3</v>
      </c>
      <c r="H714" s="12">
        <f t="shared" si="47"/>
        <v>1.0653800000000442</v>
      </c>
    </row>
    <row r="715" spans="1:8" ht="14.25" thickBot="1">
      <c r="A715" s="18">
        <v>71.2</v>
      </c>
      <c r="B715" s="27">
        <v>0.88658000000000003</v>
      </c>
      <c r="C715" s="11">
        <f t="shared" si="44"/>
        <v>-2.5000000000009767E-3</v>
      </c>
      <c r="D715" s="12">
        <f t="shared" si="45"/>
        <v>1.0645800000000696</v>
      </c>
      <c r="E715" s="18">
        <v>71.2</v>
      </c>
      <c r="F715" s="27">
        <v>0.88737999999999995</v>
      </c>
      <c r="G715" s="11">
        <f t="shared" si="46"/>
        <v>-2.4999999999998665E-3</v>
      </c>
      <c r="H715" s="12">
        <f t="shared" si="47"/>
        <v>1.0653799999999904</v>
      </c>
    </row>
    <row r="716" spans="1:8" ht="14.25" thickBot="1">
      <c r="A716" s="18">
        <v>71.3</v>
      </c>
      <c r="B716" s="27">
        <v>0.88632999999999995</v>
      </c>
      <c r="C716" s="11">
        <f t="shared" si="44"/>
        <v>-2.4999999999995113E-3</v>
      </c>
      <c r="D716" s="12">
        <f t="shared" si="45"/>
        <v>1.064579999999965</v>
      </c>
      <c r="E716" s="18">
        <v>71.3</v>
      </c>
      <c r="F716" s="27">
        <v>0.88712999999999997</v>
      </c>
      <c r="G716" s="11">
        <f t="shared" si="46"/>
        <v>-2.4999999999995117E-3</v>
      </c>
      <c r="H716" s="12">
        <f t="shared" si="47"/>
        <v>1.0653799999999651</v>
      </c>
    </row>
    <row r="717" spans="1:8" ht="14.25" thickBot="1">
      <c r="A717" s="18">
        <v>71.400000000000006</v>
      </c>
      <c r="B717" s="27">
        <v>0.88607999999999998</v>
      </c>
      <c r="C717" s="11">
        <f t="shared" si="44"/>
        <v>-2.4999999999998665E-3</v>
      </c>
      <c r="D717" s="12">
        <f t="shared" si="45"/>
        <v>1.0645799999999905</v>
      </c>
      <c r="E717" s="18">
        <v>71.400000000000006</v>
      </c>
      <c r="F717" s="27">
        <v>0.88688</v>
      </c>
      <c r="G717" s="11">
        <f t="shared" si="46"/>
        <v>-2.4999999999998665E-3</v>
      </c>
      <c r="H717" s="12">
        <f t="shared" si="47"/>
        <v>1.0653799999999904</v>
      </c>
    </row>
    <row r="718" spans="1:8" ht="14.25" thickBot="1">
      <c r="A718" s="18">
        <v>71.5</v>
      </c>
      <c r="B718" s="27">
        <v>0.88583000000000001</v>
      </c>
      <c r="C718" s="11">
        <f t="shared" si="44"/>
        <v>-2.4999999999998665E-3</v>
      </c>
      <c r="D718" s="12">
        <f t="shared" si="45"/>
        <v>1.0645799999999903</v>
      </c>
      <c r="E718" s="18">
        <v>71.5</v>
      </c>
      <c r="F718" s="27">
        <v>0.88663000000000003</v>
      </c>
      <c r="G718" s="11">
        <f t="shared" si="46"/>
        <v>-2.5000000000009767E-3</v>
      </c>
      <c r="H718" s="12">
        <f t="shared" si="47"/>
        <v>1.0653800000000699</v>
      </c>
    </row>
    <row r="719" spans="1:8" ht="14.25" thickBot="1">
      <c r="A719" s="18">
        <v>71.599999999999994</v>
      </c>
      <c r="B719" s="27">
        <v>0.88558000000000003</v>
      </c>
      <c r="C719" s="11">
        <f t="shared" si="44"/>
        <v>-2.5000000000006215E-3</v>
      </c>
      <c r="D719" s="12">
        <f t="shared" si="45"/>
        <v>1.0645800000000445</v>
      </c>
      <c r="E719" s="18">
        <v>71.599999999999994</v>
      </c>
      <c r="F719" s="27">
        <v>0.88637999999999995</v>
      </c>
      <c r="G719" s="11">
        <f t="shared" si="46"/>
        <v>-2.4999999999995113E-3</v>
      </c>
      <c r="H719" s="12">
        <f t="shared" si="47"/>
        <v>1.0653799999999651</v>
      </c>
    </row>
    <row r="720" spans="1:8" ht="14.25" thickBot="1">
      <c r="A720" s="18">
        <v>71.7</v>
      </c>
      <c r="B720" s="27">
        <v>0.88532999999999995</v>
      </c>
      <c r="C720" s="11">
        <f t="shared" si="44"/>
        <v>-2.599999999999417E-3</v>
      </c>
      <c r="D720" s="12">
        <f t="shared" si="45"/>
        <v>1.0717499999999582</v>
      </c>
      <c r="E720" s="18">
        <v>71.7</v>
      </c>
      <c r="F720" s="27">
        <v>0.88612999999999997</v>
      </c>
      <c r="G720" s="11">
        <f t="shared" si="46"/>
        <v>-2.599999999999417E-3</v>
      </c>
      <c r="H720" s="12">
        <f t="shared" si="47"/>
        <v>1.0725499999999581</v>
      </c>
    </row>
    <row r="721" spans="1:8" ht="14.25" thickBot="1">
      <c r="A721" s="18">
        <v>71.8</v>
      </c>
      <c r="B721" s="27">
        <v>0.88507000000000002</v>
      </c>
      <c r="C721" s="11">
        <f t="shared" si="44"/>
        <v>-2.4999999999995117E-3</v>
      </c>
      <c r="D721" s="12">
        <f t="shared" si="45"/>
        <v>1.0645699999999649</v>
      </c>
      <c r="E721" s="18">
        <v>71.8</v>
      </c>
      <c r="F721" s="27">
        <v>0.88587000000000005</v>
      </c>
      <c r="G721" s="11">
        <f t="shared" si="46"/>
        <v>-2.5000000000006215E-3</v>
      </c>
      <c r="H721" s="12">
        <f t="shared" si="47"/>
        <v>1.0653700000000446</v>
      </c>
    </row>
    <row r="722" spans="1:8" ht="14.25" thickBot="1">
      <c r="A722" s="18">
        <v>71.900000000000006</v>
      </c>
      <c r="B722" s="27">
        <v>0.88482000000000005</v>
      </c>
      <c r="C722" s="11">
        <f t="shared" si="44"/>
        <v>-2.5000000000009767E-3</v>
      </c>
      <c r="D722" s="12">
        <f t="shared" si="45"/>
        <v>1.0645700000000704</v>
      </c>
      <c r="E722" s="18">
        <v>71.900000000000006</v>
      </c>
      <c r="F722" s="27">
        <v>0.88561999999999996</v>
      </c>
      <c r="G722" s="11">
        <f t="shared" si="46"/>
        <v>-2.4999999999998665E-3</v>
      </c>
      <c r="H722" s="12">
        <f t="shared" si="47"/>
        <v>1.0653699999999904</v>
      </c>
    </row>
    <row r="723" spans="1:8" ht="14.25" thickBot="1">
      <c r="A723" s="9">
        <v>72</v>
      </c>
      <c r="B723" s="19">
        <v>0.88456999999999997</v>
      </c>
      <c r="C723" s="11">
        <f t="shared" si="44"/>
        <v>-2.4999999999998665E-3</v>
      </c>
      <c r="D723" s="12">
        <f t="shared" si="45"/>
        <v>1.0645699999999902</v>
      </c>
      <c r="E723" s="9">
        <v>72</v>
      </c>
      <c r="F723" s="19">
        <v>0.88536999999999999</v>
      </c>
      <c r="G723" s="11">
        <f t="shared" si="46"/>
        <v>-2.4999999999998665E-3</v>
      </c>
      <c r="H723" s="12">
        <f t="shared" si="47"/>
        <v>1.0653699999999904</v>
      </c>
    </row>
    <row r="724" spans="1:8" ht="14.25" thickBot="1">
      <c r="A724" s="18">
        <v>72.099999999999994</v>
      </c>
      <c r="B724" s="27">
        <v>0.88431999999999999</v>
      </c>
      <c r="C724" s="11">
        <f t="shared" si="44"/>
        <v>-2.6000000000001577E-3</v>
      </c>
      <c r="D724" s="12">
        <f t="shared" si="45"/>
        <v>1.0717800000000115</v>
      </c>
      <c r="E724" s="18">
        <v>72.099999999999994</v>
      </c>
      <c r="F724" s="27">
        <v>0.88512000000000002</v>
      </c>
      <c r="G724" s="11">
        <f t="shared" si="46"/>
        <v>-2.6000000000001577E-3</v>
      </c>
      <c r="H724" s="12">
        <f t="shared" si="47"/>
        <v>1.0725800000000114</v>
      </c>
    </row>
    <row r="725" spans="1:8" ht="14.25" thickBot="1">
      <c r="A725" s="18">
        <v>72.2</v>
      </c>
      <c r="B725" s="27">
        <v>0.88405999999999996</v>
      </c>
      <c r="C725" s="11">
        <f t="shared" si="44"/>
        <v>-2.4999999999998665E-3</v>
      </c>
      <c r="D725" s="12">
        <f t="shared" si="45"/>
        <v>1.0645599999999902</v>
      </c>
      <c r="E725" s="18">
        <v>72.2</v>
      </c>
      <c r="F725" s="27">
        <v>0.88485999999999998</v>
      </c>
      <c r="G725" s="11">
        <f t="shared" si="46"/>
        <v>-2.4999999999998665E-3</v>
      </c>
      <c r="H725" s="12">
        <f t="shared" si="47"/>
        <v>1.0653599999999903</v>
      </c>
    </row>
    <row r="726" spans="1:8" ht="14.25" thickBot="1">
      <c r="A726" s="18">
        <v>72.3</v>
      </c>
      <c r="B726" s="27">
        <v>0.88380999999999998</v>
      </c>
      <c r="C726" s="11">
        <f t="shared" si="44"/>
        <v>-2.4999999999995117E-3</v>
      </c>
      <c r="D726" s="12">
        <f t="shared" si="45"/>
        <v>1.0645599999999646</v>
      </c>
      <c r="E726" s="18">
        <v>72.3</v>
      </c>
      <c r="F726" s="27">
        <v>0.88461000000000001</v>
      </c>
      <c r="G726" s="11">
        <f t="shared" si="46"/>
        <v>-2.4999999999995113E-3</v>
      </c>
      <c r="H726" s="12">
        <f t="shared" si="47"/>
        <v>1.0653599999999646</v>
      </c>
    </row>
    <row r="727" spans="1:8" ht="14.25" thickBot="1">
      <c r="A727" s="18">
        <v>72.400000000000006</v>
      </c>
      <c r="B727" s="27">
        <v>0.88356000000000001</v>
      </c>
      <c r="C727" s="11">
        <f t="shared" si="44"/>
        <v>-2.6000000000005272E-3</v>
      </c>
      <c r="D727" s="12">
        <f t="shared" si="45"/>
        <v>1.0718000000000381</v>
      </c>
      <c r="E727" s="18">
        <v>72.400000000000006</v>
      </c>
      <c r="F727" s="27">
        <v>0.88436000000000003</v>
      </c>
      <c r="G727" s="11">
        <f t="shared" si="46"/>
        <v>-2.6000000000005272E-3</v>
      </c>
      <c r="H727" s="12">
        <f t="shared" si="47"/>
        <v>1.0726000000000382</v>
      </c>
    </row>
    <row r="728" spans="1:8" ht="14.25" thickBot="1">
      <c r="A728" s="18">
        <v>72.5</v>
      </c>
      <c r="B728" s="27">
        <v>0.88329999999999997</v>
      </c>
      <c r="C728" s="11">
        <f t="shared" si="44"/>
        <v>-2.4999999999998665E-3</v>
      </c>
      <c r="D728" s="12">
        <f t="shared" si="45"/>
        <v>1.0645499999999903</v>
      </c>
      <c r="E728" s="18">
        <v>72.5</v>
      </c>
      <c r="F728" s="27">
        <v>0.8841</v>
      </c>
      <c r="G728" s="11">
        <f t="shared" si="46"/>
        <v>-2.4999999999998665E-3</v>
      </c>
      <c r="H728" s="12">
        <f t="shared" si="47"/>
        <v>1.0653499999999902</v>
      </c>
    </row>
    <row r="729" spans="1:8" ht="14.25" thickBot="1">
      <c r="A729" s="18">
        <v>72.599999999999994</v>
      </c>
      <c r="B729" s="27">
        <v>0.88305</v>
      </c>
      <c r="C729" s="11">
        <f t="shared" si="44"/>
        <v>-2.4999999999995117E-3</v>
      </c>
      <c r="D729" s="12">
        <f t="shared" si="45"/>
        <v>1.0645499999999646</v>
      </c>
      <c r="E729" s="18">
        <v>72.599999999999994</v>
      </c>
      <c r="F729" s="27">
        <v>0.88385000000000002</v>
      </c>
      <c r="G729" s="11">
        <f t="shared" si="46"/>
        <v>-2.4999999999995113E-3</v>
      </c>
      <c r="H729" s="12">
        <f t="shared" si="47"/>
        <v>1.0653499999999645</v>
      </c>
    </row>
    <row r="730" spans="1:8" ht="14.25" thickBot="1">
      <c r="A730" s="18">
        <v>72.7</v>
      </c>
      <c r="B730" s="27">
        <v>0.88280000000000003</v>
      </c>
      <c r="C730" s="11">
        <f t="shared" si="44"/>
        <v>-2.6000000000005272E-3</v>
      </c>
      <c r="D730" s="12">
        <f t="shared" si="45"/>
        <v>1.0718200000000384</v>
      </c>
      <c r="E730" s="18">
        <v>72.7</v>
      </c>
      <c r="F730" s="27">
        <v>0.88360000000000005</v>
      </c>
      <c r="G730" s="11">
        <f t="shared" si="46"/>
        <v>-2.6000000000005272E-3</v>
      </c>
      <c r="H730" s="12">
        <f t="shared" si="47"/>
        <v>1.0726200000000383</v>
      </c>
    </row>
    <row r="731" spans="1:8" ht="14.25" thickBot="1">
      <c r="A731" s="18">
        <v>72.8</v>
      </c>
      <c r="B731" s="27">
        <v>0.88253999999999999</v>
      </c>
      <c r="C731" s="11">
        <f t="shared" si="44"/>
        <v>-2.4999999999995113E-3</v>
      </c>
      <c r="D731" s="12">
        <f t="shared" si="45"/>
        <v>1.0645399999999643</v>
      </c>
      <c r="E731" s="18">
        <v>72.8</v>
      </c>
      <c r="F731" s="27">
        <v>0.88334000000000001</v>
      </c>
      <c r="G731" s="11">
        <f t="shared" si="46"/>
        <v>-2.6000000000001577E-3</v>
      </c>
      <c r="H731" s="12">
        <f t="shared" si="47"/>
        <v>1.0726200000000115</v>
      </c>
    </row>
    <row r="732" spans="1:8" ht="14.25" thickBot="1">
      <c r="A732" s="18">
        <v>72.900000000000006</v>
      </c>
      <c r="B732" s="27">
        <v>0.88229000000000002</v>
      </c>
      <c r="C732" s="11">
        <f t="shared" si="44"/>
        <v>-2.6000000000005272E-3</v>
      </c>
      <c r="D732" s="12">
        <f t="shared" si="45"/>
        <v>1.0718300000000385</v>
      </c>
      <c r="E732" s="18">
        <v>72.900000000000006</v>
      </c>
      <c r="F732" s="27">
        <v>0.88307999999999998</v>
      </c>
      <c r="G732" s="11">
        <f t="shared" si="46"/>
        <v>-2.599999999999417E-3</v>
      </c>
      <c r="H732" s="12">
        <f t="shared" si="47"/>
        <v>1.0726199999999575</v>
      </c>
    </row>
    <row r="733" spans="1:8" ht="14.25" thickBot="1">
      <c r="A733" s="9">
        <v>73</v>
      </c>
      <c r="B733" s="19">
        <v>0.88202999999999998</v>
      </c>
      <c r="C733" s="11">
        <f t="shared" si="44"/>
        <v>-2.4999999999998665E-3</v>
      </c>
      <c r="D733" s="12">
        <f t="shared" si="45"/>
        <v>1.0645299999999902</v>
      </c>
      <c r="E733" s="9">
        <v>73</v>
      </c>
      <c r="F733" s="19">
        <v>0.88282000000000005</v>
      </c>
      <c r="G733" s="11">
        <f t="shared" si="46"/>
        <v>-2.5000000000009767E-3</v>
      </c>
      <c r="H733" s="12">
        <f t="shared" si="47"/>
        <v>1.0653200000000713</v>
      </c>
    </row>
    <row r="734" spans="1:8" ht="14.25" thickBot="1">
      <c r="A734" s="18">
        <v>73.099999999999994</v>
      </c>
      <c r="B734" s="27">
        <v>0.88178000000000001</v>
      </c>
      <c r="C734" s="11">
        <f t="shared" si="44"/>
        <v>-2.6000000000001577E-3</v>
      </c>
      <c r="D734" s="12">
        <f t="shared" si="45"/>
        <v>1.0718400000000117</v>
      </c>
      <c r="E734" s="18">
        <v>73.099999999999994</v>
      </c>
      <c r="F734" s="27">
        <v>0.88256999999999997</v>
      </c>
      <c r="G734" s="11">
        <f t="shared" si="46"/>
        <v>-2.599999999999048E-3</v>
      </c>
      <c r="H734" s="12">
        <f t="shared" si="47"/>
        <v>1.0726299999999305</v>
      </c>
    </row>
    <row r="735" spans="1:8" ht="14.25" thickBot="1">
      <c r="A735" s="18">
        <v>73.2</v>
      </c>
      <c r="B735" s="27">
        <v>0.88151999999999997</v>
      </c>
      <c r="C735" s="11">
        <f t="shared" si="44"/>
        <v>-2.599999999999417E-3</v>
      </c>
      <c r="D735" s="12">
        <f t="shared" si="45"/>
        <v>1.0718399999999573</v>
      </c>
      <c r="E735" s="18">
        <v>73.2</v>
      </c>
      <c r="F735" s="27">
        <v>0.88231000000000004</v>
      </c>
      <c r="G735" s="11">
        <f t="shared" si="46"/>
        <v>-2.6000000000005272E-3</v>
      </c>
      <c r="H735" s="12">
        <f t="shared" si="47"/>
        <v>1.0726300000000386</v>
      </c>
    </row>
    <row r="736" spans="1:8" ht="14.25" thickBot="1">
      <c r="A736" s="18">
        <v>73.3</v>
      </c>
      <c r="B736" s="27">
        <v>0.88126000000000004</v>
      </c>
      <c r="C736" s="11">
        <f t="shared" si="44"/>
        <v>-2.5000000000006215E-3</v>
      </c>
      <c r="D736" s="12">
        <f t="shared" si="45"/>
        <v>1.0645100000000456</v>
      </c>
      <c r="E736" s="18">
        <v>73.3</v>
      </c>
      <c r="F736" s="27">
        <v>0.88205</v>
      </c>
      <c r="G736" s="11">
        <f t="shared" si="46"/>
        <v>-2.4999999999995117E-3</v>
      </c>
      <c r="H736" s="12">
        <f t="shared" si="47"/>
        <v>1.0652999999999642</v>
      </c>
    </row>
    <row r="737" spans="1:8" ht="14.25" thickBot="1">
      <c r="A737" s="18">
        <v>73.400000000000006</v>
      </c>
      <c r="B737" s="27">
        <v>0.88100999999999996</v>
      </c>
      <c r="C737" s="11">
        <f t="shared" si="44"/>
        <v>-2.599999999999417E-3</v>
      </c>
      <c r="D737" s="12">
        <f t="shared" si="45"/>
        <v>1.0718499999999571</v>
      </c>
      <c r="E737" s="18">
        <v>73.400000000000006</v>
      </c>
      <c r="F737" s="27">
        <v>0.88180000000000003</v>
      </c>
      <c r="G737" s="11">
        <f t="shared" si="46"/>
        <v>-2.6000000000005272E-3</v>
      </c>
      <c r="H737" s="12">
        <f t="shared" si="47"/>
        <v>1.0726400000000387</v>
      </c>
    </row>
    <row r="738" spans="1:8" ht="14.25" thickBot="1">
      <c r="A738" s="18">
        <v>73.5</v>
      </c>
      <c r="B738" s="27">
        <v>0.88075000000000003</v>
      </c>
      <c r="C738" s="11">
        <f t="shared" si="44"/>
        <v>-2.6000000000005272E-3</v>
      </c>
      <c r="D738" s="12">
        <f t="shared" si="45"/>
        <v>1.0718500000000386</v>
      </c>
      <c r="E738" s="18">
        <v>73.5</v>
      </c>
      <c r="F738" s="27">
        <v>0.88153999999999999</v>
      </c>
      <c r="G738" s="11">
        <f t="shared" si="46"/>
        <v>-2.6000000000005272E-3</v>
      </c>
      <c r="H738" s="12">
        <f t="shared" si="47"/>
        <v>1.0726400000000389</v>
      </c>
    </row>
    <row r="739" spans="1:8" ht="14.25" thickBot="1">
      <c r="A739" s="18">
        <v>73.599999999999994</v>
      </c>
      <c r="B739" s="27">
        <v>0.88048999999999999</v>
      </c>
      <c r="C739" s="11">
        <f t="shared" si="44"/>
        <v>-2.4999999999995113E-3</v>
      </c>
      <c r="D739" s="12">
        <f t="shared" si="45"/>
        <v>1.0644899999999642</v>
      </c>
      <c r="E739" s="18">
        <v>73.599999999999994</v>
      </c>
      <c r="F739" s="27">
        <v>0.88127999999999995</v>
      </c>
      <c r="G739" s="11">
        <f t="shared" si="46"/>
        <v>-2.4999999999995117E-3</v>
      </c>
      <c r="H739" s="12">
        <f t="shared" si="47"/>
        <v>1.065279999999964</v>
      </c>
    </row>
    <row r="740" spans="1:8" ht="14.25" thickBot="1">
      <c r="A740" s="18">
        <v>73.7</v>
      </c>
      <c r="B740" s="27">
        <v>0.88024000000000002</v>
      </c>
      <c r="C740" s="11">
        <f t="shared" si="44"/>
        <v>-2.6000000000005272E-3</v>
      </c>
      <c r="D740" s="12">
        <f t="shared" si="45"/>
        <v>1.0718600000000389</v>
      </c>
      <c r="E740" s="18">
        <v>73.7</v>
      </c>
      <c r="F740" s="27">
        <v>0.88102999999999998</v>
      </c>
      <c r="G740" s="11">
        <f t="shared" si="46"/>
        <v>-2.599999999999417E-3</v>
      </c>
      <c r="H740" s="12">
        <f t="shared" si="47"/>
        <v>1.072649999999957</v>
      </c>
    </row>
    <row r="741" spans="1:8" ht="14.25" thickBot="1">
      <c r="A741" s="18">
        <v>73.8</v>
      </c>
      <c r="B741" s="27">
        <v>0.87997999999999998</v>
      </c>
      <c r="C741" s="11">
        <f t="shared" si="44"/>
        <v>-2.6000000000001577E-3</v>
      </c>
      <c r="D741" s="12">
        <f t="shared" si="45"/>
        <v>1.0718600000000116</v>
      </c>
      <c r="E741" s="18">
        <v>73.8</v>
      </c>
      <c r="F741" s="27">
        <v>0.88077000000000005</v>
      </c>
      <c r="G741" s="11">
        <f t="shared" si="46"/>
        <v>-2.6000000000001577E-3</v>
      </c>
      <c r="H741" s="12">
        <f t="shared" si="47"/>
        <v>1.0726500000000116</v>
      </c>
    </row>
    <row r="742" spans="1:8" ht="14.25" thickBot="1">
      <c r="A742" s="18">
        <v>73.900000000000006</v>
      </c>
      <c r="B742" s="27">
        <v>0.87971999999999995</v>
      </c>
      <c r="C742" s="11">
        <f t="shared" si="44"/>
        <v>-2.599999999999417E-3</v>
      </c>
      <c r="D742" s="12">
        <f t="shared" si="45"/>
        <v>1.071859999999957</v>
      </c>
      <c r="E742" s="18">
        <v>73.900000000000006</v>
      </c>
      <c r="F742" s="27">
        <v>0.88051000000000001</v>
      </c>
      <c r="G742" s="11">
        <f t="shared" si="46"/>
        <v>-2.6000000000005272E-3</v>
      </c>
      <c r="H742" s="12">
        <f t="shared" si="47"/>
        <v>1.072650000000039</v>
      </c>
    </row>
    <row r="743" spans="1:8" ht="14.25" thickBot="1">
      <c r="A743" s="9">
        <v>74</v>
      </c>
      <c r="B743" s="19">
        <v>0.87946000000000002</v>
      </c>
      <c r="C743" s="11">
        <f t="shared" si="44"/>
        <v>-2.4999999999998665E-3</v>
      </c>
      <c r="D743" s="12">
        <f t="shared" si="45"/>
        <v>1.0644599999999902</v>
      </c>
      <c r="E743" s="9">
        <v>74</v>
      </c>
      <c r="F743" s="19">
        <v>0.88024999999999998</v>
      </c>
      <c r="G743" s="11">
        <f t="shared" si="46"/>
        <v>-2.4999999999998665E-3</v>
      </c>
      <c r="H743" s="12">
        <f t="shared" si="47"/>
        <v>1.06524999999999</v>
      </c>
    </row>
    <row r="744" spans="1:8" ht="14.25" thickBot="1">
      <c r="A744" s="18">
        <v>74.099999999999994</v>
      </c>
      <c r="B744" s="27">
        <v>0.87921000000000005</v>
      </c>
      <c r="C744" s="11">
        <f t="shared" si="44"/>
        <v>-2.6000000000001577E-3</v>
      </c>
      <c r="D744" s="12">
        <f t="shared" si="45"/>
        <v>1.0718700000000119</v>
      </c>
      <c r="E744" s="18">
        <v>74.099999999999994</v>
      </c>
      <c r="F744" s="27">
        <v>0.88</v>
      </c>
      <c r="G744" s="11">
        <f t="shared" si="46"/>
        <v>-2.6000000000001577E-3</v>
      </c>
      <c r="H744" s="12">
        <f t="shared" si="47"/>
        <v>1.0726600000000117</v>
      </c>
    </row>
    <row r="745" spans="1:8" ht="14.25" thickBot="1">
      <c r="A745" s="18">
        <v>74.2</v>
      </c>
      <c r="B745" s="27">
        <v>0.87895000000000001</v>
      </c>
      <c r="C745" s="11">
        <f t="shared" si="44"/>
        <v>-2.6000000000005272E-3</v>
      </c>
      <c r="D745" s="12">
        <f t="shared" si="45"/>
        <v>1.0718700000000392</v>
      </c>
      <c r="E745" s="18">
        <v>74.2</v>
      </c>
      <c r="F745" s="27">
        <v>0.87973999999999997</v>
      </c>
      <c r="G745" s="11">
        <f t="shared" si="46"/>
        <v>-2.599999999999417E-3</v>
      </c>
      <c r="H745" s="12">
        <f t="shared" si="47"/>
        <v>1.0726599999999566</v>
      </c>
    </row>
    <row r="746" spans="1:8" ht="14.25" thickBot="1">
      <c r="A746" s="18">
        <v>74.3</v>
      </c>
      <c r="B746" s="27">
        <v>0.87868999999999997</v>
      </c>
      <c r="C746" s="11">
        <f t="shared" si="44"/>
        <v>-2.599999999999048E-3</v>
      </c>
      <c r="D746" s="12">
        <f t="shared" si="45"/>
        <v>1.0718699999999293</v>
      </c>
      <c r="E746" s="18">
        <v>74.3</v>
      </c>
      <c r="F746" s="27">
        <v>0.87948000000000004</v>
      </c>
      <c r="G746" s="11">
        <f t="shared" si="46"/>
        <v>-2.6000000000001577E-3</v>
      </c>
      <c r="H746" s="12">
        <f t="shared" si="47"/>
        <v>1.0726600000000117</v>
      </c>
    </row>
    <row r="747" spans="1:8" ht="14.25" thickBot="1">
      <c r="A747" s="18">
        <v>74.400000000000006</v>
      </c>
      <c r="B747" s="27">
        <v>0.87843000000000004</v>
      </c>
      <c r="C747" s="11">
        <f t="shared" si="44"/>
        <v>-2.6000000000005272E-3</v>
      </c>
      <c r="D747" s="12">
        <f t="shared" si="45"/>
        <v>1.0718700000000394</v>
      </c>
      <c r="E747" s="18">
        <v>74.400000000000006</v>
      </c>
      <c r="F747" s="27">
        <v>0.87922</v>
      </c>
      <c r="G747" s="11">
        <f t="shared" si="46"/>
        <v>-2.6000000000005272E-3</v>
      </c>
      <c r="H747" s="12">
        <f t="shared" si="47"/>
        <v>1.0726600000000392</v>
      </c>
    </row>
    <row r="748" spans="1:8" ht="14.25" thickBot="1">
      <c r="A748" s="18">
        <v>74.5</v>
      </c>
      <c r="B748" s="27">
        <v>0.87817000000000001</v>
      </c>
      <c r="C748" s="11">
        <f t="shared" si="44"/>
        <v>-2.6000000000005272E-3</v>
      </c>
      <c r="D748" s="12">
        <f t="shared" si="45"/>
        <v>1.0718700000000392</v>
      </c>
      <c r="E748" s="18">
        <v>74.5</v>
      </c>
      <c r="F748" s="27">
        <v>0.87895999999999996</v>
      </c>
      <c r="G748" s="11">
        <f t="shared" si="46"/>
        <v>-2.599999999999417E-3</v>
      </c>
      <c r="H748" s="12">
        <f t="shared" si="47"/>
        <v>1.0726599999999564</v>
      </c>
    </row>
    <row r="749" spans="1:8" ht="14.25" thickBot="1">
      <c r="A749" s="18">
        <v>74.599999999999994</v>
      </c>
      <c r="B749" s="27">
        <v>0.87790999999999997</v>
      </c>
      <c r="C749" s="11">
        <f t="shared" si="44"/>
        <v>-2.599999999999048E-3</v>
      </c>
      <c r="D749" s="12">
        <f t="shared" si="45"/>
        <v>1.071869999999929</v>
      </c>
      <c r="E749" s="18">
        <v>74.599999999999994</v>
      </c>
      <c r="F749" s="27">
        <v>0.87870000000000004</v>
      </c>
      <c r="G749" s="11">
        <f t="shared" si="46"/>
        <v>-2.6000000000001577E-3</v>
      </c>
      <c r="H749" s="12">
        <f t="shared" si="47"/>
        <v>1.0726600000000119</v>
      </c>
    </row>
    <row r="750" spans="1:8" ht="14.25" thickBot="1">
      <c r="A750" s="18">
        <v>74.7</v>
      </c>
      <c r="B750" s="27">
        <v>0.87765000000000004</v>
      </c>
      <c r="C750" s="11">
        <f t="shared" si="44"/>
        <v>-2.6000000000005272E-3</v>
      </c>
      <c r="D750" s="12">
        <f t="shared" si="45"/>
        <v>1.0718700000000394</v>
      </c>
      <c r="E750" s="18">
        <v>74.7</v>
      </c>
      <c r="F750" s="27">
        <v>0.87844</v>
      </c>
      <c r="G750" s="11">
        <f t="shared" si="46"/>
        <v>-2.6000000000005272E-3</v>
      </c>
      <c r="H750" s="12">
        <f t="shared" si="47"/>
        <v>1.0726600000000392</v>
      </c>
    </row>
    <row r="751" spans="1:8" ht="14.25" thickBot="1">
      <c r="A751" s="18">
        <v>74.8</v>
      </c>
      <c r="B751" s="27">
        <v>0.87739</v>
      </c>
      <c r="C751" s="11">
        <f t="shared" si="44"/>
        <v>-2.6000000000001577E-3</v>
      </c>
      <c r="D751" s="12">
        <f t="shared" si="45"/>
        <v>1.0718700000000116</v>
      </c>
      <c r="E751" s="18">
        <v>74.8</v>
      </c>
      <c r="F751" s="27">
        <v>0.87817999999999996</v>
      </c>
      <c r="G751" s="11">
        <f t="shared" si="46"/>
        <v>-2.599999999999048E-3</v>
      </c>
      <c r="H751" s="12">
        <f t="shared" si="47"/>
        <v>1.0726599999999287</v>
      </c>
    </row>
    <row r="752" spans="1:8" ht="14.25" thickBot="1">
      <c r="A752" s="18">
        <v>74.900000000000006</v>
      </c>
      <c r="B752" s="27">
        <v>0.87712999999999997</v>
      </c>
      <c r="C752" s="11">
        <f t="shared" si="44"/>
        <v>-2.599999999999417E-3</v>
      </c>
      <c r="D752" s="12">
        <f t="shared" si="45"/>
        <v>1.0718699999999564</v>
      </c>
      <c r="E752" s="18">
        <v>74.900000000000006</v>
      </c>
      <c r="F752" s="27">
        <v>0.87792000000000003</v>
      </c>
      <c r="G752" s="11">
        <f t="shared" si="46"/>
        <v>-2.6000000000005272E-3</v>
      </c>
      <c r="H752" s="12">
        <f t="shared" si="47"/>
        <v>1.0726600000000395</v>
      </c>
    </row>
    <row r="753" spans="1:8" ht="14.25" thickBot="1">
      <c r="A753" s="9">
        <v>75</v>
      </c>
      <c r="B753" s="19">
        <v>0.87687000000000004</v>
      </c>
      <c r="C753" s="11">
        <f t="shared" si="44"/>
        <v>-2.6000000000005272E-3</v>
      </c>
      <c r="D753" s="12">
        <f t="shared" si="45"/>
        <v>1.0718700000000396</v>
      </c>
      <c r="E753" s="9">
        <v>75</v>
      </c>
      <c r="F753" s="19">
        <v>0.87766</v>
      </c>
      <c r="G753" s="11">
        <f t="shared" si="46"/>
        <v>-2.6000000000005272E-3</v>
      </c>
      <c r="H753" s="12">
        <f t="shared" si="47"/>
        <v>1.0726600000000395</v>
      </c>
    </row>
    <row r="754" spans="1:8" ht="14.25" thickBot="1">
      <c r="A754" s="14">
        <v>75.099999999999994</v>
      </c>
      <c r="B754" s="15">
        <v>0.87661</v>
      </c>
      <c r="C754" s="11">
        <f t="shared" si="44"/>
        <v>-2.6000000000001577E-3</v>
      </c>
      <c r="D754" s="12">
        <f t="shared" si="45"/>
        <v>1.0718700000000119</v>
      </c>
      <c r="E754" s="14">
        <v>75.099999999999994</v>
      </c>
      <c r="F754" s="15">
        <v>0.87739999999999996</v>
      </c>
      <c r="G754" s="11">
        <f t="shared" si="46"/>
        <v>-2.599999999999048E-3</v>
      </c>
      <c r="H754" s="12">
        <f t="shared" si="47"/>
        <v>1.0726599999999284</v>
      </c>
    </row>
    <row r="755" spans="1:8" ht="14.25" thickBot="1">
      <c r="A755" s="14">
        <v>75.2</v>
      </c>
      <c r="B755" s="15">
        <v>0.87634999999999996</v>
      </c>
      <c r="C755" s="11">
        <f t="shared" si="44"/>
        <v>-2.7000000000000778E-3</v>
      </c>
      <c r="D755" s="12">
        <f t="shared" si="45"/>
        <v>1.0793900000000058</v>
      </c>
      <c r="E755" s="14">
        <v>75.2</v>
      </c>
      <c r="F755" s="15">
        <v>0.87714000000000003</v>
      </c>
      <c r="G755" s="11">
        <f t="shared" si="46"/>
        <v>-2.7000000000000778E-3</v>
      </c>
      <c r="H755" s="12">
        <f t="shared" si="47"/>
        <v>1.0801800000000059</v>
      </c>
    </row>
    <row r="756" spans="1:8" ht="14.25" thickBot="1">
      <c r="A756" s="14">
        <v>75.3</v>
      </c>
      <c r="B756" s="15">
        <v>0.87607999999999997</v>
      </c>
      <c r="C756" s="11">
        <f t="shared" si="44"/>
        <v>-2.599999999999048E-3</v>
      </c>
      <c r="D756" s="12">
        <f t="shared" si="45"/>
        <v>1.0718599999999283</v>
      </c>
      <c r="E756" s="14">
        <v>75.3</v>
      </c>
      <c r="F756" s="15">
        <v>0.87687000000000004</v>
      </c>
      <c r="G756" s="11">
        <f t="shared" si="46"/>
        <v>-2.6000000000001577E-3</v>
      </c>
      <c r="H756" s="12">
        <f t="shared" si="47"/>
        <v>1.0726500000000119</v>
      </c>
    </row>
    <row r="757" spans="1:8" ht="14.25" thickBot="1">
      <c r="A757" s="14">
        <v>75.400000000000006</v>
      </c>
      <c r="B757" s="15">
        <v>0.87582000000000004</v>
      </c>
      <c r="C757" s="11">
        <f t="shared" si="44"/>
        <v>-2.6000000000005272E-3</v>
      </c>
      <c r="D757" s="12">
        <f t="shared" si="45"/>
        <v>1.0718600000000398</v>
      </c>
      <c r="E757" s="14">
        <v>75.400000000000006</v>
      </c>
      <c r="F757" s="15">
        <v>0.87661</v>
      </c>
      <c r="G757" s="11">
        <f t="shared" si="46"/>
        <v>-2.6000000000005272E-3</v>
      </c>
      <c r="H757" s="12">
        <f t="shared" si="47"/>
        <v>1.0726500000000396</v>
      </c>
    </row>
    <row r="758" spans="1:8" ht="14.25" thickBot="1">
      <c r="A758" s="14">
        <v>75.5</v>
      </c>
      <c r="B758" s="15">
        <v>0.87556</v>
      </c>
      <c r="C758" s="11">
        <f t="shared" si="44"/>
        <v>-2.6000000000005272E-3</v>
      </c>
      <c r="D758" s="12">
        <f t="shared" si="45"/>
        <v>1.0718600000000398</v>
      </c>
      <c r="E758" s="14">
        <v>75.5</v>
      </c>
      <c r="F758" s="15">
        <v>0.87634999999999996</v>
      </c>
      <c r="G758" s="11">
        <f t="shared" si="46"/>
        <v>-2.599999999999417E-3</v>
      </c>
      <c r="H758" s="12">
        <f t="shared" si="47"/>
        <v>1.0726499999999559</v>
      </c>
    </row>
    <row r="759" spans="1:8" ht="14.25" thickBot="1">
      <c r="A759" s="14">
        <v>75.599999999999994</v>
      </c>
      <c r="B759" s="15">
        <v>0.87529999999999997</v>
      </c>
      <c r="C759" s="11">
        <f t="shared" si="44"/>
        <v>-2.6999999999996944E-3</v>
      </c>
      <c r="D759" s="12">
        <f t="shared" si="45"/>
        <v>1.079419999999977</v>
      </c>
      <c r="E759" s="14">
        <v>75.599999999999994</v>
      </c>
      <c r="F759" s="15">
        <v>0.87609000000000004</v>
      </c>
      <c r="G759" s="11">
        <f t="shared" si="46"/>
        <v>-2.6999999999996944E-3</v>
      </c>
      <c r="H759" s="12">
        <f t="shared" si="47"/>
        <v>1.080209999999977</v>
      </c>
    </row>
    <row r="760" spans="1:8" ht="14.25" thickBot="1">
      <c r="A760" s="14">
        <v>75.7</v>
      </c>
      <c r="B760" s="15">
        <v>0.87502999999999997</v>
      </c>
      <c r="C760" s="11">
        <f t="shared" si="44"/>
        <v>-2.599999999999417E-3</v>
      </c>
      <c r="D760" s="12">
        <f t="shared" si="45"/>
        <v>1.0718499999999558</v>
      </c>
      <c r="E760" s="14">
        <v>75.7</v>
      </c>
      <c r="F760" s="15">
        <v>0.87582000000000004</v>
      </c>
      <c r="G760" s="11">
        <f t="shared" si="46"/>
        <v>-2.6000000000005272E-3</v>
      </c>
      <c r="H760" s="12">
        <f t="shared" si="47"/>
        <v>1.07264000000004</v>
      </c>
    </row>
    <row r="761" spans="1:8" ht="14.25" thickBot="1">
      <c r="A761" s="14">
        <v>75.8</v>
      </c>
      <c r="B761" s="15">
        <v>0.87477000000000005</v>
      </c>
      <c r="C761" s="11">
        <f t="shared" si="44"/>
        <v>-2.6000000000001577E-3</v>
      </c>
      <c r="D761" s="12">
        <f t="shared" si="45"/>
        <v>1.071850000000012</v>
      </c>
      <c r="E761" s="14">
        <v>75.8</v>
      </c>
      <c r="F761" s="15">
        <v>0.87556</v>
      </c>
      <c r="G761" s="11">
        <f t="shared" si="46"/>
        <v>-2.6000000000001577E-3</v>
      </c>
      <c r="H761" s="12">
        <f t="shared" si="47"/>
        <v>1.0726400000000118</v>
      </c>
    </row>
    <row r="762" spans="1:8" ht="14.25" thickBot="1">
      <c r="A762" s="14">
        <v>75.900000000000006</v>
      </c>
      <c r="B762" s="15">
        <v>0.87451000000000001</v>
      </c>
      <c r="C762" s="11">
        <f t="shared" si="44"/>
        <v>-2.7000000000000778E-3</v>
      </c>
      <c r="D762" s="12">
        <f t="shared" si="45"/>
        <v>1.079440000000006</v>
      </c>
      <c r="E762" s="14">
        <v>75.900000000000006</v>
      </c>
      <c r="F762" s="15">
        <v>0.87529999999999997</v>
      </c>
      <c r="G762" s="11">
        <f t="shared" si="46"/>
        <v>-2.7000000000000778E-3</v>
      </c>
      <c r="H762" s="12">
        <f t="shared" si="47"/>
        <v>1.0802300000000058</v>
      </c>
    </row>
    <row r="763" spans="1:8" ht="14.25" thickBot="1">
      <c r="A763" s="9">
        <v>76</v>
      </c>
      <c r="B763" s="19">
        <v>0.87424000000000002</v>
      </c>
      <c r="C763" s="11">
        <f t="shared" si="44"/>
        <v>-2.6000000000005272E-3</v>
      </c>
      <c r="D763" s="12">
        <f t="shared" si="45"/>
        <v>1.0718400000000401</v>
      </c>
      <c r="E763" s="9">
        <v>76</v>
      </c>
      <c r="F763" s="19">
        <v>0.87502999999999997</v>
      </c>
      <c r="G763" s="11">
        <f t="shared" si="46"/>
        <v>-2.599999999999417E-3</v>
      </c>
      <c r="H763" s="12">
        <f t="shared" si="47"/>
        <v>1.0726299999999558</v>
      </c>
    </row>
    <row r="764" spans="1:8" ht="14.25" thickBot="1">
      <c r="A764" s="18">
        <v>76.099999999999994</v>
      </c>
      <c r="B764" s="27">
        <v>0.87397999999999998</v>
      </c>
      <c r="C764" s="11">
        <f t="shared" si="44"/>
        <v>-2.6999999999996944E-3</v>
      </c>
      <c r="D764" s="12">
        <f t="shared" si="45"/>
        <v>1.0794499999999767</v>
      </c>
      <c r="E764" s="18">
        <v>76.099999999999994</v>
      </c>
      <c r="F764" s="27">
        <v>0.87477000000000005</v>
      </c>
      <c r="G764" s="11">
        <f t="shared" si="46"/>
        <v>-2.6999999999996944E-3</v>
      </c>
      <c r="H764" s="12">
        <f t="shared" si="47"/>
        <v>1.0802399999999768</v>
      </c>
    </row>
    <row r="765" spans="1:8" ht="14.25" thickBot="1">
      <c r="A765" s="18">
        <v>76.2</v>
      </c>
      <c r="B765" s="27">
        <v>0.87370999999999999</v>
      </c>
      <c r="C765" s="11">
        <f t="shared" si="44"/>
        <v>-2.6000000000005272E-3</v>
      </c>
      <c r="D765" s="12">
        <f t="shared" si="45"/>
        <v>1.0718300000000403</v>
      </c>
      <c r="E765" s="18">
        <v>76.2</v>
      </c>
      <c r="F765" s="27">
        <v>0.87450000000000006</v>
      </c>
      <c r="G765" s="11">
        <f t="shared" si="46"/>
        <v>-2.6000000000005272E-3</v>
      </c>
      <c r="H765" s="12">
        <f t="shared" si="47"/>
        <v>1.0726200000000403</v>
      </c>
    </row>
    <row r="766" spans="1:8" ht="14.25" thickBot="1">
      <c r="A766" s="18">
        <v>76.3</v>
      </c>
      <c r="B766" s="27">
        <v>0.87344999999999995</v>
      </c>
      <c r="C766" s="11">
        <f t="shared" si="44"/>
        <v>-2.6999999999996944E-3</v>
      </c>
      <c r="D766" s="12">
        <f t="shared" si="45"/>
        <v>1.0794599999999765</v>
      </c>
      <c r="E766" s="18">
        <v>76.3</v>
      </c>
      <c r="F766" s="27">
        <v>0.87424000000000002</v>
      </c>
      <c r="G766" s="11">
        <f t="shared" si="46"/>
        <v>-2.6999999999996944E-3</v>
      </c>
      <c r="H766" s="12">
        <f t="shared" si="47"/>
        <v>1.0802499999999766</v>
      </c>
    </row>
    <row r="767" spans="1:8" ht="14.25" thickBot="1">
      <c r="A767" s="18">
        <v>76.400000000000006</v>
      </c>
      <c r="B767" s="27">
        <v>0.87317999999999996</v>
      </c>
      <c r="C767" s="11">
        <f t="shared" si="44"/>
        <v>-2.599999999999417E-3</v>
      </c>
      <c r="D767" s="12">
        <f t="shared" si="45"/>
        <v>1.0718199999999554</v>
      </c>
      <c r="E767" s="18">
        <v>76.400000000000006</v>
      </c>
      <c r="F767" s="27">
        <v>0.87397000000000002</v>
      </c>
      <c r="G767" s="11">
        <f t="shared" si="46"/>
        <v>-2.6000000000005272E-3</v>
      </c>
      <c r="H767" s="12">
        <f t="shared" si="47"/>
        <v>1.0726100000000403</v>
      </c>
    </row>
    <row r="768" spans="1:8" ht="14.25" thickBot="1">
      <c r="A768" s="18">
        <v>76.5</v>
      </c>
      <c r="B768" s="27">
        <v>0.87292000000000003</v>
      </c>
      <c r="C768" s="11">
        <f t="shared" si="44"/>
        <v>-2.7000000000000778E-3</v>
      </c>
      <c r="D768" s="12">
        <f t="shared" si="45"/>
        <v>1.0794700000000059</v>
      </c>
      <c r="E768" s="18">
        <v>76.5</v>
      </c>
      <c r="F768" s="27">
        <v>0.87370999999999999</v>
      </c>
      <c r="G768" s="11">
        <f t="shared" si="46"/>
        <v>-2.7000000000000778E-3</v>
      </c>
      <c r="H768" s="12">
        <f t="shared" si="47"/>
        <v>1.080260000000006</v>
      </c>
    </row>
    <row r="769" spans="1:8" ht="14.25" thickBot="1">
      <c r="A769" s="18">
        <v>76.599999999999994</v>
      </c>
      <c r="B769" s="27">
        <v>0.87265000000000004</v>
      </c>
      <c r="C769" s="11">
        <f t="shared" si="44"/>
        <v>-2.6999999999996944E-3</v>
      </c>
      <c r="D769" s="12">
        <f t="shared" si="45"/>
        <v>1.0794699999999766</v>
      </c>
      <c r="E769" s="18">
        <v>76.599999999999994</v>
      </c>
      <c r="F769" s="27">
        <v>0.87343999999999999</v>
      </c>
      <c r="G769" s="11">
        <f t="shared" si="46"/>
        <v>-2.6999999999996944E-3</v>
      </c>
      <c r="H769" s="12">
        <f t="shared" si="47"/>
        <v>1.0802599999999767</v>
      </c>
    </row>
    <row r="770" spans="1:8" ht="14.25" thickBot="1">
      <c r="A770" s="18">
        <v>76.7</v>
      </c>
      <c r="B770" s="27">
        <v>0.87238000000000004</v>
      </c>
      <c r="C770" s="11">
        <f t="shared" si="44"/>
        <v>-2.6000000000005272E-3</v>
      </c>
      <c r="D770" s="12">
        <f t="shared" si="45"/>
        <v>1.0718000000000405</v>
      </c>
      <c r="E770" s="18">
        <v>76.7</v>
      </c>
      <c r="F770" s="27">
        <v>0.87317</v>
      </c>
      <c r="G770" s="11">
        <f t="shared" si="46"/>
        <v>-2.6000000000005272E-3</v>
      </c>
      <c r="H770" s="12">
        <f t="shared" si="47"/>
        <v>1.0725900000000406</v>
      </c>
    </row>
    <row r="771" spans="1:8" ht="14.25" thickBot="1">
      <c r="A771" s="18">
        <v>76.8</v>
      </c>
      <c r="B771" s="27">
        <v>0.87212000000000001</v>
      </c>
      <c r="C771" s="11">
        <f t="shared" si="44"/>
        <v>-2.6999999999996944E-3</v>
      </c>
      <c r="D771" s="12">
        <f t="shared" si="45"/>
        <v>1.0794799999999765</v>
      </c>
      <c r="E771" s="18">
        <v>76.8</v>
      </c>
      <c r="F771" s="27">
        <v>0.87290999999999996</v>
      </c>
      <c r="G771" s="11">
        <f t="shared" si="46"/>
        <v>-2.6999999999996944E-3</v>
      </c>
      <c r="H771" s="12">
        <f t="shared" si="47"/>
        <v>1.0802699999999765</v>
      </c>
    </row>
    <row r="772" spans="1:8" ht="14.25" thickBot="1">
      <c r="A772" s="18">
        <v>76.900000000000006</v>
      </c>
      <c r="B772" s="27">
        <v>0.87185000000000001</v>
      </c>
      <c r="C772" s="11">
        <f t="shared" ref="C772:C835" si="48">SLOPE(B772:B773,A772:A773)</f>
        <v>-2.7000000000000778E-3</v>
      </c>
      <c r="D772" s="12">
        <f t="shared" ref="D772:D835" si="49">INTERCEPT(B772:B773,A772:A773)</f>
        <v>1.079480000000006</v>
      </c>
      <c r="E772" s="18">
        <v>76.900000000000006</v>
      </c>
      <c r="F772" s="27">
        <v>0.87263999999999997</v>
      </c>
      <c r="G772" s="11">
        <f t="shared" ref="G772:G835" si="50">SLOPE(F772:F773,E772:E773)</f>
        <v>-2.7000000000000778E-3</v>
      </c>
      <c r="H772" s="12">
        <f t="shared" ref="H772:H835" si="51">INTERCEPT(F772:F773,E772:E773)</f>
        <v>1.0802700000000061</v>
      </c>
    </row>
    <row r="773" spans="1:8" ht="14.25" thickBot="1">
      <c r="A773" s="9">
        <v>77</v>
      </c>
      <c r="B773" s="19">
        <v>0.87158000000000002</v>
      </c>
      <c r="C773" s="11">
        <f t="shared" si="48"/>
        <v>-2.6000000000005272E-3</v>
      </c>
      <c r="D773" s="12">
        <f t="shared" si="49"/>
        <v>1.0717800000000406</v>
      </c>
      <c r="E773" s="9">
        <v>77</v>
      </c>
      <c r="F773" s="19">
        <v>0.87236999999999998</v>
      </c>
      <c r="G773" s="11">
        <f t="shared" si="50"/>
        <v>-2.7000000000000778E-3</v>
      </c>
      <c r="H773" s="12">
        <f t="shared" si="51"/>
        <v>1.0802700000000061</v>
      </c>
    </row>
    <row r="774" spans="1:8" ht="14.25" thickBot="1">
      <c r="A774" s="18">
        <v>77.099999999999994</v>
      </c>
      <c r="B774" s="27">
        <v>0.87131999999999998</v>
      </c>
      <c r="C774" s="11">
        <f t="shared" si="48"/>
        <v>-2.6999999999996944E-3</v>
      </c>
      <c r="D774" s="12">
        <f t="shared" si="49"/>
        <v>1.0794899999999763</v>
      </c>
      <c r="E774" s="18">
        <v>77.099999999999994</v>
      </c>
      <c r="F774" s="27">
        <v>0.87209999999999999</v>
      </c>
      <c r="G774" s="11">
        <f t="shared" si="50"/>
        <v>-2.6999999999996944E-3</v>
      </c>
      <c r="H774" s="12">
        <f t="shared" si="51"/>
        <v>1.0802699999999765</v>
      </c>
    </row>
    <row r="775" spans="1:8" ht="14.25" thickBot="1">
      <c r="A775" s="18">
        <v>77.2</v>
      </c>
      <c r="B775" s="27">
        <v>0.87104999999999999</v>
      </c>
      <c r="C775" s="11">
        <f t="shared" si="48"/>
        <v>-2.7000000000000778E-3</v>
      </c>
      <c r="D775" s="12">
        <f t="shared" si="49"/>
        <v>1.0794900000000061</v>
      </c>
      <c r="E775" s="18">
        <v>77.2</v>
      </c>
      <c r="F775" s="27">
        <v>0.87182999999999999</v>
      </c>
      <c r="G775" s="11">
        <f t="shared" si="50"/>
        <v>-2.7000000000000778E-3</v>
      </c>
      <c r="H775" s="12">
        <f t="shared" si="51"/>
        <v>1.0802700000000061</v>
      </c>
    </row>
    <row r="776" spans="1:8" ht="14.25" thickBot="1">
      <c r="A776" s="18">
        <v>77.3</v>
      </c>
      <c r="B776" s="27">
        <v>0.87078</v>
      </c>
      <c r="C776" s="11">
        <f t="shared" si="48"/>
        <v>-2.6999999999996944E-3</v>
      </c>
      <c r="D776" s="12">
        <f t="shared" si="49"/>
        <v>1.0794899999999763</v>
      </c>
      <c r="E776" s="18">
        <v>77.3</v>
      </c>
      <c r="F776" s="27">
        <v>0.87156</v>
      </c>
      <c r="G776" s="11">
        <f t="shared" si="50"/>
        <v>-2.6999999999996944E-3</v>
      </c>
      <c r="H776" s="12">
        <f t="shared" si="51"/>
        <v>1.0802699999999763</v>
      </c>
    </row>
    <row r="777" spans="1:8" ht="14.25" thickBot="1">
      <c r="A777" s="18">
        <v>77.400000000000006</v>
      </c>
      <c r="B777" s="27">
        <v>0.87051000000000001</v>
      </c>
      <c r="C777" s="11">
        <f t="shared" si="48"/>
        <v>-2.7000000000000778E-3</v>
      </c>
      <c r="D777" s="12">
        <f t="shared" si="49"/>
        <v>1.0794900000000061</v>
      </c>
      <c r="E777" s="18">
        <v>77.400000000000006</v>
      </c>
      <c r="F777" s="27">
        <v>0.87129000000000001</v>
      </c>
      <c r="G777" s="11">
        <f t="shared" si="50"/>
        <v>-2.7000000000000778E-3</v>
      </c>
      <c r="H777" s="12">
        <f t="shared" si="51"/>
        <v>1.0802700000000061</v>
      </c>
    </row>
    <row r="778" spans="1:8" ht="14.25" thickBot="1">
      <c r="A778" s="18">
        <v>77.5</v>
      </c>
      <c r="B778" s="27">
        <v>0.87024000000000001</v>
      </c>
      <c r="C778" s="11">
        <f t="shared" si="48"/>
        <v>-2.7000000000000778E-3</v>
      </c>
      <c r="D778" s="12">
        <f t="shared" si="49"/>
        <v>1.0794900000000061</v>
      </c>
      <c r="E778" s="18">
        <v>77.5</v>
      </c>
      <c r="F778" s="27">
        <v>0.87102000000000002</v>
      </c>
      <c r="G778" s="11">
        <f t="shared" si="50"/>
        <v>-2.7000000000000778E-3</v>
      </c>
      <c r="H778" s="12">
        <f t="shared" si="51"/>
        <v>1.0802700000000061</v>
      </c>
    </row>
    <row r="779" spans="1:8" ht="14.25" thickBot="1">
      <c r="A779" s="18">
        <v>77.599999999999994</v>
      </c>
      <c r="B779" s="27">
        <v>0.86997000000000002</v>
      </c>
      <c r="C779" s="11">
        <f t="shared" si="48"/>
        <v>-2.6999999999996944E-3</v>
      </c>
      <c r="D779" s="12">
        <f t="shared" si="49"/>
        <v>1.0794899999999763</v>
      </c>
      <c r="E779" s="18">
        <v>77.599999999999994</v>
      </c>
      <c r="F779" s="27">
        <v>0.87075000000000002</v>
      </c>
      <c r="G779" s="11">
        <f t="shared" si="50"/>
        <v>-2.6999999999996944E-3</v>
      </c>
      <c r="H779" s="12">
        <f t="shared" si="51"/>
        <v>1.0802699999999763</v>
      </c>
    </row>
    <row r="780" spans="1:8" ht="14.25" thickBot="1">
      <c r="A780" s="18">
        <v>77.7</v>
      </c>
      <c r="B780" s="27">
        <v>0.86970000000000003</v>
      </c>
      <c r="C780" s="11">
        <f t="shared" si="48"/>
        <v>-2.6000000000005272E-3</v>
      </c>
      <c r="D780" s="12">
        <f t="shared" si="49"/>
        <v>1.0717200000000409</v>
      </c>
      <c r="E780" s="18">
        <v>77.7</v>
      </c>
      <c r="F780" s="27">
        <v>0.87048000000000003</v>
      </c>
      <c r="G780" s="11">
        <f t="shared" si="50"/>
        <v>-2.6000000000005272E-3</v>
      </c>
      <c r="H780" s="12">
        <f t="shared" si="51"/>
        <v>1.0725000000000409</v>
      </c>
    </row>
    <row r="781" spans="1:8" ht="14.25" thickBot="1">
      <c r="A781" s="18">
        <v>77.8</v>
      </c>
      <c r="B781" s="27">
        <v>0.86943999999999999</v>
      </c>
      <c r="C781" s="11">
        <f t="shared" si="48"/>
        <v>-2.6999999999996944E-3</v>
      </c>
      <c r="D781" s="12">
        <f t="shared" si="49"/>
        <v>1.0794999999999761</v>
      </c>
      <c r="E781" s="18">
        <v>77.8</v>
      </c>
      <c r="F781" s="27">
        <v>0.87021999999999999</v>
      </c>
      <c r="G781" s="11">
        <f t="shared" si="50"/>
        <v>-2.6999999999996944E-3</v>
      </c>
      <c r="H781" s="12">
        <f t="shared" si="51"/>
        <v>1.0802799999999761</v>
      </c>
    </row>
    <row r="782" spans="1:8" ht="14.25" thickBot="1">
      <c r="A782" s="18">
        <v>77.900000000000006</v>
      </c>
      <c r="B782" s="27">
        <v>0.86917</v>
      </c>
      <c r="C782" s="11">
        <f t="shared" si="48"/>
        <v>-2.7999999999996287E-3</v>
      </c>
      <c r="D782" s="12">
        <f t="shared" si="49"/>
        <v>1.087289999999971</v>
      </c>
      <c r="E782" s="18">
        <v>77.900000000000006</v>
      </c>
      <c r="F782" s="27">
        <v>0.86995</v>
      </c>
      <c r="G782" s="11">
        <f t="shared" si="50"/>
        <v>-2.7999999999996287E-3</v>
      </c>
      <c r="H782" s="12">
        <f t="shared" si="51"/>
        <v>1.088069999999971</v>
      </c>
    </row>
    <row r="783" spans="1:8" ht="14.25" thickBot="1">
      <c r="A783" s="9">
        <v>78</v>
      </c>
      <c r="B783" s="19">
        <v>0.86889000000000005</v>
      </c>
      <c r="C783" s="11">
        <f t="shared" si="48"/>
        <v>-2.7000000000011884E-3</v>
      </c>
      <c r="D783" s="12">
        <f t="shared" si="49"/>
        <v>1.0794900000000927</v>
      </c>
      <c r="E783" s="9">
        <v>78</v>
      </c>
      <c r="F783" s="19">
        <v>0.86967000000000005</v>
      </c>
      <c r="G783" s="11">
        <f t="shared" si="50"/>
        <v>-2.7000000000011884E-3</v>
      </c>
      <c r="H783" s="12">
        <f t="shared" si="51"/>
        <v>1.0802700000000927</v>
      </c>
    </row>
    <row r="784" spans="1:8" ht="14.25" thickBot="1">
      <c r="A784" s="18">
        <v>78.099999999999994</v>
      </c>
      <c r="B784" s="27">
        <v>0.86861999999999995</v>
      </c>
      <c r="C784" s="11">
        <f t="shared" si="48"/>
        <v>-2.6999999999996944E-3</v>
      </c>
      <c r="D784" s="12">
        <f t="shared" si="49"/>
        <v>1.0794899999999761</v>
      </c>
      <c r="E784" s="18">
        <v>78.099999999999994</v>
      </c>
      <c r="F784" s="27">
        <v>0.86939999999999995</v>
      </c>
      <c r="G784" s="11">
        <f t="shared" si="50"/>
        <v>-2.6999999999996944E-3</v>
      </c>
      <c r="H784" s="12">
        <f t="shared" si="51"/>
        <v>1.0802699999999761</v>
      </c>
    </row>
    <row r="785" spans="1:8" ht="14.25" thickBot="1">
      <c r="A785" s="18">
        <v>78.2</v>
      </c>
      <c r="B785" s="27">
        <v>0.86834999999999996</v>
      </c>
      <c r="C785" s="11">
        <f t="shared" si="48"/>
        <v>-2.7000000000000778E-3</v>
      </c>
      <c r="D785" s="12">
        <f t="shared" si="49"/>
        <v>1.0794900000000061</v>
      </c>
      <c r="E785" s="18">
        <v>78.2</v>
      </c>
      <c r="F785" s="27">
        <v>0.86912999999999996</v>
      </c>
      <c r="G785" s="11">
        <f t="shared" si="50"/>
        <v>-2.7000000000000778E-3</v>
      </c>
      <c r="H785" s="12">
        <f t="shared" si="51"/>
        <v>1.0802700000000061</v>
      </c>
    </row>
    <row r="786" spans="1:8" ht="14.25" thickBot="1">
      <c r="A786" s="18">
        <v>78.3</v>
      </c>
      <c r="B786" s="27">
        <v>0.86807999999999996</v>
      </c>
      <c r="C786" s="11">
        <f t="shared" si="48"/>
        <v>-2.6999999999996944E-3</v>
      </c>
      <c r="D786" s="12">
        <f t="shared" si="49"/>
        <v>1.0794899999999761</v>
      </c>
      <c r="E786" s="18">
        <v>78.3</v>
      </c>
      <c r="F786" s="27">
        <v>0.86885999999999997</v>
      </c>
      <c r="G786" s="11">
        <f t="shared" si="50"/>
        <v>-2.6999999999996944E-3</v>
      </c>
      <c r="H786" s="12">
        <f t="shared" si="51"/>
        <v>1.0802699999999761</v>
      </c>
    </row>
    <row r="787" spans="1:8" ht="14.25" thickBot="1">
      <c r="A787" s="18">
        <v>78.400000000000006</v>
      </c>
      <c r="B787" s="27">
        <v>0.86780999999999997</v>
      </c>
      <c r="C787" s="11">
        <f t="shared" si="48"/>
        <v>-2.7000000000000778E-3</v>
      </c>
      <c r="D787" s="12">
        <f t="shared" si="49"/>
        <v>1.0794900000000061</v>
      </c>
      <c r="E787" s="18">
        <v>78.400000000000006</v>
      </c>
      <c r="F787" s="27">
        <v>0.86858999999999997</v>
      </c>
      <c r="G787" s="11">
        <f t="shared" si="50"/>
        <v>-2.7000000000000778E-3</v>
      </c>
      <c r="H787" s="12">
        <f t="shared" si="51"/>
        <v>1.0802700000000061</v>
      </c>
    </row>
    <row r="788" spans="1:8" ht="14.25" thickBot="1">
      <c r="A788" s="18">
        <v>78.5</v>
      </c>
      <c r="B788" s="27">
        <v>0.86753999999999998</v>
      </c>
      <c r="C788" s="11">
        <f t="shared" si="48"/>
        <v>-2.7000000000000778E-3</v>
      </c>
      <c r="D788" s="12">
        <f t="shared" si="49"/>
        <v>1.0794900000000061</v>
      </c>
      <c r="E788" s="18">
        <v>78.5</v>
      </c>
      <c r="F788" s="27">
        <v>0.86831999999999998</v>
      </c>
      <c r="G788" s="11">
        <f t="shared" si="50"/>
        <v>-2.7000000000000778E-3</v>
      </c>
      <c r="H788" s="12">
        <f t="shared" si="51"/>
        <v>1.0802700000000061</v>
      </c>
    </row>
    <row r="789" spans="1:8" ht="14.25" thickBot="1">
      <c r="A789" s="18">
        <v>78.599999999999994</v>
      </c>
      <c r="B789" s="27">
        <v>0.86726999999999999</v>
      </c>
      <c r="C789" s="11">
        <f t="shared" si="48"/>
        <v>-2.7999999999992306E-3</v>
      </c>
      <c r="D789" s="12">
        <f t="shared" si="49"/>
        <v>1.0873499999999394</v>
      </c>
      <c r="E789" s="18">
        <v>78.599999999999994</v>
      </c>
      <c r="F789" s="27">
        <v>0.86804999999999999</v>
      </c>
      <c r="G789" s="11">
        <f t="shared" si="50"/>
        <v>-2.7999999999992306E-3</v>
      </c>
      <c r="H789" s="12">
        <f t="shared" si="51"/>
        <v>1.0881299999999394</v>
      </c>
    </row>
    <row r="790" spans="1:8" ht="14.25" thickBot="1">
      <c r="A790" s="18">
        <v>78.7</v>
      </c>
      <c r="B790" s="27">
        <v>0.86699000000000004</v>
      </c>
      <c r="C790" s="11">
        <f t="shared" si="48"/>
        <v>-2.7000000000000778E-3</v>
      </c>
      <c r="D790" s="12">
        <f t="shared" si="49"/>
        <v>1.0794800000000062</v>
      </c>
      <c r="E790" s="18">
        <v>78.7</v>
      </c>
      <c r="F790" s="27">
        <v>0.86777000000000004</v>
      </c>
      <c r="G790" s="11">
        <f t="shared" si="50"/>
        <v>-2.7000000000000778E-3</v>
      </c>
      <c r="H790" s="12">
        <f t="shared" si="51"/>
        <v>1.0802600000000062</v>
      </c>
    </row>
    <row r="791" spans="1:8" ht="14.25" thickBot="1">
      <c r="A791" s="18">
        <v>78.8</v>
      </c>
      <c r="B791" s="27">
        <v>0.86672000000000005</v>
      </c>
      <c r="C791" s="11">
        <f t="shared" si="48"/>
        <v>-2.6999999999996944E-3</v>
      </c>
      <c r="D791" s="12">
        <f t="shared" si="49"/>
        <v>1.079479999999976</v>
      </c>
      <c r="E791" s="18">
        <v>78.8</v>
      </c>
      <c r="F791" s="27">
        <v>0.86750000000000005</v>
      </c>
      <c r="G791" s="11">
        <f t="shared" si="50"/>
        <v>-2.7000000000008046E-3</v>
      </c>
      <c r="H791" s="12">
        <f t="shared" si="51"/>
        <v>1.0802600000000633</v>
      </c>
    </row>
    <row r="792" spans="1:8" ht="14.25" thickBot="1">
      <c r="A792" s="18">
        <v>78.900000000000006</v>
      </c>
      <c r="B792" s="27">
        <v>0.86645000000000005</v>
      </c>
      <c r="C792" s="11">
        <f t="shared" si="48"/>
        <v>-2.800000000000739E-3</v>
      </c>
      <c r="D792" s="12">
        <f t="shared" si="49"/>
        <v>1.0873700000000583</v>
      </c>
      <c r="E792" s="18">
        <v>78.900000000000006</v>
      </c>
      <c r="F792" s="27">
        <v>0.86722999999999995</v>
      </c>
      <c r="G792" s="11">
        <f t="shared" si="50"/>
        <v>-2.7999999999996287E-3</v>
      </c>
      <c r="H792" s="12">
        <f t="shared" si="51"/>
        <v>1.0881499999999706</v>
      </c>
    </row>
    <row r="793" spans="1:8" ht="14.25" thickBot="1">
      <c r="A793" s="9">
        <v>79</v>
      </c>
      <c r="B793" s="19">
        <v>0.86617</v>
      </c>
      <c r="C793" s="11">
        <f t="shared" si="48"/>
        <v>-2.7000000000000778E-3</v>
      </c>
      <c r="D793" s="12">
        <f t="shared" si="49"/>
        <v>1.0794700000000061</v>
      </c>
      <c r="E793" s="9">
        <v>79</v>
      </c>
      <c r="F793" s="19">
        <v>0.86695</v>
      </c>
      <c r="G793" s="11">
        <f t="shared" si="50"/>
        <v>-2.7000000000000778E-3</v>
      </c>
      <c r="H793" s="12">
        <f t="shared" si="51"/>
        <v>1.0802500000000061</v>
      </c>
    </row>
    <row r="794" spans="1:8" ht="14.25" thickBot="1">
      <c r="A794" s="18">
        <v>79.099999999999994</v>
      </c>
      <c r="B794" s="27">
        <v>0.8659</v>
      </c>
      <c r="C794" s="11">
        <f t="shared" si="48"/>
        <v>-2.8000000000003408E-3</v>
      </c>
      <c r="D794" s="12">
        <f t="shared" si="49"/>
        <v>1.0873800000000269</v>
      </c>
      <c r="E794" s="18">
        <v>79.099999999999994</v>
      </c>
      <c r="F794" s="27">
        <v>0.86668000000000001</v>
      </c>
      <c r="G794" s="11">
        <f t="shared" si="50"/>
        <v>-2.8000000000003408E-3</v>
      </c>
      <c r="H794" s="12">
        <f t="shared" si="51"/>
        <v>1.0881600000000269</v>
      </c>
    </row>
    <row r="795" spans="1:8" ht="14.25" thickBot="1">
      <c r="A795" s="18">
        <v>79.2</v>
      </c>
      <c r="B795" s="27">
        <v>0.86561999999999995</v>
      </c>
      <c r="C795" s="11">
        <f t="shared" si="48"/>
        <v>-2.7000000000000778E-3</v>
      </c>
      <c r="D795" s="12">
        <f t="shared" si="49"/>
        <v>1.0794600000000061</v>
      </c>
      <c r="E795" s="18">
        <v>79.2</v>
      </c>
      <c r="F795" s="27">
        <v>0.86639999999999995</v>
      </c>
      <c r="G795" s="11">
        <f t="shared" si="50"/>
        <v>-2.7000000000000778E-3</v>
      </c>
      <c r="H795" s="12">
        <f t="shared" si="51"/>
        <v>1.0802400000000061</v>
      </c>
    </row>
    <row r="796" spans="1:8" ht="14.25" thickBot="1">
      <c r="A796" s="18">
        <v>79.3</v>
      </c>
      <c r="B796" s="27">
        <v>0.86534999999999995</v>
      </c>
      <c r="C796" s="11">
        <f t="shared" si="48"/>
        <v>-2.7999999999992306E-3</v>
      </c>
      <c r="D796" s="12">
        <f t="shared" si="49"/>
        <v>1.087389999999939</v>
      </c>
      <c r="E796" s="18">
        <v>79.3</v>
      </c>
      <c r="F796" s="27">
        <v>0.86612999999999996</v>
      </c>
      <c r="G796" s="11">
        <f t="shared" si="50"/>
        <v>-2.7999999999992306E-3</v>
      </c>
      <c r="H796" s="12">
        <f t="shared" si="51"/>
        <v>1.088169999999939</v>
      </c>
    </row>
    <row r="797" spans="1:8" ht="14.25" thickBot="1">
      <c r="A797" s="18">
        <v>79.400000000000006</v>
      </c>
      <c r="B797" s="27">
        <v>0.86507000000000001</v>
      </c>
      <c r="C797" s="11">
        <f t="shared" si="48"/>
        <v>-2.7000000000000778E-3</v>
      </c>
      <c r="D797" s="12">
        <f t="shared" si="49"/>
        <v>1.0794500000000062</v>
      </c>
      <c r="E797" s="18">
        <v>79.400000000000006</v>
      </c>
      <c r="F797" s="27">
        <v>0.86585000000000001</v>
      </c>
      <c r="G797" s="11">
        <f t="shared" si="50"/>
        <v>-2.7000000000000778E-3</v>
      </c>
      <c r="H797" s="12">
        <f t="shared" si="51"/>
        <v>1.0802300000000062</v>
      </c>
    </row>
    <row r="798" spans="1:8" ht="14.25" thickBot="1">
      <c r="A798" s="18">
        <v>79.5</v>
      </c>
      <c r="B798" s="27">
        <v>0.86480000000000001</v>
      </c>
      <c r="C798" s="11">
        <f t="shared" si="48"/>
        <v>-2.800000000000739E-3</v>
      </c>
      <c r="D798" s="12">
        <f t="shared" si="49"/>
        <v>1.0874000000000588</v>
      </c>
      <c r="E798" s="18">
        <v>79.5</v>
      </c>
      <c r="F798" s="27">
        <v>0.86558000000000002</v>
      </c>
      <c r="G798" s="11">
        <f t="shared" si="50"/>
        <v>-2.800000000000739E-3</v>
      </c>
      <c r="H798" s="12">
        <f t="shared" si="51"/>
        <v>1.0881800000000588</v>
      </c>
    </row>
    <row r="799" spans="1:8" ht="14.25" thickBot="1">
      <c r="A799" s="18">
        <v>79.599999999999994</v>
      </c>
      <c r="B799" s="27">
        <v>0.86451999999999996</v>
      </c>
      <c r="C799" s="11">
        <f t="shared" si="48"/>
        <v>-2.6999999999996944E-3</v>
      </c>
      <c r="D799" s="12">
        <f t="shared" si="49"/>
        <v>1.0794399999999755</v>
      </c>
      <c r="E799" s="18">
        <v>79.599999999999994</v>
      </c>
      <c r="F799" s="27">
        <v>0.86529999999999996</v>
      </c>
      <c r="G799" s="11">
        <f t="shared" si="50"/>
        <v>-2.6999999999996944E-3</v>
      </c>
      <c r="H799" s="12">
        <f t="shared" si="51"/>
        <v>1.0802199999999758</v>
      </c>
    </row>
    <row r="800" spans="1:8" ht="14.25" thickBot="1">
      <c r="A800" s="18">
        <v>79.7</v>
      </c>
      <c r="B800" s="27">
        <v>0.86424999999999996</v>
      </c>
      <c r="C800" s="11">
        <f t="shared" si="48"/>
        <v>-2.7999999999996287E-3</v>
      </c>
      <c r="D800" s="12">
        <f t="shared" si="49"/>
        <v>1.0874099999999702</v>
      </c>
      <c r="E800" s="18">
        <v>79.7</v>
      </c>
      <c r="F800" s="27">
        <v>0.86502999999999997</v>
      </c>
      <c r="G800" s="11">
        <f t="shared" si="50"/>
        <v>-2.7999999999996287E-3</v>
      </c>
      <c r="H800" s="12">
        <f t="shared" si="51"/>
        <v>1.0881899999999702</v>
      </c>
    </row>
    <row r="801" spans="1:8" ht="14.25" thickBot="1">
      <c r="A801" s="18">
        <v>79.8</v>
      </c>
      <c r="B801" s="27">
        <v>0.86397000000000002</v>
      </c>
      <c r="C801" s="11">
        <f t="shared" si="48"/>
        <v>-2.8000000000003408E-3</v>
      </c>
      <c r="D801" s="12">
        <f t="shared" si="49"/>
        <v>1.0874100000000273</v>
      </c>
      <c r="E801" s="18">
        <v>79.8</v>
      </c>
      <c r="F801" s="27">
        <v>0.86475000000000002</v>
      </c>
      <c r="G801" s="11">
        <f t="shared" si="50"/>
        <v>-2.8000000000003408E-3</v>
      </c>
      <c r="H801" s="12">
        <f t="shared" si="51"/>
        <v>1.0881900000000271</v>
      </c>
    </row>
    <row r="802" spans="1:8" ht="14.25" thickBot="1">
      <c r="A802" s="18">
        <v>79.900000000000006</v>
      </c>
      <c r="B802" s="27">
        <v>0.86368999999999996</v>
      </c>
      <c r="C802" s="11">
        <f t="shared" si="48"/>
        <v>-2.7000000000000778E-3</v>
      </c>
      <c r="D802" s="12">
        <f t="shared" si="49"/>
        <v>1.0794200000000063</v>
      </c>
      <c r="E802" s="18">
        <v>79.900000000000006</v>
      </c>
      <c r="F802" s="27">
        <v>0.86446999999999996</v>
      </c>
      <c r="G802" s="11">
        <f t="shared" si="50"/>
        <v>-2.7000000000000778E-3</v>
      </c>
      <c r="H802" s="12">
        <f t="shared" si="51"/>
        <v>1.0802000000000063</v>
      </c>
    </row>
    <row r="803" spans="1:8" ht="14.25" thickBot="1">
      <c r="A803" s="9">
        <v>80</v>
      </c>
      <c r="B803" s="19">
        <v>0.86341999999999997</v>
      </c>
      <c r="C803" s="11">
        <f t="shared" si="48"/>
        <v>-2.7999999999996287E-3</v>
      </c>
      <c r="D803" s="12">
        <f t="shared" si="49"/>
        <v>1.0874199999999703</v>
      </c>
      <c r="E803" s="9">
        <v>80</v>
      </c>
      <c r="F803" s="19">
        <v>0.86419999999999997</v>
      </c>
      <c r="G803" s="11">
        <f t="shared" si="50"/>
        <v>-2.7999999999996287E-3</v>
      </c>
      <c r="H803" s="12">
        <f t="shared" si="51"/>
        <v>1.0881999999999703</v>
      </c>
    </row>
    <row r="804" spans="1:8" ht="14.25" thickBot="1">
      <c r="A804" s="18">
        <v>80.099999999999994</v>
      </c>
      <c r="B804" s="27">
        <v>0.86314000000000002</v>
      </c>
      <c r="C804" s="11">
        <f t="shared" si="48"/>
        <v>-2.8000000000003408E-3</v>
      </c>
      <c r="D804" s="12">
        <f t="shared" si="49"/>
        <v>1.0874200000000274</v>
      </c>
      <c r="E804" s="18">
        <v>80.099999999999994</v>
      </c>
      <c r="F804" s="27">
        <v>0.86392000000000002</v>
      </c>
      <c r="G804" s="11">
        <f t="shared" si="50"/>
        <v>-2.8000000000003408E-3</v>
      </c>
      <c r="H804" s="12">
        <f t="shared" si="51"/>
        <v>1.0882000000000274</v>
      </c>
    </row>
    <row r="805" spans="1:8" ht="14.25" thickBot="1">
      <c r="A805" s="18">
        <v>80.2</v>
      </c>
      <c r="B805" s="27">
        <v>0.86285999999999996</v>
      </c>
      <c r="C805" s="11">
        <f t="shared" si="48"/>
        <v>-2.7999999999996287E-3</v>
      </c>
      <c r="D805" s="12">
        <f t="shared" si="49"/>
        <v>1.0874199999999701</v>
      </c>
      <c r="E805" s="18">
        <v>80.2</v>
      </c>
      <c r="F805" s="27">
        <v>0.86363999999999996</v>
      </c>
      <c r="G805" s="11">
        <f t="shared" si="50"/>
        <v>-2.7999999999996287E-3</v>
      </c>
      <c r="H805" s="12">
        <f t="shared" si="51"/>
        <v>1.0881999999999701</v>
      </c>
    </row>
    <row r="806" spans="1:8" ht="14.25" thickBot="1">
      <c r="A806" s="18">
        <v>80.3</v>
      </c>
      <c r="B806" s="27">
        <v>0.86258000000000001</v>
      </c>
      <c r="C806" s="11">
        <f t="shared" si="48"/>
        <v>-2.8000000000003408E-3</v>
      </c>
      <c r="D806" s="12">
        <f t="shared" si="49"/>
        <v>1.0874200000000274</v>
      </c>
      <c r="E806" s="18">
        <v>80.3</v>
      </c>
      <c r="F806" s="27">
        <v>0.86336000000000002</v>
      </c>
      <c r="G806" s="11">
        <f t="shared" si="50"/>
        <v>-2.8000000000003408E-3</v>
      </c>
      <c r="H806" s="12">
        <f t="shared" si="51"/>
        <v>1.0882000000000274</v>
      </c>
    </row>
    <row r="807" spans="1:8" ht="14.25" thickBot="1">
      <c r="A807" s="18">
        <v>80.400000000000006</v>
      </c>
      <c r="B807" s="27">
        <v>0.86229999999999996</v>
      </c>
      <c r="C807" s="11">
        <f t="shared" si="48"/>
        <v>-2.7000000000000778E-3</v>
      </c>
      <c r="D807" s="12">
        <f t="shared" si="49"/>
        <v>1.0793800000000062</v>
      </c>
      <c r="E807" s="18">
        <v>80.400000000000006</v>
      </c>
      <c r="F807" s="27">
        <v>0.86307999999999996</v>
      </c>
      <c r="G807" s="11">
        <f t="shared" si="50"/>
        <v>-2.7000000000000778E-3</v>
      </c>
      <c r="H807" s="12">
        <f t="shared" si="51"/>
        <v>1.0801600000000062</v>
      </c>
    </row>
    <row r="808" spans="1:8" ht="14.25" thickBot="1">
      <c r="A808" s="18">
        <v>80.5</v>
      </c>
      <c r="B808" s="15">
        <v>0.86202999999999996</v>
      </c>
      <c r="C808" s="11">
        <f t="shared" si="48"/>
        <v>-2.7999999999996287E-3</v>
      </c>
      <c r="D808" s="12">
        <f t="shared" si="49"/>
        <v>1.0874299999999701</v>
      </c>
      <c r="E808" s="18">
        <v>80.5</v>
      </c>
      <c r="F808" s="15">
        <v>0.86280999999999997</v>
      </c>
      <c r="G808" s="11">
        <f t="shared" si="50"/>
        <v>-2.7999999999996287E-3</v>
      </c>
      <c r="H808" s="12">
        <f t="shared" si="51"/>
        <v>1.0882099999999701</v>
      </c>
    </row>
    <row r="809" spans="1:8" ht="14.25" thickBot="1">
      <c r="A809" s="18">
        <v>80.599999999999994</v>
      </c>
      <c r="B809" s="27">
        <v>0.86175000000000002</v>
      </c>
      <c r="C809" s="11">
        <f t="shared" si="48"/>
        <v>-2.8000000000003408E-3</v>
      </c>
      <c r="D809" s="12">
        <f t="shared" si="49"/>
        <v>1.0874300000000274</v>
      </c>
      <c r="E809" s="18">
        <v>80.599999999999994</v>
      </c>
      <c r="F809" s="27">
        <v>0.86253000000000002</v>
      </c>
      <c r="G809" s="11">
        <f t="shared" si="50"/>
        <v>-2.8000000000003408E-3</v>
      </c>
      <c r="H809" s="12">
        <f t="shared" si="51"/>
        <v>1.0882100000000274</v>
      </c>
    </row>
    <row r="810" spans="1:8" ht="14.25" thickBot="1">
      <c r="A810" s="18">
        <v>80.7</v>
      </c>
      <c r="B810" s="27">
        <v>0.86146999999999996</v>
      </c>
      <c r="C810" s="11">
        <f t="shared" si="48"/>
        <v>-2.7999999999996287E-3</v>
      </c>
      <c r="D810" s="12">
        <f t="shared" si="49"/>
        <v>1.0874299999999699</v>
      </c>
      <c r="E810" s="18">
        <v>80.7</v>
      </c>
      <c r="F810" s="27">
        <v>0.86224999999999996</v>
      </c>
      <c r="G810" s="11">
        <f t="shared" si="50"/>
        <v>-2.7999999999996287E-3</v>
      </c>
      <c r="H810" s="12">
        <f t="shared" si="51"/>
        <v>1.0882099999999699</v>
      </c>
    </row>
    <row r="811" spans="1:8" ht="14.25" thickBot="1">
      <c r="A811" s="18">
        <v>80.8</v>
      </c>
      <c r="B811" s="27">
        <v>0.86119000000000001</v>
      </c>
      <c r="C811" s="11">
        <f t="shared" si="48"/>
        <v>-2.8000000000003408E-3</v>
      </c>
      <c r="D811" s="12">
        <f t="shared" si="49"/>
        <v>1.0874300000000274</v>
      </c>
      <c r="E811" s="18">
        <v>80.8</v>
      </c>
      <c r="F811" s="27">
        <v>0.86197000000000001</v>
      </c>
      <c r="G811" s="11">
        <f t="shared" si="50"/>
        <v>-2.8000000000003408E-3</v>
      </c>
      <c r="H811" s="12">
        <f t="shared" si="51"/>
        <v>1.0882100000000274</v>
      </c>
    </row>
    <row r="812" spans="1:8" ht="14.25" thickBot="1">
      <c r="A812" s="28">
        <v>80.900000000000006</v>
      </c>
      <c r="B812" s="29">
        <v>0.86090999999999995</v>
      </c>
      <c r="C812" s="11">
        <f t="shared" si="48"/>
        <v>-2.7999999999996287E-3</v>
      </c>
      <c r="D812" s="12">
        <f t="shared" si="49"/>
        <v>1.0874299999999699</v>
      </c>
      <c r="E812" s="28">
        <v>80.900000000000006</v>
      </c>
      <c r="F812" s="29">
        <v>0.86168999999999996</v>
      </c>
      <c r="G812" s="11">
        <f t="shared" si="50"/>
        <v>-2.7999999999996287E-3</v>
      </c>
      <c r="H812" s="12">
        <f t="shared" si="51"/>
        <v>1.0882099999999699</v>
      </c>
    </row>
    <row r="813" spans="1:8" ht="14.25" thickBot="1">
      <c r="A813" s="16">
        <v>81</v>
      </c>
      <c r="B813" s="17">
        <v>0.86063000000000001</v>
      </c>
      <c r="C813" s="11">
        <f t="shared" si="48"/>
        <v>-2.9000000000002895E-3</v>
      </c>
      <c r="D813" s="12">
        <f t="shared" si="49"/>
        <v>1.0955300000000234</v>
      </c>
      <c r="E813" s="16">
        <v>81</v>
      </c>
      <c r="F813" s="17">
        <v>0.86141000000000001</v>
      </c>
      <c r="G813" s="11">
        <f t="shared" si="50"/>
        <v>-2.9000000000002895E-3</v>
      </c>
      <c r="H813" s="12">
        <f t="shared" si="51"/>
        <v>1.0963100000000234</v>
      </c>
    </row>
    <row r="814" spans="1:8" ht="14.25" thickBot="1">
      <c r="A814" s="18">
        <v>81.099999999999994</v>
      </c>
      <c r="B814" s="27">
        <v>0.86033999999999999</v>
      </c>
      <c r="C814" s="11">
        <f t="shared" si="48"/>
        <v>-2.7999999999992306E-3</v>
      </c>
      <c r="D814" s="12">
        <f t="shared" si="49"/>
        <v>1.0874199999999377</v>
      </c>
      <c r="E814" s="18">
        <v>81.099999999999994</v>
      </c>
      <c r="F814" s="27">
        <v>0.86112</v>
      </c>
      <c r="G814" s="11">
        <f t="shared" si="50"/>
        <v>-2.8999999999998775E-3</v>
      </c>
      <c r="H814" s="12">
        <f t="shared" si="51"/>
        <v>1.0963099999999901</v>
      </c>
    </row>
    <row r="815" spans="1:8" ht="14.25" thickBot="1">
      <c r="A815" s="18">
        <v>81.2</v>
      </c>
      <c r="B815" s="27">
        <v>0.86006000000000005</v>
      </c>
      <c r="C815" s="11">
        <f t="shared" si="48"/>
        <v>-2.800000000000739E-3</v>
      </c>
      <c r="D815" s="12">
        <f t="shared" si="49"/>
        <v>1.08742000000006</v>
      </c>
      <c r="E815" s="18">
        <v>81.2</v>
      </c>
      <c r="F815" s="27">
        <v>0.86082999999999998</v>
      </c>
      <c r="G815" s="11">
        <f t="shared" si="50"/>
        <v>-2.7999999999996287E-3</v>
      </c>
      <c r="H815" s="12">
        <f t="shared" si="51"/>
        <v>1.0881899999999698</v>
      </c>
    </row>
    <row r="816" spans="1:8" ht="14.25" thickBot="1">
      <c r="A816" s="18">
        <v>81.3</v>
      </c>
      <c r="B816" s="27">
        <v>0.85977999999999999</v>
      </c>
      <c r="C816" s="11">
        <f t="shared" si="48"/>
        <v>-2.7999999999992306E-3</v>
      </c>
      <c r="D816" s="12">
        <f t="shared" si="49"/>
        <v>1.0874199999999374</v>
      </c>
      <c r="E816" s="18">
        <v>81.3</v>
      </c>
      <c r="F816" s="27">
        <v>0.86055000000000004</v>
      </c>
      <c r="G816" s="11">
        <f t="shared" si="50"/>
        <v>-2.8000000000003408E-3</v>
      </c>
      <c r="H816" s="12">
        <f t="shared" si="51"/>
        <v>1.0881900000000277</v>
      </c>
    </row>
    <row r="817" spans="1:8" ht="14.25" thickBot="1">
      <c r="A817" s="18">
        <v>81.400000000000006</v>
      </c>
      <c r="B817" s="27">
        <v>0.85950000000000004</v>
      </c>
      <c r="C817" s="11">
        <f t="shared" si="48"/>
        <v>-2.800000000000739E-3</v>
      </c>
      <c r="D817" s="12">
        <f t="shared" si="49"/>
        <v>1.0874200000000602</v>
      </c>
      <c r="E817" s="18">
        <v>81.400000000000006</v>
      </c>
      <c r="F817" s="27">
        <v>0.86026999999999998</v>
      </c>
      <c r="G817" s="11">
        <f t="shared" si="50"/>
        <v>-2.7999999999996287E-3</v>
      </c>
      <c r="H817" s="12">
        <f t="shared" si="51"/>
        <v>1.0881899999999698</v>
      </c>
    </row>
    <row r="818" spans="1:8" ht="14.25" thickBot="1">
      <c r="A818" s="18">
        <v>81.5</v>
      </c>
      <c r="B818" s="27">
        <v>0.85921999999999998</v>
      </c>
      <c r="C818" s="11">
        <f t="shared" si="48"/>
        <v>-2.9000000000002895E-3</v>
      </c>
      <c r="D818" s="12">
        <f t="shared" si="49"/>
        <v>1.0955700000000237</v>
      </c>
      <c r="E818" s="18">
        <v>81.5</v>
      </c>
      <c r="F818" s="27">
        <v>0.85999000000000003</v>
      </c>
      <c r="G818" s="11">
        <f t="shared" si="50"/>
        <v>-2.9000000000002895E-3</v>
      </c>
      <c r="H818" s="12">
        <f t="shared" si="51"/>
        <v>1.0963400000000236</v>
      </c>
    </row>
    <row r="819" spans="1:8" ht="14.25" thickBot="1">
      <c r="A819" s="18">
        <v>81.599999999999994</v>
      </c>
      <c r="B819" s="27">
        <v>0.85892999999999997</v>
      </c>
      <c r="C819" s="11">
        <f t="shared" si="48"/>
        <v>-2.7999999999992306E-3</v>
      </c>
      <c r="D819" s="12">
        <f t="shared" si="49"/>
        <v>1.0874099999999371</v>
      </c>
      <c r="E819" s="18">
        <v>81.599999999999994</v>
      </c>
      <c r="F819" s="27">
        <v>0.85970000000000002</v>
      </c>
      <c r="G819" s="11">
        <f t="shared" si="50"/>
        <v>-2.8000000000003408E-3</v>
      </c>
      <c r="H819" s="12">
        <f t="shared" si="51"/>
        <v>1.0881800000000279</v>
      </c>
    </row>
    <row r="820" spans="1:8" ht="14.25" thickBot="1">
      <c r="A820" s="18">
        <v>81.7</v>
      </c>
      <c r="B820" s="27">
        <v>0.85865000000000002</v>
      </c>
      <c r="C820" s="11">
        <f t="shared" si="48"/>
        <v>-2.800000000000739E-3</v>
      </c>
      <c r="D820" s="12">
        <f t="shared" si="49"/>
        <v>1.0874100000000604</v>
      </c>
      <c r="E820" s="18">
        <v>81.7</v>
      </c>
      <c r="F820" s="27">
        <v>0.85941999999999996</v>
      </c>
      <c r="G820" s="11">
        <f t="shared" si="50"/>
        <v>-2.7999999999996287E-3</v>
      </c>
      <c r="H820" s="12">
        <f t="shared" si="51"/>
        <v>1.0881799999999697</v>
      </c>
    </row>
    <row r="821" spans="1:8" ht="14.25" thickBot="1">
      <c r="A821" s="18">
        <v>81.8</v>
      </c>
      <c r="B821" s="27">
        <v>0.85836999999999997</v>
      </c>
      <c r="C821" s="11">
        <f t="shared" si="48"/>
        <v>-2.8999999999998775E-3</v>
      </c>
      <c r="D821" s="12">
        <f t="shared" si="49"/>
        <v>1.0955899999999898</v>
      </c>
      <c r="E821" s="18">
        <v>81.8</v>
      </c>
      <c r="F821" s="27">
        <v>0.85914000000000001</v>
      </c>
      <c r="G821" s="11">
        <f t="shared" si="50"/>
        <v>-2.8999999999998775E-3</v>
      </c>
      <c r="H821" s="12">
        <f t="shared" si="51"/>
        <v>1.09635999999999</v>
      </c>
    </row>
    <row r="822" spans="1:8" ht="14.25" thickBot="1">
      <c r="A822" s="18">
        <v>81.900000000000006</v>
      </c>
      <c r="B822" s="27">
        <v>0.85807999999999995</v>
      </c>
      <c r="C822" s="11">
        <f t="shared" si="48"/>
        <v>-2.7999999999996287E-3</v>
      </c>
      <c r="D822" s="12">
        <f t="shared" si="49"/>
        <v>1.0873999999999695</v>
      </c>
      <c r="E822" s="18">
        <v>81.900000000000006</v>
      </c>
      <c r="F822" s="27">
        <v>0.85885</v>
      </c>
      <c r="G822" s="11">
        <f t="shared" si="50"/>
        <v>-2.7999999999996287E-3</v>
      </c>
      <c r="H822" s="12">
        <f t="shared" si="51"/>
        <v>1.0881699999999697</v>
      </c>
    </row>
    <row r="823" spans="1:8" ht="14.25" thickBot="1">
      <c r="A823" s="9">
        <v>82</v>
      </c>
      <c r="B823" s="19">
        <v>0.85780000000000001</v>
      </c>
      <c r="C823" s="11">
        <f t="shared" si="48"/>
        <v>-2.9000000000002895E-3</v>
      </c>
      <c r="D823" s="12">
        <f t="shared" si="49"/>
        <v>1.0956000000000239</v>
      </c>
      <c r="E823" s="9">
        <v>82</v>
      </c>
      <c r="F823" s="19">
        <v>0.85857000000000006</v>
      </c>
      <c r="G823" s="11">
        <f t="shared" si="50"/>
        <v>-2.9000000000002895E-3</v>
      </c>
      <c r="H823" s="12">
        <f t="shared" si="51"/>
        <v>1.0963700000000238</v>
      </c>
    </row>
    <row r="824" spans="1:8" ht="14.25" thickBot="1">
      <c r="A824" s="18">
        <v>82.1</v>
      </c>
      <c r="B824" s="27">
        <v>0.85750999999999999</v>
      </c>
      <c r="C824" s="11">
        <f t="shared" si="48"/>
        <v>-2.7999999999992306E-3</v>
      </c>
      <c r="D824" s="12">
        <f t="shared" si="49"/>
        <v>1.0873899999999368</v>
      </c>
      <c r="E824" s="18">
        <v>82.1</v>
      </c>
      <c r="F824" s="27">
        <v>0.85828000000000004</v>
      </c>
      <c r="G824" s="11">
        <f t="shared" si="50"/>
        <v>-2.8000000000003408E-3</v>
      </c>
      <c r="H824" s="12">
        <f t="shared" si="51"/>
        <v>1.088160000000028</v>
      </c>
    </row>
    <row r="825" spans="1:8" ht="14.25" thickBot="1">
      <c r="A825" s="18">
        <v>82.2</v>
      </c>
      <c r="B825" s="27">
        <v>0.85723000000000005</v>
      </c>
      <c r="C825" s="11">
        <f t="shared" si="48"/>
        <v>-2.9000000000002895E-3</v>
      </c>
      <c r="D825" s="12">
        <f t="shared" si="49"/>
        <v>1.095610000000024</v>
      </c>
      <c r="E825" s="18">
        <v>82.2</v>
      </c>
      <c r="F825" s="27">
        <v>0.85799999999999998</v>
      </c>
      <c r="G825" s="11">
        <f t="shared" si="50"/>
        <v>-2.9000000000002895E-3</v>
      </c>
      <c r="H825" s="12">
        <f t="shared" si="51"/>
        <v>1.0963800000000239</v>
      </c>
    </row>
    <row r="826" spans="1:8" ht="14.25" thickBot="1">
      <c r="A826" s="18">
        <v>82.3</v>
      </c>
      <c r="B826" s="27">
        <v>0.85694000000000004</v>
      </c>
      <c r="C826" s="11">
        <f t="shared" si="48"/>
        <v>-2.8999999999998775E-3</v>
      </c>
      <c r="D826" s="12">
        <f t="shared" si="49"/>
        <v>1.09560999999999</v>
      </c>
      <c r="E826" s="18">
        <v>82.3</v>
      </c>
      <c r="F826" s="27">
        <v>0.85770999999999997</v>
      </c>
      <c r="G826" s="11">
        <f t="shared" si="50"/>
        <v>-2.8999999999998775E-3</v>
      </c>
      <c r="H826" s="12">
        <f t="shared" si="51"/>
        <v>1.0963799999999897</v>
      </c>
    </row>
    <row r="827" spans="1:8" ht="14.25" thickBot="1">
      <c r="A827" s="18">
        <v>82.4</v>
      </c>
      <c r="B827" s="27">
        <v>0.85665000000000002</v>
      </c>
      <c r="C827" s="11">
        <f t="shared" si="48"/>
        <v>-2.800000000000739E-3</v>
      </c>
      <c r="D827" s="12">
        <f t="shared" si="49"/>
        <v>1.087370000000061</v>
      </c>
      <c r="E827" s="18">
        <v>82.4</v>
      </c>
      <c r="F827" s="27">
        <v>0.85741999999999996</v>
      </c>
      <c r="G827" s="11">
        <f t="shared" si="50"/>
        <v>-2.7999999999996287E-3</v>
      </c>
      <c r="H827" s="12">
        <f t="shared" si="51"/>
        <v>1.0881399999999695</v>
      </c>
    </row>
    <row r="828" spans="1:8" ht="14.25" thickBot="1">
      <c r="A828" s="18">
        <v>82.5</v>
      </c>
      <c r="B828" s="27">
        <v>0.85636999999999996</v>
      </c>
      <c r="C828" s="11">
        <f t="shared" si="48"/>
        <v>-2.9000000000002895E-3</v>
      </c>
      <c r="D828" s="12">
        <f t="shared" si="49"/>
        <v>1.0956200000000238</v>
      </c>
      <c r="E828" s="18">
        <v>82.5</v>
      </c>
      <c r="F828" s="27">
        <v>0.85714000000000001</v>
      </c>
      <c r="G828" s="11">
        <f t="shared" si="50"/>
        <v>-2.9000000000002895E-3</v>
      </c>
      <c r="H828" s="12">
        <f t="shared" si="51"/>
        <v>1.096390000000024</v>
      </c>
    </row>
    <row r="829" spans="1:8" ht="14.25" thickBot="1">
      <c r="A829" s="18">
        <v>82.6</v>
      </c>
      <c r="B829" s="27">
        <v>0.85607999999999995</v>
      </c>
      <c r="C829" s="11">
        <f t="shared" si="48"/>
        <v>-2.8999999999987673E-3</v>
      </c>
      <c r="D829" s="12">
        <f t="shared" si="49"/>
        <v>1.0956199999998981</v>
      </c>
      <c r="E829" s="18">
        <v>82.6</v>
      </c>
      <c r="F829" s="27">
        <v>0.85685</v>
      </c>
      <c r="G829" s="11">
        <f t="shared" si="50"/>
        <v>-2.8999999999998775E-3</v>
      </c>
      <c r="H829" s="12">
        <f t="shared" si="51"/>
        <v>1.09638999999999</v>
      </c>
    </row>
    <row r="830" spans="1:8" ht="14.25" thickBot="1">
      <c r="A830" s="18">
        <v>82.7</v>
      </c>
      <c r="B830" s="27">
        <v>0.85579000000000005</v>
      </c>
      <c r="C830" s="11">
        <f t="shared" si="48"/>
        <v>-2.800000000000739E-3</v>
      </c>
      <c r="D830" s="12">
        <f t="shared" si="49"/>
        <v>1.0873500000000611</v>
      </c>
      <c r="E830" s="18">
        <v>82.7</v>
      </c>
      <c r="F830" s="27">
        <v>0.85655999999999999</v>
      </c>
      <c r="G830" s="11">
        <f t="shared" si="50"/>
        <v>-2.7999999999996287E-3</v>
      </c>
      <c r="H830" s="12">
        <f t="shared" si="51"/>
        <v>1.0881199999999693</v>
      </c>
    </row>
    <row r="831" spans="1:8" ht="14.25" thickBot="1">
      <c r="A831" s="18">
        <v>82.8</v>
      </c>
      <c r="B831" s="27">
        <v>0.85550999999999999</v>
      </c>
      <c r="C831" s="11">
        <f t="shared" si="48"/>
        <v>-2.8999999999998775E-3</v>
      </c>
      <c r="D831" s="12">
        <f t="shared" si="49"/>
        <v>1.0956299999999897</v>
      </c>
      <c r="E831" s="18">
        <v>82.8</v>
      </c>
      <c r="F831" s="27">
        <v>0.85628000000000004</v>
      </c>
      <c r="G831" s="11">
        <f t="shared" si="50"/>
        <v>-2.8999999999998775E-3</v>
      </c>
      <c r="H831" s="12">
        <f t="shared" si="51"/>
        <v>1.0963999999999898</v>
      </c>
    </row>
    <row r="832" spans="1:8" ht="14.25" thickBot="1">
      <c r="A832" s="18">
        <v>82.9</v>
      </c>
      <c r="B832" s="27">
        <v>0.85521999999999998</v>
      </c>
      <c r="C832" s="11">
        <f t="shared" si="48"/>
        <v>-2.9000000000002895E-3</v>
      </c>
      <c r="D832" s="12">
        <f t="shared" si="49"/>
        <v>1.0956300000000241</v>
      </c>
      <c r="E832" s="18">
        <v>82.9</v>
      </c>
      <c r="F832" s="27">
        <v>0.85599000000000003</v>
      </c>
      <c r="G832" s="11">
        <f t="shared" si="50"/>
        <v>-2.9000000000002895E-3</v>
      </c>
      <c r="H832" s="12">
        <f t="shared" si="51"/>
        <v>1.096400000000024</v>
      </c>
    </row>
    <row r="833" spans="1:8" ht="14.25" thickBot="1">
      <c r="A833" s="9">
        <v>83</v>
      </c>
      <c r="B833" s="19">
        <v>0.85492999999999997</v>
      </c>
      <c r="C833" s="11">
        <f t="shared" si="48"/>
        <v>-2.9000000000002895E-3</v>
      </c>
      <c r="D833" s="12">
        <f t="shared" si="49"/>
        <v>1.0956300000000239</v>
      </c>
      <c r="E833" s="9">
        <v>83</v>
      </c>
      <c r="F833" s="19">
        <v>0.85570000000000002</v>
      </c>
      <c r="G833" s="11">
        <f t="shared" si="50"/>
        <v>-2.9000000000002895E-3</v>
      </c>
      <c r="H833" s="12">
        <f t="shared" si="51"/>
        <v>1.096400000000024</v>
      </c>
    </row>
    <row r="834" spans="1:8" ht="14.25" thickBot="1">
      <c r="A834" s="18">
        <v>83.1</v>
      </c>
      <c r="B834" s="27">
        <v>0.85463999999999996</v>
      </c>
      <c r="C834" s="11">
        <f t="shared" si="48"/>
        <v>-2.8999999999987673E-3</v>
      </c>
      <c r="D834" s="12">
        <f t="shared" si="49"/>
        <v>1.0956299999998975</v>
      </c>
      <c r="E834" s="18">
        <v>83.1</v>
      </c>
      <c r="F834" s="27">
        <v>0.85541</v>
      </c>
      <c r="G834" s="11">
        <f t="shared" si="50"/>
        <v>-2.8999999999998775E-3</v>
      </c>
      <c r="H834" s="12">
        <f t="shared" si="51"/>
        <v>1.0963999999999898</v>
      </c>
    </row>
    <row r="835" spans="1:8" ht="14.25" thickBot="1">
      <c r="A835" s="18">
        <v>83.2</v>
      </c>
      <c r="B835" s="27">
        <v>0.85435000000000005</v>
      </c>
      <c r="C835" s="11">
        <f t="shared" si="48"/>
        <v>-2.9000000000002895E-3</v>
      </c>
      <c r="D835" s="12">
        <f t="shared" si="49"/>
        <v>1.0956300000000243</v>
      </c>
      <c r="E835" s="18">
        <v>83.2</v>
      </c>
      <c r="F835" s="27">
        <v>0.85511999999999999</v>
      </c>
      <c r="G835" s="11">
        <f t="shared" si="50"/>
        <v>-2.9000000000002895E-3</v>
      </c>
      <c r="H835" s="12">
        <f t="shared" si="51"/>
        <v>1.096400000000024</v>
      </c>
    </row>
    <row r="836" spans="1:8" ht="14.25" thickBot="1">
      <c r="A836" s="18">
        <v>83.3</v>
      </c>
      <c r="B836" s="27">
        <v>0.85406000000000004</v>
      </c>
      <c r="C836" s="11">
        <f t="shared" ref="C836:C899" si="52">SLOPE(B836:B837,A836:A837)</f>
        <v>-2.8999999999998775E-3</v>
      </c>
      <c r="D836" s="12">
        <f t="shared" ref="D836:D899" si="53">INTERCEPT(B836:B837,A836:A837)</f>
        <v>1.0956299999999897</v>
      </c>
      <c r="E836" s="18">
        <v>83.3</v>
      </c>
      <c r="F836" s="27">
        <v>0.85482999999999998</v>
      </c>
      <c r="G836" s="11">
        <f t="shared" ref="G836:G899" si="54">SLOPE(F836:F837,E836:E837)</f>
        <v>-2.8999999999998775E-3</v>
      </c>
      <c r="H836" s="12">
        <f t="shared" ref="H836:H899" si="55">INTERCEPT(F836:F837,E836:E837)</f>
        <v>1.0963999999999896</v>
      </c>
    </row>
    <row r="837" spans="1:8" ht="14.25" thickBot="1">
      <c r="A837" s="18">
        <v>83.4</v>
      </c>
      <c r="B837" s="27">
        <v>0.85377000000000003</v>
      </c>
      <c r="C837" s="11">
        <f t="shared" si="52"/>
        <v>-2.9000000000002895E-3</v>
      </c>
      <c r="D837" s="12">
        <f t="shared" si="53"/>
        <v>1.0956300000000243</v>
      </c>
      <c r="E837" s="18">
        <v>83.4</v>
      </c>
      <c r="F837" s="27">
        <v>0.85453999999999997</v>
      </c>
      <c r="G837" s="11">
        <f t="shared" si="54"/>
        <v>-2.9000000000002895E-3</v>
      </c>
      <c r="H837" s="12">
        <f t="shared" si="55"/>
        <v>1.0964000000000242</v>
      </c>
    </row>
    <row r="838" spans="1:8" ht="14.25" thickBot="1">
      <c r="A838" s="18">
        <v>83.5</v>
      </c>
      <c r="B838" s="27">
        <v>0.85348000000000002</v>
      </c>
      <c r="C838" s="11">
        <f t="shared" si="52"/>
        <v>-2.9000000000002895E-3</v>
      </c>
      <c r="D838" s="12">
        <f t="shared" si="53"/>
        <v>1.0956300000000241</v>
      </c>
      <c r="E838" s="18">
        <v>83.5</v>
      </c>
      <c r="F838" s="27">
        <v>0.85424999999999995</v>
      </c>
      <c r="G838" s="11">
        <f t="shared" si="54"/>
        <v>-2.8999999999991793E-3</v>
      </c>
      <c r="H838" s="12">
        <f t="shared" si="55"/>
        <v>1.0963999999999314</v>
      </c>
    </row>
    <row r="839" spans="1:8" ht="14.25" thickBot="1">
      <c r="A839" s="18">
        <v>83.6</v>
      </c>
      <c r="B839" s="27">
        <v>0.85319</v>
      </c>
      <c r="C839" s="11">
        <f t="shared" si="52"/>
        <v>-2.8999999999998775E-3</v>
      </c>
      <c r="D839" s="12">
        <f t="shared" si="53"/>
        <v>1.0956299999999899</v>
      </c>
      <c r="E839" s="18">
        <v>83.6</v>
      </c>
      <c r="F839" s="27">
        <v>0.85396000000000005</v>
      </c>
      <c r="G839" s="11">
        <f t="shared" si="54"/>
        <v>-2.8999999999998775E-3</v>
      </c>
      <c r="H839" s="12">
        <f t="shared" si="55"/>
        <v>1.0963999999999898</v>
      </c>
    </row>
    <row r="840" spans="1:8" ht="14.25" thickBot="1">
      <c r="A840" s="18">
        <v>83.7</v>
      </c>
      <c r="B840" s="27">
        <v>0.85289999999999999</v>
      </c>
      <c r="C840" s="11">
        <f t="shared" si="52"/>
        <v>-2.9999999999998396E-3</v>
      </c>
      <c r="D840" s="12">
        <f t="shared" si="53"/>
        <v>1.1039999999999865</v>
      </c>
      <c r="E840" s="18">
        <v>83.7</v>
      </c>
      <c r="F840" s="27">
        <v>0.85367000000000004</v>
      </c>
      <c r="G840" s="11">
        <f t="shared" si="54"/>
        <v>-3.0000000000009503E-3</v>
      </c>
      <c r="H840" s="12">
        <f t="shared" si="55"/>
        <v>1.1047700000000797</v>
      </c>
    </row>
    <row r="841" spans="1:8" ht="14.25" thickBot="1">
      <c r="A841" s="18">
        <v>83.8</v>
      </c>
      <c r="B841" s="27">
        <v>0.85260000000000002</v>
      </c>
      <c r="C841" s="11">
        <f t="shared" si="52"/>
        <v>-2.8999999999998775E-3</v>
      </c>
      <c r="D841" s="12">
        <f t="shared" si="53"/>
        <v>1.0956199999999896</v>
      </c>
      <c r="E841" s="18">
        <v>83.8</v>
      </c>
      <c r="F841" s="27">
        <v>0.85336999999999996</v>
      </c>
      <c r="G841" s="11">
        <f t="shared" si="54"/>
        <v>-2.8999999999998775E-3</v>
      </c>
      <c r="H841" s="12">
        <f t="shared" si="55"/>
        <v>1.0963899999999895</v>
      </c>
    </row>
    <row r="842" spans="1:8" ht="14.25" thickBot="1">
      <c r="A842" s="18">
        <v>83.9</v>
      </c>
      <c r="B842" s="27">
        <v>0.85231000000000001</v>
      </c>
      <c r="C842" s="11">
        <f t="shared" si="52"/>
        <v>-2.9000000000002895E-3</v>
      </c>
      <c r="D842" s="12">
        <f t="shared" si="53"/>
        <v>1.0956200000000245</v>
      </c>
      <c r="E842" s="18">
        <v>83.9</v>
      </c>
      <c r="F842" s="27">
        <v>0.85307999999999995</v>
      </c>
      <c r="G842" s="11">
        <f t="shared" si="54"/>
        <v>-2.8999999999991793E-3</v>
      </c>
      <c r="H842" s="12">
        <f t="shared" si="55"/>
        <v>1.0963899999999311</v>
      </c>
    </row>
    <row r="843" spans="1:8" ht="14.25" thickBot="1">
      <c r="A843" s="9">
        <v>84</v>
      </c>
      <c r="B843" s="19">
        <v>0.85202</v>
      </c>
      <c r="C843" s="11">
        <f t="shared" si="52"/>
        <v>-2.9000000000002895E-3</v>
      </c>
      <c r="D843" s="12">
        <f t="shared" si="53"/>
        <v>1.0956200000000242</v>
      </c>
      <c r="E843" s="9">
        <v>84</v>
      </c>
      <c r="F843" s="19">
        <v>0.85279000000000005</v>
      </c>
      <c r="G843" s="11">
        <f t="shared" si="54"/>
        <v>-2.9000000000002895E-3</v>
      </c>
      <c r="H843" s="12">
        <f t="shared" si="55"/>
        <v>1.0963900000000244</v>
      </c>
    </row>
    <row r="844" spans="1:8" ht="14.25" thickBot="1">
      <c r="A844" s="18">
        <v>84.1</v>
      </c>
      <c r="B844" s="27">
        <v>0.85172999999999999</v>
      </c>
      <c r="C844" s="11">
        <f t="shared" si="52"/>
        <v>-2.9999999999994137E-3</v>
      </c>
      <c r="D844" s="12">
        <f t="shared" si="53"/>
        <v>1.1040299999999506</v>
      </c>
      <c r="E844" s="18">
        <v>84.1</v>
      </c>
      <c r="F844" s="27">
        <v>0.85250000000000004</v>
      </c>
      <c r="G844" s="11">
        <f t="shared" si="54"/>
        <v>-3.0000000000005239E-3</v>
      </c>
      <c r="H844" s="12">
        <f t="shared" si="55"/>
        <v>1.104800000000044</v>
      </c>
    </row>
    <row r="845" spans="1:8" ht="14.25" thickBot="1">
      <c r="A845" s="18">
        <v>84.2</v>
      </c>
      <c r="B845" s="27">
        <v>0.85143000000000002</v>
      </c>
      <c r="C845" s="11">
        <f t="shared" si="52"/>
        <v>-2.9000000000002895E-3</v>
      </c>
      <c r="D845" s="12">
        <f t="shared" si="53"/>
        <v>1.0956100000000244</v>
      </c>
      <c r="E845" s="18">
        <v>84.2</v>
      </c>
      <c r="F845" s="27">
        <v>0.85219999999999996</v>
      </c>
      <c r="G845" s="11">
        <f t="shared" si="54"/>
        <v>-2.9000000000002895E-3</v>
      </c>
      <c r="H845" s="12">
        <f t="shared" si="55"/>
        <v>1.0963800000000243</v>
      </c>
    </row>
    <row r="846" spans="1:8" ht="14.25" thickBot="1">
      <c r="A846" s="18">
        <v>84.3</v>
      </c>
      <c r="B846" s="27">
        <v>0.85114000000000001</v>
      </c>
      <c r="C846" s="11">
        <f t="shared" si="52"/>
        <v>-2.9999999999994137E-3</v>
      </c>
      <c r="D846" s="12">
        <f t="shared" si="53"/>
        <v>1.1040399999999506</v>
      </c>
      <c r="E846" s="18">
        <v>84.3</v>
      </c>
      <c r="F846" s="27">
        <v>0.85190999999999995</v>
      </c>
      <c r="G846" s="11">
        <f t="shared" si="54"/>
        <v>-2.9999999999994137E-3</v>
      </c>
      <c r="H846" s="12">
        <f t="shared" si="55"/>
        <v>1.1048099999999506</v>
      </c>
    </row>
    <row r="847" spans="1:8" ht="14.25" thickBot="1">
      <c r="A847" s="18">
        <v>84.4</v>
      </c>
      <c r="B847" s="27">
        <v>0.85084000000000004</v>
      </c>
      <c r="C847" s="11">
        <f t="shared" si="52"/>
        <v>-2.9000000000002895E-3</v>
      </c>
      <c r="D847" s="12">
        <f t="shared" si="53"/>
        <v>1.0956000000000246</v>
      </c>
      <c r="E847" s="18">
        <v>84.4</v>
      </c>
      <c r="F847" s="27">
        <v>0.85160999999999998</v>
      </c>
      <c r="G847" s="11">
        <f t="shared" si="54"/>
        <v>-2.9000000000002895E-3</v>
      </c>
      <c r="H847" s="12">
        <f t="shared" si="55"/>
        <v>1.0963700000000243</v>
      </c>
    </row>
    <row r="848" spans="1:8" ht="14.25" thickBot="1">
      <c r="A848" s="18">
        <v>84.5</v>
      </c>
      <c r="B848" s="27">
        <v>0.85055000000000003</v>
      </c>
      <c r="C848" s="11">
        <f t="shared" si="52"/>
        <v>-3.0000000000009503E-3</v>
      </c>
      <c r="D848" s="12">
        <f t="shared" si="53"/>
        <v>1.1040500000000804</v>
      </c>
      <c r="E848" s="18">
        <v>84.5</v>
      </c>
      <c r="F848" s="27">
        <v>0.85131999999999997</v>
      </c>
      <c r="G848" s="11">
        <f t="shared" si="54"/>
        <v>-2.9999999999998396E-3</v>
      </c>
      <c r="H848" s="12">
        <f t="shared" si="55"/>
        <v>1.1048199999999864</v>
      </c>
    </row>
    <row r="849" spans="1:8" ht="14.25" thickBot="1">
      <c r="A849" s="18">
        <v>84.6</v>
      </c>
      <c r="B849" s="27">
        <v>0.85024999999999995</v>
      </c>
      <c r="C849" s="11">
        <f t="shared" si="52"/>
        <v>-2.8999999999987673E-3</v>
      </c>
      <c r="D849" s="12">
        <f t="shared" si="53"/>
        <v>1.0955899999998957</v>
      </c>
      <c r="E849" s="18">
        <v>84.6</v>
      </c>
      <c r="F849" s="27">
        <v>0.85102</v>
      </c>
      <c r="G849" s="11">
        <f t="shared" si="54"/>
        <v>-2.8999999999998775E-3</v>
      </c>
      <c r="H849" s="12">
        <f t="shared" si="55"/>
        <v>1.0963599999999898</v>
      </c>
    </row>
    <row r="850" spans="1:8" ht="14.25" thickBot="1">
      <c r="A850" s="18">
        <v>84.7</v>
      </c>
      <c r="B850" s="27">
        <v>0.84996000000000005</v>
      </c>
      <c r="C850" s="11">
        <f t="shared" si="52"/>
        <v>-3.0000000000009503E-3</v>
      </c>
      <c r="D850" s="12">
        <f t="shared" si="53"/>
        <v>1.1040600000000804</v>
      </c>
      <c r="E850" s="18">
        <v>84.7</v>
      </c>
      <c r="F850" s="27">
        <v>0.85072999999999999</v>
      </c>
      <c r="G850" s="11">
        <f t="shared" si="54"/>
        <v>-2.9999999999998396E-3</v>
      </c>
      <c r="H850" s="12">
        <f t="shared" si="55"/>
        <v>1.1048299999999864</v>
      </c>
    </row>
    <row r="851" spans="1:8" ht="14.25" thickBot="1">
      <c r="A851" s="18">
        <v>84.8</v>
      </c>
      <c r="B851" s="27">
        <v>0.84965999999999997</v>
      </c>
      <c r="C851" s="11">
        <f t="shared" si="52"/>
        <v>-2.9999999999994137E-3</v>
      </c>
      <c r="D851" s="12">
        <f t="shared" si="53"/>
        <v>1.1040599999999503</v>
      </c>
      <c r="E851" s="18">
        <v>84.8</v>
      </c>
      <c r="F851" s="27">
        <v>0.85043000000000002</v>
      </c>
      <c r="G851" s="11">
        <f t="shared" si="54"/>
        <v>-2.9999999999994137E-3</v>
      </c>
      <c r="H851" s="12">
        <f t="shared" si="55"/>
        <v>1.1048299999999502</v>
      </c>
    </row>
    <row r="852" spans="1:8" ht="14.25" thickBot="1">
      <c r="A852" s="18">
        <v>84.9</v>
      </c>
      <c r="B852" s="27">
        <v>0.84936</v>
      </c>
      <c r="C852" s="11">
        <f t="shared" si="52"/>
        <v>-2.9999999999998396E-3</v>
      </c>
      <c r="D852" s="12">
        <f t="shared" si="53"/>
        <v>1.1040599999999863</v>
      </c>
      <c r="E852" s="18">
        <v>84.9</v>
      </c>
      <c r="F852" s="27">
        <v>0.85013000000000005</v>
      </c>
      <c r="G852" s="11">
        <f t="shared" si="54"/>
        <v>-3.1000000000005008E-3</v>
      </c>
      <c r="H852" s="12">
        <f t="shared" si="55"/>
        <v>1.1133200000000425</v>
      </c>
    </row>
    <row r="853" spans="1:8" ht="14.25" thickBot="1">
      <c r="A853" s="9">
        <v>85</v>
      </c>
      <c r="B853" s="19">
        <v>0.84906000000000004</v>
      </c>
      <c r="C853" s="11">
        <f t="shared" si="52"/>
        <v>-2.9000000000002895E-3</v>
      </c>
      <c r="D853" s="12">
        <f t="shared" si="53"/>
        <v>1.0955600000000247</v>
      </c>
      <c r="E853" s="9">
        <v>85</v>
      </c>
      <c r="F853" s="19">
        <v>0.84982000000000002</v>
      </c>
      <c r="G853" s="11">
        <f t="shared" si="54"/>
        <v>-2.9000000000002895E-3</v>
      </c>
      <c r="H853" s="12">
        <f t="shared" si="55"/>
        <v>1.0963200000000246</v>
      </c>
    </row>
    <row r="854" spans="1:8" ht="14.25" thickBot="1">
      <c r="A854" s="18">
        <v>85.1</v>
      </c>
      <c r="B854" s="27">
        <v>0.84877000000000002</v>
      </c>
      <c r="C854" s="11">
        <f t="shared" si="52"/>
        <v>-3.0000000000005239E-3</v>
      </c>
      <c r="D854" s="12">
        <f t="shared" si="53"/>
        <v>1.1040700000000445</v>
      </c>
      <c r="E854" s="18">
        <v>85.1</v>
      </c>
      <c r="F854" s="27">
        <v>0.84953000000000001</v>
      </c>
      <c r="G854" s="11">
        <f t="shared" si="54"/>
        <v>-2.9999999999994137E-3</v>
      </c>
      <c r="H854" s="12">
        <f t="shared" si="55"/>
        <v>1.10482999999995</v>
      </c>
    </row>
    <row r="855" spans="1:8" ht="14.25" thickBot="1">
      <c r="A855" s="18">
        <v>85.2</v>
      </c>
      <c r="B855" s="27">
        <v>0.84846999999999995</v>
      </c>
      <c r="C855" s="11">
        <f t="shared" si="52"/>
        <v>-2.9999999999998396E-3</v>
      </c>
      <c r="D855" s="12">
        <f t="shared" si="53"/>
        <v>1.1040699999999863</v>
      </c>
      <c r="E855" s="18">
        <v>85.2</v>
      </c>
      <c r="F855" s="27">
        <v>0.84923000000000004</v>
      </c>
      <c r="G855" s="11">
        <f t="shared" si="54"/>
        <v>-3.0000000000009503E-3</v>
      </c>
      <c r="H855" s="12">
        <f t="shared" si="55"/>
        <v>1.104830000000081</v>
      </c>
    </row>
    <row r="856" spans="1:8" ht="14.25" thickBot="1">
      <c r="A856" s="18">
        <v>85.3</v>
      </c>
      <c r="B856" s="27">
        <v>0.84816999999999998</v>
      </c>
      <c r="C856" s="11">
        <f t="shared" si="52"/>
        <v>-2.9999999999994137E-3</v>
      </c>
      <c r="D856" s="12">
        <f t="shared" si="53"/>
        <v>1.1040699999999499</v>
      </c>
      <c r="E856" s="18">
        <v>85.3</v>
      </c>
      <c r="F856" s="27">
        <v>0.84892999999999996</v>
      </c>
      <c r="G856" s="11">
        <f t="shared" si="54"/>
        <v>-2.9999999999994137E-3</v>
      </c>
      <c r="H856" s="12">
        <f t="shared" si="55"/>
        <v>1.10482999999995</v>
      </c>
    </row>
    <row r="857" spans="1:8" ht="14.25" thickBot="1">
      <c r="A857" s="18">
        <v>85.4</v>
      </c>
      <c r="B857" s="27">
        <v>0.84787000000000001</v>
      </c>
      <c r="C857" s="11">
        <f t="shared" si="52"/>
        <v>-2.9999999999998396E-3</v>
      </c>
      <c r="D857" s="12">
        <f t="shared" si="53"/>
        <v>1.1040699999999863</v>
      </c>
      <c r="E857" s="18">
        <v>85.4</v>
      </c>
      <c r="F857" s="27">
        <v>0.84863</v>
      </c>
      <c r="G857" s="11">
        <f t="shared" si="54"/>
        <v>-2.9999999999998396E-3</v>
      </c>
      <c r="H857" s="12">
        <f t="shared" si="55"/>
        <v>1.1048299999999864</v>
      </c>
    </row>
    <row r="858" spans="1:8" ht="14.25" thickBot="1">
      <c r="A858" s="18">
        <v>85.5</v>
      </c>
      <c r="B858" s="27">
        <v>0.84757000000000005</v>
      </c>
      <c r="C858" s="11">
        <f t="shared" si="52"/>
        <v>-3.0000000000009503E-3</v>
      </c>
      <c r="D858" s="12">
        <f t="shared" si="53"/>
        <v>1.1040700000000814</v>
      </c>
      <c r="E858" s="18">
        <v>85.5</v>
      </c>
      <c r="F858" s="27">
        <v>0.84833000000000003</v>
      </c>
      <c r="G858" s="11">
        <f t="shared" si="54"/>
        <v>-3.0000000000009503E-3</v>
      </c>
      <c r="H858" s="12">
        <f t="shared" si="55"/>
        <v>1.1048300000000812</v>
      </c>
    </row>
    <row r="859" spans="1:8" ht="14.25" thickBot="1">
      <c r="A859" s="18">
        <v>85.6</v>
      </c>
      <c r="B859" s="27">
        <v>0.84726999999999997</v>
      </c>
      <c r="C859" s="11">
        <f t="shared" si="52"/>
        <v>-2.9999999999994137E-3</v>
      </c>
      <c r="D859" s="12">
        <f t="shared" si="53"/>
        <v>1.1040699999999499</v>
      </c>
      <c r="E859" s="18">
        <v>85.6</v>
      </c>
      <c r="F859" s="27">
        <v>0.84802999999999995</v>
      </c>
      <c r="G859" s="11">
        <f t="shared" si="54"/>
        <v>-2.9999999999994137E-3</v>
      </c>
      <c r="H859" s="12">
        <f t="shared" si="55"/>
        <v>1.1048299999999498</v>
      </c>
    </row>
    <row r="860" spans="1:8" ht="14.25" thickBot="1">
      <c r="A860" s="18">
        <v>85.7</v>
      </c>
      <c r="B860" s="27">
        <v>0.84697</v>
      </c>
      <c r="C860" s="11">
        <f t="shared" si="52"/>
        <v>-3.1000000000005008E-3</v>
      </c>
      <c r="D860" s="12">
        <f t="shared" si="53"/>
        <v>1.1126400000000429</v>
      </c>
      <c r="E860" s="18">
        <v>85.7</v>
      </c>
      <c r="F860" s="27">
        <v>0.84772999999999998</v>
      </c>
      <c r="G860" s="11">
        <f t="shared" si="54"/>
        <v>-3.1000000000005008E-3</v>
      </c>
      <c r="H860" s="12">
        <f t="shared" si="55"/>
        <v>1.113400000000043</v>
      </c>
    </row>
    <row r="861" spans="1:8" ht="14.25" thickBot="1">
      <c r="A861" s="18">
        <v>85.8</v>
      </c>
      <c r="B861" s="27">
        <v>0.84665999999999997</v>
      </c>
      <c r="C861" s="11">
        <f t="shared" si="52"/>
        <v>-2.9999999999994137E-3</v>
      </c>
      <c r="D861" s="12">
        <f t="shared" si="53"/>
        <v>1.1040599999999496</v>
      </c>
      <c r="E861" s="18">
        <v>85.8</v>
      </c>
      <c r="F861" s="27">
        <v>0.84741999999999995</v>
      </c>
      <c r="G861" s="11">
        <f t="shared" si="54"/>
        <v>-2.9999999999994137E-3</v>
      </c>
      <c r="H861" s="12">
        <f t="shared" si="55"/>
        <v>1.1048199999999495</v>
      </c>
    </row>
    <row r="862" spans="1:8" ht="14.25" thickBot="1">
      <c r="A862" s="18">
        <v>85.9</v>
      </c>
      <c r="B862" s="27">
        <v>0.84636</v>
      </c>
      <c r="C862" s="11">
        <f t="shared" si="52"/>
        <v>-2.9999999999998396E-3</v>
      </c>
      <c r="D862" s="12">
        <f t="shared" si="53"/>
        <v>1.1040599999999863</v>
      </c>
      <c r="E862" s="18">
        <v>85.9</v>
      </c>
      <c r="F862" s="27">
        <v>0.84711999999999998</v>
      </c>
      <c r="G862" s="11">
        <f t="shared" si="54"/>
        <v>-2.9999999999998396E-3</v>
      </c>
      <c r="H862" s="12">
        <f t="shared" si="55"/>
        <v>1.1048199999999861</v>
      </c>
    </row>
    <row r="863" spans="1:8" ht="14.25" thickBot="1">
      <c r="A863" s="9">
        <v>86</v>
      </c>
      <c r="B863" s="19">
        <v>0.84606000000000003</v>
      </c>
      <c r="C863" s="11">
        <f t="shared" si="52"/>
        <v>-3.0000000000009503E-3</v>
      </c>
      <c r="D863" s="12">
        <f t="shared" si="53"/>
        <v>1.1040600000000818</v>
      </c>
      <c r="E863" s="9">
        <v>86</v>
      </c>
      <c r="F863" s="19">
        <v>0.84682000000000002</v>
      </c>
      <c r="G863" s="11">
        <f t="shared" si="54"/>
        <v>-2.9999999999998396E-3</v>
      </c>
      <c r="H863" s="12">
        <f t="shared" si="55"/>
        <v>1.1048199999999861</v>
      </c>
    </row>
    <row r="864" spans="1:8" ht="14.25" thickBot="1">
      <c r="A864" s="18">
        <v>86.1</v>
      </c>
      <c r="B864" s="27">
        <v>0.84575999999999996</v>
      </c>
      <c r="C864" s="11">
        <f t="shared" si="52"/>
        <v>-3.0999999999989504E-3</v>
      </c>
      <c r="D864" s="12">
        <f t="shared" si="53"/>
        <v>1.1126699999999095</v>
      </c>
      <c r="E864" s="18">
        <v>86.1</v>
      </c>
      <c r="F864" s="27">
        <v>0.84652000000000005</v>
      </c>
      <c r="G864" s="11">
        <f t="shared" si="54"/>
        <v>-3.1000000000000602E-3</v>
      </c>
      <c r="H864" s="12">
        <f t="shared" si="55"/>
        <v>1.1134300000000052</v>
      </c>
    </row>
    <row r="865" spans="1:8" ht="14.25" thickBot="1">
      <c r="A865" s="18">
        <v>86.2</v>
      </c>
      <c r="B865" s="27">
        <v>0.84545000000000003</v>
      </c>
      <c r="C865" s="11">
        <f t="shared" si="52"/>
        <v>-3.0000000000009503E-3</v>
      </c>
      <c r="D865" s="12">
        <f t="shared" si="53"/>
        <v>1.1040500000000819</v>
      </c>
      <c r="E865" s="18">
        <v>86.2</v>
      </c>
      <c r="F865" s="27">
        <v>0.84621000000000002</v>
      </c>
      <c r="G865" s="11">
        <f t="shared" si="54"/>
        <v>-2.9999999999998396E-3</v>
      </c>
      <c r="H865" s="12">
        <f t="shared" si="55"/>
        <v>1.1048099999999863</v>
      </c>
    </row>
    <row r="866" spans="1:8" ht="14.25" thickBot="1">
      <c r="A866" s="18">
        <v>86.3</v>
      </c>
      <c r="B866" s="27">
        <v>0.84514999999999996</v>
      </c>
      <c r="C866" s="11">
        <f t="shared" si="52"/>
        <v>-3.0999999999989504E-3</v>
      </c>
      <c r="D866" s="12">
        <f t="shared" si="53"/>
        <v>1.1126799999999093</v>
      </c>
      <c r="E866" s="18">
        <v>86.3</v>
      </c>
      <c r="F866" s="27">
        <v>0.84591000000000005</v>
      </c>
      <c r="G866" s="11">
        <f t="shared" si="54"/>
        <v>-3.1000000000000602E-3</v>
      </c>
      <c r="H866" s="12">
        <f t="shared" si="55"/>
        <v>1.1134400000000051</v>
      </c>
    </row>
    <row r="867" spans="1:8" ht="14.25" thickBot="1">
      <c r="A867" s="18">
        <v>86.4</v>
      </c>
      <c r="B867" s="27">
        <v>0.84484000000000004</v>
      </c>
      <c r="C867" s="11">
        <f t="shared" si="52"/>
        <v>-3.0000000000009503E-3</v>
      </c>
      <c r="D867" s="12">
        <f t="shared" si="53"/>
        <v>1.1040400000000821</v>
      </c>
      <c r="E867" s="18">
        <v>86.4</v>
      </c>
      <c r="F867" s="27">
        <v>0.84560000000000002</v>
      </c>
      <c r="G867" s="11">
        <f t="shared" si="54"/>
        <v>-2.9999999999998396E-3</v>
      </c>
      <c r="H867" s="12">
        <f t="shared" si="55"/>
        <v>1.1047999999999862</v>
      </c>
    </row>
    <row r="868" spans="1:8" ht="14.25" thickBot="1">
      <c r="A868" s="18">
        <v>86.5</v>
      </c>
      <c r="B868" s="27">
        <v>0.84453999999999996</v>
      </c>
      <c r="C868" s="11">
        <f t="shared" si="52"/>
        <v>-3.0999999999993906E-3</v>
      </c>
      <c r="D868" s="12">
        <f t="shared" si="53"/>
        <v>1.1126899999999471</v>
      </c>
      <c r="E868" s="18">
        <v>86.5</v>
      </c>
      <c r="F868" s="27">
        <v>0.84530000000000005</v>
      </c>
      <c r="G868" s="11">
        <f t="shared" si="54"/>
        <v>-3.1000000000005008E-3</v>
      </c>
      <c r="H868" s="12">
        <f t="shared" si="55"/>
        <v>1.1134500000000433</v>
      </c>
    </row>
    <row r="869" spans="1:8" ht="14.25" thickBot="1">
      <c r="A869" s="18">
        <v>86.6</v>
      </c>
      <c r="B869" s="27">
        <v>0.84423000000000004</v>
      </c>
      <c r="C869" s="11">
        <f t="shared" si="52"/>
        <v>-3.1000000000000602E-3</v>
      </c>
      <c r="D869" s="12">
        <f t="shared" si="53"/>
        <v>1.1126900000000053</v>
      </c>
      <c r="E869" s="18">
        <v>86.6</v>
      </c>
      <c r="F869" s="27">
        <v>0.84499000000000002</v>
      </c>
      <c r="G869" s="11">
        <f t="shared" si="54"/>
        <v>-3.1000000000000602E-3</v>
      </c>
      <c r="H869" s="12">
        <f t="shared" si="55"/>
        <v>1.1134500000000052</v>
      </c>
    </row>
    <row r="870" spans="1:8" ht="14.25" thickBot="1">
      <c r="A870" s="18">
        <v>86.7</v>
      </c>
      <c r="B870" s="27">
        <v>0.84392</v>
      </c>
      <c r="C870" s="11">
        <f t="shared" si="52"/>
        <v>-2.9999999999998396E-3</v>
      </c>
      <c r="D870" s="12">
        <f t="shared" si="53"/>
        <v>1.104019999999986</v>
      </c>
      <c r="E870" s="18">
        <v>86.7</v>
      </c>
      <c r="F870" s="27">
        <v>0.84467999999999999</v>
      </c>
      <c r="G870" s="11">
        <f t="shared" si="54"/>
        <v>-2.9999999999998396E-3</v>
      </c>
      <c r="H870" s="12">
        <f t="shared" si="55"/>
        <v>1.1047799999999861</v>
      </c>
    </row>
    <row r="871" spans="1:8" ht="14.25" thickBot="1">
      <c r="A871" s="18">
        <v>86.8</v>
      </c>
      <c r="B871" s="27">
        <v>0.84362000000000004</v>
      </c>
      <c r="C871" s="11">
        <f t="shared" si="52"/>
        <v>-3.1000000000000602E-3</v>
      </c>
      <c r="D871" s="12">
        <f t="shared" si="53"/>
        <v>1.1127000000000051</v>
      </c>
      <c r="E871" s="18">
        <v>86.8</v>
      </c>
      <c r="F871" s="27">
        <v>0.84438000000000002</v>
      </c>
      <c r="G871" s="11">
        <f t="shared" si="54"/>
        <v>-3.1000000000000602E-3</v>
      </c>
      <c r="H871" s="12">
        <f t="shared" si="55"/>
        <v>1.1134600000000052</v>
      </c>
    </row>
    <row r="872" spans="1:8" ht="14.25" thickBot="1">
      <c r="A872" s="18">
        <v>86.9</v>
      </c>
      <c r="B872" s="27">
        <v>0.84331</v>
      </c>
      <c r="C872" s="11">
        <f t="shared" si="52"/>
        <v>-3.1000000000005008E-3</v>
      </c>
      <c r="D872" s="12">
        <f t="shared" si="53"/>
        <v>1.1127000000000435</v>
      </c>
      <c r="E872" s="18">
        <v>86.9</v>
      </c>
      <c r="F872" s="27">
        <v>0.84406999999999999</v>
      </c>
      <c r="G872" s="11">
        <f t="shared" si="54"/>
        <v>-3.1000000000005008E-3</v>
      </c>
      <c r="H872" s="12">
        <f t="shared" si="55"/>
        <v>1.1134600000000434</v>
      </c>
    </row>
    <row r="873" spans="1:8" ht="14.25" thickBot="1">
      <c r="A873" s="9">
        <v>87</v>
      </c>
      <c r="B873" s="19">
        <v>0.84299999999999997</v>
      </c>
      <c r="C873" s="11">
        <f t="shared" si="52"/>
        <v>-3.0999999999993906E-3</v>
      </c>
      <c r="D873" s="12">
        <f t="shared" si="53"/>
        <v>1.112699999999947</v>
      </c>
      <c r="E873" s="9">
        <v>87</v>
      </c>
      <c r="F873" s="19">
        <v>0.84375999999999995</v>
      </c>
      <c r="G873" s="11">
        <f t="shared" si="54"/>
        <v>-3.0999999999993906E-3</v>
      </c>
      <c r="H873" s="12">
        <f t="shared" si="55"/>
        <v>1.1134599999999468</v>
      </c>
    </row>
    <row r="874" spans="1:8" ht="14.25" thickBot="1">
      <c r="A874" s="18">
        <v>87.1</v>
      </c>
      <c r="B874" s="27">
        <v>0.84269000000000005</v>
      </c>
      <c r="C874" s="11">
        <f t="shared" si="52"/>
        <v>-3.1000000000000602E-3</v>
      </c>
      <c r="D874" s="12">
        <f t="shared" si="53"/>
        <v>1.1127000000000054</v>
      </c>
      <c r="E874" s="18">
        <v>87.1</v>
      </c>
      <c r="F874" s="27">
        <v>0.84345000000000003</v>
      </c>
      <c r="G874" s="11">
        <f t="shared" si="54"/>
        <v>-3.1000000000000602E-3</v>
      </c>
      <c r="H874" s="12">
        <f t="shared" si="55"/>
        <v>1.1134600000000052</v>
      </c>
    </row>
    <row r="875" spans="1:8" ht="14.25" thickBot="1">
      <c r="A875" s="18">
        <v>87.2</v>
      </c>
      <c r="B875" s="27">
        <v>0.84238000000000002</v>
      </c>
      <c r="C875" s="11">
        <f t="shared" si="52"/>
        <v>-3.1000000000005008E-3</v>
      </c>
      <c r="D875" s="12">
        <f t="shared" si="53"/>
        <v>1.1127000000000438</v>
      </c>
      <c r="E875" s="18">
        <v>87.2</v>
      </c>
      <c r="F875" s="27">
        <v>0.84314</v>
      </c>
      <c r="G875" s="11">
        <f t="shared" si="54"/>
        <v>-3.1000000000005008E-3</v>
      </c>
      <c r="H875" s="12">
        <f t="shared" si="55"/>
        <v>1.1134600000000436</v>
      </c>
    </row>
    <row r="876" spans="1:8" ht="14.25" thickBot="1">
      <c r="A876" s="18">
        <v>87.3</v>
      </c>
      <c r="B876" s="27">
        <v>0.84206999999999999</v>
      </c>
      <c r="C876" s="11">
        <f t="shared" si="52"/>
        <v>-3.1000000000000602E-3</v>
      </c>
      <c r="D876" s="12">
        <f t="shared" si="53"/>
        <v>1.1127000000000051</v>
      </c>
      <c r="E876" s="18">
        <v>87.3</v>
      </c>
      <c r="F876" s="27">
        <v>0.84282999999999997</v>
      </c>
      <c r="G876" s="11">
        <f t="shared" si="54"/>
        <v>-3.0999999999989504E-3</v>
      </c>
      <c r="H876" s="12">
        <f t="shared" si="55"/>
        <v>1.1134599999999084</v>
      </c>
    </row>
    <row r="877" spans="1:8" ht="14.25" thickBot="1">
      <c r="A877" s="18">
        <v>87.4</v>
      </c>
      <c r="B877" s="27">
        <v>0.84175999999999995</v>
      </c>
      <c r="C877" s="11">
        <f t="shared" si="52"/>
        <v>-3.0999999999993906E-3</v>
      </c>
      <c r="D877" s="12">
        <f t="shared" si="53"/>
        <v>1.1126999999999467</v>
      </c>
      <c r="E877" s="18">
        <v>87.4</v>
      </c>
      <c r="F877" s="27">
        <v>0.84252000000000005</v>
      </c>
      <c r="G877" s="11">
        <f t="shared" si="54"/>
        <v>-3.1000000000005008E-3</v>
      </c>
      <c r="H877" s="12">
        <f t="shared" si="55"/>
        <v>1.1134600000000439</v>
      </c>
    </row>
    <row r="878" spans="1:8" ht="14.25" thickBot="1">
      <c r="A878" s="18">
        <v>87.5</v>
      </c>
      <c r="B878" s="27">
        <v>0.84145000000000003</v>
      </c>
      <c r="C878" s="11">
        <f t="shared" si="52"/>
        <v>-3.1000000000005008E-3</v>
      </c>
      <c r="D878" s="12">
        <f t="shared" si="53"/>
        <v>1.1127000000000438</v>
      </c>
      <c r="E878" s="18">
        <v>87.5</v>
      </c>
      <c r="F878" s="27">
        <v>0.84221000000000001</v>
      </c>
      <c r="G878" s="11">
        <f t="shared" si="54"/>
        <v>-3.1000000000005008E-3</v>
      </c>
      <c r="H878" s="12">
        <f t="shared" si="55"/>
        <v>1.1134600000000439</v>
      </c>
    </row>
    <row r="879" spans="1:8" ht="14.25" thickBot="1">
      <c r="A879" s="18">
        <v>87.6</v>
      </c>
      <c r="B879" s="27">
        <v>0.84114</v>
      </c>
      <c r="C879" s="11">
        <f t="shared" si="52"/>
        <v>-3.1999999999995973E-3</v>
      </c>
      <c r="D879" s="12">
        <f t="shared" si="53"/>
        <v>1.1214599999999648</v>
      </c>
      <c r="E879" s="18">
        <v>87.6</v>
      </c>
      <c r="F879" s="27">
        <v>0.84189999999999998</v>
      </c>
      <c r="G879" s="11">
        <f t="shared" si="54"/>
        <v>-3.1999999999995973E-3</v>
      </c>
      <c r="H879" s="12">
        <f t="shared" si="55"/>
        <v>1.1222199999999647</v>
      </c>
    </row>
    <row r="880" spans="1:8" ht="14.25" thickBot="1">
      <c r="A880" s="18">
        <v>87.7</v>
      </c>
      <c r="B880" s="27">
        <v>0.84082000000000001</v>
      </c>
      <c r="C880" s="11">
        <f t="shared" si="52"/>
        <v>-3.1000000000005008E-3</v>
      </c>
      <c r="D880" s="12">
        <f t="shared" si="53"/>
        <v>1.1126900000000439</v>
      </c>
      <c r="E880" s="18">
        <v>87.7</v>
      </c>
      <c r="F880" s="27">
        <v>0.84157999999999999</v>
      </c>
      <c r="G880" s="11">
        <f t="shared" si="54"/>
        <v>-3.1000000000005008E-3</v>
      </c>
      <c r="H880" s="12">
        <f t="shared" si="55"/>
        <v>1.1134500000000438</v>
      </c>
    </row>
    <row r="881" spans="1:8" ht="14.25" thickBot="1">
      <c r="A881" s="18">
        <v>87.8</v>
      </c>
      <c r="B881" s="27">
        <v>0.84050999999999998</v>
      </c>
      <c r="C881" s="11">
        <f t="shared" si="52"/>
        <v>-3.1000000000000602E-3</v>
      </c>
      <c r="D881" s="12">
        <f t="shared" si="53"/>
        <v>1.1126900000000053</v>
      </c>
      <c r="E881" s="18">
        <v>87.8</v>
      </c>
      <c r="F881" s="27">
        <v>0.84126999999999996</v>
      </c>
      <c r="G881" s="11">
        <f t="shared" si="54"/>
        <v>-3.0999999999989504E-3</v>
      </c>
      <c r="H881" s="12">
        <f t="shared" si="55"/>
        <v>1.1134499999999079</v>
      </c>
    </row>
    <row r="882" spans="1:8" ht="14.25" thickBot="1">
      <c r="A882" s="18">
        <v>87.9</v>
      </c>
      <c r="B882" s="27">
        <v>0.84019999999999995</v>
      </c>
      <c r="C882" s="11">
        <f t="shared" si="52"/>
        <v>-3.2000000000000509E-3</v>
      </c>
      <c r="D882" s="12">
        <f t="shared" si="53"/>
        <v>1.1214800000000045</v>
      </c>
      <c r="E882" s="18">
        <v>87.9</v>
      </c>
      <c r="F882" s="27">
        <v>0.84096000000000004</v>
      </c>
      <c r="G882" s="11">
        <f t="shared" si="54"/>
        <v>-3.2000000000000509E-3</v>
      </c>
      <c r="H882" s="12">
        <f t="shared" si="55"/>
        <v>1.1222400000000046</v>
      </c>
    </row>
    <row r="883" spans="1:8" ht="14.25" thickBot="1">
      <c r="A883" s="9">
        <v>88</v>
      </c>
      <c r="B883" s="19">
        <v>0.83987999999999996</v>
      </c>
      <c r="C883" s="11">
        <f t="shared" si="52"/>
        <v>-3.0999999999993906E-3</v>
      </c>
      <c r="D883" s="12">
        <f t="shared" si="53"/>
        <v>1.1126799999999464</v>
      </c>
      <c r="E883" s="9">
        <v>88</v>
      </c>
      <c r="F883" s="19">
        <v>0.84064000000000005</v>
      </c>
      <c r="G883" s="11">
        <f t="shared" si="54"/>
        <v>-3.1000000000005008E-3</v>
      </c>
      <c r="H883" s="12">
        <f t="shared" si="55"/>
        <v>1.1134400000000442</v>
      </c>
    </row>
    <row r="884" spans="1:8" ht="14.25" thickBot="1">
      <c r="A884" s="18">
        <v>88.1</v>
      </c>
      <c r="B884" s="27">
        <v>0.83957000000000004</v>
      </c>
      <c r="C884" s="11">
        <f t="shared" si="52"/>
        <v>-3.1999999999995973E-3</v>
      </c>
      <c r="D884" s="12">
        <f t="shared" si="53"/>
        <v>1.1214899999999646</v>
      </c>
      <c r="E884" s="18">
        <v>88.1</v>
      </c>
      <c r="F884" s="27">
        <v>0.84033000000000002</v>
      </c>
      <c r="G884" s="11">
        <f t="shared" si="54"/>
        <v>-3.1999999999995973E-3</v>
      </c>
      <c r="H884" s="12">
        <f t="shared" si="55"/>
        <v>1.1222499999999647</v>
      </c>
    </row>
    <row r="885" spans="1:8" ht="14.25" thickBot="1">
      <c r="A885" s="18">
        <v>88.2</v>
      </c>
      <c r="B885" s="27">
        <v>0.83925000000000005</v>
      </c>
      <c r="C885" s="11">
        <f t="shared" si="52"/>
        <v>-3.2000000000011616E-3</v>
      </c>
      <c r="D885" s="12">
        <f t="shared" si="53"/>
        <v>1.1214900000001025</v>
      </c>
      <c r="E885" s="18">
        <v>88.2</v>
      </c>
      <c r="F885" s="27">
        <v>0.84001000000000003</v>
      </c>
      <c r="G885" s="11">
        <f t="shared" si="54"/>
        <v>-3.2000000000000509E-3</v>
      </c>
      <c r="H885" s="12">
        <f t="shared" si="55"/>
        <v>1.1222500000000044</v>
      </c>
    </row>
    <row r="886" spans="1:8" ht="14.25" thickBot="1">
      <c r="A886" s="18">
        <v>88.3</v>
      </c>
      <c r="B886" s="27">
        <v>0.83892999999999995</v>
      </c>
      <c r="C886" s="11">
        <f t="shared" si="52"/>
        <v>-3.0999999999989504E-3</v>
      </c>
      <c r="D886" s="12">
        <f t="shared" si="53"/>
        <v>1.1126599999999072</v>
      </c>
      <c r="E886" s="18">
        <v>88.3</v>
      </c>
      <c r="F886" s="27">
        <v>0.83969000000000005</v>
      </c>
      <c r="G886" s="11">
        <f t="shared" si="54"/>
        <v>-3.1000000000000602E-3</v>
      </c>
      <c r="H886" s="12">
        <f t="shared" si="55"/>
        <v>1.1134200000000054</v>
      </c>
    </row>
    <row r="887" spans="1:8" ht="14.25" thickBot="1">
      <c r="A887" s="18">
        <v>88.4</v>
      </c>
      <c r="B887" s="27">
        <v>0.83862000000000003</v>
      </c>
      <c r="C887" s="11">
        <f t="shared" si="52"/>
        <v>-3.2000000000000509E-3</v>
      </c>
      <c r="D887" s="12">
        <f t="shared" si="53"/>
        <v>1.1215000000000046</v>
      </c>
      <c r="E887" s="18">
        <v>88.4</v>
      </c>
      <c r="F887" s="27">
        <v>0.83938000000000001</v>
      </c>
      <c r="G887" s="11">
        <f t="shared" si="54"/>
        <v>-3.2000000000000509E-3</v>
      </c>
      <c r="H887" s="12">
        <f t="shared" si="55"/>
        <v>1.1222600000000047</v>
      </c>
    </row>
    <row r="888" spans="1:8" ht="14.25" thickBot="1">
      <c r="A888" s="18">
        <v>88.5</v>
      </c>
      <c r="B888" s="27">
        <v>0.83830000000000005</v>
      </c>
      <c r="C888" s="11">
        <f t="shared" si="52"/>
        <v>-3.2000000000011616E-3</v>
      </c>
      <c r="D888" s="12">
        <f t="shared" si="53"/>
        <v>1.1215000000001027</v>
      </c>
      <c r="E888" s="18">
        <v>88.5</v>
      </c>
      <c r="F888" s="27">
        <v>0.83906000000000003</v>
      </c>
      <c r="G888" s="11">
        <f t="shared" si="54"/>
        <v>-3.3000000000007125E-3</v>
      </c>
      <c r="H888" s="12">
        <f t="shared" si="55"/>
        <v>1.1311100000000631</v>
      </c>
    </row>
    <row r="889" spans="1:8" ht="14.25" thickBot="1">
      <c r="A889" s="18">
        <v>88.6</v>
      </c>
      <c r="B889" s="27">
        <v>0.83797999999999995</v>
      </c>
      <c r="C889" s="11">
        <f t="shared" si="52"/>
        <v>-3.1999999999995973E-3</v>
      </c>
      <c r="D889" s="12">
        <f t="shared" si="53"/>
        <v>1.1214999999999642</v>
      </c>
      <c r="E889" s="18">
        <v>88.6</v>
      </c>
      <c r="F889" s="27">
        <v>0.83872999999999998</v>
      </c>
      <c r="G889" s="11">
        <f t="shared" si="54"/>
        <v>-3.1999999999995973E-3</v>
      </c>
      <c r="H889" s="12">
        <f t="shared" si="55"/>
        <v>1.1222499999999642</v>
      </c>
    </row>
    <row r="890" spans="1:8" ht="14.25" thickBot="1">
      <c r="A890" s="18">
        <v>88.7</v>
      </c>
      <c r="B890" s="27">
        <v>0.83765999999999996</v>
      </c>
      <c r="C890" s="11">
        <f t="shared" si="52"/>
        <v>-3.2000000000000509E-3</v>
      </c>
      <c r="D890" s="12">
        <f t="shared" si="53"/>
        <v>1.1215000000000044</v>
      </c>
      <c r="E890" s="18">
        <v>88.7</v>
      </c>
      <c r="F890" s="27">
        <v>0.83840999999999999</v>
      </c>
      <c r="G890" s="11">
        <f t="shared" si="54"/>
        <v>-3.2000000000000509E-3</v>
      </c>
      <c r="H890" s="12">
        <f t="shared" si="55"/>
        <v>1.1222500000000044</v>
      </c>
    </row>
    <row r="891" spans="1:8" ht="14.25" thickBot="1">
      <c r="A891" s="18">
        <v>88.8</v>
      </c>
      <c r="B891" s="27">
        <v>0.83733999999999997</v>
      </c>
      <c r="C891" s="11">
        <f t="shared" si="52"/>
        <v>-3.1999999999995973E-3</v>
      </c>
      <c r="D891" s="12">
        <f t="shared" si="53"/>
        <v>1.1214999999999642</v>
      </c>
      <c r="E891" s="18">
        <v>88.8</v>
      </c>
      <c r="F891" s="27">
        <v>0.83809</v>
      </c>
      <c r="G891" s="11">
        <f t="shared" si="54"/>
        <v>-3.1999999999995973E-3</v>
      </c>
      <c r="H891" s="12">
        <f t="shared" si="55"/>
        <v>1.1222499999999642</v>
      </c>
    </row>
    <row r="892" spans="1:8" ht="14.25" thickBot="1">
      <c r="A892" s="18">
        <v>88.9</v>
      </c>
      <c r="B892" s="27">
        <v>0.83701999999999999</v>
      </c>
      <c r="C892" s="11">
        <f t="shared" si="52"/>
        <v>-3.2000000000000509E-3</v>
      </c>
      <c r="D892" s="12">
        <f t="shared" si="53"/>
        <v>1.1215000000000046</v>
      </c>
      <c r="E892" s="18">
        <v>88.9</v>
      </c>
      <c r="F892" s="27">
        <v>0.83777000000000001</v>
      </c>
      <c r="G892" s="11">
        <f t="shared" si="54"/>
        <v>-3.2000000000000509E-3</v>
      </c>
      <c r="H892" s="12">
        <f t="shared" si="55"/>
        <v>1.1222500000000046</v>
      </c>
    </row>
    <row r="893" spans="1:8" ht="14.25" thickBot="1">
      <c r="A893" s="9">
        <v>89</v>
      </c>
      <c r="B893" s="19">
        <v>0.8367</v>
      </c>
      <c r="C893" s="11">
        <f t="shared" si="52"/>
        <v>-3.2000000000000509E-3</v>
      </c>
      <c r="D893" s="12">
        <f t="shared" si="53"/>
        <v>1.1215000000000046</v>
      </c>
      <c r="E893" s="9">
        <v>89</v>
      </c>
      <c r="F893" s="19">
        <v>0.83745000000000003</v>
      </c>
      <c r="G893" s="11">
        <f t="shared" si="54"/>
        <v>-3.2000000000000509E-3</v>
      </c>
      <c r="H893" s="12">
        <f t="shared" si="55"/>
        <v>1.1222500000000046</v>
      </c>
    </row>
    <row r="894" spans="1:8" ht="14.25" thickBot="1">
      <c r="A894" s="18">
        <v>89.1</v>
      </c>
      <c r="B894" s="27">
        <v>0.83638000000000001</v>
      </c>
      <c r="C894" s="11">
        <f t="shared" si="52"/>
        <v>-3.3000000000002437E-3</v>
      </c>
      <c r="D894" s="12">
        <f t="shared" si="53"/>
        <v>1.1304100000000217</v>
      </c>
      <c r="E894" s="18">
        <v>89.1</v>
      </c>
      <c r="F894" s="27">
        <v>0.83713000000000004</v>
      </c>
      <c r="G894" s="11">
        <f t="shared" si="54"/>
        <v>-3.3000000000002437E-3</v>
      </c>
      <c r="H894" s="12">
        <f t="shared" si="55"/>
        <v>1.1311600000000217</v>
      </c>
    </row>
    <row r="895" spans="1:8" ht="14.25" thickBot="1">
      <c r="A895" s="18">
        <v>89.2</v>
      </c>
      <c r="B895" s="27">
        <v>0.83604999999999996</v>
      </c>
      <c r="C895" s="11">
        <f t="shared" si="52"/>
        <v>-3.2000000000000509E-3</v>
      </c>
      <c r="D895" s="12">
        <f t="shared" si="53"/>
        <v>1.1214900000000045</v>
      </c>
      <c r="E895" s="18">
        <v>89.2</v>
      </c>
      <c r="F895" s="27">
        <v>0.83679999999999999</v>
      </c>
      <c r="G895" s="11">
        <f t="shared" si="54"/>
        <v>-3.2000000000000509E-3</v>
      </c>
      <c r="H895" s="12">
        <f t="shared" si="55"/>
        <v>1.1222400000000046</v>
      </c>
    </row>
    <row r="896" spans="1:8" ht="14.25" thickBot="1">
      <c r="A896" s="18">
        <v>89.3</v>
      </c>
      <c r="B896" s="27">
        <v>0.83572999999999997</v>
      </c>
      <c r="C896" s="11">
        <f t="shared" si="52"/>
        <v>-3.2999999999991331E-3</v>
      </c>
      <c r="D896" s="12">
        <f t="shared" si="53"/>
        <v>1.1304199999999225</v>
      </c>
      <c r="E896" s="18">
        <v>89.3</v>
      </c>
      <c r="F896" s="27">
        <v>0.83648</v>
      </c>
      <c r="G896" s="11">
        <f t="shared" si="54"/>
        <v>-3.3000000000002437E-3</v>
      </c>
      <c r="H896" s="12">
        <f t="shared" si="55"/>
        <v>1.1311700000000218</v>
      </c>
    </row>
    <row r="897" spans="1:8" ht="14.25" thickBot="1">
      <c r="A897" s="18">
        <v>89.4</v>
      </c>
      <c r="B897" s="27">
        <v>0.83540000000000003</v>
      </c>
      <c r="C897" s="11">
        <f t="shared" si="52"/>
        <v>-3.2000000000000509E-3</v>
      </c>
      <c r="D897" s="12">
        <f t="shared" si="53"/>
        <v>1.1214800000000045</v>
      </c>
      <c r="E897" s="18">
        <v>89.4</v>
      </c>
      <c r="F897" s="27">
        <v>0.83614999999999995</v>
      </c>
      <c r="G897" s="11">
        <f t="shared" si="54"/>
        <v>-3.2000000000000509E-3</v>
      </c>
      <c r="H897" s="12">
        <f t="shared" si="55"/>
        <v>1.1222300000000045</v>
      </c>
    </row>
    <row r="898" spans="1:8" ht="14.25" thickBot="1">
      <c r="A898" s="18">
        <v>89.5</v>
      </c>
      <c r="B898" s="27">
        <v>0.83508000000000004</v>
      </c>
      <c r="C898" s="11">
        <f t="shared" si="52"/>
        <v>-3.3000000000007125E-3</v>
      </c>
      <c r="D898" s="12">
        <f t="shared" si="53"/>
        <v>1.130430000000064</v>
      </c>
      <c r="E898" s="18">
        <v>89.5</v>
      </c>
      <c r="F898" s="27">
        <v>0.83582999999999996</v>
      </c>
      <c r="G898" s="11">
        <f t="shared" si="54"/>
        <v>-3.2999999999996019E-3</v>
      </c>
      <c r="H898" s="12">
        <f t="shared" si="55"/>
        <v>1.1311799999999643</v>
      </c>
    </row>
    <row r="899" spans="1:8" ht="14.25" thickBot="1">
      <c r="A899" s="18">
        <v>89.6</v>
      </c>
      <c r="B899" s="27">
        <v>0.83474999999999999</v>
      </c>
      <c r="C899" s="11">
        <f t="shared" si="52"/>
        <v>-3.2999999999991331E-3</v>
      </c>
      <c r="D899" s="12">
        <f t="shared" si="53"/>
        <v>1.1304299999999223</v>
      </c>
      <c r="E899" s="18">
        <v>89.6</v>
      </c>
      <c r="F899" s="27">
        <v>0.83550000000000002</v>
      </c>
      <c r="G899" s="11">
        <f t="shared" si="54"/>
        <v>-3.3000000000002437E-3</v>
      </c>
      <c r="H899" s="12">
        <f t="shared" si="55"/>
        <v>1.1311800000000218</v>
      </c>
    </row>
    <row r="900" spans="1:8" ht="14.25" thickBot="1">
      <c r="A900" s="18">
        <v>89.7</v>
      </c>
      <c r="B900" s="27">
        <v>0.83442000000000005</v>
      </c>
      <c r="C900" s="11">
        <f t="shared" ref="C900:C963" si="56">SLOPE(B900:B901,A900:A901)</f>
        <v>-3.2000000000011616E-3</v>
      </c>
      <c r="D900" s="12">
        <f t="shared" ref="D900:D963" si="57">INTERCEPT(B900:B901,A900:A901)</f>
        <v>1.1214600000001043</v>
      </c>
      <c r="E900" s="18">
        <v>89.7</v>
      </c>
      <c r="F900" s="27">
        <v>0.83516999999999997</v>
      </c>
      <c r="G900" s="11">
        <f t="shared" ref="G900:G963" si="58">SLOPE(F900:F901,E900:E901)</f>
        <v>-3.2000000000000509E-3</v>
      </c>
      <c r="H900" s="12">
        <f t="shared" ref="H900:H963" si="59">INTERCEPT(F900:F901,E900:E901)</f>
        <v>1.1222100000000046</v>
      </c>
    </row>
    <row r="901" spans="1:8" ht="14.25" thickBot="1">
      <c r="A901" s="18">
        <v>89.8</v>
      </c>
      <c r="B901" s="27">
        <v>0.83409999999999995</v>
      </c>
      <c r="C901" s="11">
        <f t="shared" si="56"/>
        <v>-3.2999999999991331E-3</v>
      </c>
      <c r="D901" s="12">
        <f t="shared" si="57"/>
        <v>1.130439999999922</v>
      </c>
      <c r="E901" s="18">
        <v>89.8</v>
      </c>
      <c r="F901" s="27">
        <v>0.83484999999999998</v>
      </c>
      <c r="G901" s="11">
        <f t="shared" si="58"/>
        <v>-3.2999999999991331E-3</v>
      </c>
      <c r="H901" s="12">
        <f t="shared" si="59"/>
        <v>1.131189999999922</v>
      </c>
    </row>
    <row r="902" spans="1:8" ht="14.25" thickBot="1">
      <c r="A902" s="18">
        <v>89.9</v>
      </c>
      <c r="B902" s="27">
        <v>0.83377000000000001</v>
      </c>
      <c r="C902" s="11">
        <f t="shared" si="56"/>
        <v>-3.3000000000007125E-3</v>
      </c>
      <c r="D902" s="12">
        <f t="shared" si="57"/>
        <v>1.1304400000000641</v>
      </c>
      <c r="E902" s="18">
        <v>89.9</v>
      </c>
      <c r="F902" s="27">
        <v>0.83452000000000004</v>
      </c>
      <c r="G902" s="11">
        <f t="shared" si="58"/>
        <v>-3.3000000000007125E-3</v>
      </c>
      <c r="H902" s="12">
        <f t="shared" si="59"/>
        <v>1.1311900000000641</v>
      </c>
    </row>
    <row r="903" spans="1:8" ht="14.25" thickBot="1">
      <c r="A903" s="9">
        <v>90</v>
      </c>
      <c r="B903" s="19">
        <v>0.83343999999999996</v>
      </c>
      <c r="C903" s="11">
        <f t="shared" si="56"/>
        <v>-3.2999999999996019E-3</v>
      </c>
      <c r="D903" s="12">
        <f t="shared" si="57"/>
        <v>1.1304399999999641</v>
      </c>
      <c r="E903" s="9">
        <v>90</v>
      </c>
      <c r="F903" s="19">
        <v>0.83418999999999999</v>
      </c>
      <c r="G903" s="11">
        <f t="shared" si="58"/>
        <v>-3.2999999999996019E-3</v>
      </c>
      <c r="H903" s="12">
        <f t="shared" si="59"/>
        <v>1.1311899999999642</v>
      </c>
    </row>
    <row r="904" spans="1:8" ht="14.25" thickBot="1">
      <c r="A904" s="18">
        <v>90.1</v>
      </c>
      <c r="B904" s="27">
        <v>0.83311000000000002</v>
      </c>
      <c r="C904" s="11">
        <f t="shared" si="56"/>
        <v>-3.3000000000002437E-3</v>
      </c>
      <c r="D904" s="12">
        <f t="shared" si="57"/>
        <v>1.1304400000000221</v>
      </c>
      <c r="E904" s="18">
        <v>90.1</v>
      </c>
      <c r="F904" s="27">
        <v>0.83386000000000005</v>
      </c>
      <c r="G904" s="11">
        <f t="shared" si="58"/>
        <v>-3.3000000000002437E-3</v>
      </c>
      <c r="H904" s="12">
        <f t="shared" si="59"/>
        <v>1.1311900000000221</v>
      </c>
    </row>
    <row r="905" spans="1:8" ht="14.25" thickBot="1">
      <c r="A905" s="18">
        <v>90.2</v>
      </c>
      <c r="B905" s="27">
        <v>0.83277999999999996</v>
      </c>
      <c r="C905" s="11">
        <f t="shared" si="56"/>
        <v>-3.2999999999996019E-3</v>
      </c>
      <c r="D905" s="12">
        <f t="shared" si="57"/>
        <v>1.1304399999999641</v>
      </c>
      <c r="E905" s="18">
        <v>90.2</v>
      </c>
      <c r="F905" s="27">
        <v>0.83352999999999999</v>
      </c>
      <c r="G905" s="11">
        <f t="shared" si="58"/>
        <v>-3.2999999999996019E-3</v>
      </c>
      <c r="H905" s="12">
        <f t="shared" si="59"/>
        <v>1.1311899999999642</v>
      </c>
    </row>
    <row r="906" spans="1:8" ht="14.25" thickBot="1">
      <c r="A906" s="18">
        <v>90.3</v>
      </c>
      <c r="B906" s="27">
        <v>0.83245000000000002</v>
      </c>
      <c r="C906" s="11">
        <f t="shared" si="56"/>
        <v>-3.3999999999997799E-3</v>
      </c>
      <c r="D906" s="12">
        <f t="shared" si="57"/>
        <v>1.1394699999999802</v>
      </c>
      <c r="E906" s="18">
        <v>90.3</v>
      </c>
      <c r="F906" s="27">
        <v>0.83320000000000005</v>
      </c>
      <c r="G906" s="11">
        <f t="shared" si="58"/>
        <v>-3.3999999999997799E-3</v>
      </c>
      <c r="H906" s="12">
        <f t="shared" si="59"/>
        <v>1.1402199999999802</v>
      </c>
    </row>
    <row r="907" spans="1:8" ht="14.25" thickBot="1">
      <c r="A907" s="18">
        <v>90.4</v>
      </c>
      <c r="B907" s="27">
        <v>0.83211000000000002</v>
      </c>
      <c r="C907" s="11">
        <f t="shared" si="56"/>
        <v>-3.3000000000007125E-3</v>
      </c>
      <c r="D907" s="12">
        <f t="shared" si="57"/>
        <v>1.1304300000000644</v>
      </c>
      <c r="E907" s="18">
        <v>90.4</v>
      </c>
      <c r="F907" s="27">
        <v>0.83286000000000004</v>
      </c>
      <c r="G907" s="11">
        <f t="shared" si="58"/>
        <v>-3.3000000000007125E-3</v>
      </c>
      <c r="H907" s="12">
        <f t="shared" si="59"/>
        <v>1.1311800000000645</v>
      </c>
    </row>
    <row r="908" spans="1:8" ht="14.25" thickBot="1">
      <c r="A908" s="18">
        <v>90.5</v>
      </c>
      <c r="B908" s="27">
        <v>0.83177999999999996</v>
      </c>
      <c r="C908" s="11">
        <f t="shared" si="56"/>
        <v>-3.4000000000002631E-3</v>
      </c>
      <c r="D908" s="12">
        <f t="shared" si="57"/>
        <v>1.1394800000000238</v>
      </c>
      <c r="E908" s="18">
        <v>90.5</v>
      </c>
      <c r="F908" s="27">
        <v>0.83252999999999999</v>
      </c>
      <c r="G908" s="11">
        <f t="shared" si="58"/>
        <v>-3.4000000000002631E-3</v>
      </c>
      <c r="H908" s="12">
        <f t="shared" si="59"/>
        <v>1.1402300000000238</v>
      </c>
    </row>
    <row r="909" spans="1:8" ht="14.25" thickBot="1">
      <c r="A909" s="18">
        <v>90.6</v>
      </c>
      <c r="B909" s="27">
        <v>0.83143999999999996</v>
      </c>
      <c r="C909" s="11">
        <f t="shared" si="56"/>
        <v>-3.2999999999991331E-3</v>
      </c>
      <c r="D909" s="12">
        <f t="shared" si="57"/>
        <v>1.1304199999999214</v>
      </c>
      <c r="E909" s="18">
        <v>90.6</v>
      </c>
      <c r="F909" s="27">
        <v>0.83218999999999999</v>
      </c>
      <c r="G909" s="11">
        <f t="shared" si="58"/>
        <v>-3.2999999999991331E-3</v>
      </c>
      <c r="H909" s="12">
        <f t="shared" si="59"/>
        <v>1.1311699999999214</v>
      </c>
    </row>
    <row r="910" spans="1:8" ht="14.25" thickBot="1">
      <c r="A910" s="18">
        <v>90.7</v>
      </c>
      <c r="B910" s="27">
        <v>0.83111000000000002</v>
      </c>
      <c r="C910" s="11">
        <f t="shared" si="56"/>
        <v>-3.4000000000002631E-3</v>
      </c>
      <c r="D910" s="12">
        <f t="shared" si="57"/>
        <v>1.1394900000000239</v>
      </c>
      <c r="E910" s="18">
        <v>90.7</v>
      </c>
      <c r="F910" s="27">
        <v>0.83186000000000004</v>
      </c>
      <c r="G910" s="11">
        <f t="shared" si="58"/>
        <v>-3.4000000000002631E-3</v>
      </c>
      <c r="H910" s="12">
        <f t="shared" si="59"/>
        <v>1.1402400000000239</v>
      </c>
    </row>
    <row r="911" spans="1:8" ht="14.25" thickBot="1">
      <c r="A911" s="18">
        <v>90.8</v>
      </c>
      <c r="B911" s="27">
        <v>0.83077000000000001</v>
      </c>
      <c r="C911" s="11">
        <f t="shared" si="56"/>
        <v>-3.3000000000002437E-3</v>
      </c>
      <c r="D911" s="12">
        <f t="shared" si="57"/>
        <v>1.1304100000000221</v>
      </c>
      <c r="E911" s="18">
        <v>90.8</v>
      </c>
      <c r="F911" s="27">
        <v>0.83152000000000004</v>
      </c>
      <c r="G911" s="11">
        <f t="shared" si="58"/>
        <v>-3.3000000000002437E-3</v>
      </c>
      <c r="H911" s="12">
        <f t="shared" si="59"/>
        <v>1.1311600000000221</v>
      </c>
    </row>
    <row r="912" spans="1:8" ht="14.25" thickBot="1">
      <c r="A912" s="18">
        <v>90.9</v>
      </c>
      <c r="B912" s="27">
        <v>0.83043999999999996</v>
      </c>
      <c r="C912" s="11">
        <f t="shared" si="56"/>
        <v>-3.4000000000002631E-3</v>
      </c>
      <c r="D912" s="12">
        <f t="shared" si="57"/>
        <v>1.1395000000000239</v>
      </c>
      <c r="E912" s="18">
        <v>90.9</v>
      </c>
      <c r="F912" s="27">
        <v>0.83118999999999998</v>
      </c>
      <c r="G912" s="11">
        <f t="shared" si="58"/>
        <v>-3.4000000000002631E-3</v>
      </c>
      <c r="H912" s="12">
        <f t="shared" si="59"/>
        <v>1.140250000000024</v>
      </c>
    </row>
    <row r="913" spans="1:8" ht="14.25" thickBot="1">
      <c r="A913" s="9">
        <v>91</v>
      </c>
      <c r="B913" s="19">
        <v>0.83009999999999995</v>
      </c>
      <c r="C913" s="11">
        <f t="shared" si="56"/>
        <v>-3.3999999999991528E-3</v>
      </c>
      <c r="D913" s="12">
        <f t="shared" si="57"/>
        <v>1.1394999999999229</v>
      </c>
      <c r="E913" s="9">
        <v>91</v>
      </c>
      <c r="F913" s="19">
        <v>0.83084999999999998</v>
      </c>
      <c r="G913" s="11">
        <f t="shared" si="58"/>
        <v>-3.4000000000002631E-3</v>
      </c>
      <c r="H913" s="12">
        <f t="shared" si="59"/>
        <v>1.140250000000024</v>
      </c>
    </row>
    <row r="914" spans="1:8" ht="14.25" thickBot="1">
      <c r="A914" s="18">
        <v>91.1</v>
      </c>
      <c r="B914" s="27">
        <v>0.82976000000000005</v>
      </c>
      <c r="C914" s="11">
        <f t="shared" si="56"/>
        <v>-3.3999999999997799E-3</v>
      </c>
      <c r="D914" s="12">
        <f t="shared" si="57"/>
        <v>1.13949999999998</v>
      </c>
      <c r="E914" s="18">
        <v>91.1</v>
      </c>
      <c r="F914" s="27">
        <v>0.83050999999999997</v>
      </c>
      <c r="G914" s="11">
        <f t="shared" si="58"/>
        <v>-3.3999999999997799E-3</v>
      </c>
      <c r="H914" s="12">
        <f t="shared" si="59"/>
        <v>1.14024999999998</v>
      </c>
    </row>
    <row r="915" spans="1:8" ht="14.25" thickBot="1">
      <c r="A915" s="18">
        <v>91.2</v>
      </c>
      <c r="B915" s="27">
        <v>0.82942000000000005</v>
      </c>
      <c r="C915" s="11">
        <f t="shared" si="56"/>
        <v>-3.4000000000002631E-3</v>
      </c>
      <c r="D915" s="12">
        <f t="shared" si="57"/>
        <v>1.1395000000000239</v>
      </c>
      <c r="E915" s="18">
        <v>91.2</v>
      </c>
      <c r="F915" s="27">
        <v>0.83016999999999996</v>
      </c>
      <c r="G915" s="11">
        <f t="shared" si="58"/>
        <v>-3.4000000000002631E-3</v>
      </c>
      <c r="H915" s="12">
        <f t="shared" si="59"/>
        <v>1.140250000000024</v>
      </c>
    </row>
    <row r="916" spans="1:8" ht="14.25" thickBot="1">
      <c r="A916" s="18">
        <v>91.3</v>
      </c>
      <c r="B916" s="27">
        <v>0.82908000000000004</v>
      </c>
      <c r="C916" s="11">
        <f t="shared" si="56"/>
        <v>-3.3999999999997799E-3</v>
      </c>
      <c r="D916" s="12">
        <f t="shared" si="57"/>
        <v>1.13949999999998</v>
      </c>
      <c r="E916" s="18">
        <v>91.3</v>
      </c>
      <c r="F916" s="27">
        <v>0.82982999999999996</v>
      </c>
      <c r="G916" s="11">
        <f t="shared" si="58"/>
        <v>-3.3999999999997799E-3</v>
      </c>
      <c r="H916" s="12">
        <f t="shared" si="59"/>
        <v>1.1402499999999798</v>
      </c>
    </row>
    <row r="917" spans="1:8" ht="14.25" thickBot="1">
      <c r="A917" s="18">
        <v>91.4</v>
      </c>
      <c r="B917" s="27">
        <v>0.82874000000000003</v>
      </c>
      <c r="C917" s="11">
        <f t="shared" si="56"/>
        <v>-3.5000000000009229E-3</v>
      </c>
      <c r="D917" s="12">
        <f t="shared" si="57"/>
        <v>1.1486400000000845</v>
      </c>
      <c r="E917" s="18">
        <v>91.4</v>
      </c>
      <c r="F917" s="27">
        <v>0.82948999999999995</v>
      </c>
      <c r="G917" s="11">
        <f t="shared" si="58"/>
        <v>-3.4999999999998132E-3</v>
      </c>
      <c r="H917" s="12">
        <f t="shared" si="59"/>
        <v>1.149389999999983</v>
      </c>
    </row>
    <row r="918" spans="1:8" ht="14.25" thickBot="1">
      <c r="A918" s="18">
        <v>91.5</v>
      </c>
      <c r="B918" s="27">
        <v>0.82838999999999996</v>
      </c>
      <c r="C918" s="11">
        <f t="shared" si="56"/>
        <v>-3.4000000000002631E-3</v>
      </c>
      <c r="D918" s="12">
        <f t="shared" si="57"/>
        <v>1.1394900000000241</v>
      </c>
      <c r="E918" s="18">
        <v>91.5</v>
      </c>
      <c r="F918" s="27">
        <v>0.82913999999999999</v>
      </c>
      <c r="G918" s="11">
        <f t="shared" si="58"/>
        <v>-3.4000000000002631E-3</v>
      </c>
      <c r="H918" s="12">
        <f t="shared" si="59"/>
        <v>1.1402400000000241</v>
      </c>
    </row>
    <row r="919" spans="1:8" ht="14.25" thickBot="1">
      <c r="A919" s="18">
        <v>91.6</v>
      </c>
      <c r="B919" s="27">
        <v>0.82804999999999995</v>
      </c>
      <c r="C919" s="11">
        <f t="shared" si="56"/>
        <v>-3.4999999999993162E-3</v>
      </c>
      <c r="D919" s="12">
        <f t="shared" si="57"/>
        <v>1.1486499999999373</v>
      </c>
      <c r="E919" s="18">
        <v>91.6</v>
      </c>
      <c r="F919" s="27">
        <v>0.82879999999999998</v>
      </c>
      <c r="G919" s="11">
        <f t="shared" si="58"/>
        <v>-3.4999999999993162E-3</v>
      </c>
      <c r="H919" s="12">
        <f t="shared" si="59"/>
        <v>1.1493999999999374</v>
      </c>
    </row>
    <row r="920" spans="1:8" ht="14.25" thickBot="1">
      <c r="A920" s="18">
        <v>91.7</v>
      </c>
      <c r="B920" s="27">
        <v>0.82769999999999999</v>
      </c>
      <c r="C920" s="11">
        <f t="shared" si="56"/>
        <v>-3.4000000000002631E-3</v>
      </c>
      <c r="D920" s="12">
        <f t="shared" si="57"/>
        <v>1.1394800000000243</v>
      </c>
      <c r="E920" s="18">
        <v>91.7</v>
      </c>
      <c r="F920" s="27">
        <v>0.82845000000000002</v>
      </c>
      <c r="G920" s="11">
        <f t="shared" si="58"/>
        <v>-3.4000000000002631E-3</v>
      </c>
      <c r="H920" s="12">
        <f t="shared" si="59"/>
        <v>1.1402300000000243</v>
      </c>
    </row>
    <row r="921" spans="1:8" ht="14.25" thickBot="1">
      <c r="A921" s="18">
        <v>91.8</v>
      </c>
      <c r="B921" s="27">
        <v>0.82735999999999998</v>
      </c>
      <c r="C921" s="11">
        <f t="shared" si="56"/>
        <v>-3.4999999999993162E-3</v>
      </c>
      <c r="D921" s="12">
        <f t="shared" si="57"/>
        <v>1.1486599999999372</v>
      </c>
      <c r="E921" s="18">
        <v>91.8</v>
      </c>
      <c r="F921" s="27">
        <v>0.82811000000000001</v>
      </c>
      <c r="G921" s="11">
        <f t="shared" si="58"/>
        <v>-3.5999999999999626E-3</v>
      </c>
      <c r="H921" s="12">
        <f t="shared" si="59"/>
        <v>1.1585899999999967</v>
      </c>
    </row>
    <row r="922" spans="1:8" ht="14.25" thickBot="1">
      <c r="A922" s="18">
        <v>91.9</v>
      </c>
      <c r="B922" s="27">
        <v>0.82701000000000002</v>
      </c>
      <c r="C922" s="11">
        <f t="shared" si="56"/>
        <v>-3.5000000000009229E-3</v>
      </c>
      <c r="D922" s="12">
        <f t="shared" si="57"/>
        <v>1.1486600000000848</v>
      </c>
      <c r="E922" s="18">
        <v>91.9</v>
      </c>
      <c r="F922" s="27">
        <v>0.82774999999999999</v>
      </c>
      <c r="G922" s="11">
        <f t="shared" si="58"/>
        <v>-3.4999999999998132E-3</v>
      </c>
      <c r="H922" s="12">
        <f t="shared" si="59"/>
        <v>1.1493999999999827</v>
      </c>
    </row>
    <row r="923" spans="1:8" ht="14.25" thickBot="1">
      <c r="A923" s="9">
        <v>92</v>
      </c>
      <c r="B923" s="19">
        <v>0.82665999999999995</v>
      </c>
      <c r="C923" s="11">
        <f t="shared" si="56"/>
        <v>-3.4999999999998132E-3</v>
      </c>
      <c r="D923" s="12">
        <f t="shared" si="57"/>
        <v>1.1486599999999827</v>
      </c>
      <c r="E923" s="9">
        <v>92</v>
      </c>
      <c r="F923" s="19">
        <v>0.82740000000000002</v>
      </c>
      <c r="G923" s="11">
        <f t="shared" si="58"/>
        <v>-3.5000000000009229E-3</v>
      </c>
      <c r="H923" s="12">
        <f t="shared" si="59"/>
        <v>1.1494000000000848</v>
      </c>
    </row>
    <row r="924" spans="1:8" ht="14.25" thickBot="1">
      <c r="A924" s="18">
        <v>92.1</v>
      </c>
      <c r="B924" s="27">
        <v>0.82630999999999999</v>
      </c>
      <c r="C924" s="11">
        <f t="shared" si="56"/>
        <v>-3.4999999999993162E-3</v>
      </c>
      <c r="D924" s="12">
        <f t="shared" si="57"/>
        <v>1.148659999999937</v>
      </c>
      <c r="E924" s="18">
        <v>92.1</v>
      </c>
      <c r="F924" s="27">
        <v>0.82704999999999995</v>
      </c>
      <c r="G924" s="11">
        <f t="shared" si="58"/>
        <v>-3.4999999999993162E-3</v>
      </c>
      <c r="H924" s="12">
        <f t="shared" si="59"/>
        <v>1.1493999999999369</v>
      </c>
    </row>
    <row r="925" spans="1:8" ht="14.25" thickBot="1">
      <c r="A925" s="18">
        <v>92.2</v>
      </c>
      <c r="B925" s="27">
        <v>0.82596000000000003</v>
      </c>
      <c r="C925" s="11">
        <f t="shared" si="56"/>
        <v>-3.5000000000009229E-3</v>
      </c>
      <c r="D925" s="12">
        <f t="shared" si="57"/>
        <v>1.1486600000000851</v>
      </c>
      <c r="E925" s="18">
        <v>92.2</v>
      </c>
      <c r="F925" s="27">
        <v>0.82669999999999999</v>
      </c>
      <c r="G925" s="11">
        <f t="shared" si="58"/>
        <v>-3.4999999999998132E-3</v>
      </c>
      <c r="H925" s="12">
        <f t="shared" si="59"/>
        <v>1.1493999999999827</v>
      </c>
    </row>
    <row r="926" spans="1:8" ht="14.25" thickBot="1">
      <c r="A926" s="18">
        <v>92.3</v>
      </c>
      <c r="B926" s="27">
        <v>0.82560999999999996</v>
      </c>
      <c r="C926" s="11">
        <f t="shared" si="56"/>
        <v>-3.4999999999993162E-3</v>
      </c>
      <c r="D926" s="12">
        <f t="shared" si="57"/>
        <v>1.1486599999999367</v>
      </c>
      <c r="E926" s="18">
        <v>92.3</v>
      </c>
      <c r="F926" s="27">
        <v>0.82635000000000003</v>
      </c>
      <c r="G926" s="11">
        <f t="shared" si="58"/>
        <v>-3.5000000000004259E-3</v>
      </c>
      <c r="H926" s="12">
        <f t="shared" si="59"/>
        <v>1.1494000000000393</v>
      </c>
    </row>
    <row r="927" spans="1:8" ht="14.25" thickBot="1">
      <c r="A927" s="18">
        <v>92.4</v>
      </c>
      <c r="B927" s="27">
        <v>0.82525999999999999</v>
      </c>
      <c r="C927" s="11">
        <f t="shared" si="56"/>
        <v>-3.4999999999998132E-3</v>
      </c>
      <c r="D927" s="12">
        <f t="shared" si="57"/>
        <v>1.1486599999999827</v>
      </c>
      <c r="E927" s="18">
        <v>92.4</v>
      </c>
      <c r="F927" s="27">
        <v>0.82599999999999996</v>
      </c>
      <c r="G927" s="11">
        <f t="shared" si="58"/>
        <v>-3.4999999999998132E-3</v>
      </c>
      <c r="H927" s="12">
        <f t="shared" si="59"/>
        <v>1.1493999999999827</v>
      </c>
    </row>
    <row r="928" spans="1:8" ht="14.25" thickBot="1">
      <c r="A928" s="18">
        <v>92.5</v>
      </c>
      <c r="B928" s="27">
        <v>0.82491000000000003</v>
      </c>
      <c r="C928" s="11">
        <f t="shared" si="56"/>
        <v>-3.6000000000004735E-3</v>
      </c>
      <c r="D928" s="12">
        <f t="shared" si="57"/>
        <v>1.1579100000000437</v>
      </c>
      <c r="E928" s="18">
        <v>92.5</v>
      </c>
      <c r="F928" s="27">
        <v>0.82565</v>
      </c>
      <c r="G928" s="11">
        <f t="shared" si="58"/>
        <v>-3.6000000000004735E-3</v>
      </c>
      <c r="H928" s="12">
        <f t="shared" si="59"/>
        <v>1.1586500000000437</v>
      </c>
    </row>
    <row r="929" spans="1:8" ht="14.25" thickBot="1">
      <c r="A929" s="18">
        <v>92.6</v>
      </c>
      <c r="B929" s="27">
        <v>0.82455000000000001</v>
      </c>
      <c r="C929" s="11">
        <f t="shared" si="56"/>
        <v>-3.4999999999993162E-3</v>
      </c>
      <c r="D929" s="12">
        <f t="shared" si="57"/>
        <v>1.1486499999999367</v>
      </c>
      <c r="E929" s="18">
        <v>92.6</v>
      </c>
      <c r="F929" s="27">
        <v>0.82528999999999997</v>
      </c>
      <c r="G929" s="11">
        <f t="shared" si="58"/>
        <v>-3.4999999999993162E-3</v>
      </c>
      <c r="H929" s="12">
        <f t="shared" si="59"/>
        <v>1.1493899999999366</v>
      </c>
    </row>
    <row r="930" spans="1:8" ht="14.25" thickBot="1">
      <c r="A930" s="18">
        <v>92.7</v>
      </c>
      <c r="B930" s="27">
        <v>0.82420000000000004</v>
      </c>
      <c r="C930" s="11">
        <f t="shared" si="56"/>
        <v>-3.6000000000004735E-3</v>
      </c>
      <c r="D930" s="12">
        <f t="shared" si="57"/>
        <v>1.1579200000000438</v>
      </c>
      <c r="E930" s="18">
        <v>92.7</v>
      </c>
      <c r="F930" s="27">
        <v>0.82494000000000001</v>
      </c>
      <c r="G930" s="11">
        <f t="shared" si="58"/>
        <v>-3.6000000000004735E-3</v>
      </c>
      <c r="H930" s="12">
        <f t="shared" si="59"/>
        <v>1.1586600000000438</v>
      </c>
    </row>
    <row r="931" spans="1:8" ht="14.25" thickBot="1">
      <c r="A931" s="18">
        <v>92.8</v>
      </c>
      <c r="B931" s="15">
        <v>0.82384000000000002</v>
      </c>
      <c r="C931" s="11">
        <f t="shared" si="56"/>
        <v>-3.5999999999999626E-3</v>
      </c>
      <c r="D931" s="12">
        <f t="shared" si="57"/>
        <v>1.1579199999999965</v>
      </c>
      <c r="E931" s="18">
        <v>92.8</v>
      </c>
      <c r="F931" s="15">
        <v>0.82457999999999998</v>
      </c>
      <c r="G931" s="11">
        <f t="shared" si="58"/>
        <v>-3.5999999999999626E-3</v>
      </c>
      <c r="H931" s="12">
        <f t="shared" si="59"/>
        <v>1.1586599999999965</v>
      </c>
    </row>
    <row r="932" spans="1:8" ht="14.25" thickBot="1">
      <c r="A932" s="18">
        <v>92.9</v>
      </c>
      <c r="B932" s="27">
        <v>0.82347999999999999</v>
      </c>
      <c r="C932" s="11">
        <f t="shared" si="56"/>
        <v>-3.6000000000004735E-3</v>
      </c>
      <c r="D932" s="12">
        <f t="shared" si="57"/>
        <v>1.1579200000000438</v>
      </c>
      <c r="E932" s="18">
        <v>92.9</v>
      </c>
      <c r="F932" s="27">
        <v>0.82421999999999995</v>
      </c>
      <c r="G932" s="11">
        <f t="shared" si="58"/>
        <v>-3.5999999999993637E-3</v>
      </c>
      <c r="H932" s="12">
        <f t="shared" si="59"/>
        <v>1.1586599999999407</v>
      </c>
    </row>
    <row r="933" spans="1:8" ht="14.25" thickBot="1">
      <c r="A933" s="9">
        <v>93</v>
      </c>
      <c r="B933" s="19">
        <v>0.82311999999999996</v>
      </c>
      <c r="C933" s="11">
        <f t="shared" si="56"/>
        <v>-3.5999999999993637E-3</v>
      </c>
      <c r="D933" s="12">
        <f t="shared" si="57"/>
        <v>1.1579199999999408</v>
      </c>
      <c r="E933" s="9">
        <v>93</v>
      </c>
      <c r="F933" s="19">
        <v>0.82386000000000004</v>
      </c>
      <c r="G933" s="11">
        <f t="shared" si="58"/>
        <v>-3.6000000000004735E-3</v>
      </c>
      <c r="H933" s="12">
        <f t="shared" si="59"/>
        <v>1.158660000000044</v>
      </c>
    </row>
    <row r="934" spans="1:8" ht="14.25" thickBot="1">
      <c r="A934" s="18">
        <v>93.1</v>
      </c>
      <c r="B934" s="27">
        <v>0.82276000000000005</v>
      </c>
      <c r="C934" s="11">
        <f t="shared" si="56"/>
        <v>-3.5999999999999626E-3</v>
      </c>
      <c r="D934" s="12">
        <f t="shared" si="57"/>
        <v>1.1579199999999967</v>
      </c>
      <c r="E934" s="18">
        <v>93.1</v>
      </c>
      <c r="F934" s="27">
        <v>0.82350000000000001</v>
      </c>
      <c r="G934" s="11">
        <f t="shared" si="58"/>
        <v>-3.5999999999999626E-3</v>
      </c>
      <c r="H934" s="12">
        <f t="shared" si="59"/>
        <v>1.1586599999999967</v>
      </c>
    </row>
    <row r="935" spans="1:8" ht="14.25" thickBot="1">
      <c r="A935" s="18">
        <v>93.2</v>
      </c>
      <c r="B935" s="27">
        <v>0.82240000000000002</v>
      </c>
      <c r="C935" s="11">
        <f t="shared" si="56"/>
        <v>-3.6000000000004735E-3</v>
      </c>
      <c r="D935" s="12">
        <f t="shared" si="57"/>
        <v>1.157920000000044</v>
      </c>
      <c r="E935" s="18">
        <v>93.2</v>
      </c>
      <c r="F935" s="27">
        <v>0.82313999999999998</v>
      </c>
      <c r="G935" s="11">
        <f t="shared" si="58"/>
        <v>-3.6000000000004735E-3</v>
      </c>
      <c r="H935" s="12">
        <f t="shared" si="59"/>
        <v>1.158660000000044</v>
      </c>
    </row>
    <row r="936" spans="1:8" ht="14.25" thickBot="1">
      <c r="A936" s="18">
        <v>93.3</v>
      </c>
      <c r="B936" s="27">
        <v>0.82203999999999999</v>
      </c>
      <c r="C936" s="11">
        <f t="shared" si="56"/>
        <v>-3.6999999999994988E-3</v>
      </c>
      <c r="D936" s="12">
        <f t="shared" si="57"/>
        <v>1.1672499999999533</v>
      </c>
      <c r="E936" s="18">
        <v>93.3</v>
      </c>
      <c r="F936" s="27">
        <v>0.82277999999999996</v>
      </c>
      <c r="G936" s="11">
        <f t="shared" si="58"/>
        <v>-3.6999999999994988E-3</v>
      </c>
      <c r="H936" s="12">
        <f t="shared" si="59"/>
        <v>1.1679899999999532</v>
      </c>
    </row>
    <row r="937" spans="1:8" ht="14.25" thickBot="1">
      <c r="A937" s="18">
        <v>93.4</v>
      </c>
      <c r="B937" s="27">
        <v>0.82167000000000001</v>
      </c>
      <c r="C937" s="11">
        <f t="shared" si="56"/>
        <v>-3.6000000000004735E-3</v>
      </c>
      <c r="D937" s="12">
        <f t="shared" si="57"/>
        <v>1.1579100000000442</v>
      </c>
      <c r="E937" s="18">
        <v>93.4</v>
      </c>
      <c r="F937" s="27">
        <v>0.82240999999999997</v>
      </c>
      <c r="G937" s="11">
        <f t="shared" si="58"/>
        <v>-3.6000000000004735E-3</v>
      </c>
      <c r="H937" s="12">
        <f t="shared" si="59"/>
        <v>1.1586500000000441</v>
      </c>
    </row>
    <row r="938" spans="1:8" ht="14.25" thickBot="1">
      <c r="A938" s="18">
        <v>93.5</v>
      </c>
      <c r="B938" s="27">
        <v>0.82130999999999998</v>
      </c>
      <c r="C938" s="11">
        <f t="shared" si="56"/>
        <v>-3.7000000000000244E-3</v>
      </c>
      <c r="D938" s="12">
        <f t="shared" si="57"/>
        <v>1.1672600000000024</v>
      </c>
      <c r="E938" s="18">
        <v>93.5</v>
      </c>
      <c r="F938" s="27">
        <v>0.82204999999999995</v>
      </c>
      <c r="G938" s="11">
        <f t="shared" si="58"/>
        <v>-3.7000000000000244E-3</v>
      </c>
      <c r="H938" s="12">
        <f t="shared" si="59"/>
        <v>1.1680000000000024</v>
      </c>
    </row>
    <row r="939" spans="1:8" ht="14.25" thickBot="1">
      <c r="A939" s="18">
        <v>93.6</v>
      </c>
      <c r="B939" s="27">
        <v>0.82094</v>
      </c>
      <c r="C939" s="11">
        <f t="shared" si="56"/>
        <v>-3.6999999999994988E-3</v>
      </c>
      <c r="D939" s="12">
        <f t="shared" si="57"/>
        <v>1.1672599999999531</v>
      </c>
      <c r="E939" s="18">
        <v>93.6</v>
      </c>
      <c r="F939" s="27">
        <v>0.82167999999999997</v>
      </c>
      <c r="G939" s="11">
        <f t="shared" si="58"/>
        <v>-3.6999999999994988E-3</v>
      </c>
      <c r="H939" s="12">
        <f t="shared" si="59"/>
        <v>1.1679999999999531</v>
      </c>
    </row>
    <row r="940" spans="1:8" ht="14.25" thickBot="1">
      <c r="A940" s="18">
        <v>93.7</v>
      </c>
      <c r="B940" s="27">
        <v>0.82057000000000002</v>
      </c>
      <c r="C940" s="11">
        <f t="shared" si="56"/>
        <v>-3.7000000000000244E-3</v>
      </c>
      <c r="D940" s="12">
        <f t="shared" si="57"/>
        <v>1.1672600000000024</v>
      </c>
      <c r="E940" s="18">
        <v>93.7</v>
      </c>
      <c r="F940" s="27">
        <v>0.82130999999999998</v>
      </c>
      <c r="G940" s="11">
        <f t="shared" si="58"/>
        <v>-3.7000000000000244E-3</v>
      </c>
      <c r="H940" s="12">
        <f t="shared" si="59"/>
        <v>1.1680000000000024</v>
      </c>
    </row>
    <row r="941" spans="1:8" ht="14.25" thickBot="1">
      <c r="A941" s="18">
        <v>93.8</v>
      </c>
      <c r="B941" s="27">
        <v>0.82020000000000004</v>
      </c>
      <c r="C941" s="11">
        <f t="shared" si="56"/>
        <v>-3.7000000000006095E-3</v>
      </c>
      <c r="D941" s="12">
        <f t="shared" si="57"/>
        <v>1.167260000000057</v>
      </c>
      <c r="E941" s="18">
        <v>93.8</v>
      </c>
      <c r="F941" s="27">
        <v>0.82094</v>
      </c>
      <c r="G941" s="11">
        <f t="shared" si="58"/>
        <v>-3.6999999999994988E-3</v>
      </c>
      <c r="H941" s="12">
        <f t="shared" si="59"/>
        <v>1.1679999999999531</v>
      </c>
    </row>
    <row r="942" spans="1:8" ht="14.25" thickBot="1">
      <c r="A942" s="18">
        <v>93.9</v>
      </c>
      <c r="B942" s="27">
        <v>0.81982999999999995</v>
      </c>
      <c r="C942" s="11">
        <f t="shared" si="56"/>
        <v>-3.7000000000000244E-3</v>
      </c>
      <c r="D942" s="12">
        <f t="shared" si="57"/>
        <v>1.1672600000000022</v>
      </c>
      <c r="E942" s="18">
        <v>93.9</v>
      </c>
      <c r="F942" s="27">
        <v>0.82057000000000002</v>
      </c>
      <c r="G942" s="11">
        <f t="shared" si="58"/>
        <v>-3.7000000000000244E-3</v>
      </c>
      <c r="H942" s="12">
        <f t="shared" si="59"/>
        <v>1.1680000000000024</v>
      </c>
    </row>
    <row r="943" spans="1:8" ht="14.25" thickBot="1">
      <c r="A943" s="9">
        <v>94</v>
      </c>
      <c r="B943" s="19">
        <v>0.81945999999999997</v>
      </c>
      <c r="C943" s="11">
        <f t="shared" si="56"/>
        <v>-3.7000000000000244E-3</v>
      </c>
      <c r="D943" s="12">
        <f t="shared" si="57"/>
        <v>1.1672600000000022</v>
      </c>
      <c r="E943" s="9">
        <v>94</v>
      </c>
      <c r="F943" s="19">
        <v>0.82020000000000004</v>
      </c>
      <c r="G943" s="11">
        <f t="shared" si="58"/>
        <v>-3.7000000000011351E-3</v>
      </c>
      <c r="H943" s="12">
        <f t="shared" si="59"/>
        <v>1.1680000000001067</v>
      </c>
    </row>
    <row r="944" spans="1:8" ht="14.25" thickBot="1">
      <c r="A944" s="18">
        <v>94.1</v>
      </c>
      <c r="B944" s="27">
        <v>0.81908999999999998</v>
      </c>
      <c r="C944" s="11">
        <f t="shared" si="56"/>
        <v>-3.7999999999990351E-3</v>
      </c>
      <c r="D944" s="12">
        <f t="shared" si="57"/>
        <v>1.1766699999999091</v>
      </c>
      <c r="E944" s="18">
        <v>94.1</v>
      </c>
      <c r="F944" s="27">
        <v>0.81982999999999995</v>
      </c>
      <c r="G944" s="11">
        <f t="shared" si="58"/>
        <v>-3.7999999999990351E-3</v>
      </c>
      <c r="H944" s="12">
        <f t="shared" si="59"/>
        <v>1.177409999999909</v>
      </c>
    </row>
    <row r="945" spans="1:8" ht="14.25" thickBot="1">
      <c r="A945" s="18">
        <v>94.2</v>
      </c>
      <c r="B945" s="27">
        <v>0.81871000000000005</v>
      </c>
      <c r="C945" s="11">
        <f t="shared" si="56"/>
        <v>-3.7000000000011351E-3</v>
      </c>
      <c r="D945" s="12">
        <f t="shared" si="57"/>
        <v>1.1672500000001069</v>
      </c>
      <c r="E945" s="18">
        <v>94.2</v>
      </c>
      <c r="F945" s="27">
        <v>0.81945000000000001</v>
      </c>
      <c r="G945" s="11">
        <f t="shared" si="58"/>
        <v>-3.7000000000000244E-3</v>
      </c>
      <c r="H945" s="12">
        <f t="shared" si="59"/>
        <v>1.1679900000000023</v>
      </c>
    </row>
    <row r="946" spans="1:8" ht="14.25" thickBot="1">
      <c r="A946" s="18">
        <v>94.3</v>
      </c>
      <c r="B946" s="27">
        <v>0.81833999999999996</v>
      </c>
      <c r="C946" s="11">
        <f t="shared" si="56"/>
        <v>-3.7999999999990351E-3</v>
      </c>
      <c r="D946" s="12">
        <f t="shared" si="57"/>
        <v>1.1766799999999089</v>
      </c>
      <c r="E946" s="18">
        <v>94.3</v>
      </c>
      <c r="F946" s="27">
        <v>0.81908000000000003</v>
      </c>
      <c r="G946" s="11">
        <f t="shared" si="58"/>
        <v>-3.8000000000001457E-3</v>
      </c>
      <c r="H946" s="12">
        <f t="shared" si="59"/>
        <v>1.1774200000000137</v>
      </c>
    </row>
    <row r="947" spans="1:8" ht="14.25" thickBot="1">
      <c r="A947" s="18">
        <v>94.4</v>
      </c>
      <c r="B947" s="27">
        <v>0.81796000000000002</v>
      </c>
      <c r="C947" s="11">
        <f t="shared" si="56"/>
        <v>-3.8000000000006852E-3</v>
      </c>
      <c r="D947" s="12">
        <f t="shared" si="57"/>
        <v>1.1766800000000648</v>
      </c>
      <c r="E947" s="18">
        <v>94.4</v>
      </c>
      <c r="F947" s="27">
        <v>0.81869999999999998</v>
      </c>
      <c r="G947" s="11">
        <f t="shared" si="58"/>
        <v>-3.7999999999995754E-3</v>
      </c>
      <c r="H947" s="12">
        <f t="shared" si="59"/>
        <v>1.1774199999999599</v>
      </c>
    </row>
    <row r="948" spans="1:8" ht="14.25" thickBot="1">
      <c r="A948" s="18">
        <v>94.5</v>
      </c>
      <c r="B948" s="27">
        <v>0.81757999999999997</v>
      </c>
      <c r="C948" s="11">
        <f t="shared" si="56"/>
        <v>-3.7999999999995754E-3</v>
      </c>
      <c r="D948" s="12">
        <f t="shared" si="57"/>
        <v>1.17667999999996</v>
      </c>
      <c r="E948" s="18">
        <v>94.5</v>
      </c>
      <c r="F948" s="27">
        <v>0.81832000000000005</v>
      </c>
      <c r="G948" s="11">
        <f t="shared" si="58"/>
        <v>-3.8000000000006852E-3</v>
      </c>
      <c r="H948" s="12">
        <f t="shared" si="59"/>
        <v>1.1774200000000647</v>
      </c>
    </row>
    <row r="949" spans="1:8" ht="14.25" thickBot="1">
      <c r="A949" s="18">
        <v>94.6</v>
      </c>
      <c r="B949" s="27">
        <v>0.81720000000000004</v>
      </c>
      <c r="C949" s="11">
        <f t="shared" si="56"/>
        <v>-3.8000000000001457E-3</v>
      </c>
      <c r="D949" s="12">
        <f t="shared" si="57"/>
        <v>1.1766800000000139</v>
      </c>
      <c r="E949" s="18">
        <v>94.6</v>
      </c>
      <c r="F949" s="27">
        <v>0.81794</v>
      </c>
      <c r="G949" s="11">
        <f t="shared" si="58"/>
        <v>-3.8000000000001457E-3</v>
      </c>
      <c r="H949" s="12">
        <f t="shared" si="59"/>
        <v>1.1774200000000139</v>
      </c>
    </row>
    <row r="950" spans="1:8" ht="14.25" thickBot="1">
      <c r="A950" s="18">
        <v>94.7</v>
      </c>
      <c r="B950" s="27">
        <v>0.81681999999999999</v>
      </c>
      <c r="C950" s="11">
        <f t="shared" si="56"/>
        <v>-3.7999999999995754E-3</v>
      </c>
      <c r="D950" s="12">
        <f t="shared" si="57"/>
        <v>1.1766799999999598</v>
      </c>
      <c r="E950" s="18">
        <v>94.7</v>
      </c>
      <c r="F950" s="27">
        <v>0.81755999999999995</v>
      </c>
      <c r="G950" s="11">
        <f t="shared" si="58"/>
        <v>-3.7999999999995754E-3</v>
      </c>
      <c r="H950" s="12">
        <f t="shared" si="59"/>
        <v>1.1774199999999597</v>
      </c>
    </row>
    <row r="951" spans="1:8" ht="14.25" thickBot="1">
      <c r="A951" s="18">
        <v>94.8</v>
      </c>
      <c r="B951" s="27">
        <v>0.81644000000000005</v>
      </c>
      <c r="C951" s="11">
        <f t="shared" si="56"/>
        <v>-3.8999999999996819E-3</v>
      </c>
      <c r="D951" s="12">
        <f t="shared" si="57"/>
        <v>1.1861599999999699</v>
      </c>
      <c r="E951" s="18">
        <v>94.8</v>
      </c>
      <c r="F951" s="27">
        <v>0.81718000000000002</v>
      </c>
      <c r="G951" s="11">
        <f t="shared" si="58"/>
        <v>-3.8999999999996819E-3</v>
      </c>
      <c r="H951" s="12">
        <f t="shared" si="59"/>
        <v>1.1868999999999699</v>
      </c>
    </row>
    <row r="952" spans="1:8" ht="14.25" thickBot="1">
      <c r="A952" s="18">
        <v>94.9</v>
      </c>
      <c r="B952" s="27">
        <v>0.81605000000000005</v>
      </c>
      <c r="C952" s="11">
        <f t="shared" si="56"/>
        <v>-3.9000000000002357E-3</v>
      </c>
      <c r="D952" s="12">
        <f t="shared" si="57"/>
        <v>1.1861600000000223</v>
      </c>
      <c r="E952" s="18">
        <v>94.9</v>
      </c>
      <c r="F952" s="27">
        <v>0.81679000000000002</v>
      </c>
      <c r="G952" s="11">
        <f t="shared" si="58"/>
        <v>-4.0000000000008969E-3</v>
      </c>
      <c r="H952" s="12">
        <f t="shared" si="59"/>
        <v>1.1963900000000851</v>
      </c>
    </row>
    <row r="953" spans="1:8" ht="14.25" thickBot="1">
      <c r="A953" s="9">
        <v>95</v>
      </c>
      <c r="B953" s="19">
        <v>0.81566000000000005</v>
      </c>
      <c r="C953" s="11">
        <f t="shared" si="56"/>
        <v>-3.8000000000006852E-3</v>
      </c>
      <c r="D953" s="12">
        <f t="shared" si="57"/>
        <v>1.1766600000000651</v>
      </c>
      <c r="E953" s="9">
        <v>95</v>
      </c>
      <c r="F953" s="19">
        <v>0.81638999999999995</v>
      </c>
      <c r="G953" s="11">
        <f t="shared" si="58"/>
        <v>-3.7999999999995754E-3</v>
      </c>
      <c r="H953" s="12">
        <f t="shared" si="59"/>
        <v>1.1773899999999597</v>
      </c>
    </row>
    <row r="954" spans="1:8" ht="14.25" thickBot="1">
      <c r="A954" s="18">
        <v>95.1</v>
      </c>
      <c r="B954" s="27">
        <v>0.81528</v>
      </c>
      <c r="C954" s="11">
        <f t="shared" si="56"/>
        <v>-3.8999999999996819E-3</v>
      </c>
      <c r="D954" s="12">
        <f t="shared" si="57"/>
        <v>1.1861699999999697</v>
      </c>
      <c r="E954" s="18">
        <v>95.1</v>
      </c>
      <c r="F954" s="27">
        <v>0.81601000000000001</v>
      </c>
      <c r="G954" s="11">
        <f t="shared" si="58"/>
        <v>-3.8999999999996819E-3</v>
      </c>
      <c r="H954" s="12">
        <f t="shared" si="59"/>
        <v>1.1868999999999696</v>
      </c>
    </row>
    <row r="955" spans="1:8" ht="14.25" thickBot="1">
      <c r="A955" s="18">
        <v>95.2</v>
      </c>
      <c r="B955" s="27">
        <v>0.81489</v>
      </c>
      <c r="C955" s="11">
        <f t="shared" si="56"/>
        <v>-3.9000000000002357E-3</v>
      </c>
      <c r="D955" s="12">
        <f t="shared" si="57"/>
        <v>1.1861700000000224</v>
      </c>
      <c r="E955" s="18">
        <v>95.2</v>
      </c>
      <c r="F955" s="27">
        <v>0.81562000000000001</v>
      </c>
      <c r="G955" s="11">
        <f t="shared" si="58"/>
        <v>-3.9000000000002357E-3</v>
      </c>
      <c r="H955" s="12">
        <f t="shared" si="59"/>
        <v>1.1869000000000225</v>
      </c>
    </row>
    <row r="956" spans="1:8" ht="14.25" thickBot="1">
      <c r="A956" s="18">
        <v>95.3</v>
      </c>
      <c r="B956" s="27">
        <v>0.8145</v>
      </c>
      <c r="C956" s="11">
        <f t="shared" si="56"/>
        <v>-3.9999999999992186E-3</v>
      </c>
      <c r="D956" s="12">
        <f t="shared" si="57"/>
        <v>1.1956999999999254</v>
      </c>
      <c r="E956" s="18">
        <v>95.3</v>
      </c>
      <c r="F956" s="27">
        <v>0.81523000000000001</v>
      </c>
      <c r="G956" s="11">
        <f t="shared" si="58"/>
        <v>-3.9999999999992186E-3</v>
      </c>
      <c r="H956" s="12">
        <f t="shared" si="59"/>
        <v>1.1964299999999255</v>
      </c>
    </row>
    <row r="957" spans="1:8" ht="14.25" thickBot="1">
      <c r="A957" s="18">
        <v>95.4</v>
      </c>
      <c r="B957" s="27">
        <v>0.81410000000000005</v>
      </c>
      <c r="C957" s="11">
        <f t="shared" si="56"/>
        <v>-3.9000000000002357E-3</v>
      </c>
      <c r="D957" s="12">
        <f t="shared" si="57"/>
        <v>1.1861600000000228</v>
      </c>
      <c r="E957" s="18">
        <v>95.4</v>
      </c>
      <c r="F957" s="27">
        <v>0.81483000000000005</v>
      </c>
      <c r="G957" s="11">
        <f t="shared" si="58"/>
        <v>-3.9000000000002357E-3</v>
      </c>
      <c r="H957" s="12">
        <f t="shared" si="59"/>
        <v>1.1868900000000226</v>
      </c>
    </row>
    <row r="958" spans="1:8" ht="14.25" thickBot="1">
      <c r="A958" s="18">
        <v>95.5</v>
      </c>
      <c r="B958" s="27">
        <v>0.81371000000000004</v>
      </c>
      <c r="C958" s="11">
        <f t="shared" si="56"/>
        <v>-4.0000000000008969E-3</v>
      </c>
      <c r="D958" s="12">
        <f t="shared" si="57"/>
        <v>1.1957100000000858</v>
      </c>
      <c r="E958" s="18">
        <v>95.5</v>
      </c>
      <c r="F958" s="27">
        <v>0.81444000000000005</v>
      </c>
      <c r="G958" s="11">
        <f t="shared" si="58"/>
        <v>-4.0000000000008969E-3</v>
      </c>
      <c r="H958" s="12">
        <f t="shared" si="59"/>
        <v>1.1964400000000857</v>
      </c>
    </row>
    <row r="959" spans="1:8" ht="14.25" thickBot="1">
      <c r="A959" s="18">
        <v>95.6</v>
      </c>
      <c r="B959" s="27">
        <v>0.81330999999999998</v>
      </c>
      <c r="C959" s="11">
        <f t="shared" si="56"/>
        <v>-3.9999999999992186E-3</v>
      </c>
      <c r="D959" s="12">
        <f t="shared" si="57"/>
        <v>1.1957099999999252</v>
      </c>
      <c r="E959" s="18">
        <v>95.6</v>
      </c>
      <c r="F959" s="27">
        <v>0.81403999999999999</v>
      </c>
      <c r="G959" s="11">
        <f t="shared" si="58"/>
        <v>-3.9999999999992186E-3</v>
      </c>
      <c r="H959" s="12">
        <f t="shared" si="59"/>
        <v>1.1964399999999253</v>
      </c>
    </row>
    <row r="960" spans="1:8" ht="14.25" thickBot="1">
      <c r="A960" s="18">
        <v>95.7</v>
      </c>
      <c r="B960" s="27">
        <v>0.81291000000000002</v>
      </c>
      <c r="C960" s="11">
        <f t="shared" si="56"/>
        <v>-4.0000000000008969E-3</v>
      </c>
      <c r="D960" s="12">
        <f t="shared" si="57"/>
        <v>1.195710000000086</v>
      </c>
      <c r="E960" s="18">
        <v>95.7</v>
      </c>
      <c r="F960" s="27">
        <v>0.81364000000000003</v>
      </c>
      <c r="G960" s="11">
        <f t="shared" si="58"/>
        <v>-4.0000000000008969E-3</v>
      </c>
      <c r="H960" s="12">
        <f t="shared" si="59"/>
        <v>1.1964400000000859</v>
      </c>
    </row>
    <row r="961" spans="1:8" ht="14.25" thickBot="1">
      <c r="A961" s="18">
        <v>95.8</v>
      </c>
      <c r="B961" s="27">
        <v>0.81250999999999995</v>
      </c>
      <c r="C961" s="11">
        <f t="shared" si="56"/>
        <v>-3.9999999999992186E-3</v>
      </c>
      <c r="D961" s="12">
        <f t="shared" si="57"/>
        <v>1.195709999999925</v>
      </c>
      <c r="E961" s="18">
        <v>95.8</v>
      </c>
      <c r="F961" s="27">
        <v>0.81323999999999996</v>
      </c>
      <c r="G961" s="11">
        <f t="shared" si="58"/>
        <v>-3.9999999999992186E-3</v>
      </c>
      <c r="H961" s="12">
        <f t="shared" si="59"/>
        <v>1.1964399999999251</v>
      </c>
    </row>
    <row r="962" spans="1:8" ht="14.25" thickBot="1">
      <c r="A962" s="18">
        <v>95.9</v>
      </c>
      <c r="B962" s="27">
        <v>0.81211</v>
      </c>
      <c r="C962" s="11">
        <f t="shared" si="56"/>
        <v>-3.9999999999997867E-3</v>
      </c>
      <c r="D962" s="12">
        <f t="shared" si="57"/>
        <v>1.1957099999999796</v>
      </c>
      <c r="E962" s="18">
        <v>95.9</v>
      </c>
      <c r="F962" s="27">
        <v>0.81284000000000001</v>
      </c>
      <c r="G962" s="11">
        <f t="shared" si="58"/>
        <v>-3.9999999999997867E-3</v>
      </c>
      <c r="H962" s="12">
        <f t="shared" si="59"/>
        <v>1.1964399999999795</v>
      </c>
    </row>
    <row r="963" spans="1:8" ht="14.25" thickBot="1">
      <c r="A963" s="9">
        <v>96</v>
      </c>
      <c r="B963" s="19">
        <v>0.81171000000000004</v>
      </c>
      <c r="C963" s="11">
        <f t="shared" si="56"/>
        <v>-4.1000000000004479E-3</v>
      </c>
      <c r="D963" s="12">
        <f t="shared" si="57"/>
        <v>1.205310000000043</v>
      </c>
      <c r="E963" s="9">
        <v>96</v>
      </c>
      <c r="F963" s="19">
        <v>0.81244000000000005</v>
      </c>
      <c r="G963" s="11">
        <f t="shared" si="58"/>
        <v>-4.1000000000004479E-3</v>
      </c>
      <c r="H963" s="12">
        <f t="shared" si="59"/>
        <v>1.2060400000000431</v>
      </c>
    </row>
    <row r="964" spans="1:8" ht="14.25" thickBot="1">
      <c r="A964" s="18">
        <v>96.1</v>
      </c>
      <c r="B964" s="27">
        <v>0.81130000000000002</v>
      </c>
      <c r="C964" s="11">
        <f t="shared" ref="C964:C1002" si="60">SLOPE(B964:B965,A964:A965)</f>
        <v>-4.0000000000003288E-3</v>
      </c>
      <c r="D964" s="12">
        <f t="shared" ref="D964:D1002" si="61">INTERCEPT(B964:B965,A964:A965)</f>
        <v>1.1957000000000315</v>
      </c>
      <c r="E964" s="18">
        <v>96.1</v>
      </c>
      <c r="F964" s="27">
        <v>0.81203000000000003</v>
      </c>
      <c r="G964" s="11">
        <f t="shared" ref="G964:G1002" si="62">SLOPE(F964:F965,E964:E965)</f>
        <v>-4.0000000000003288E-3</v>
      </c>
      <c r="H964" s="12">
        <f t="shared" ref="H964:H1002" si="63">INTERCEPT(F964:F965,E964:E965)</f>
        <v>1.1964300000000316</v>
      </c>
    </row>
    <row r="965" spans="1:8" ht="14.25" thickBot="1">
      <c r="A965" s="18">
        <v>96.2</v>
      </c>
      <c r="B965" s="27">
        <v>0.81089999999999995</v>
      </c>
      <c r="C965" s="11">
        <f t="shared" si="60"/>
        <v>-4.0999999999993377E-3</v>
      </c>
      <c r="D965" s="12">
        <f t="shared" si="61"/>
        <v>1.2053199999999362</v>
      </c>
      <c r="E965" s="18">
        <v>96.2</v>
      </c>
      <c r="F965" s="27">
        <v>0.81162999999999996</v>
      </c>
      <c r="G965" s="11">
        <f t="shared" si="62"/>
        <v>-4.0999999999993377E-3</v>
      </c>
      <c r="H965" s="12">
        <f t="shared" si="63"/>
        <v>1.2060499999999363</v>
      </c>
    </row>
    <row r="966" spans="1:8" ht="14.25" thickBot="1">
      <c r="A966" s="18">
        <v>96.3</v>
      </c>
      <c r="B966" s="27">
        <v>0.81049000000000004</v>
      </c>
      <c r="C966" s="11">
        <f t="shared" si="60"/>
        <v>-4.2000000000005115E-3</v>
      </c>
      <c r="D966" s="12">
        <f t="shared" si="61"/>
        <v>1.2149500000000493</v>
      </c>
      <c r="E966" s="18">
        <v>96.3</v>
      </c>
      <c r="F966" s="27">
        <v>0.81122000000000005</v>
      </c>
      <c r="G966" s="11">
        <f t="shared" si="62"/>
        <v>-4.2000000000005115E-3</v>
      </c>
      <c r="H966" s="12">
        <f t="shared" si="63"/>
        <v>1.2156800000000492</v>
      </c>
    </row>
    <row r="967" spans="1:8" ht="14.25" thickBot="1">
      <c r="A967" s="18">
        <v>96.4</v>
      </c>
      <c r="B967" s="27">
        <v>0.81006999999999996</v>
      </c>
      <c r="C967" s="11">
        <f t="shared" si="60"/>
        <v>-4.0999999999993377E-3</v>
      </c>
      <c r="D967" s="12">
        <f t="shared" si="61"/>
        <v>1.2053099999999362</v>
      </c>
      <c r="E967" s="18">
        <v>96.4</v>
      </c>
      <c r="F967" s="27">
        <v>0.81079999999999997</v>
      </c>
      <c r="G967" s="11">
        <f t="shared" si="62"/>
        <v>-4.0999999999993377E-3</v>
      </c>
      <c r="H967" s="12">
        <f t="shared" si="63"/>
        <v>1.2060399999999361</v>
      </c>
    </row>
    <row r="968" spans="1:8" ht="14.25" thickBot="1">
      <c r="A968" s="18">
        <v>96.5</v>
      </c>
      <c r="B968" s="27">
        <v>0.80966000000000005</v>
      </c>
      <c r="C968" s="11">
        <f t="shared" si="60"/>
        <v>-4.1000000000004479E-3</v>
      </c>
      <c r="D968" s="12">
        <f t="shared" si="61"/>
        <v>1.2053100000000434</v>
      </c>
      <c r="E968" s="18">
        <v>96.5</v>
      </c>
      <c r="F968" s="27">
        <v>0.81039000000000005</v>
      </c>
      <c r="G968" s="11">
        <f t="shared" si="62"/>
        <v>-4.1000000000004479E-3</v>
      </c>
      <c r="H968" s="12">
        <f t="shared" si="63"/>
        <v>1.2060400000000433</v>
      </c>
    </row>
    <row r="969" spans="1:8" ht="14.25" thickBot="1">
      <c r="A969" s="18">
        <v>96.6</v>
      </c>
      <c r="B969" s="15">
        <v>0.80925000000000002</v>
      </c>
      <c r="C969" s="11">
        <f t="shared" si="60"/>
        <v>-4.1999999999994013E-3</v>
      </c>
      <c r="D969" s="12">
        <f t="shared" si="61"/>
        <v>1.2149699999999422</v>
      </c>
      <c r="E969" s="18">
        <v>96.6</v>
      </c>
      <c r="F969" s="15">
        <v>0.80998000000000003</v>
      </c>
      <c r="G969" s="11">
        <f t="shared" si="62"/>
        <v>-4.2000000000005115E-3</v>
      </c>
      <c r="H969" s="12">
        <f t="shared" si="63"/>
        <v>1.2157000000000495</v>
      </c>
    </row>
    <row r="970" spans="1:8" ht="14.25" thickBot="1">
      <c r="A970" s="18">
        <v>96.7</v>
      </c>
      <c r="B970" s="27">
        <v>0.80883000000000005</v>
      </c>
      <c r="C970" s="11">
        <f t="shared" si="60"/>
        <v>-4.2000000000011074E-3</v>
      </c>
      <c r="D970" s="12">
        <f t="shared" si="61"/>
        <v>1.2149700000001071</v>
      </c>
      <c r="E970" s="18">
        <v>96.7</v>
      </c>
      <c r="F970" s="27">
        <v>0.80955999999999995</v>
      </c>
      <c r="G970" s="11">
        <f t="shared" si="62"/>
        <v>-4.199999999999998E-3</v>
      </c>
      <c r="H970" s="12">
        <f t="shared" si="63"/>
        <v>1.2156999999999998</v>
      </c>
    </row>
    <row r="971" spans="1:8" ht="14.25" thickBot="1">
      <c r="A971" s="18">
        <v>96.8</v>
      </c>
      <c r="B971" s="27">
        <v>0.80840999999999996</v>
      </c>
      <c r="C971" s="11">
        <f t="shared" si="60"/>
        <v>-4.1999999999994013E-3</v>
      </c>
      <c r="D971" s="12">
        <f t="shared" si="61"/>
        <v>1.2149699999999419</v>
      </c>
      <c r="E971" s="18">
        <v>96.8</v>
      </c>
      <c r="F971" s="27">
        <v>0.80913999999999997</v>
      </c>
      <c r="G971" s="11">
        <f t="shared" si="62"/>
        <v>-4.1999999999994004E-3</v>
      </c>
      <c r="H971" s="12">
        <f t="shared" si="63"/>
        <v>1.2156999999999418</v>
      </c>
    </row>
    <row r="972" spans="1:8" ht="14.25" thickBot="1">
      <c r="A972" s="18">
        <v>96.9</v>
      </c>
      <c r="B972" s="27">
        <v>0.80798999999999999</v>
      </c>
      <c r="C972" s="11">
        <f t="shared" si="60"/>
        <v>-4.3000000000006583E-3</v>
      </c>
      <c r="D972" s="12">
        <f t="shared" si="61"/>
        <v>1.2246600000000638</v>
      </c>
      <c r="E972" s="18">
        <v>96.9</v>
      </c>
      <c r="F972" s="27">
        <v>0.80871999999999999</v>
      </c>
      <c r="G972" s="11">
        <f t="shared" si="62"/>
        <v>-4.3000000000006583E-3</v>
      </c>
      <c r="H972" s="12">
        <f t="shared" si="63"/>
        <v>1.2253900000000639</v>
      </c>
    </row>
    <row r="973" spans="1:8" ht="14.25" thickBot="1">
      <c r="A973" s="9">
        <v>97</v>
      </c>
      <c r="B973" s="19">
        <v>0.80755999999999994</v>
      </c>
      <c r="C973" s="11">
        <f t="shared" si="60"/>
        <v>-4.199999999999998E-3</v>
      </c>
      <c r="D973" s="12">
        <f t="shared" si="61"/>
        <v>1.2149599999999998</v>
      </c>
      <c r="E973" s="9">
        <v>97</v>
      </c>
      <c r="F973" s="19">
        <v>0.80828999999999995</v>
      </c>
      <c r="G973" s="11">
        <f t="shared" si="62"/>
        <v>-4.199999999999998E-3</v>
      </c>
      <c r="H973" s="12">
        <f t="shared" si="63"/>
        <v>1.2156899999999997</v>
      </c>
    </row>
    <row r="974" spans="1:8" ht="14.25" thickBot="1">
      <c r="A974" s="18">
        <v>97.1</v>
      </c>
      <c r="B974" s="27">
        <v>0.80713999999999997</v>
      </c>
      <c r="C974" s="11">
        <f t="shared" si="60"/>
        <v>-4.2999999999989375E-3</v>
      </c>
      <c r="D974" s="12">
        <f t="shared" si="61"/>
        <v>1.2246699999998967</v>
      </c>
      <c r="E974" s="18">
        <v>97.1</v>
      </c>
      <c r="F974" s="27">
        <v>0.80786999999999998</v>
      </c>
      <c r="G974" s="11">
        <f t="shared" si="62"/>
        <v>-4.2999999999989375E-3</v>
      </c>
      <c r="H974" s="12">
        <f t="shared" si="63"/>
        <v>1.2253999999998968</v>
      </c>
    </row>
    <row r="975" spans="1:8" ht="14.25" thickBot="1">
      <c r="A975" s="18">
        <v>97.2</v>
      </c>
      <c r="B975" s="27">
        <v>0.80671000000000004</v>
      </c>
      <c r="C975" s="11">
        <f t="shared" si="60"/>
        <v>-4.3000000000006583E-3</v>
      </c>
      <c r="D975" s="12">
        <f t="shared" si="61"/>
        <v>1.2246700000000641</v>
      </c>
      <c r="E975" s="18">
        <v>97.2</v>
      </c>
      <c r="F975" s="27">
        <v>0.80744000000000005</v>
      </c>
      <c r="G975" s="11">
        <f t="shared" si="62"/>
        <v>-4.3000000000006583E-3</v>
      </c>
      <c r="H975" s="12">
        <f t="shared" si="63"/>
        <v>1.225400000000064</v>
      </c>
    </row>
    <row r="976" spans="1:8" ht="14.25" thickBot="1">
      <c r="A976" s="18">
        <v>97.3</v>
      </c>
      <c r="B976" s="27">
        <v>0.80628</v>
      </c>
      <c r="C976" s="11">
        <f t="shared" si="60"/>
        <v>-4.3999999999995839E-3</v>
      </c>
      <c r="D976" s="12">
        <f t="shared" si="61"/>
        <v>1.2343999999999595</v>
      </c>
      <c r="E976" s="18">
        <v>97.3</v>
      </c>
      <c r="F976" s="27">
        <v>0.80701000000000001</v>
      </c>
      <c r="G976" s="11">
        <f t="shared" si="62"/>
        <v>-4.3999999999995839E-3</v>
      </c>
      <c r="H976" s="12">
        <f t="shared" si="63"/>
        <v>1.2351299999999594</v>
      </c>
    </row>
    <row r="977" spans="1:8" ht="14.25" thickBot="1">
      <c r="A977" s="18">
        <v>97.4</v>
      </c>
      <c r="B977" s="27">
        <v>0.80584</v>
      </c>
      <c r="C977" s="11">
        <f t="shared" si="60"/>
        <v>-4.3000000000006583E-3</v>
      </c>
      <c r="D977" s="12">
        <f t="shared" si="61"/>
        <v>1.2246600000000643</v>
      </c>
      <c r="E977" s="18">
        <v>97.4</v>
      </c>
      <c r="F977" s="27">
        <v>0.80657000000000001</v>
      </c>
      <c r="G977" s="11">
        <f t="shared" si="62"/>
        <v>-4.3000000000006583E-3</v>
      </c>
      <c r="H977" s="12">
        <f t="shared" si="63"/>
        <v>1.2253900000000642</v>
      </c>
    </row>
    <row r="978" spans="1:8" ht="14.25" thickBot="1">
      <c r="A978" s="18">
        <v>97.5</v>
      </c>
      <c r="B978" s="27">
        <v>0.80540999999999996</v>
      </c>
      <c r="C978" s="11">
        <f t="shared" si="60"/>
        <v>-4.4000000000002093E-3</v>
      </c>
      <c r="D978" s="12">
        <f t="shared" si="61"/>
        <v>1.2344100000000204</v>
      </c>
      <c r="E978" s="18">
        <v>97.5</v>
      </c>
      <c r="F978" s="27">
        <v>0.80613999999999997</v>
      </c>
      <c r="G978" s="11">
        <f t="shared" si="62"/>
        <v>-4.4000000000002093E-3</v>
      </c>
      <c r="H978" s="12">
        <f t="shared" si="63"/>
        <v>1.2351400000000203</v>
      </c>
    </row>
    <row r="979" spans="1:8" ht="14.25" thickBot="1">
      <c r="A979" s="18">
        <v>97.6</v>
      </c>
      <c r="B979" s="27">
        <v>0.80496999999999996</v>
      </c>
      <c r="C979" s="11">
        <f t="shared" si="60"/>
        <v>-4.3999999999995839E-3</v>
      </c>
      <c r="D979" s="12">
        <f t="shared" si="61"/>
        <v>1.2344099999999594</v>
      </c>
      <c r="E979" s="18">
        <v>97.6</v>
      </c>
      <c r="F979" s="27">
        <v>0.80569999999999997</v>
      </c>
      <c r="G979" s="11">
        <f t="shared" si="62"/>
        <v>-4.499999999999121E-3</v>
      </c>
      <c r="H979" s="12">
        <f t="shared" si="63"/>
        <v>1.2448999999999142</v>
      </c>
    </row>
    <row r="980" spans="1:8" ht="14.25" thickBot="1">
      <c r="A980" s="18">
        <v>97.7</v>
      </c>
      <c r="B980" s="27">
        <v>0.80452999999999997</v>
      </c>
      <c r="C980" s="11">
        <f t="shared" si="60"/>
        <v>-4.4000000000002093E-3</v>
      </c>
      <c r="D980" s="12">
        <f t="shared" si="61"/>
        <v>1.2344100000000204</v>
      </c>
      <c r="E980" s="18">
        <v>97.7</v>
      </c>
      <c r="F980" s="27">
        <v>0.80525000000000002</v>
      </c>
      <c r="G980" s="11">
        <f t="shared" si="62"/>
        <v>-4.4000000000002093E-3</v>
      </c>
      <c r="H980" s="12">
        <f t="shared" si="63"/>
        <v>1.2351300000000205</v>
      </c>
    </row>
    <row r="981" spans="1:8" ht="14.25" thickBot="1">
      <c r="A981" s="18">
        <v>97.8</v>
      </c>
      <c r="B981" s="27">
        <v>0.80408999999999997</v>
      </c>
      <c r="C981" s="11">
        <f t="shared" si="60"/>
        <v>-4.499999999999121E-3</v>
      </c>
      <c r="D981" s="12">
        <f t="shared" si="61"/>
        <v>1.244189999999914</v>
      </c>
      <c r="E981" s="18">
        <v>97.8</v>
      </c>
      <c r="F981" s="27">
        <v>0.80481000000000003</v>
      </c>
      <c r="G981" s="11">
        <f t="shared" si="62"/>
        <v>-4.5000000000002312E-3</v>
      </c>
      <c r="H981" s="12">
        <f t="shared" si="63"/>
        <v>1.2449100000000226</v>
      </c>
    </row>
    <row r="982" spans="1:8" ht="14.25" thickBot="1">
      <c r="A982" s="18">
        <v>97.9</v>
      </c>
      <c r="B982" s="27">
        <v>0.80364000000000002</v>
      </c>
      <c r="C982" s="11">
        <f t="shared" si="60"/>
        <v>-4.5000000000008696E-3</v>
      </c>
      <c r="D982" s="12">
        <f t="shared" si="61"/>
        <v>1.2441900000000852</v>
      </c>
      <c r="E982" s="18">
        <v>97.9</v>
      </c>
      <c r="F982" s="27">
        <v>0.80435999999999996</v>
      </c>
      <c r="G982" s="11">
        <f t="shared" si="62"/>
        <v>-4.4999999999997603E-3</v>
      </c>
      <c r="H982" s="12">
        <f t="shared" si="63"/>
        <v>1.2449099999999766</v>
      </c>
    </row>
    <row r="983" spans="1:8" ht="14.25" thickBot="1">
      <c r="A983" s="9">
        <v>98</v>
      </c>
      <c r="B983" s="19">
        <v>0.80318999999999996</v>
      </c>
      <c r="C983" s="11">
        <f t="shared" si="60"/>
        <v>-4.4999999999997603E-3</v>
      </c>
      <c r="D983" s="12">
        <f t="shared" si="61"/>
        <v>1.2441899999999764</v>
      </c>
      <c r="E983" s="9">
        <v>98</v>
      </c>
      <c r="F983" s="19">
        <v>0.80391000000000001</v>
      </c>
      <c r="G983" s="11">
        <f t="shared" si="62"/>
        <v>-4.5000000000008696E-3</v>
      </c>
      <c r="H983" s="12">
        <f t="shared" si="63"/>
        <v>1.2449100000000852</v>
      </c>
    </row>
    <row r="984" spans="1:8" ht="14.25" thickBot="1">
      <c r="A984" s="18">
        <v>98.1</v>
      </c>
      <c r="B984" s="27">
        <v>0.80274000000000001</v>
      </c>
      <c r="C984" s="11">
        <f t="shared" si="60"/>
        <v>-4.5000000000002312E-3</v>
      </c>
      <c r="D984" s="12">
        <f t="shared" si="61"/>
        <v>1.2441900000000228</v>
      </c>
      <c r="E984" s="18">
        <v>98.1</v>
      </c>
      <c r="F984" s="27">
        <v>0.80345999999999995</v>
      </c>
      <c r="G984" s="11">
        <f t="shared" si="62"/>
        <v>-4.499999999999121E-3</v>
      </c>
      <c r="H984" s="12">
        <f t="shared" si="63"/>
        <v>1.2449099999999138</v>
      </c>
    </row>
    <row r="985" spans="1:8" ht="14.25" thickBot="1">
      <c r="A985" s="18">
        <v>98.2</v>
      </c>
      <c r="B985" s="27">
        <v>0.80228999999999995</v>
      </c>
      <c r="C985" s="11">
        <f t="shared" si="60"/>
        <v>-4.5999999999993104E-3</v>
      </c>
      <c r="D985" s="12">
        <f t="shared" si="61"/>
        <v>1.2540099999999321</v>
      </c>
      <c r="E985" s="18">
        <v>98.2</v>
      </c>
      <c r="F985" s="27">
        <v>0.80301</v>
      </c>
      <c r="G985" s="11">
        <f t="shared" si="62"/>
        <v>-4.6000000000004206E-3</v>
      </c>
      <c r="H985" s="12">
        <f t="shared" si="63"/>
        <v>1.2547300000000414</v>
      </c>
    </row>
    <row r="986" spans="1:8" ht="14.25" thickBot="1">
      <c r="A986" s="18">
        <v>98.3</v>
      </c>
      <c r="B986" s="27">
        <v>0.80183000000000004</v>
      </c>
      <c r="C986" s="11">
        <f t="shared" si="60"/>
        <v>-4.5999999999997675E-3</v>
      </c>
      <c r="D986" s="12">
        <f t="shared" si="61"/>
        <v>1.2540099999999772</v>
      </c>
      <c r="E986" s="18">
        <v>98.3</v>
      </c>
      <c r="F986" s="27">
        <v>0.80254999999999999</v>
      </c>
      <c r="G986" s="11">
        <f t="shared" si="62"/>
        <v>-4.5999999999997675E-3</v>
      </c>
      <c r="H986" s="12">
        <f t="shared" si="63"/>
        <v>1.254729999999977</v>
      </c>
    </row>
    <row r="987" spans="1:8" ht="14.25" thickBot="1">
      <c r="A987" s="18">
        <v>98.4</v>
      </c>
      <c r="B987" s="27">
        <v>0.80137000000000003</v>
      </c>
      <c r="C987" s="11">
        <f t="shared" si="60"/>
        <v>-4.7000000000010818E-3</v>
      </c>
      <c r="D987" s="12">
        <f t="shared" si="61"/>
        <v>1.2638500000001065</v>
      </c>
      <c r="E987" s="18">
        <v>98.4</v>
      </c>
      <c r="F987" s="27">
        <v>0.80208999999999997</v>
      </c>
      <c r="G987" s="11">
        <f t="shared" si="62"/>
        <v>-4.6999999999999716E-3</v>
      </c>
      <c r="H987" s="12">
        <f t="shared" si="63"/>
        <v>1.2645699999999973</v>
      </c>
    </row>
    <row r="988" spans="1:8" ht="14.25" thickBot="1">
      <c r="A988" s="18">
        <v>98.5</v>
      </c>
      <c r="B988" s="27">
        <v>0.80089999999999995</v>
      </c>
      <c r="C988" s="11">
        <f t="shared" si="60"/>
        <v>-4.5999999999993104E-3</v>
      </c>
      <c r="D988" s="12">
        <f t="shared" si="61"/>
        <v>1.2539999999999321</v>
      </c>
      <c r="E988" s="18">
        <v>98.5</v>
      </c>
      <c r="F988" s="27">
        <v>0.80162</v>
      </c>
      <c r="G988" s="11">
        <f t="shared" si="62"/>
        <v>-4.6000000000004206E-3</v>
      </c>
      <c r="H988" s="12">
        <f t="shared" si="63"/>
        <v>1.2547200000000416</v>
      </c>
    </row>
    <row r="989" spans="1:8" ht="14.25" thickBot="1">
      <c r="A989" s="18">
        <v>98.6</v>
      </c>
      <c r="B989" s="27">
        <v>0.80044000000000004</v>
      </c>
      <c r="C989" s="11">
        <f t="shared" si="60"/>
        <v>-4.7000000000004139E-3</v>
      </c>
      <c r="D989" s="12">
        <f t="shared" si="61"/>
        <v>1.2638600000000408</v>
      </c>
      <c r="E989" s="18">
        <v>98.6</v>
      </c>
      <c r="F989" s="27">
        <v>0.80115999999999998</v>
      </c>
      <c r="G989" s="11">
        <f t="shared" si="62"/>
        <v>-4.6999999999993028E-3</v>
      </c>
      <c r="H989" s="12">
        <f t="shared" si="63"/>
        <v>1.2645799999999312</v>
      </c>
    </row>
    <row r="990" spans="1:8" ht="14.25" thickBot="1">
      <c r="A990" s="18">
        <v>98.7</v>
      </c>
      <c r="B990" s="27">
        <v>0.79996999999999996</v>
      </c>
      <c r="C990" s="11">
        <f t="shared" si="60"/>
        <v>-4.7999999999995225E-3</v>
      </c>
      <c r="D990" s="12">
        <f t="shared" si="61"/>
        <v>1.273729999999953</v>
      </c>
      <c r="E990" s="18">
        <v>98.7</v>
      </c>
      <c r="F990" s="27">
        <v>0.80069000000000001</v>
      </c>
      <c r="G990" s="11">
        <f t="shared" si="62"/>
        <v>-4.8000000000006319E-3</v>
      </c>
      <c r="H990" s="12">
        <f t="shared" si="63"/>
        <v>1.2744500000000625</v>
      </c>
    </row>
    <row r="991" spans="1:8" ht="14.25" thickBot="1">
      <c r="A991" s="18">
        <v>98.8</v>
      </c>
      <c r="B991" s="27">
        <v>0.79949000000000003</v>
      </c>
      <c r="C991" s="11">
        <f t="shared" si="60"/>
        <v>-4.7000000000004139E-3</v>
      </c>
      <c r="D991" s="12">
        <f t="shared" si="61"/>
        <v>1.263850000000041</v>
      </c>
      <c r="E991" s="18">
        <v>98.8</v>
      </c>
      <c r="F991" s="27">
        <v>0.80020999999999998</v>
      </c>
      <c r="G991" s="11">
        <f t="shared" si="62"/>
        <v>-4.6999999999993028E-3</v>
      </c>
      <c r="H991" s="12">
        <f t="shared" si="63"/>
        <v>1.2645699999999311</v>
      </c>
    </row>
    <row r="992" spans="1:8" ht="14.25" thickBot="1">
      <c r="A992" s="18">
        <v>98.9</v>
      </c>
      <c r="B992" s="27">
        <v>0.79901999999999995</v>
      </c>
      <c r="C992" s="11">
        <f t="shared" si="60"/>
        <v>-4.7999999999995225E-3</v>
      </c>
      <c r="D992" s="12">
        <f t="shared" si="61"/>
        <v>1.2737399999999528</v>
      </c>
      <c r="E992" s="18">
        <v>98.9</v>
      </c>
      <c r="F992" s="27">
        <v>0.79974000000000001</v>
      </c>
      <c r="G992" s="11">
        <f t="shared" si="62"/>
        <v>-4.8000000000006319E-3</v>
      </c>
      <c r="H992" s="12">
        <f t="shared" si="63"/>
        <v>1.2744600000000625</v>
      </c>
    </row>
    <row r="993" spans="1:8" ht="14.25" thickBot="1">
      <c r="A993" s="9">
        <v>99</v>
      </c>
      <c r="B993" s="19">
        <v>0.79854000000000003</v>
      </c>
      <c r="C993" s="11">
        <f t="shared" si="60"/>
        <v>-4.9000000000001829E-3</v>
      </c>
      <c r="D993" s="12">
        <f t="shared" si="61"/>
        <v>1.2836400000000181</v>
      </c>
      <c r="E993" s="9">
        <v>99</v>
      </c>
      <c r="F993" s="19">
        <v>0.79925999999999997</v>
      </c>
      <c r="G993" s="11">
        <f t="shared" si="62"/>
        <v>-4.9000000000001829E-3</v>
      </c>
      <c r="H993" s="12">
        <f t="shared" si="63"/>
        <v>1.2843600000000182</v>
      </c>
    </row>
    <row r="994" spans="1:8" ht="14.25" thickBot="1">
      <c r="A994" s="18">
        <v>99.1</v>
      </c>
      <c r="B994" s="27">
        <v>0.79805000000000004</v>
      </c>
      <c r="C994" s="11">
        <f t="shared" si="60"/>
        <v>-4.8999999999994864E-3</v>
      </c>
      <c r="D994" s="12">
        <f t="shared" si="61"/>
        <v>1.2836399999999493</v>
      </c>
      <c r="E994" s="18">
        <v>99.1</v>
      </c>
      <c r="F994" s="27">
        <v>0.79876999999999998</v>
      </c>
      <c r="G994" s="11">
        <f t="shared" si="62"/>
        <v>-4.8999999999994864E-3</v>
      </c>
      <c r="H994" s="12">
        <f t="shared" si="63"/>
        <v>1.2843599999999491</v>
      </c>
    </row>
    <row r="995" spans="1:8" ht="14.25" thickBot="1">
      <c r="A995" s="18">
        <v>99.2</v>
      </c>
      <c r="B995" s="27">
        <v>0.79756000000000005</v>
      </c>
      <c r="C995" s="11">
        <f t="shared" si="60"/>
        <v>-4.9000000000012931E-3</v>
      </c>
      <c r="D995" s="12">
        <f t="shared" si="61"/>
        <v>1.2836400000001285</v>
      </c>
      <c r="E995" s="18">
        <v>99.2</v>
      </c>
      <c r="F995" s="27">
        <v>0.79827999999999999</v>
      </c>
      <c r="G995" s="11">
        <f t="shared" si="62"/>
        <v>-4.9000000000001829E-3</v>
      </c>
      <c r="H995" s="12">
        <f t="shared" si="63"/>
        <v>1.2843600000000182</v>
      </c>
    </row>
    <row r="996" spans="1:8" ht="14.25" thickBot="1">
      <c r="A996" s="18">
        <v>99.3</v>
      </c>
      <c r="B996" s="27">
        <v>0.79706999999999995</v>
      </c>
      <c r="C996" s="11">
        <f t="shared" si="60"/>
        <v>-4.9999999999990235E-3</v>
      </c>
      <c r="D996" s="12">
        <f t="shared" si="61"/>
        <v>1.2935699999999029</v>
      </c>
      <c r="E996" s="18">
        <v>99.3</v>
      </c>
      <c r="F996" s="27">
        <v>0.79779</v>
      </c>
      <c r="G996" s="11">
        <f t="shared" si="62"/>
        <v>-4.9999999999990235E-3</v>
      </c>
      <c r="H996" s="12">
        <f t="shared" si="63"/>
        <v>1.2942899999999029</v>
      </c>
    </row>
    <row r="997" spans="1:8" ht="14.25" thickBot="1">
      <c r="A997" s="18">
        <v>99.4</v>
      </c>
      <c r="B997" s="27">
        <v>0.79657</v>
      </c>
      <c r="C997" s="11">
        <f t="shared" si="60"/>
        <v>-4.9999999999997338E-3</v>
      </c>
      <c r="D997" s="12">
        <f t="shared" si="61"/>
        <v>1.2935699999999737</v>
      </c>
      <c r="E997" s="18">
        <v>99.4</v>
      </c>
      <c r="F997" s="27">
        <v>0.79729000000000005</v>
      </c>
      <c r="G997" s="11">
        <f t="shared" si="62"/>
        <v>-5.0000000000008432E-3</v>
      </c>
      <c r="H997" s="12">
        <f t="shared" si="63"/>
        <v>1.2942900000000839</v>
      </c>
    </row>
    <row r="998" spans="1:8" ht="14.25" thickBot="1">
      <c r="A998" s="18">
        <v>99.5</v>
      </c>
      <c r="B998" s="27">
        <v>0.79607000000000006</v>
      </c>
      <c r="C998" s="11">
        <f t="shared" si="60"/>
        <v>-5.0000000000008432E-3</v>
      </c>
      <c r="D998" s="12">
        <f t="shared" si="61"/>
        <v>1.2935700000000838</v>
      </c>
      <c r="E998" s="18">
        <v>99.5</v>
      </c>
      <c r="F998" s="27">
        <v>0.79679</v>
      </c>
      <c r="G998" s="11">
        <f t="shared" si="62"/>
        <v>-4.9999999999997338E-3</v>
      </c>
      <c r="H998" s="12">
        <f t="shared" si="63"/>
        <v>1.2942899999999735</v>
      </c>
    </row>
    <row r="999" spans="1:8" ht="14.25" thickBot="1">
      <c r="A999" s="18">
        <v>99.6</v>
      </c>
      <c r="B999" s="27">
        <v>0.79557</v>
      </c>
      <c r="C999" s="11">
        <f t="shared" si="60"/>
        <v>-5.099999999999669E-3</v>
      </c>
      <c r="D999" s="12">
        <f t="shared" si="61"/>
        <v>1.303529999999967</v>
      </c>
      <c r="E999" s="18">
        <v>99.6</v>
      </c>
      <c r="F999" s="27">
        <v>0.79629000000000005</v>
      </c>
      <c r="G999" s="11">
        <f t="shared" si="62"/>
        <v>-5.099999999999669E-3</v>
      </c>
      <c r="H999" s="12">
        <f t="shared" si="63"/>
        <v>1.304249999999967</v>
      </c>
    </row>
    <row r="1000" spans="1:8" ht="14.25" thickBot="1">
      <c r="A1000" s="18">
        <v>99.7</v>
      </c>
      <c r="B1000" s="27">
        <v>0.79505999999999999</v>
      </c>
      <c r="C1000" s="11">
        <f t="shared" si="60"/>
        <v>-5.1000000000003933E-3</v>
      </c>
      <c r="D1000" s="12">
        <f t="shared" si="61"/>
        <v>1.3035300000000394</v>
      </c>
      <c r="E1000" s="18">
        <v>99.7</v>
      </c>
      <c r="F1000" s="27">
        <v>0.79578000000000004</v>
      </c>
      <c r="G1000" s="11">
        <f t="shared" si="62"/>
        <v>-5.1000000000003933E-3</v>
      </c>
      <c r="H1000" s="12">
        <f t="shared" si="63"/>
        <v>1.3042500000000392</v>
      </c>
    </row>
    <row r="1001" spans="1:8" ht="14.25" thickBot="1">
      <c r="A1001" s="18">
        <v>99.8</v>
      </c>
      <c r="B1001" s="27">
        <v>0.79454999999999998</v>
      </c>
      <c r="C1001" s="11">
        <f t="shared" si="60"/>
        <v>-5.1999999999992053E-3</v>
      </c>
      <c r="D1001" s="12">
        <f t="shared" si="61"/>
        <v>1.3135099999999205</v>
      </c>
      <c r="E1001" s="18">
        <v>99.8</v>
      </c>
      <c r="F1001" s="27">
        <v>0.79527000000000003</v>
      </c>
      <c r="G1001" s="11">
        <f t="shared" si="62"/>
        <v>-5.2000000000003155E-3</v>
      </c>
      <c r="H1001" s="12">
        <f t="shared" si="63"/>
        <v>1.3142300000000313</v>
      </c>
    </row>
    <row r="1002" spans="1:8" ht="14.25" thickBot="1">
      <c r="A1002" s="18">
        <v>99.9</v>
      </c>
      <c r="B1002" s="27">
        <v>0.79403000000000001</v>
      </c>
      <c r="C1002" s="11">
        <f t="shared" si="60"/>
        <v>-5.1999999999999443E-3</v>
      </c>
      <c r="D1002" s="12">
        <f t="shared" si="61"/>
        <v>1.3135099999999946</v>
      </c>
      <c r="E1002" s="18">
        <v>99.9</v>
      </c>
      <c r="F1002" s="27">
        <v>0.79474999999999996</v>
      </c>
      <c r="G1002" s="11">
        <f t="shared" si="62"/>
        <v>-5.2999999999994952E-3</v>
      </c>
      <c r="H1002" s="12">
        <f t="shared" si="63"/>
        <v>1.3242199999999495</v>
      </c>
    </row>
    <row r="1003" spans="1:8" ht="14.25" thickBot="1">
      <c r="A1003" s="9">
        <v>100</v>
      </c>
      <c r="B1003" s="19">
        <v>0.79351000000000005</v>
      </c>
      <c r="C1003" s="30"/>
      <c r="D1003" s="12"/>
      <c r="E1003" s="9">
        <v>100</v>
      </c>
      <c r="F1003" s="19">
        <v>0.79422000000000004</v>
      </c>
      <c r="G1003" s="30"/>
      <c r="H1003" s="12"/>
    </row>
  </sheetData>
  <phoneticPr fontId="1"/>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3</vt:i4>
      </vt:variant>
    </vt:vector>
  </HeadingPairs>
  <TitlesOfParts>
    <vt:vector size="11" baseType="lpstr">
      <vt:lpstr>はじめに</vt:lpstr>
      <vt:lpstr>〇号</vt:lpstr>
      <vt:lpstr>目標値</vt:lpstr>
      <vt:lpstr>今回のグラフ</vt:lpstr>
      <vt:lpstr>原エキス分100％・発酵度など</vt:lpstr>
      <vt:lpstr>比較グラフ </vt:lpstr>
      <vt:lpstr>操作方法</vt:lpstr>
      <vt:lpstr>各種計算式等（配付時非表示）</vt:lpstr>
      <vt:lpstr>〇号!Print_Area</vt:lpstr>
      <vt:lpstr>はじめに!Print_Area</vt:lpstr>
      <vt:lpstr>目標値!Print_Area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国税庁</dc:creator>
  <cp:lastModifiedBy>鑑定　光永</cp:lastModifiedBy>
  <cp:lastPrinted>2024-06-17T02:39:03Z</cp:lastPrinted>
  <dcterms:created xsi:type="dcterms:W3CDTF">2020-06-25T05:47:34Z</dcterms:created>
  <dcterms:modified xsi:type="dcterms:W3CDTF">2024-08-02T06:32:54Z</dcterms:modified>
</cp:coreProperties>
</file>