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<sst xmlns="http://schemas.openxmlformats.org/spreadsheetml/2006/main" count="446" uniqueCount="166">
  <si>
    <t>７　消　費　税</t>
  </si>
  <si>
    <t>区　　　分</t>
  </si>
  <si>
    <t>件　　　数</t>
  </si>
  <si>
    <t>税　　　額</t>
  </si>
  <si>
    <t>件</t>
  </si>
  <si>
    <t>千円</t>
  </si>
  <si>
    <t>差引計</t>
  </si>
  <si>
    <t>加算税</t>
  </si>
  <si>
    <t>課税事業者届出書</t>
  </si>
  <si>
    <t>課税事業者選択届出書</t>
  </si>
  <si>
    <t>新設法人に該当する旨の届出書</t>
  </si>
  <si>
    <t>納税申告計</t>
  </si>
  <si>
    <t>還付申告及び処理</t>
  </si>
  <si>
    <t>実</t>
  </si>
  <si>
    <t>個　人　事　業　者</t>
  </si>
  <si>
    <t>一般申告及び処理</t>
  </si>
  <si>
    <t>法　　　　　　　人</t>
  </si>
  <si>
    <t>合　　　　　　　計</t>
  </si>
  <si>
    <t>件　　数</t>
  </si>
  <si>
    <t>税　　額</t>
  </si>
  <si>
    <t>(3)　課税事業者等届出件数</t>
  </si>
  <si>
    <t>千円</t>
  </si>
  <si>
    <t>件</t>
  </si>
  <si>
    <t>(2)　課税状況の累年比較</t>
  </si>
  <si>
    <t>合計</t>
  </si>
  <si>
    <t>(4)　税務署別課税状況</t>
  </si>
  <si>
    <t>　イ　個人事業者</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</si>
  <si>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</si>
  <si>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</si>
  <si>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</si>
  <si>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</si>
  <si>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</si>
  <si>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</si>
  <si>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</si>
  <si>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</si>
  <si>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</si>
  <si>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</si>
  <si>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</si>
  <si>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</si>
  <si>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</si>
  <si>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熊本西</t>
  </si>
  <si>
    <t>熊本東</t>
  </si>
  <si>
    <t>八代</t>
  </si>
  <si>
    <t>人吉</t>
  </si>
  <si>
    <t>玉名</t>
  </si>
  <si>
    <t>天草</t>
  </si>
  <si>
    <t>山鹿</t>
  </si>
  <si>
    <t>菊池</t>
  </si>
  <si>
    <t>宇土</t>
  </si>
  <si>
    <t>阿蘇</t>
  </si>
  <si>
    <t>熊本県計</t>
  </si>
  <si>
    <t>熊本県計</t>
  </si>
  <si>
    <t>大分</t>
  </si>
  <si>
    <t>別府</t>
  </si>
  <si>
    <t>中津</t>
  </si>
  <si>
    <t>日田</t>
  </si>
  <si>
    <t>佐伯</t>
  </si>
  <si>
    <t>臼杵</t>
  </si>
  <si>
    <t>竹田</t>
  </si>
  <si>
    <t>宇佐</t>
  </si>
  <si>
    <t>三重</t>
  </si>
  <si>
    <t>大分県計</t>
  </si>
  <si>
    <t>大分県計</t>
  </si>
  <si>
    <t>宮崎</t>
  </si>
  <si>
    <t>都城</t>
  </si>
  <si>
    <t>延岡</t>
  </si>
  <si>
    <t>日南</t>
  </si>
  <si>
    <t>小林</t>
  </si>
  <si>
    <t>高鍋</t>
  </si>
  <si>
    <t>宮崎県計</t>
  </si>
  <si>
    <t>宮崎県計</t>
  </si>
  <si>
    <t>鹿児島</t>
  </si>
  <si>
    <t>鹿児島</t>
  </si>
  <si>
    <t>川内</t>
  </si>
  <si>
    <t>鹿屋</t>
  </si>
  <si>
    <t>大島</t>
  </si>
  <si>
    <t>出水</t>
  </si>
  <si>
    <t>指宿</t>
  </si>
  <si>
    <t>種子島</t>
  </si>
  <si>
    <t>種子島</t>
  </si>
  <si>
    <t>知覧</t>
  </si>
  <si>
    <t>伊集院</t>
  </si>
  <si>
    <t>伊集院</t>
  </si>
  <si>
    <t>加治木</t>
  </si>
  <si>
    <t>加治木</t>
  </si>
  <si>
    <t>大隅</t>
  </si>
  <si>
    <t>鹿児島県計</t>
  </si>
  <si>
    <t>鹿児島県計</t>
  </si>
  <si>
    <t>総　計</t>
  </si>
  <si>
    <t>総　計</t>
  </si>
  <si>
    <t>(4)　税務署別課税状況（続）</t>
  </si>
  <si>
    <t>　ロ　法　　　人</t>
  </si>
  <si>
    <t>税務署名</t>
  </si>
  <si>
    <t>　ハ　個人事業者と法人の合計</t>
  </si>
  <si>
    <t>課　税　事　業　者　等　届　出　件　数</t>
  </si>
  <si>
    <t>課税事業者
届出</t>
  </si>
  <si>
    <t>課税事業者
選択届出</t>
  </si>
  <si>
    <t>新設法人に
該当する旨
の届出</t>
  </si>
  <si>
    <t>合　　　計</t>
  </si>
  <si>
    <t>税　　額
(①－②＋③)</t>
  </si>
  <si>
    <t>熊本県計</t>
  </si>
  <si>
    <t/>
  </si>
  <si>
    <t>　 （注）　納税義務者でなくなった旨の届出書又は課税事業者選択不適用届出書を提出した者は含まない。</t>
  </si>
  <si>
    <t>平成23年度</t>
  </si>
  <si>
    <t>平成24年度</t>
  </si>
  <si>
    <t>平成25年度</t>
  </si>
  <si>
    <t>調査対象等：</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</si>
  <si>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</si>
  <si>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</si>
  <si>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</si>
  <si>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</si>
  <si>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</si>
  <si>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</si>
  <si>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</si>
  <si>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</si>
  <si>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</si>
  <si>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</si>
  <si>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</si>
  <si>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</si>
  <si>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八代</t>
  </si>
  <si>
    <t>人吉</t>
  </si>
  <si>
    <t>玉名</t>
  </si>
  <si>
    <t>天草</t>
  </si>
  <si>
    <t>山鹿</t>
  </si>
  <si>
    <t>菊池</t>
  </si>
  <si>
    <t>宇土</t>
  </si>
  <si>
    <t>阿蘇</t>
  </si>
  <si>
    <t>中津</t>
  </si>
  <si>
    <t>日田</t>
  </si>
  <si>
    <t>佐伯</t>
  </si>
  <si>
    <t>臼杵</t>
  </si>
  <si>
    <t>竹田</t>
  </si>
  <si>
    <t>宇佐</t>
  </si>
  <si>
    <t>三重</t>
  </si>
  <si>
    <t>宮崎</t>
  </si>
  <si>
    <t>都城</t>
  </si>
  <si>
    <t>延岡</t>
  </si>
  <si>
    <t>日南</t>
  </si>
  <si>
    <t>小林</t>
  </si>
  <si>
    <t>高鍋</t>
  </si>
  <si>
    <t>川内</t>
  </si>
  <si>
    <t>鹿屋</t>
  </si>
  <si>
    <t>大島</t>
  </si>
  <si>
    <t>出水</t>
  </si>
  <si>
    <t>指宿</t>
  </si>
  <si>
    <t>知覧</t>
  </si>
  <si>
    <t>大隅</t>
  </si>
  <si>
    <t>熊本県計</t>
  </si>
  <si>
    <t>大分県計</t>
  </si>
  <si>
    <t>宮崎県計</t>
  </si>
  <si>
    <t>鹿児島</t>
  </si>
  <si>
    <t>種子島</t>
  </si>
  <si>
    <t>伊集院</t>
  </si>
  <si>
    <t>加治木</t>
  </si>
  <si>
    <t>鹿児島県計</t>
  </si>
  <si>
    <t>総　計</t>
  </si>
  <si>
    <t>１　税関分は含まない。</t>
  </si>
  <si>
    <t>　　（注）</t>
  </si>
  <si>
    <t>２　「件数欄」の「実」は、実件数を示す。</t>
  </si>
  <si>
    <t>　「現年分」は、平成27年４月１日から平成28年３月31日までに終了した課税期間について、平成28年６月30日現在の申告（国・地方公共団体等については平成28年９月30日までの申告を含む。）及び処理（更正、決定等）による課税事績を「申告書及び決議書」に基づいて作成した。</t>
  </si>
  <si>
    <t>　「既往年分」は、平成27年３月31日以前に終了した課税期間について、平成27年７月１日から平成28年６月30日までの間の申告（平成27年７月１日から同年９月30日までの間の国・地方公共団体等に係る申告を除く。)及び処理（更正、決定等）による課税事績を「申告書及び決議書」に基づいて作成した。</t>
  </si>
  <si>
    <t>平成26年度</t>
  </si>
  <si>
    <t>平成27年度</t>
  </si>
  <si>
    <t>調査対象等：平成27年度末（平成28年３月31日現在）の届出件数を示している。</t>
  </si>
  <si>
    <t>（注）　この表は「(1)　課税状況」の現年分及び既往年分を税務署別に示したものである（加算税を除く。）。</t>
  </si>
  <si>
    <t>（注）　この表は「(1)　課税状況」の現年分及び既往年分並びに「(3)　課税事業者等届出件数」を税務署別に示したものである（加算税を除く。）。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</si>
</sst>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b/>
      <sz val="9"/>
      <name val="ＭＳ 明朝"/>
      <family val="1"/>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color indexed="63"/>
      </right>
      <top>
        <color indexed="63"/>
      </top>
      <bottom style="medium"/>
    </border>
    <border>
      <left style="thin"/>
      <right style="medium"/>
      <top>
        <color indexed="63"/>
      </top>
      <bottom style="medium"/>
    </border>
    <border>
      <left style="thin"/>
      <right style="medium"/>
      <top style="double"/>
      <bottom style="medium"/>
    </border>
    <border>
      <left style="medium"/>
      <right/>
      <top style="hair">
        <color indexed="55"/>
      </top>
      <bottom>
        <color indexed="63"/>
      </bottom>
    </border>
    <border>
      <left style="thin"/>
      <right style="medium"/>
      <top style="hair">
        <color indexed="55"/>
      </top>
      <bottom>
        <color indexed="63"/>
      </bottom>
    </border>
    <border>
      <left style="medium"/>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top style="thin">
        <color theme="0" tint="-0.3499799966812134"/>
      </top>
      <bottom style="double"/>
    </border>
    <border>
      <left style="thin"/>
      <right style="medium"/>
      <top style="thin">
        <color theme="0" tint="-0.3499799966812134"/>
      </top>
      <bottom style="double"/>
    </border>
    <border>
      <left style="medium"/>
      <right/>
      <top style="thin">
        <color theme="0" tint="-0.3499799966812134"/>
      </top>
      <bottom style="thin">
        <color theme="0" tint="-0.3499799966812134"/>
      </botto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color indexed="63"/>
      </bottom>
    </border>
    <border>
      <left style="hair"/>
      <right/>
      <top style="hair">
        <color indexed="55"/>
      </top>
      <bottom>
        <color indexed="63"/>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top style="thin">
        <color theme="0" tint="-0.3499799966812134"/>
      </top>
      <bottom style="thin">
        <color theme="0" tint="-0.3499799966812134"/>
      </bottom>
    </border>
    <border>
      <left style="thin"/>
      <right/>
      <top style="thin">
        <color theme="0" tint="-0.3499799966812134"/>
      </top>
      <bottom style="double"/>
    </border>
    <border>
      <left style="hair"/>
      <right style="thin"/>
      <top style="thin">
        <color theme="0" tint="-0.3499799966812134"/>
      </top>
      <bottom style="double"/>
    </border>
    <border>
      <left style="thin"/>
      <right style="hair"/>
      <top style="thin">
        <color theme="0" tint="-0.3499799966812134"/>
      </top>
      <bottom style="double"/>
    </border>
    <border>
      <left style="hair"/>
      <right style="hair"/>
      <top style="thin">
        <color theme="0" tint="-0.3499799966812134"/>
      </top>
      <bottom style="double"/>
    </border>
    <border>
      <left style="hair"/>
      <right/>
      <top style="thin">
        <color theme="0" tint="-0.3499799966812134"/>
      </top>
      <bottom style="double"/>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medium"/>
      <top/>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hair"/>
      <right/>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 fillId="0" borderId="0" applyNumberFormat="0" applyFill="0" applyBorder="0" applyAlignment="0" applyProtection="0"/>
    <xf numFmtId="0" fontId="45" fillId="32" borderId="0" applyNumberFormat="0" applyBorder="0" applyAlignment="0" applyProtection="0"/>
  </cellStyleXfs>
  <cellXfs count="233">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right" vertical="center"/>
    </xf>
    <xf numFmtId="0" fontId="6" fillId="0" borderId="18" xfId="0" applyFont="1" applyBorder="1" applyAlignment="1">
      <alignment horizontal="right" vertical="center"/>
    </xf>
    <xf numFmtId="0" fontId="2" fillId="0" borderId="19" xfId="0"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33" borderId="20"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6" fillId="0" borderId="22" xfId="0" applyFont="1" applyBorder="1" applyAlignment="1">
      <alignment horizontal="distributed" vertical="center"/>
    </xf>
    <xf numFmtId="0" fontId="2" fillId="0" borderId="23" xfId="0" applyFont="1" applyBorder="1" applyAlignment="1">
      <alignment horizontal="distributed" vertical="center"/>
    </xf>
    <xf numFmtId="0" fontId="6" fillId="0" borderId="24" xfId="0" applyFont="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3" fontId="2" fillId="34" borderId="29"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0" fontId="7" fillId="33" borderId="10" xfId="0" applyFont="1" applyFill="1" applyBorder="1" applyAlignment="1">
      <alignment horizontal="right" vertical="top"/>
    </xf>
    <xf numFmtId="0" fontId="7" fillId="34" borderId="31"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8" xfId="0" applyFont="1" applyBorder="1" applyAlignment="1">
      <alignment horizontal="center" vertical="center"/>
    </xf>
    <xf numFmtId="3" fontId="2" fillId="0" borderId="18" xfId="0" applyNumberFormat="1" applyFont="1" applyBorder="1" applyAlignment="1">
      <alignment horizontal="center" vertical="center"/>
    </xf>
    <xf numFmtId="0" fontId="2" fillId="0" borderId="32" xfId="0" applyFont="1" applyBorder="1" applyAlignment="1">
      <alignment horizontal="distributed" vertical="center"/>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0" fontId="7" fillId="0" borderId="34"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5" xfId="0" applyNumberFormat="1" applyFont="1" applyFill="1" applyBorder="1" applyAlignment="1">
      <alignment horizontal="right" vertical="center"/>
    </xf>
    <xf numFmtId="0" fontId="2" fillId="0" borderId="34"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6" xfId="0" applyFont="1" applyFill="1" applyBorder="1" applyAlignment="1">
      <alignment horizontal="right"/>
    </xf>
    <xf numFmtId="0" fontId="7" fillId="34" borderId="37" xfId="0" applyFont="1" applyFill="1" applyBorder="1" applyAlignment="1">
      <alignment horizontal="right"/>
    </xf>
    <xf numFmtId="0" fontId="7" fillId="34" borderId="38" xfId="0" applyFont="1" applyFill="1" applyBorder="1" applyAlignment="1">
      <alignment horizontal="right"/>
    </xf>
    <xf numFmtId="0" fontId="7" fillId="34" borderId="39" xfId="0" applyFont="1" applyFill="1" applyBorder="1" applyAlignment="1">
      <alignment horizontal="right"/>
    </xf>
    <xf numFmtId="0" fontId="5" fillId="0" borderId="0" xfId="0" applyFont="1" applyAlignment="1">
      <alignment horizontal="center" vertical="top"/>
    </xf>
    <xf numFmtId="0" fontId="2" fillId="0" borderId="2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40" xfId="0" applyFont="1" applyBorder="1" applyAlignment="1">
      <alignment horizontal="distributed" vertical="center" indent="1"/>
    </xf>
    <xf numFmtId="0" fontId="2" fillId="0" borderId="0" xfId="0" applyFont="1" applyFill="1" applyBorder="1" applyAlignment="1">
      <alignment horizontal="distributed"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0" xfId="0" applyFont="1" applyFill="1" applyAlignment="1">
      <alignment horizontal="left" vertical="top"/>
    </xf>
    <xf numFmtId="0" fontId="2" fillId="0" borderId="0" xfId="0" applyFont="1" applyBorder="1" applyAlignment="1">
      <alignment horizontal="left" vertical="top" wrapText="1"/>
    </xf>
    <xf numFmtId="3" fontId="2" fillId="0" borderId="0" xfId="0" applyNumberFormat="1" applyFont="1" applyFill="1" applyBorder="1" applyAlignment="1">
      <alignment horizontal="right" vertical="center" indent="1"/>
    </xf>
    <xf numFmtId="3" fontId="2"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41" xfId="61" applyFont="1" applyBorder="1" applyAlignment="1">
      <alignment horizontal="distributed" vertical="center" indent="1"/>
      <protection/>
    </xf>
    <xf numFmtId="0" fontId="2" fillId="0" borderId="42" xfId="61" applyFont="1" applyBorder="1" applyAlignment="1">
      <alignment horizontal="distributed" vertical="center" indent="1"/>
      <protection/>
    </xf>
    <xf numFmtId="0" fontId="2" fillId="0" borderId="42" xfId="61" applyFont="1" applyBorder="1" applyAlignment="1">
      <alignment horizontal="center" vertical="center"/>
      <protection/>
    </xf>
    <xf numFmtId="0" fontId="2" fillId="0" borderId="43" xfId="61" applyFont="1" applyBorder="1" applyAlignment="1">
      <alignment horizontal="center" vertical="center"/>
      <protection/>
    </xf>
    <xf numFmtId="0" fontId="2" fillId="0" borderId="43" xfId="61" applyFont="1" applyBorder="1" applyAlignment="1">
      <alignment horizontal="centerContinuous" vertical="center" wrapText="1"/>
      <protection/>
    </xf>
    <xf numFmtId="0" fontId="7" fillId="35" borderId="34"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3" borderId="44" xfId="61" applyFont="1" applyFill="1" applyBorder="1" applyAlignment="1">
      <alignment horizontal="right" vertical="top"/>
      <protection/>
    </xf>
    <xf numFmtId="0" fontId="7" fillId="35" borderId="39" xfId="61" applyFont="1" applyFill="1" applyBorder="1" applyAlignment="1">
      <alignment horizontal="distributed" vertical="top"/>
      <protection/>
    </xf>
    <xf numFmtId="0" fontId="8" fillId="0" borderId="0" xfId="61" applyFont="1" applyAlignment="1">
      <alignment horizontal="right" vertical="top"/>
      <protection/>
    </xf>
    <xf numFmtId="0" fontId="2" fillId="36" borderId="45" xfId="61" applyFont="1" applyFill="1" applyBorder="1" applyAlignment="1">
      <alignment horizontal="distributed" vertical="center"/>
      <protection/>
    </xf>
    <xf numFmtId="0" fontId="2" fillId="36" borderId="46" xfId="61" applyFont="1" applyFill="1" applyBorder="1" applyAlignment="1">
      <alignment horizontal="distributed" vertical="center"/>
      <protection/>
    </xf>
    <xf numFmtId="0" fontId="9" fillId="0" borderId="0" xfId="61" applyFont="1">
      <alignment/>
      <protection/>
    </xf>
    <xf numFmtId="0" fontId="2" fillId="36" borderId="47" xfId="61" applyFont="1" applyFill="1" applyBorder="1" applyAlignment="1">
      <alignment horizontal="distributed" vertical="center"/>
      <protection/>
    </xf>
    <xf numFmtId="0" fontId="2" fillId="36" borderId="48" xfId="61" applyFont="1" applyFill="1" applyBorder="1" applyAlignment="1">
      <alignment horizontal="distributed" vertical="center"/>
      <protection/>
    </xf>
    <xf numFmtId="0" fontId="11" fillId="0" borderId="0" xfId="61" applyFont="1">
      <alignment/>
      <protection/>
    </xf>
    <xf numFmtId="0" fontId="6" fillId="0" borderId="49" xfId="61" applyFont="1" applyBorder="1" applyAlignment="1">
      <alignment horizontal="center" vertical="center"/>
      <protection/>
    </xf>
    <xf numFmtId="0" fontId="6" fillId="0" borderId="50" xfId="61" applyFont="1" applyBorder="1" applyAlignment="1">
      <alignment horizontal="center" vertical="center"/>
      <protection/>
    </xf>
    <xf numFmtId="0" fontId="6" fillId="0" borderId="0" xfId="61" applyFont="1" applyFill="1" applyBorder="1" applyAlignment="1">
      <alignment horizontal="center" vertical="center"/>
      <protection/>
    </xf>
    <xf numFmtId="177" fontId="6" fillId="0" borderId="0" xfId="61" applyNumberFormat="1" applyFont="1" applyFill="1" applyBorder="1" applyAlignment="1">
      <alignment horizontal="right" vertical="center"/>
      <protection/>
    </xf>
    <xf numFmtId="0" fontId="9" fillId="0" borderId="0" xfId="61" applyFont="1" applyFill="1">
      <alignment/>
      <protection/>
    </xf>
    <xf numFmtId="0" fontId="2" fillId="0" borderId="0" xfId="61" applyFont="1" applyBorder="1" applyAlignment="1">
      <alignment horizontal="left"/>
      <protection/>
    </xf>
    <xf numFmtId="0" fontId="2" fillId="0" borderId="0" xfId="61" applyFont="1" applyAlignment="1">
      <alignment horizontal="left"/>
      <protection/>
    </xf>
    <xf numFmtId="0" fontId="2" fillId="0" borderId="0" xfId="61" applyFont="1" applyBorder="1" applyAlignment="1">
      <alignment horizontal="left" vertical="center"/>
      <protection/>
    </xf>
    <xf numFmtId="0" fontId="8" fillId="0" borderId="0" xfId="61" applyFont="1" applyAlignment="1">
      <alignment vertical="top"/>
      <protection/>
    </xf>
    <xf numFmtId="0" fontId="2" fillId="0" borderId="0" xfId="61" applyFont="1" applyFill="1" applyBorder="1" applyAlignment="1">
      <alignment horizontal="left" vertical="center"/>
      <protection/>
    </xf>
    <xf numFmtId="0" fontId="2" fillId="0" borderId="42" xfId="61" applyFont="1" applyBorder="1" applyAlignment="1">
      <alignment horizontal="center" vertical="center" wrapText="1"/>
      <protection/>
    </xf>
    <xf numFmtId="0" fontId="7" fillId="34" borderId="31" xfId="61" applyFont="1" applyFill="1" applyBorder="1" applyAlignment="1">
      <alignment horizontal="right" vertical="top"/>
      <protection/>
    </xf>
    <xf numFmtId="0" fontId="7" fillId="34" borderId="44" xfId="61" applyFont="1" applyFill="1" applyBorder="1" applyAlignment="1">
      <alignment horizontal="right" vertical="top"/>
      <protection/>
    </xf>
    <xf numFmtId="0" fontId="6" fillId="0" borderId="51" xfId="61" applyFont="1" applyBorder="1" applyAlignment="1">
      <alignment horizontal="center" vertical="center"/>
      <protection/>
    </xf>
    <xf numFmtId="0" fontId="6" fillId="36" borderId="52" xfId="61" applyFont="1" applyFill="1" applyBorder="1" applyAlignment="1">
      <alignment horizontal="distributed" vertical="center"/>
      <protection/>
    </xf>
    <xf numFmtId="0" fontId="6" fillId="36" borderId="53" xfId="61" applyFont="1" applyFill="1" applyBorder="1" applyAlignment="1">
      <alignment horizontal="distributed" vertical="center"/>
      <protection/>
    </xf>
    <xf numFmtId="0" fontId="10" fillId="0" borderId="54" xfId="61" applyFont="1" applyFill="1" applyBorder="1" applyAlignment="1">
      <alignment horizontal="distributed" vertical="center"/>
      <protection/>
    </xf>
    <xf numFmtId="0" fontId="10" fillId="0" borderId="55" xfId="61" applyFont="1" applyFill="1" applyBorder="1" applyAlignment="1">
      <alignment horizontal="center" vertical="center"/>
      <protection/>
    </xf>
    <xf numFmtId="0" fontId="10" fillId="0" borderId="56" xfId="61" applyFont="1" applyFill="1" applyBorder="1" applyAlignment="1">
      <alignment horizontal="distributed" vertical="center"/>
      <protection/>
    </xf>
    <xf numFmtId="0" fontId="10" fillId="0" borderId="57" xfId="61" applyFont="1" applyFill="1" applyBorder="1" applyAlignment="1">
      <alignment horizontal="center" vertical="center"/>
      <protection/>
    </xf>
    <xf numFmtId="0" fontId="10" fillId="0" borderId="58" xfId="61" applyFont="1" applyFill="1" applyBorder="1" applyAlignment="1">
      <alignment horizontal="distributed" vertical="center"/>
      <protection/>
    </xf>
    <xf numFmtId="3" fontId="2" fillId="34" borderId="59" xfId="0" applyNumberFormat="1" applyFont="1" applyFill="1" applyBorder="1" applyAlignment="1">
      <alignment horizontal="right" vertical="center"/>
    </xf>
    <xf numFmtId="3" fontId="2" fillId="34" borderId="60"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61" xfId="0" applyNumberFormat="1" applyFont="1" applyFill="1" applyBorder="1" applyAlignment="1">
      <alignment horizontal="right" vertical="center"/>
    </xf>
    <xf numFmtId="3" fontId="6" fillId="34" borderId="60"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3" fontId="6" fillId="33" borderId="61" xfId="0" applyNumberFormat="1" applyFont="1" applyFill="1" applyBorder="1" applyAlignment="1">
      <alignment horizontal="right" vertical="center"/>
    </xf>
    <xf numFmtId="3" fontId="2" fillId="34" borderId="62" xfId="0" applyNumberFormat="1" applyFont="1" applyFill="1" applyBorder="1" applyAlignment="1">
      <alignment horizontal="right" vertical="center"/>
    </xf>
    <xf numFmtId="3" fontId="2" fillId="33" borderId="63"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3" fontId="2" fillId="34" borderId="65" xfId="0" applyNumberFormat="1" applyFont="1" applyFill="1" applyBorder="1" applyAlignment="1">
      <alignment horizontal="right" vertical="center"/>
    </xf>
    <xf numFmtId="3" fontId="2" fillId="34" borderId="65" xfId="0" applyNumberFormat="1" applyFont="1" applyFill="1" applyBorder="1" applyAlignment="1">
      <alignment vertical="center"/>
    </xf>
    <xf numFmtId="3" fontId="2" fillId="34" borderId="60" xfId="0" applyNumberFormat="1" applyFont="1" applyFill="1" applyBorder="1" applyAlignment="1">
      <alignment vertical="center"/>
    </xf>
    <xf numFmtId="3" fontId="6" fillId="34" borderId="66" xfId="0" applyNumberFormat="1" applyFont="1" applyFill="1" applyBorder="1" applyAlignment="1">
      <alignment horizontal="right" vertical="center"/>
    </xf>
    <xf numFmtId="3" fontId="6" fillId="33" borderId="67" xfId="0" applyNumberFormat="1" applyFont="1" applyFill="1" applyBorder="1" applyAlignment="1">
      <alignment horizontal="right" vertical="center"/>
    </xf>
    <xf numFmtId="3" fontId="6" fillId="33" borderId="68" xfId="0" applyNumberFormat="1" applyFont="1" applyFill="1" applyBorder="1" applyAlignment="1">
      <alignment horizontal="right" vertical="center"/>
    </xf>
    <xf numFmtId="3" fontId="2" fillId="34" borderId="69" xfId="0" applyNumberFormat="1" applyFont="1" applyFill="1" applyBorder="1" applyAlignment="1">
      <alignment horizontal="right" vertical="center"/>
    </xf>
    <xf numFmtId="3" fontId="2" fillId="33"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0" fontId="0" fillId="0" borderId="0" xfId="61" applyFont="1">
      <alignment/>
      <protection/>
    </xf>
    <xf numFmtId="177" fontId="2" fillId="34" borderId="35" xfId="61" applyNumberFormat="1" applyFont="1" applyFill="1" applyBorder="1" applyAlignment="1">
      <alignment horizontal="right" vertical="center"/>
      <protection/>
    </xf>
    <xf numFmtId="177" fontId="2" fillId="33" borderId="32" xfId="61" applyNumberFormat="1" applyFont="1" applyFill="1" applyBorder="1" applyAlignment="1">
      <alignment horizontal="right" vertical="center"/>
      <protection/>
    </xf>
    <xf numFmtId="177" fontId="2" fillId="33" borderId="72" xfId="61" applyNumberFormat="1" applyFont="1" applyFill="1" applyBorder="1" applyAlignment="1">
      <alignment horizontal="right" vertical="center"/>
      <protection/>
    </xf>
    <xf numFmtId="177" fontId="2" fillId="34" borderId="59" xfId="61" applyNumberFormat="1" applyFont="1" applyFill="1" applyBorder="1" applyAlignment="1">
      <alignment horizontal="right" vertical="center"/>
      <protection/>
    </xf>
    <xf numFmtId="177" fontId="2" fillId="34" borderId="72" xfId="61" applyNumberFormat="1" applyFont="1" applyFill="1" applyBorder="1" applyAlignment="1">
      <alignment horizontal="right" vertical="center"/>
      <protection/>
    </xf>
    <xf numFmtId="177" fontId="2" fillId="34" borderId="73" xfId="61" applyNumberFormat="1" applyFont="1" applyFill="1" applyBorder="1" applyAlignment="1">
      <alignment horizontal="right" vertical="center"/>
      <protection/>
    </xf>
    <xf numFmtId="177" fontId="2" fillId="33" borderId="22" xfId="61" applyNumberFormat="1" applyFont="1" applyFill="1" applyBorder="1" applyAlignment="1">
      <alignment horizontal="right" vertical="center"/>
      <protection/>
    </xf>
    <xf numFmtId="177" fontId="2" fillId="33" borderId="74" xfId="61" applyNumberFormat="1" applyFont="1" applyFill="1" applyBorder="1" applyAlignment="1">
      <alignment horizontal="right" vertical="center"/>
      <protection/>
    </xf>
    <xf numFmtId="177" fontId="6" fillId="34" borderId="75" xfId="61" applyNumberFormat="1" applyFont="1" applyFill="1" applyBorder="1" applyAlignment="1">
      <alignment horizontal="right" vertical="center"/>
      <protection/>
    </xf>
    <xf numFmtId="177" fontId="6" fillId="33" borderId="63" xfId="61" applyNumberFormat="1" applyFont="1" applyFill="1" applyBorder="1" applyAlignment="1">
      <alignment horizontal="right" vertical="center"/>
      <protection/>
    </xf>
    <xf numFmtId="177" fontId="6" fillId="33" borderId="76" xfId="61" applyNumberFormat="1" applyFont="1" applyFill="1" applyBorder="1" applyAlignment="1">
      <alignment horizontal="right" vertical="center"/>
      <protection/>
    </xf>
    <xf numFmtId="177" fontId="6" fillId="34" borderId="62" xfId="61" applyNumberFormat="1" applyFont="1" applyFill="1" applyBorder="1" applyAlignment="1">
      <alignment horizontal="right" vertical="center"/>
      <protection/>
    </xf>
    <xf numFmtId="177" fontId="6" fillId="34" borderId="76" xfId="61" applyNumberFormat="1" applyFont="1" applyFill="1" applyBorder="1" applyAlignment="1">
      <alignment horizontal="right" vertical="center"/>
      <protection/>
    </xf>
    <xf numFmtId="177" fontId="10" fillId="0" borderId="77" xfId="61" applyNumberFormat="1" applyFont="1" applyFill="1" applyBorder="1" applyAlignment="1">
      <alignment horizontal="right" vertical="center"/>
      <protection/>
    </xf>
    <xf numFmtId="177" fontId="10" fillId="0" borderId="78" xfId="61" applyNumberFormat="1" applyFont="1" applyFill="1" applyBorder="1" applyAlignment="1">
      <alignment horizontal="right" vertical="center"/>
      <protection/>
    </xf>
    <xf numFmtId="177" fontId="10" fillId="0" borderId="79" xfId="61" applyNumberFormat="1" applyFont="1" applyFill="1" applyBorder="1" applyAlignment="1">
      <alignment horizontal="right" vertical="center"/>
      <protection/>
    </xf>
    <xf numFmtId="177" fontId="2" fillId="0" borderId="77" xfId="61" applyNumberFormat="1" applyFont="1" applyFill="1" applyBorder="1" applyAlignment="1">
      <alignment horizontal="right" vertical="center"/>
      <protection/>
    </xf>
    <xf numFmtId="177" fontId="2" fillId="0" borderId="80" xfId="61" applyNumberFormat="1" applyFont="1" applyFill="1" applyBorder="1" applyAlignment="1">
      <alignment horizontal="right" vertical="center"/>
      <protection/>
    </xf>
    <xf numFmtId="177" fontId="2" fillId="0" borderId="81" xfId="61" applyNumberFormat="1" applyFont="1" applyFill="1" applyBorder="1" applyAlignment="1">
      <alignment horizontal="right" vertical="center"/>
      <protection/>
    </xf>
    <xf numFmtId="177" fontId="2" fillId="34" borderId="60" xfId="61" applyNumberFormat="1" applyFont="1" applyFill="1" applyBorder="1" applyAlignment="1">
      <alignment horizontal="right" vertical="center"/>
      <protection/>
    </xf>
    <xf numFmtId="177" fontId="2" fillId="34" borderId="74" xfId="61" applyNumberFormat="1" applyFont="1" applyFill="1" applyBorder="1" applyAlignment="1">
      <alignment horizontal="right" vertical="center"/>
      <protection/>
    </xf>
    <xf numFmtId="177" fontId="2" fillId="0" borderId="82" xfId="61" applyNumberFormat="1" applyFont="1" applyFill="1" applyBorder="1" applyAlignment="1">
      <alignment horizontal="right" vertical="center"/>
      <protection/>
    </xf>
    <xf numFmtId="177" fontId="2" fillId="0" borderId="83" xfId="61" applyNumberFormat="1" applyFont="1" applyFill="1" applyBorder="1" applyAlignment="1">
      <alignment horizontal="right" vertical="center"/>
      <protection/>
    </xf>
    <xf numFmtId="177" fontId="2" fillId="0" borderId="84" xfId="61" applyNumberFormat="1" applyFont="1" applyFill="1" applyBorder="1" applyAlignment="1">
      <alignment horizontal="right" vertical="center"/>
      <protection/>
    </xf>
    <xf numFmtId="177" fontId="2" fillId="0" borderId="85" xfId="61" applyNumberFormat="1" applyFont="1" applyFill="1" applyBorder="1" applyAlignment="1">
      <alignment horizontal="right" vertical="center"/>
      <protection/>
    </xf>
    <xf numFmtId="177" fontId="2" fillId="0" borderId="86" xfId="61" applyNumberFormat="1" applyFont="1" applyFill="1" applyBorder="1" applyAlignment="1">
      <alignment horizontal="right" vertical="center"/>
      <protection/>
    </xf>
    <xf numFmtId="0" fontId="0" fillId="0" borderId="0" xfId="61" applyFont="1" applyFill="1">
      <alignment/>
      <protection/>
    </xf>
    <xf numFmtId="177" fontId="6" fillId="34" borderId="19" xfId="61" applyNumberFormat="1" applyFont="1" applyFill="1" applyBorder="1" applyAlignment="1">
      <alignment horizontal="right" vertical="center"/>
      <protection/>
    </xf>
    <xf numFmtId="177" fontId="6" fillId="33" borderId="70" xfId="61" applyNumberFormat="1" applyFont="1" applyFill="1" applyBorder="1" applyAlignment="1">
      <alignment horizontal="right" vertical="center"/>
      <protection/>
    </xf>
    <xf numFmtId="177" fontId="6" fillId="33" borderId="87" xfId="61" applyNumberFormat="1" applyFont="1" applyFill="1" applyBorder="1" applyAlignment="1">
      <alignment horizontal="right" vertical="center"/>
      <protection/>
    </xf>
    <xf numFmtId="177" fontId="6" fillId="34" borderId="88" xfId="61" applyNumberFormat="1" applyFont="1" applyFill="1" applyBorder="1" applyAlignment="1">
      <alignment horizontal="right" vertical="center"/>
      <protection/>
    </xf>
    <xf numFmtId="177" fontId="6" fillId="34" borderId="89" xfId="61" applyNumberFormat="1" applyFont="1" applyFill="1" applyBorder="1" applyAlignment="1">
      <alignment horizontal="right" vertical="center"/>
      <protection/>
    </xf>
    <xf numFmtId="177" fontId="6" fillId="34" borderId="90" xfId="61" applyNumberFormat="1" applyFont="1" applyFill="1" applyBorder="1" applyAlignment="1">
      <alignment horizontal="right" vertical="center"/>
      <protection/>
    </xf>
    <xf numFmtId="0" fontId="0" fillId="0" borderId="0" xfId="61" applyFont="1" applyAlignment="1">
      <alignment horizontal="center"/>
      <protection/>
    </xf>
    <xf numFmtId="0" fontId="0" fillId="0" borderId="0" xfId="61" applyFont="1" applyAlignment="1">
      <alignment/>
      <protection/>
    </xf>
    <xf numFmtId="0" fontId="0" fillId="0" borderId="0" xfId="61" applyFont="1" applyBorder="1">
      <alignment/>
      <protection/>
    </xf>
    <xf numFmtId="3" fontId="2" fillId="34" borderId="91" xfId="0" applyNumberFormat="1" applyFont="1" applyFill="1" applyBorder="1" applyAlignment="1">
      <alignment horizontal="right" vertical="center" indent="1"/>
    </xf>
    <xf numFmtId="3" fontId="2" fillId="34" borderId="92" xfId="0" applyNumberFormat="1" applyFont="1" applyFill="1" applyBorder="1" applyAlignment="1">
      <alignment horizontal="right" vertical="center" indent="1"/>
    </xf>
    <xf numFmtId="3" fontId="2" fillId="34" borderId="93" xfId="0" applyNumberFormat="1" applyFont="1" applyFill="1" applyBorder="1" applyAlignment="1">
      <alignment horizontal="right" vertical="center" indent="1"/>
    </xf>
    <xf numFmtId="3" fontId="2" fillId="34" borderId="50" xfId="0" applyNumberFormat="1" applyFont="1" applyFill="1" applyBorder="1" applyAlignment="1">
      <alignment horizontal="right" vertical="center" indent="1"/>
    </xf>
    <xf numFmtId="0" fontId="2" fillId="0" borderId="0" xfId="0" applyFont="1" applyAlignment="1">
      <alignment horizontal="right" vertical="top"/>
    </xf>
    <xf numFmtId="0" fontId="2" fillId="0" borderId="94" xfId="0" applyFont="1" applyBorder="1" applyAlignment="1">
      <alignment horizontal="distributed" vertical="center" wrapText="1"/>
    </xf>
    <xf numFmtId="0" fontId="2" fillId="0" borderId="94" xfId="0" applyFont="1" applyBorder="1" applyAlignment="1">
      <alignment horizontal="distributed" vertical="center"/>
    </xf>
    <xf numFmtId="0" fontId="2" fillId="0" borderId="95" xfId="0" applyFont="1" applyBorder="1" applyAlignment="1">
      <alignment horizontal="distributed" vertical="center"/>
    </xf>
    <xf numFmtId="0" fontId="2" fillId="0" borderId="96" xfId="0" applyFont="1" applyBorder="1" applyAlignment="1">
      <alignment horizontal="distributed" vertical="center" wrapText="1"/>
    </xf>
    <xf numFmtId="0" fontId="2" fillId="0" borderId="97" xfId="0" applyFont="1" applyBorder="1" applyAlignment="1">
      <alignment horizontal="distributed" vertical="center"/>
    </xf>
    <xf numFmtId="0" fontId="6" fillId="0" borderId="98" xfId="0" applyFont="1" applyBorder="1" applyAlignment="1">
      <alignment horizontal="distributed" vertical="center"/>
    </xf>
    <xf numFmtId="0" fontId="6" fillId="0" borderId="99" xfId="0" applyFont="1" applyBorder="1" applyAlignment="1">
      <alignment horizontal="distributed" vertical="center"/>
    </xf>
    <xf numFmtId="0" fontId="2" fillId="0" borderId="49" xfId="0" applyFont="1" applyBorder="1" applyAlignment="1">
      <alignment horizontal="distributed" vertical="center"/>
    </xf>
    <xf numFmtId="0" fontId="2" fillId="0" borderId="100"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alignment horizontal="left" vertical="top"/>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96"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40" xfId="61" applyFont="1" applyBorder="1" applyAlignment="1">
      <alignment horizontal="distributed" vertical="center" wrapText="1"/>
      <protection/>
    </xf>
    <xf numFmtId="0" fontId="2" fillId="0" borderId="115" xfId="61" applyFont="1" applyBorder="1" applyAlignment="1">
      <alignment horizontal="distributed" vertical="center" wrapText="1"/>
      <protection/>
    </xf>
    <xf numFmtId="0" fontId="2" fillId="0" borderId="116" xfId="61" applyFont="1" applyBorder="1" applyAlignment="1">
      <alignment horizontal="distributed" vertical="center" wrapText="1"/>
      <protection/>
    </xf>
    <xf numFmtId="0" fontId="2" fillId="0" borderId="117" xfId="61" applyFont="1" applyBorder="1" applyAlignment="1">
      <alignment horizontal="center" vertical="center"/>
      <protection/>
    </xf>
    <xf numFmtId="0" fontId="2" fillId="0" borderId="118" xfId="61" applyFont="1" applyBorder="1" applyAlignment="1">
      <alignment horizontal="center" vertical="center"/>
      <protection/>
    </xf>
    <xf numFmtId="0" fontId="2" fillId="0" borderId="119" xfId="61" applyFont="1" applyBorder="1" applyAlignment="1">
      <alignment horizontal="center" vertical="center"/>
      <protection/>
    </xf>
    <xf numFmtId="0" fontId="2" fillId="0" borderId="0" xfId="61" applyFont="1" applyBorder="1" applyAlignment="1">
      <alignment horizontal="left"/>
      <protection/>
    </xf>
    <xf numFmtId="0" fontId="2" fillId="0" borderId="0" xfId="61" applyFont="1" applyAlignment="1">
      <alignment horizontal="left" vertical="center"/>
      <protection/>
    </xf>
    <xf numFmtId="0" fontId="2" fillId="0" borderId="101" xfId="61" applyFont="1" applyBorder="1" applyAlignment="1">
      <alignment horizontal="distributed" vertical="center"/>
      <protection/>
    </xf>
    <xf numFmtId="0" fontId="2" fillId="0" borderId="103" xfId="61" applyFont="1" applyBorder="1" applyAlignment="1">
      <alignment horizontal="distributed" vertical="center"/>
      <protection/>
    </xf>
    <xf numFmtId="0" fontId="2" fillId="0" borderId="120" xfId="61" applyFont="1" applyBorder="1" applyAlignment="1">
      <alignment horizontal="distributed" vertical="center"/>
      <protection/>
    </xf>
    <xf numFmtId="0" fontId="2" fillId="0" borderId="121" xfId="61" applyFont="1" applyBorder="1" applyAlignment="1">
      <alignment horizontal="center" vertical="center"/>
      <protection/>
    </xf>
    <xf numFmtId="0" fontId="2" fillId="0" borderId="122" xfId="61" applyFont="1" applyBorder="1" applyAlignment="1">
      <alignment horizontal="center" vertical="center"/>
      <protection/>
    </xf>
    <xf numFmtId="0" fontId="2" fillId="0" borderId="123" xfId="61" applyFont="1" applyBorder="1" applyAlignment="1">
      <alignment horizontal="center" vertical="center"/>
      <protection/>
    </xf>
    <xf numFmtId="0" fontId="2" fillId="0" borderId="124" xfId="61" applyFont="1" applyBorder="1" applyAlignment="1">
      <alignment horizontal="center" vertical="center"/>
      <protection/>
    </xf>
    <xf numFmtId="0" fontId="2" fillId="0" borderId="122" xfId="61" applyFont="1" applyBorder="1" applyAlignment="1">
      <alignment horizontal="center" vertical="center" wrapText="1"/>
      <protection/>
    </xf>
    <xf numFmtId="0" fontId="2" fillId="0" borderId="0" xfId="61" applyFont="1" applyFill="1" applyBorder="1" applyAlignment="1">
      <alignment horizontal="left" vertical="center"/>
      <protection/>
    </xf>
    <xf numFmtId="0" fontId="2" fillId="0" borderId="125" xfId="61" applyFont="1" applyBorder="1" applyAlignment="1">
      <alignment horizontal="left" vertical="center"/>
      <protection/>
    </xf>
    <xf numFmtId="0" fontId="2" fillId="0" borderId="126" xfId="61" applyFont="1" applyBorder="1" applyAlignment="1">
      <alignment horizontal="center" vertical="center"/>
      <protection/>
    </xf>
    <xf numFmtId="0" fontId="2" fillId="0" borderId="127" xfId="61" applyFont="1" applyBorder="1" applyAlignment="1">
      <alignment horizontal="center" vertical="center"/>
      <protection/>
    </xf>
    <xf numFmtId="0" fontId="2" fillId="0" borderId="128" xfId="61" applyFont="1" applyBorder="1" applyAlignment="1">
      <alignment horizontal="distributed" vertical="center" wrapText="1"/>
      <protection/>
    </xf>
    <xf numFmtId="0" fontId="2" fillId="0" borderId="129" xfId="61" applyFont="1" applyBorder="1" applyAlignment="1">
      <alignment horizontal="distributed" vertical="center"/>
      <protection/>
    </xf>
    <xf numFmtId="0" fontId="2" fillId="0" borderId="130" xfId="61" applyFont="1" applyBorder="1" applyAlignment="1">
      <alignment horizontal="distributed" vertical="center" wrapText="1"/>
      <protection/>
    </xf>
    <xf numFmtId="0" fontId="2" fillId="0" borderId="131" xfId="61" applyFont="1" applyBorder="1" applyAlignment="1">
      <alignment horizontal="distributed" vertical="center"/>
      <protection/>
    </xf>
    <xf numFmtId="0" fontId="2" fillId="0" borderId="132" xfId="61" applyFont="1" applyBorder="1" applyAlignment="1">
      <alignment horizontal="distributed" vertical="center" wrapText="1"/>
      <protection/>
    </xf>
    <xf numFmtId="0" fontId="2" fillId="0" borderId="133" xfId="61" applyFont="1" applyBorder="1" applyAlignment="1">
      <alignment horizontal="distributed" vertical="center" wrapText="1"/>
      <protection/>
    </xf>
    <xf numFmtId="0" fontId="2" fillId="0" borderId="43" xfId="61" applyFont="1" applyBorder="1" applyAlignment="1">
      <alignment horizontal="center" vertical="center"/>
      <protection/>
    </xf>
    <xf numFmtId="0" fontId="2" fillId="0" borderId="0" xfId="61" applyFont="1" applyBorder="1" applyAlignment="1">
      <alignment horizontal="left" vertical="center"/>
      <protection/>
    </xf>
    <xf numFmtId="0" fontId="2" fillId="0" borderId="121"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9"/>
  <sheetViews>
    <sheetView showGridLines="0" tabSelected="1" view="pageBreakPreview" zoomScaleSheetLayoutView="100"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83" t="s">
        <v>0</v>
      </c>
      <c r="B1" s="183"/>
      <c r="C1" s="183"/>
      <c r="D1" s="183"/>
      <c r="E1" s="183"/>
      <c r="F1" s="183"/>
      <c r="G1" s="183"/>
      <c r="H1" s="183"/>
      <c r="I1" s="183"/>
      <c r="J1" s="183"/>
      <c r="K1" s="183"/>
    </row>
    <row r="2" spans="1:11" ht="15">
      <c r="A2" s="56"/>
      <c r="B2" s="56"/>
      <c r="C2" s="56"/>
      <c r="D2" s="56"/>
      <c r="E2" s="56"/>
      <c r="F2" s="56"/>
      <c r="G2" s="56"/>
      <c r="H2" s="56"/>
      <c r="I2" s="56"/>
      <c r="J2" s="56"/>
      <c r="K2" s="56"/>
    </row>
    <row r="3" spans="1:11" ht="12" thickBot="1">
      <c r="A3" s="184" t="s">
        <v>107</v>
      </c>
      <c r="B3" s="184"/>
      <c r="C3" s="184"/>
      <c r="D3" s="184"/>
      <c r="E3" s="184"/>
      <c r="F3" s="184"/>
      <c r="G3" s="184"/>
      <c r="H3" s="184"/>
      <c r="I3" s="184"/>
      <c r="J3" s="184"/>
      <c r="K3" s="184"/>
    </row>
    <row r="4" spans="1:11" ht="24" customHeight="1">
      <c r="A4" s="185" t="s">
        <v>1</v>
      </c>
      <c r="B4" s="186"/>
      <c r="C4" s="189" t="s">
        <v>108</v>
      </c>
      <c r="D4" s="190"/>
      <c r="E4" s="191"/>
      <c r="F4" s="189" t="s">
        <v>109</v>
      </c>
      <c r="G4" s="190"/>
      <c r="H4" s="191"/>
      <c r="I4" s="189" t="s">
        <v>110</v>
      </c>
      <c r="J4" s="190"/>
      <c r="K4" s="192"/>
    </row>
    <row r="5" spans="1:11" ht="24" customHeight="1">
      <c r="A5" s="187"/>
      <c r="B5" s="188"/>
      <c r="C5" s="193" t="s">
        <v>2</v>
      </c>
      <c r="D5" s="194"/>
      <c r="E5" s="6" t="s">
        <v>3</v>
      </c>
      <c r="F5" s="193" t="s">
        <v>2</v>
      </c>
      <c r="G5" s="194"/>
      <c r="H5" s="6" t="s">
        <v>3</v>
      </c>
      <c r="I5" s="193" t="s">
        <v>2</v>
      </c>
      <c r="J5" s="194"/>
      <c r="K5" s="14" t="s">
        <v>3</v>
      </c>
    </row>
    <row r="6" spans="1:11" ht="12" customHeight="1">
      <c r="A6" s="43"/>
      <c r="B6" s="46"/>
      <c r="C6" s="44"/>
      <c r="D6" s="36" t="s">
        <v>22</v>
      </c>
      <c r="E6" s="35" t="s">
        <v>21</v>
      </c>
      <c r="F6" s="44"/>
      <c r="G6" s="36" t="s">
        <v>22</v>
      </c>
      <c r="H6" s="35" t="s">
        <v>21</v>
      </c>
      <c r="I6" s="44"/>
      <c r="J6" s="36" t="s">
        <v>22</v>
      </c>
      <c r="K6" s="45" t="s">
        <v>21</v>
      </c>
    </row>
    <row r="7" spans="1:11" ht="30" customHeight="1">
      <c r="A7" s="172" t="s">
        <v>111</v>
      </c>
      <c r="B7" s="40" t="s">
        <v>112</v>
      </c>
      <c r="C7" s="15"/>
      <c r="D7" s="111">
        <v>22894</v>
      </c>
      <c r="E7" s="41">
        <v>12057223</v>
      </c>
      <c r="F7" s="18"/>
      <c r="G7" s="111">
        <v>50373</v>
      </c>
      <c r="H7" s="41">
        <v>296800622</v>
      </c>
      <c r="I7" s="18"/>
      <c r="J7" s="111">
        <v>73267</v>
      </c>
      <c r="K7" s="42">
        <v>308857845</v>
      </c>
    </row>
    <row r="8" spans="1:11" ht="30" customHeight="1">
      <c r="A8" s="173"/>
      <c r="B8" s="23" t="s">
        <v>113</v>
      </c>
      <c r="C8" s="15"/>
      <c r="D8" s="112">
        <v>34491</v>
      </c>
      <c r="E8" s="113">
        <v>12762280</v>
      </c>
      <c r="F8" s="18"/>
      <c r="G8" s="112">
        <v>22382</v>
      </c>
      <c r="H8" s="113">
        <v>13060379</v>
      </c>
      <c r="I8" s="18"/>
      <c r="J8" s="112">
        <v>56873</v>
      </c>
      <c r="K8" s="114">
        <v>25822660</v>
      </c>
    </row>
    <row r="9" spans="1:11" s="3" customFormat="1" ht="30" customHeight="1">
      <c r="A9" s="173"/>
      <c r="B9" s="24" t="s">
        <v>114</v>
      </c>
      <c r="C9" s="16"/>
      <c r="D9" s="115">
        <v>57385</v>
      </c>
      <c r="E9" s="116">
        <v>24819503</v>
      </c>
      <c r="F9" s="16"/>
      <c r="G9" s="115">
        <v>72755</v>
      </c>
      <c r="H9" s="116">
        <v>309861001</v>
      </c>
      <c r="I9" s="16"/>
      <c r="J9" s="115">
        <v>130140</v>
      </c>
      <c r="K9" s="117">
        <v>334680504</v>
      </c>
    </row>
    <row r="10" spans="1:11" ht="30" customHeight="1">
      <c r="A10" s="174"/>
      <c r="B10" s="25" t="s">
        <v>115</v>
      </c>
      <c r="C10" s="15"/>
      <c r="D10" s="118">
        <v>1987</v>
      </c>
      <c r="E10" s="119">
        <v>1442722</v>
      </c>
      <c r="F10" s="15"/>
      <c r="G10" s="118">
        <v>3290</v>
      </c>
      <c r="H10" s="119">
        <v>18588011</v>
      </c>
      <c r="I10" s="15"/>
      <c r="J10" s="118">
        <v>5277</v>
      </c>
      <c r="K10" s="120">
        <v>20030733</v>
      </c>
    </row>
    <row r="11" spans="1:11" ht="30" customHeight="1">
      <c r="A11" s="175" t="s">
        <v>116</v>
      </c>
      <c r="B11" s="57" t="s">
        <v>117</v>
      </c>
      <c r="C11" s="9"/>
      <c r="D11" s="121">
        <v>2500</v>
      </c>
      <c r="E11" s="20">
        <v>434677</v>
      </c>
      <c r="F11" s="37"/>
      <c r="G11" s="122">
        <v>3195</v>
      </c>
      <c r="H11" s="20">
        <v>970623</v>
      </c>
      <c r="I11" s="37"/>
      <c r="J11" s="122">
        <v>5695</v>
      </c>
      <c r="K11" s="21">
        <v>1405301</v>
      </c>
    </row>
    <row r="12" spans="1:11" ht="30" customHeight="1">
      <c r="A12" s="176"/>
      <c r="B12" s="58" t="s">
        <v>118</v>
      </c>
      <c r="C12" s="38"/>
      <c r="D12" s="112">
        <v>379</v>
      </c>
      <c r="E12" s="113">
        <v>76087</v>
      </c>
      <c r="F12" s="39"/>
      <c r="G12" s="123">
        <v>497</v>
      </c>
      <c r="H12" s="113">
        <v>655574</v>
      </c>
      <c r="I12" s="39"/>
      <c r="J12" s="123">
        <v>876</v>
      </c>
      <c r="K12" s="114">
        <v>731661</v>
      </c>
    </row>
    <row r="13" spans="1:11" s="3" customFormat="1" ht="30" customHeight="1">
      <c r="A13" s="177" t="s">
        <v>6</v>
      </c>
      <c r="B13" s="178"/>
      <c r="C13" s="26" t="s">
        <v>13</v>
      </c>
      <c r="D13" s="124">
        <v>60569</v>
      </c>
      <c r="E13" s="125">
        <v>23735371</v>
      </c>
      <c r="F13" s="26" t="s">
        <v>13</v>
      </c>
      <c r="G13" s="124">
        <v>76509</v>
      </c>
      <c r="H13" s="125">
        <v>291588039</v>
      </c>
      <c r="I13" s="26" t="s">
        <v>13</v>
      </c>
      <c r="J13" s="124">
        <v>137078</v>
      </c>
      <c r="K13" s="126">
        <v>315323410</v>
      </c>
    </row>
    <row r="14" spans="1:11" ht="30" customHeight="1" thickBot="1">
      <c r="A14" s="179" t="s">
        <v>7</v>
      </c>
      <c r="B14" s="180"/>
      <c r="C14" s="17"/>
      <c r="D14" s="127">
        <v>2280</v>
      </c>
      <c r="E14" s="128">
        <v>75161</v>
      </c>
      <c r="F14" s="19"/>
      <c r="G14" s="127">
        <v>2736</v>
      </c>
      <c r="H14" s="128">
        <v>176456</v>
      </c>
      <c r="I14" s="19"/>
      <c r="J14" s="127">
        <v>5016</v>
      </c>
      <c r="K14" s="129">
        <v>251617</v>
      </c>
    </row>
    <row r="15" spans="1:11" s="66" customFormat="1" ht="3.75" customHeight="1">
      <c r="A15" s="63"/>
      <c r="B15" s="63"/>
      <c r="C15" s="64"/>
      <c r="D15" s="65"/>
      <c r="E15" s="65"/>
      <c r="F15" s="65"/>
      <c r="G15" s="65"/>
      <c r="H15" s="65"/>
      <c r="I15" s="65"/>
      <c r="J15" s="65"/>
      <c r="K15" s="65"/>
    </row>
    <row r="16" spans="1:11" s="4" customFormat="1" ht="37.5" customHeight="1">
      <c r="A16" s="67" t="s">
        <v>106</v>
      </c>
      <c r="B16" s="181" t="s">
        <v>159</v>
      </c>
      <c r="C16" s="181"/>
      <c r="D16" s="181"/>
      <c r="E16" s="181"/>
      <c r="F16" s="181"/>
      <c r="G16" s="181"/>
      <c r="H16" s="181"/>
      <c r="I16" s="181"/>
      <c r="J16" s="181"/>
      <c r="K16" s="181"/>
    </row>
    <row r="17" spans="2:11" ht="39.75" customHeight="1">
      <c r="B17" s="182" t="s">
        <v>160</v>
      </c>
      <c r="C17" s="182"/>
      <c r="D17" s="182"/>
      <c r="E17" s="182"/>
      <c r="F17" s="182"/>
      <c r="G17" s="182"/>
      <c r="H17" s="182"/>
      <c r="I17" s="182"/>
      <c r="J17" s="182"/>
      <c r="K17" s="182"/>
    </row>
    <row r="18" spans="1:2" ht="14.25" customHeight="1">
      <c r="A18" s="171" t="s">
        <v>157</v>
      </c>
      <c r="B18" s="1" t="s">
        <v>156</v>
      </c>
    </row>
    <row r="19" spans="1:2" ht="11.25">
      <c r="A19" s="61"/>
      <c r="B19" s="1" t="s">
        <v>158</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6:K16"/>
    <mergeCell ref="B17:K17"/>
  </mergeCells>
  <printOptions horizontalCentered="1"/>
  <pageMargins left="0.7874015748031497" right="0.6299212598425197" top="0.984251968503937" bottom="0.984251968503937" header="0.5118110236220472" footer="0.5118110236220472"/>
  <pageSetup fitToHeight="1" fitToWidth="1" horizontalDpi="600" verticalDpi="600" orientation="portrait" paperSize="9" r:id="rId1"/>
  <headerFooter alignWithMargins="0">
    <oddFooter>&amp;R熊本国税局
消費税
（H27）</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view="pageBreakPreview" zoomScaleSheetLayoutView="100" workbookViewId="0" topLeftCell="A1">
      <selection activeCell="A1" sqref="A1"/>
    </sheetView>
  </sheetViews>
  <sheetFormatPr defaultColWidth="9.00390625" defaultRowHeight="13.5"/>
  <cols>
    <col min="1" max="1" width="10.625" style="60" customWidth="1"/>
    <col min="2" max="2" width="15.625" style="60" customWidth="1"/>
    <col min="3" max="3" width="8.625" style="60" customWidth="1"/>
    <col min="4" max="4" width="10.625" style="60" customWidth="1"/>
    <col min="5" max="5" width="8.625" style="60" customWidth="1"/>
    <col min="6" max="6" width="12.875" style="60" bestFit="1" customWidth="1"/>
    <col min="7" max="7" width="8.625" style="60" customWidth="1"/>
    <col min="8" max="8" width="12.875" style="60" bestFit="1" customWidth="1"/>
    <col min="9" max="16384" width="9.00390625" style="60" customWidth="1"/>
  </cols>
  <sheetData>
    <row r="1" s="1" customFormat="1" ht="12" thickBot="1">
      <c r="A1" s="1" t="s">
        <v>23</v>
      </c>
    </row>
    <row r="2" spans="1:8" s="1" customFormat="1" ht="15" customHeight="1">
      <c r="A2" s="185" t="s">
        <v>1</v>
      </c>
      <c r="B2" s="186"/>
      <c r="C2" s="195" t="s">
        <v>14</v>
      </c>
      <c r="D2" s="195"/>
      <c r="E2" s="195" t="s">
        <v>16</v>
      </c>
      <c r="F2" s="195"/>
      <c r="G2" s="196" t="s">
        <v>17</v>
      </c>
      <c r="H2" s="197"/>
    </row>
    <row r="3" spans="1:8" s="1" customFormat="1" ht="15" customHeight="1">
      <c r="A3" s="187"/>
      <c r="B3" s="188"/>
      <c r="C3" s="9" t="s">
        <v>18</v>
      </c>
      <c r="D3" s="6" t="s">
        <v>19</v>
      </c>
      <c r="E3" s="9" t="s">
        <v>18</v>
      </c>
      <c r="F3" s="7" t="s">
        <v>19</v>
      </c>
      <c r="G3" s="9" t="s">
        <v>18</v>
      </c>
      <c r="H3" s="8" t="s">
        <v>19</v>
      </c>
    </row>
    <row r="4" spans="1:8" s="10" customFormat="1" ht="15" customHeight="1">
      <c r="A4" s="48"/>
      <c r="B4" s="6"/>
      <c r="C4" s="49" t="s">
        <v>4</v>
      </c>
      <c r="D4" s="50" t="s">
        <v>5</v>
      </c>
      <c r="E4" s="49" t="s">
        <v>4</v>
      </c>
      <c r="F4" s="50" t="s">
        <v>5</v>
      </c>
      <c r="G4" s="49" t="s">
        <v>4</v>
      </c>
      <c r="H4" s="51" t="s">
        <v>5</v>
      </c>
    </row>
    <row r="5" spans="1:8" s="59" customFormat="1" ht="30" customHeight="1">
      <c r="A5" s="200" t="s">
        <v>103</v>
      </c>
      <c r="B5" s="40" t="s">
        <v>11</v>
      </c>
      <c r="C5" s="47">
        <v>60624</v>
      </c>
      <c r="D5" s="41">
        <v>15254726</v>
      </c>
      <c r="E5" s="47">
        <v>74001</v>
      </c>
      <c r="F5" s="41">
        <v>192658088</v>
      </c>
      <c r="G5" s="47">
        <v>134625</v>
      </c>
      <c r="H5" s="42">
        <v>207912814</v>
      </c>
    </row>
    <row r="6" spans="1:8" s="59" customFormat="1" ht="30" customHeight="1">
      <c r="A6" s="201"/>
      <c r="B6" s="25" t="s">
        <v>12</v>
      </c>
      <c r="C6" s="28">
        <v>1985</v>
      </c>
      <c r="D6" s="29">
        <v>854657</v>
      </c>
      <c r="E6" s="28">
        <v>2416</v>
      </c>
      <c r="F6" s="29">
        <v>6866253</v>
      </c>
      <c r="G6" s="28">
        <v>4401</v>
      </c>
      <c r="H6" s="30">
        <v>7720911</v>
      </c>
    </row>
    <row r="7" spans="1:8" s="59" customFormat="1" ht="30" customHeight="1">
      <c r="A7" s="200" t="s">
        <v>104</v>
      </c>
      <c r="B7" s="22" t="s">
        <v>11</v>
      </c>
      <c r="C7" s="27">
        <v>58360</v>
      </c>
      <c r="D7" s="20">
        <v>15362976</v>
      </c>
      <c r="E7" s="27">
        <v>73323</v>
      </c>
      <c r="F7" s="20">
        <v>191085914</v>
      </c>
      <c r="G7" s="27">
        <v>131683</v>
      </c>
      <c r="H7" s="21">
        <v>206448890</v>
      </c>
    </row>
    <row r="8" spans="1:8" s="59" customFormat="1" ht="30" customHeight="1">
      <c r="A8" s="201"/>
      <c r="B8" s="25" t="s">
        <v>12</v>
      </c>
      <c r="C8" s="28">
        <v>1626</v>
      </c>
      <c r="D8" s="29">
        <v>589703</v>
      </c>
      <c r="E8" s="28">
        <v>2552</v>
      </c>
      <c r="F8" s="29">
        <v>7597139</v>
      </c>
      <c r="G8" s="28">
        <v>4178</v>
      </c>
      <c r="H8" s="30">
        <v>8186842</v>
      </c>
    </row>
    <row r="9" spans="1:8" s="59" customFormat="1" ht="30" customHeight="1">
      <c r="A9" s="200" t="s">
        <v>105</v>
      </c>
      <c r="B9" s="22" t="s">
        <v>11</v>
      </c>
      <c r="C9" s="27">
        <v>57032</v>
      </c>
      <c r="D9" s="20">
        <v>15311896</v>
      </c>
      <c r="E9" s="27">
        <v>73073</v>
      </c>
      <c r="F9" s="20">
        <v>191934669</v>
      </c>
      <c r="G9" s="27">
        <v>130105</v>
      </c>
      <c r="H9" s="21">
        <v>207246565</v>
      </c>
    </row>
    <row r="10" spans="1:8" s="59" customFormat="1" ht="30" customHeight="1">
      <c r="A10" s="201"/>
      <c r="B10" s="25" t="s">
        <v>12</v>
      </c>
      <c r="C10" s="28">
        <v>1765</v>
      </c>
      <c r="D10" s="29">
        <v>661893</v>
      </c>
      <c r="E10" s="28">
        <v>2915</v>
      </c>
      <c r="F10" s="29">
        <v>9857521</v>
      </c>
      <c r="G10" s="28">
        <v>4680</v>
      </c>
      <c r="H10" s="30">
        <v>10519414</v>
      </c>
    </row>
    <row r="11" spans="1:8" s="59" customFormat="1" ht="30" customHeight="1">
      <c r="A11" s="200" t="s">
        <v>161</v>
      </c>
      <c r="B11" s="22" t="s">
        <v>11</v>
      </c>
      <c r="C11" s="27">
        <v>57279</v>
      </c>
      <c r="D11" s="20">
        <v>21904682</v>
      </c>
      <c r="E11" s="27">
        <v>72937</v>
      </c>
      <c r="F11" s="20">
        <v>264996068</v>
      </c>
      <c r="G11" s="27">
        <v>130216</v>
      </c>
      <c r="H11" s="21">
        <v>286900750</v>
      </c>
    </row>
    <row r="12" spans="1:8" s="59" customFormat="1" ht="30" customHeight="1">
      <c r="A12" s="201"/>
      <c r="B12" s="25" t="s">
        <v>12</v>
      </c>
      <c r="C12" s="28">
        <v>2153</v>
      </c>
      <c r="D12" s="29">
        <v>1462573</v>
      </c>
      <c r="E12" s="28">
        <v>3423</v>
      </c>
      <c r="F12" s="29">
        <v>19313684</v>
      </c>
      <c r="G12" s="28">
        <v>5576</v>
      </c>
      <c r="H12" s="30">
        <v>20776257</v>
      </c>
    </row>
    <row r="13" spans="1:8" s="1" customFormat="1" ht="30" customHeight="1">
      <c r="A13" s="198" t="s">
        <v>162</v>
      </c>
      <c r="B13" s="22" t="s">
        <v>11</v>
      </c>
      <c r="C13" s="27">
        <v>57385</v>
      </c>
      <c r="D13" s="20">
        <v>24819503</v>
      </c>
      <c r="E13" s="27">
        <v>72755</v>
      </c>
      <c r="F13" s="20">
        <v>309861001</v>
      </c>
      <c r="G13" s="27">
        <v>130140</v>
      </c>
      <c r="H13" s="21">
        <v>334680504</v>
      </c>
    </row>
    <row r="14" spans="1:8" s="1" customFormat="1" ht="30" customHeight="1" thickBot="1">
      <c r="A14" s="199"/>
      <c r="B14" s="31" t="s">
        <v>12</v>
      </c>
      <c r="C14" s="32">
        <v>1987</v>
      </c>
      <c r="D14" s="33">
        <v>1442722</v>
      </c>
      <c r="E14" s="32">
        <v>3290</v>
      </c>
      <c r="F14" s="33">
        <v>18588011</v>
      </c>
      <c r="G14" s="32">
        <v>5277</v>
      </c>
      <c r="H14" s="34">
        <v>20030733</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6299212598425197" top="0.984251968503937" bottom="0.984251968503937" header="0.5118110236220472" footer="0.5118110236220472"/>
  <pageSetup horizontalDpi="600" verticalDpi="600" orientation="portrait" paperSize="9" r:id="rId1"/>
  <headerFooter alignWithMargins="0">
    <oddFooter>&amp;R熊本国税局
消費税
（H27）</oddFooter>
  </headerFooter>
</worksheet>
</file>

<file path=xl/worksheets/sheet3.xml><?xml version="1.0" encoding="utf-8"?>
<worksheet xmlns="http://schemas.openxmlformats.org/spreadsheetml/2006/main" xmlns:r="http://schemas.openxmlformats.org/officeDocument/2006/relationships">
  <dimension ref="A1:I7"/>
  <sheetViews>
    <sheetView showGridLines="0" view="pageBreakPreview" zoomScaleSheetLayoutView="100" workbookViewId="0" topLeftCell="A1">
      <selection activeCell="A1" sqref="A1"/>
    </sheetView>
  </sheetViews>
  <sheetFormatPr defaultColWidth="9.00390625" defaultRowHeight="13.5"/>
  <cols>
    <col min="1" max="2" width="18.625" style="60" customWidth="1"/>
    <col min="3" max="3" width="23.625" style="60" customWidth="1"/>
    <col min="4" max="4" width="18.625" style="60" customWidth="1"/>
    <col min="5" max="16384" width="9.00390625" style="60" customWidth="1"/>
  </cols>
  <sheetData>
    <row r="1" s="1" customFormat="1" ht="20.25" customHeight="1" thickBot="1">
      <c r="A1" s="1" t="s">
        <v>20</v>
      </c>
    </row>
    <row r="2" spans="1:4" s="4" customFormat="1" ht="19.5" customHeight="1">
      <c r="A2" s="11" t="s">
        <v>8</v>
      </c>
      <c r="B2" s="12" t="s">
        <v>9</v>
      </c>
      <c r="C2" s="13" t="s">
        <v>10</v>
      </c>
      <c r="D2" s="62" t="s">
        <v>24</v>
      </c>
    </row>
    <row r="3" spans="1:4" s="10" customFormat="1" ht="15" customHeight="1">
      <c r="A3" s="52" t="s">
        <v>4</v>
      </c>
      <c r="B3" s="53" t="s">
        <v>4</v>
      </c>
      <c r="C3" s="54" t="s">
        <v>4</v>
      </c>
      <c r="D3" s="55" t="s">
        <v>4</v>
      </c>
    </row>
    <row r="4" spans="1:9" s="4" customFormat="1" ht="30" customHeight="1" thickBot="1">
      <c r="A4" s="167">
        <v>137584</v>
      </c>
      <c r="B4" s="168">
        <v>4509</v>
      </c>
      <c r="C4" s="169">
        <v>283</v>
      </c>
      <c r="D4" s="170">
        <v>142376</v>
      </c>
      <c r="E4" s="5"/>
      <c r="G4" s="5"/>
      <c r="I4" s="5"/>
    </row>
    <row r="5" spans="1:9" s="70" customFormat="1" ht="3.75" customHeight="1">
      <c r="A5" s="68"/>
      <c r="B5" s="68"/>
      <c r="C5" s="68"/>
      <c r="D5" s="68"/>
      <c r="E5" s="69"/>
      <c r="G5" s="69"/>
      <c r="I5" s="69"/>
    </row>
    <row r="6" spans="1:4" s="10" customFormat="1" ht="13.5" customHeight="1">
      <c r="A6" s="202" t="s">
        <v>163</v>
      </c>
      <c r="B6" s="202"/>
      <c r="C6" s="202"/>
      <c r="D6" s="202"/>
    </row>
    <row r="7" spans="1:4" s="4" customFormat="1" ht="15" customHeight="1">
      <c r="A7" s="203" t="s">
        <v>102</v>
      </c>
      <c r="B7" s="203"/>
      <c r="C7" s="203"/>
      <c r="D7" s="203"/>
    </row>
  </sheetData>
  <sheetProtection/>
  <mergeCells count="2">
    <mergeCell ref="A6:D6"/>
    <mergeCell ref="A7:D7"/>
  </mergeCells>
  <printOptions horizontalCentered="1"/>
  <pageMargins left="0.7874015748031497" right="0.6299212598425197" top="0.984251968503937" bottom="0.984251968503937" header="0.5118110236220472" footer="0.5118110236220472"/>
  <pageSetup horizontalDpi="600" verticalDpi="600" orientation="portrait" paperSize="9" r:id="rId1"/>
  <headerFooter alignWithMargins="0">
    <oddFooter>&amp;R熊本国税局
消費税
（H27）</oddFooter>
  </headerFooter>
</worksheet>
</file>

<file path=xl/worksheets/sheet4.xml><?xml version="1.0" encoding="utf-8"?>
<worksheet xmlns="http://schemas.openxmlformats.org/spreadsheetml/2006/main" xmlns:r="http://schemas.openxmlformats.org/officeDocument/2006/relationships">
  <dimension ref="A1:O67"/>
  <sheetViews>
    <sheetView view="pageBreakPreview" zoomScaleSheetLayoutView="100" workbookViewId="0" topLeftCell="A1">
      <selection activeCell="A1" sqref="A1"/>
    </sheetView>
  </sheetViews>
  <sheetFormatPr defaultColWidth="9.00390625" defaultRowHeight="13.5"/>
  <cols>
    <col min="1" max="1" width="11.375" style="130" customWidth="1"/>
    <col min="2" max="2" width="10.625" style="130" customWidth="1"/>
    <col min="3" max="3" width="12.625" style="130" customWidth="1"/>
    <col min="4" max="4" width="10.625" style="130" customWidth="1"/>
    <col min="5" max="5" width="12.625" style="130" customWidth="1"/>
    <col min="6" max="6" width="10.625" style="130" customWidth="1"/>
    <col min="7" max="7" width="12.625" style="130" customWidth="1"/>
    <col min="8" max="8" width="10.625" style="130" customWidth="1"/>
    <col min="9" max="9" width="12.625" style="130" customWidth="1"/>
    <col min="10" max="10" width="10.625" style="130" customWidth="1"/>
    <col min="11" max="11" width="12.625" style="130" customWidth="1"/>
    <col min="12" max="12" width="10.625" style="130" customWidth="1"/>
    <col min="13" max="13" width="12.625" style="130" customWidth="1"/>
    <col min="14" max="14" width="11.375" style="130" customWidth="1"/>
    <col min="15" max="16384" width="9.00390625" style="130" customWidth="1"/>
  </cols>
  <sheetData>
    <row r="1" spans="1:14" ht="13.5">
      <c r="A1" s="71" t="s">
        <v>25</v>
      </c>
      <c r="B1" s="71"/>
      <c r="C1" s="71"/>
      <c r="D1" s="71"/>
      <c r="E1" s="71"/>
      <c r="F1" s="71"/>
      <c r="G1" s="71"/>
      <c r="H1" s="72"/>
      <c r="I1" s="72"/>
      <c r="J1" s="72"/>
      <c r="K1" s="72"/>
      <c r="L1" s="72"/>
      <c r="M1" s="72"/>
      <c r="N1" s="72"/>
    </row>
    <row r="2" spans="1:14" ht="14.25" thickBot="1">
      <c r="A2" s="211" t="s">
        <v>26</v>
      </c>
      <c r="B2" s="211"/>
      <c r="C2" s="211"/>
      <c r="D2" s="211"/>
      <c r="E2" s="211"/>
      <c r="F2" s="211"/>
      <c r="G2" s="211"/>
      <c r="H2" s="72"/>
      <c r="I2" s="72"/>
      <c r="J2" s="72"/>
      <c r="K2" s="72"/>
      <c r="L2" s="72"/>
      <c r="M2" s="72"/>
      <c r="N2" s="72"/>
    </row>
    <row r="3" spans="1:14" ht="19.5" customHeight="1">
      <c r="A3" s="212" t="s">
        <v>27</v>
      </c>
      <c r="B3" s="215" t="s">
        <v>28</v>
      </c>
      <c r="C3" s="215"/>
      <c r="D3" s="215"/>
      <c r="E3" s="215"/>
      <c r="F3" s="215"/>
      <c r="G3" s="215"/>
      <c r="H3" s="216" t="s">
        <v>12</v>
      </c>
      <c r="I3" s="217"/>
      <c r="J3" s="219" t="s">
        <v>29</v>
      </c>
      <c r="K3" s="217"/>
      <c r="L3" s="216" t="s">
        <v>30</v>
      </c>
      <c r="M3" s="217"/>
      <c r="N3" s="204" t="s">
        <v>31</v>
      </c>
    </row>
    <row r="4" spans="1:14" ht="17.25" customHeight="1">
      <c r="A4" s="213"/>
      <c r="B4" s="207" t="s">
        <v>15</v>
      </c>
      <c r="C4" s="207"/>
      <c r="D4" s="208" t="s">
        <v>32</v>
      </c>
      <c r="E4" s="209"/>
      <c r="F4" s="208" t="s">
        <v>33</v>
      </c>
      <c r="G4" s="209"/>
      <c r="H4" s="208"/>
      <c r="I4" s="218"/>
      <c r="J4" s="208"/>
      <c r="K4" s="218"/>
      <c r="L4" s="208"/>
      <c r="M4" s="218"/>
      <c r="N4" s="205"/>
    </row>
    <row r="5" spans="1:14" s="164" customFormat="1" ht="28.5" customHeight="1">
      <c r="A5" s="214"/>
      <c r="B5" s="73" t="s">
        <v>34</v>
      </c>
      <c r="C5" s="74" t="s">
        <v>35</v>
      </c>
      <c r="D5" s="73" t="s">
        <v>34</v>
      </c>
      <c r="E5" s="74" t="s">
        <v>35</v>
      </c>
      <c r="F5" s="73" t="s">
        <v>34</v>
      </c>
      <c r="G5" s="75" t="s">
        <v>36</v>
      </c>
      <c r="H5" s="73" t="s">
        <v>34</v>
      </c>
      <c r="I5" s="76" t="s">
        <v>37</v>
      </c>
      <c r="J5" s="73" t="s">
        <v>34</v>
      </c>
      <c r="K5" s="76" t="s">
        <v>38</v>
      </c>
      <c r="L5" s="73" t="s">
        <v>34</v>
      </c>
      <c r="M5" s="77" t="s">
        <v>39</v>
      </c>
      <c r="N5" s="206"/>
    </row>
    <row r="6" spans="1:14" s="83" customFormat="1" ht="10.5">
      <c r="A6" s="78"/>
      <c r="B6" s="79" t="s">
        <v>4</v>
      </c>
      <c r="C6" s="80" t="s">
        <v>5</v>
      </c>
      <c r="D6" s="79" t="s">
        <v>4</v>
      </c>
      <c r="E6" s="80" t="s">
        <v>5</v>
      </c>
      <c r="F6" s="79" t="s">
        <v>4</v>
      </c>
      <c r="G6" s="80" t="s">
        <v>5</v>
      </c>
      <c r="H6" s="79" t="s">
        <v>4</v>
      </c>
      <c r="I6" s="81" t="s">
        <v>5</v>
      </c>
      <c r="J6" s="79" t="s">
        <v>4</v>
      </c>
      <c r="K6" s="81" t="s">
        <v>5</v>
      </c>
      <c r="L6" s="79" t="s">
        <v>4</v>
      </c>
      <c r="M6" s="81" t="s">
        <v>5</v>
      </c>
      <c r="N6" s="82"/>
    </row>
    <row r="7" spans="1:14" s="86" customFormat="1" ht="15.75" customHeight="1">
      <c r="A7" s="84" t="s">
        <v>40</v>
      </c>
      <c r="B7" s="131">
        <f>_xlfn.COMPOUNDVALUE(1)</f>
        <v>1881</v>
      </c>
      <c r="C7" s="132">
        <v>1057611</v>
      </c>
      <c r="D7" s="131">
        <f>_xlfn.COMPOUNDVALUE(2)</f>
        <v>3379</v>
      </c>
      <c r="E7" s="132">
        <v>1352374</v>
      </c>
      <c r="F7" s="131">
        <f>_xlfn.COMPOUNDVALUE(3)</f>
        <v>5260</v>
      </c>
      <c r="G7" s="132">
        <v>2409985</v>
      </c>
      <c r="H7" s="131">
        <f>_xlfn.COMPOUNDVALUE(4)</f>
        <v>117</v>
      </c>
      <c r="I7" s="133">
        <v>90575</v>
      </c>
      <c r="J7" s="131">
        <v>353</v>
      </c>
      <c r="K7" s="133">
        <v>40638</v>
      </c>
      <c r="L7" s="131">
        <v>5512</v>
      </c>
      <c r="M7" s="133">
        <v>2360047</v>
      </c>
      <c r="N7" s="85" t="s">
        <v>40</v>
      </c>
    </row>
    <row r="8" spans="1:14" s="86" customFormat="1" ht="15.75" customHeight="1">
      <c r="A8" s="87" t="s">
        <v>41</v>
      </c>
      <c r="B8" s="136">
        <f>_xlfn.COMPOUNDVALUE(5)</f>
        <v>964</v>
      </c>
      <c r="C8" s="137">
        <v>450436</v>
      </c>
      <c r="D8" s="136">
        <f>_xlfn.COMPOUNDVALUE(6)</f>
        <v>1406</v>
      </c>
      <c r="E8" s="137">
        <v>533931</v>
      </c>
      <c r="F8" s="136">
        <f>_xlfn.COMPOUNDVALUE(7)</f>
        <v>2370</v>
      </c>
      <c r="G8" s="137">
        <v>984367</v>
      </c>
      <c r="H8" s="136">
        <f>_xlfn.COMPOUNDVALUE(8)</f>
        <v>68</v>
      </c>
      <c r="I8" s="138">
        <v>52753</v>
      </c>
      <c r="J8" s="136">
        <v>115</v>
      </c>
      <c r="K8" s="138">
        <v>18437</v>
      </c>
      <c r="L8" s="136">
        <v>2496</v>
      </c>
      <c r="M8" s="138">
        <v>950051</v>
      </c>
      <c r="N8" s="88" t="s">
        <v>41</v>
      </c>
    </row>
    <row r="9" spans="1:14" s="86" customFormat="1" ht="15.75" customHeight="1">
      <c r="A9" s="87" t="s">
        <v>119</v>
      </c>
      <c r="B9" s="136">
        <f>_xlfn.COMPOUNDVALUE(9)</f>
        <v>682</v>
      </c>
      <c r="C9" s="137">
        <v>484514</v>
      </c>
      <c r="D9" s="136">
        <f>_xlfn.COMPOUNDVALUE(10)</f>
        <v>1903</v>
      </c>
      <c r="E9" s="137">
        <v>710089</v>
      </c>
      <c r="F9" s="136">
        <f>_xlfn.COMPOUNDVALUE(11)</f>
        <v>2585</v>
      </c>
      <c r="G9" s="137">
        <v>1194603</v>
      </c>
      <c r="H9" s="136">
        <f>_xlfn.COMPOUNDVALUE(12)</f>
        <v>41</v>
      </c>
      <c r="I9" s="138">
        <v>34449</v>
      </c>
      <c r="J9" s="136">
        <v>116</v>
      </c>
      <c r="K9" s="138">
        <v>6422</v>
      </c>
      <c r="L9" s="136">
        <v>2653</v>
      </c>
      <c r="M9" s="138">
        <v>1166577</v>
      </c>
      <c r="N9" s="88" t="s">
        <v>42</v>
      </c>
    </row>
    <row r="10" spans="1:14" s="86" customFormat="1" ht="15.75" customHeight="1">
      <c r="A10" s="87" t="s">
        <v>120</v>
      </c>
      <c r="B10" s="136">
        <f>_xlfn.COMPOUNDVALUE(13)</f>
        <v>346</v>
      </c>
      <c r="C10" s="137">
        <v>197277</v>
      </c>
      <c r="D10" s="136">
        <f>_xlfn.COMPOUNDVALUE(14)</f>
        <v>791</v>
      </c>
      <c r="E10" s="137">
        <v>273024</v>
      </c>
      <c r="F10" s="136">
        <f>_xlfn.COMPOUNDVALUE(15)</f>
        <v>1137</v>
      </c>
      <c r="G10" s="137">
        <v>470301</v>
      </c>
      <c r="H10" s="136">
        <f>_xlfn.COMPOUNDVALUE(16)</f>
        <v>37</v>
      </c>
      <c r="I10" s="138">
        <v>23258</v>
      </c>
      <c r="J10" s="136">
        <v>48</v>
      </c>
      <c r="K10" s="138">
        <v>1243</v>
      </c>
      <c r="L10" s="136">
        <v>1177</v>
      </c>
      <c r="M10" s="138">
        <v>448286</v>
      </c>
      <c r="N10" s="88" t="s">
        <v>43</v>
      </c>
    </row>
    <row r="11" spans="1:14" s="86" customFormat="1" ht="15.75" customHeight="1">
      <c r="A11" s="87" t="s">
        <v>121</v>
      </c>
      <c r="B11" s="136">
        <f>_xlfn.COMPOUNDVALUE(17)</f>
        <v>566</v>
      </c>
      <c r="C11" s="137">
        <v>293530</v>
      </c>
      <c r="D11" s="136">
        <f>_xlfn.COMPOUNDVALUE(18)</f>
        <v>1370</v>
      </c>
      <c r="E11" s="137">
        <v>492997</v>
      </c>
      <c r="F11" s="136">
        <f>_xlfn.COMPOUNDVALUE(19)</f>
        <v>1936</v>
      </c>
      <c r="G11" s="137">
        <v>786526</v>
      </c>
      <c r="H11" s="136">
        <f>_xlfn.COMPOUNDVALUE(20)</f>
        <v>71</v>
      </c>
      <c r="I11" s="138">
        <v>60170</v>
      </c>
      <c r="J11" s="136">
        <v>74</v>
      </c>
      <c r="K11" s="138">
        <v>3836</v>
      </c>
      <c r="L11" s="136">
        <v>2032</v>
      </c>
      <c r="M11" s="138">
        <v>730192</v>
      </c>
      <c r="N11" s="88" t="s">
        <v>44</v>
      </c>
    </row>
    <row r="12" spans="1:14" s="86" customFormat="1" ht="15.75" customHeight="1">
      <c r="A12" s="87" t="s">
        <v>122</v>
      </c>
      <c r="B12" s="136">
        <f>_xlfn.COMPOUNDVALUE(21)</f>
        <v>553</v>
      </c>
      <c r="C12" s="137">
        <v>282456</v>
      </c>
      <c r="D12" s="136">
        <f>_xlfn.COMPOUNDVALUE(22)</f>
        <v>892</v>
      </c>
      <c r="E12" s="137">
        <v>311207</v>
      </c>
      <c r="F12" s="136">
        <f>_xlfn.COMPOUNDVALUE(23)</f>
        <v>1445</v>
      </c>
      <c r="G12" s="137">
        <v>593663</v>
      </c>
      <c r="H12" s="136">
        <f>_xlfn.COMPOUNDVALUE(24)</f>
        <v>41</v>
      </c>
      <c r="I12" s="138">
        <v>23712</v>
      </c>
      <c r="J12" s="136">
        <v>59</v>
      </c>
      <c r="K12" s="138">
        <v>1904</v>
      </c>
      <c r="L12" s="136">
        <v>1505</v>
      </c>
      <c r="M12" s="138">
        <v>571855</v>
      </c>
      <c r="N12" s="88" t="s">
        <v>45</v>
      </c>
    </row>
    <row r="13" spans="1:14" s="86" customFormat="1" ht="15.75" customHeight="1">
      <c r="A13" s="87" t="s">
        <v>123</v>
      </c>
      <c r="B13" s="136">
        <f>_xlfn.COMPOUNDVALUE(25)</f>
        <v>208</v>
      </c>
      <c r="C13" s="137">
        <v>91093</v>
      </c>
      <c r="D13" s="136">
        <f>_xlfn.COMPOUNDVALUE(26)</f>
        <v>439</v>
      </c>
      <c r="E13" s="137">
        <v>165400</v>
      </c>
      <c r="F13" s="136">
        <f>_xlfn.COMPOUNDVALUE(27)</f>
        <v>647</v>
      </c>
      <c r="G13" s="137">
        <v>256493</v>
      </c>
      <c r="H13" s="136">
        <f>_xlfn.COMPOUNDVALUE(28)</f>
        <v>9</v>
      </c>
      <c r="I13" s="138">
        <v>4625</v>
      </c>
      <c r="J13" s="136">
        <v>22</v>
      </c>
      <c r="K13" s="138">
        <v>1795</v>
      </c>
      <c r="L13" s="136">
        <v>665</v>
      </c>
      <c r="M13" s="138">
        <v>253663</v>
      </c>
      <c r="N13" s="88" t="s">
        <v>46</v>
      </c>
    </row>
    <row r="14" spans="1:14" s="86" customFormat="1" ht="15.75" customHeight="1">
      <c r="A14" s="87" t="s">
        <v>124</v>
      </c>
      <c r="B14" s="136">
        <f>_xlfn.COMPOUNDVALUE(29)</f>
        <v>792</v>
      </c>
      <c r="C14" s="137">
        <v>465650</v>
      </c>
      <c r="D14" s="136">
        <f>_xlfn.COMPOUNDVALUE(30)</f>
        <v>1004</v>
      </c>
      <c r="E14" s="137">
        <v>370490</v>
      </c>
      <c r="F14" s="136">
        <f>_xlfn.COMPOUNDVALUE(31)</f>
        <v>1796</v>
      </c>
      <c r="G14" s="137">
        <v>836139</v>
      </c>
      <c r="H14" s="136">
        <f>_xlfn.COMPOUNDVALUE(32)</f>
        <v>73</v>
      </c>
      <c r="I14" s="138">
        <v>33903</v>
      </c>
      <c r="J14" s="136">
        <v>65</v>
      </c>
      <c r="K14" s="138">
        <v>21531</v>
      </c>
      <c r="L14" s="136">
        <v>1892</v>
      </c>
      <c r="M14" s="138">
        <v>823767</v>
      </c>
      <c r="N14" s="88" t="s">
        <v>47</v>
      </c>
    </row>
    <row r="15" spans="1:14" s="86" customFormat="1" ht="15.75" customHeight="1">
      <c r="A15" s="87" t="s">
        <v>125</v>
      </c>
      <c r="B15" s="136">
        <f>_xlfn.COMPOUNDVALUE(33)</f>
        <v>380</v>
      </c>
      <c r="C15" s="137">
        <v>186091</v>
      </c>
      <c r="D15" s="136">
        <f>_xlfn.COMPOUNDVALUE(34)</f>
        <v>1013</v>
      </c>
      <c r="E15" s="137">
        <v>338238</v>
      </c>
      <c r="F15" s="136">
        <f>_xlfn.COMPOUNDVALUE(35)</f>
        <v>1393</v>
      </c>
      <c r="G15" s="137">
        <v>524329</v>
      </c>
      <c r="H15" s="136">
        <f>_xlfn.COMPOUNDVALUE(36)</f>
        <v>31</v>
      </c>
      <c r="I15" s="138">
        <v>39170</v>
      </c>
      <c r="J15" s="136">
        <v>56</v>
      </c>
      <c r="K15" s="138">
        <v>6471</v>
      </c>
      <c r="L15" s="136">
        <v>1440</v>
      </c>
      <c r="M15" s="138">
        <v>491630</v>
      </c>
      <c r="N15" s="88" t="s">
        <v>48</v>
      </c>
    </row>
    <row r="16" spans="1:14" s="86" customFormat="1" ht="15.75" customHeight="1">
      <c r="A16" s="87" t="s">
        <v>126</v>
      </c>
      <c r="B16" s="136">
        <f>_xlfn.COMPOUNDVALUE(37)</f>
        <v>362</v>
      </c>
      <c r="C16" s="137">
        <v>180302</v>
      </c>
      <c r="D16" s="136">
        <f>_xlfn.COMPOUNDVALUE(38)</f>
        <v>590</v>
      </c>
      <c r="E16" s="137">
        <v>200933</v>
      </c>
      <c r="F16" s="136">
        <f>_xlfn.COMPOUNDVALUE(39)</f>
        <v>952</v>
      </c>
      <c r="G16" s="137">
        <v>381235</v>
      </c>
      <c r="H16" s="136">
        <f>_xlfn.COMPOUNDVALUE(40)</f>
        <v>41</v>
      </c>
      <c r="I16" s="138">
        <v>23111</v>
      </c>
      <c r="J16" s="136">
        <v>31</v>
      </c>
      <c r="K16" s="138">
        <v>3832</v>
      </c>
      <c r="L16" s="136">
        <v>1010</v>
      </c>
      <c r="M16" s="138">
        <v>361956</v>
      </c>
      <c r="N16" s="88" t="s">
        <v>49</v>
      </c>
    </row>
    <row r="17" spans="1:14" s="86" customFormat="1" ht="15.75" customHeight="1">
      <c r="A17" s="104" t="s">
        <v>50</v>
      </c>
      <c r="B17" s="139">
        <v>6734</v>
      </c>
      <c r="C17" s="140">
        <v>3688959</v>
      </c>
      <c r="D17" s="139">
        <v>12787</v>
      </c>
      <c r="E17" s="140">
        <v>4748683</v>
      </c>
      <c r="F17" s="139">
        <v>19521</v>
      </c>
      <c r="G17" s="140">
        <v>8437642</v>
      </c>
      <c r="H17" s="139">
        <v>529</v>
      </c>
      <c r="I17" s="141">
        <v>385726</v>
      </c>
      <c r="J17" s="139">
        <v>939</v>
      </c>
      <c r="K17" s="141">
        <v>106108</v>
      </c>
      <c r="L17" s="139">
        <v>20382</v>
      </c>
      <c r="M17" s="141">
        <v>8158024</v>
      </c>
      <c r="N17" s="105" t="s">
        <v>51</v>
      </c>
    </row>
    <row r="18" spans="1:14" s="86" customFormat="1" ht="15.75" customHeight="1">
      <c r="A18" s="106"/>
      <c r="B18" s="146"/>
      <c r="C18" s="145"/>
      <c r="D18" s="146"/>
      <c r="E18" s="145"/>
      <c r="F18" s="144"/>
      <c r="G18" s="145"/>
      <c r="H18" s="144"/>
      <c r="I18" s="145"/>
      <c r="J18" s="144"/>
      <c r="K18" s="145"/>
      <c r="L18" s="144"/>
      <c r="M18" s="145"/>
      <c r="N18" s="107"/>
    </row>
    <row r="19" spans="1:14" s="86" customFormat="1" ht="15.75" customHeight="1">
      <c r="A19" s="84" t="s">
        <v>52</v>
      </c>
      <c r="B19" s="131">
        <f>_xlfn.COMPOUNDVALUE(41)</f>
        <v>1426</v>
      </c>
      <c r="C19" s="132">
        <v>707048</v>
      </c>
      <c r="D19" s="131">
        <f>_xlfn.COMPOUNDVALUE(42)</f>
        <v>1761</v>
      </c>
      <c r="E19" s="132">
        <v>707466</v>
      </c>
      <c r="F19" s="131">
        <f>_xlfn.COMPOUNDVALUE(43)</f>
        <v>3187</v>
      </c>
      <c r="G19" s="132">
        <v>1414513</v>
      </c>
      <c r="H19" s="131">
        <f>_xlfn.COMPOUNDVALUE(44)</f>
        <v>82</v>
      </c>
      <c r="I19" s="133">
        <v>70258</v>
      </c>
      <c r="J19" s="131">
        <v>235</v>
      </c>
      <c r="K19" s="133">
        <v>46857</v>
      </c>
      <c r="L19" s="131">
        <v>3395</v>
      </c>
      <c r="M19" s="133">
        <v>1391113</v>
      </c>
      <c r="N19" s="85" t="s">
        <v>52</v>
      </c>
    </row>
    <row r="20" spans="1:14" s="86" customFormat="1" ht="15.75" customHeight="1">
      <c r="A20" s="84" t="s">
        <v>53</v>
      </c>
      <c r="B20" s="131">
        <f>_xlfn.COMPOUNDVALUE(45)</f>
        <v>679</v>
      </c>
      <c r="C20" s="132">
        <v>299666</v>
      </c>
      <c r="D20" s="131">
        <f>_xlfn.COMPOUNDVALUE(46)</f>
        <v>846</v>
      </c>
      <c r="E20" s="132">
        <v>302248</v>
      </c>
      <c r="F20" s="131">
        <f>_xlfn.COMPOUNDVALUE(47)</f>
        <v>1525</v>
      </c>
      <c r="G20" s="132">
        <v>601913</v>
      </c>
      <c r="H20" s="131">
        <f>_xlfn.COMPOUNDVALUE(48)</f>
        <v>79</v>
      </c>
      <c r="I20" s="133">
        <v>85742</v>
      </c>
      <c r="J20" s="131">
        <v>60</v>
      </c>
      <c r="K20" s="133">
        <v>10973</v>
      </c>
      <c r="L20" s="131">
        <v>1638</v>
      </c>
      <c r="M20" s="133">
        <v>527144</v>
      </c>
      <c r="N20" s="85" t="s">
        <v>53</v>
      </c>
    </row>
    <row r="21" spans="1:14" s="86" customFormat="1" ht="15.75" customHeight="1">
      <c r="A21" s="87" t="s">
        <v>127</v>
      </c>
      <c r="B21" s="136">
        <f>_xlfn.COMPOUNDVALUE(49)</f>
        <v>312</v>
      </c>
      <c r="C21" s="137">
        <v>158690</v>
      </c>
      <c r="D21" s="136">
        <f>_xlfn.COMPOUNDVALUE(50)</f>
        <v>387</v>
      </c>
      <c r="E21" s="137">
        <v>151206</v>
      </c>
      <c r="F21" s="136">
        <f>_xlfn.COMPOUNDVALUE(51)</f>
        <v>699</v>
      </c>
      <c r="G21" s="137">
        <v>309897</v>
      </c>
      <c r="H21" s="136">
        <f>_xlfn.COMPOUNDVALUE(52)</f>
        <v>15</v>
      </c>
      <c r="I21" s="138">
        <v>9487</v>
      </c>
      <c r="J21" s="136">
        <v>41</v>
      </c>
      <c r="K21" s="138">
        <v>4800</v>
      </c>
      <c r="L21" s="136">
        <v>736</v>
      </c>
      <c r="M21" s="138">
        <v>305210</v>
      </c>
      <c r="N21" s="88" t="s">
        <v>54</v>
      </c>
    </row>
    <row r="22" spans="1:14" s="86" customFormat="1" ht="15.75" customHeight="1">
      <c r="A22" s="87" t="s">
        <v>128</v>
      </c>
      <c r="B22" s="136">
        <f>_xlfn.COMPOUNDVALUE(53)</f>
        <v>469</v>
      </c>
      <c r="C22" s="137">
        <v>228886</v>
      </c>
      <c r="D22" s="136">
        <f>_xlfn.COMPOUNDVALUE(54)</f>
        <v>748</v>
      </c>
      <c r="E22" s="137">
        <v>261199</v>
      </c>
      <c r="F22" s="136">
        <f>_xlfn.COMPOUNDVALUE(55)</f>
        <v>1217</v>
      </c>
      <c r="G22" s="137">
        <v>490085</v>
      </c>
      <c r="H22" s="136">
        <f>_xlfn.COMPOUNDVALUE(56)</f>
        <v>34</v>
      </c>
      <c r="I22" s="138">
        <v>32052</v>
      </c>
      <c r="J22" s="136">
        <v>72</v>
      </c>
      <c r="K22" s="138">
        <v>8086</v>
      </c>
      <c r="L22" s="136">
        <v>1279</v>
      </c>
      <c r="M22" s="138">
        <v>466119</v>
      </c>
      <c r="N22" s="88" t="s">
        <v>55</v>
      </c>
    </row>
    <row r="23" spans="1:14" s="86" customFormat="1" ht="15.75" customHeight="1">
      <c r="A23" s="87" t="s">
        <v>129</v>
      </c>
      <c r="B23" s="136">
        <f>_xlfn.COMPOUNDVALUE(57)</f>
        <v>310</v>
      </c>
      <c r="C23" s="137">
        <v>159266</v>
      </c>
      <c r="D23" s="136">
        <f>_xlfn.COMPOUNDVALUE(58)</f>
        <v>377</v>
      </c>
      <c r="E23" s="137">
        <v>143369</v>
      </c>
      <c r="F23" s="136">
        <f>_xlfn.COMPOUNDVALUE(59)</f>
        <v>687</v>
      </c>
      <c r="G23" s="137">
        <v>302635</v>
      </c>
      <c r="H23" s="136">
        <f>_xlfn.COMPOUNDVALUE(60)</f>
        <v>41</v>
      </c>
      <c r="I23" s="138">
        <v>27532</v>
      </c>
      <c r="J23" s="136">
        <v>16</v>
      </c>
      <c r="K23" s="138">
        <v>1775</v>
      </c>
      <c r="L23" s="136">
        <v>734</v>
      </c>
      <c r="M23" s="138">
        <v>276879</v>
      </c>
      <c r="N23" s="88" t="s">
        <v>56</v>
      </c>
    </row>
    <row r="24" spans="1:14" s="86" customFormat="1" ht="15.75" customHeight="1">
      <c r="A24" s="87" t="s">
        <v>130</v>
      </c>
      <c r="B24" s="136">
        <f>_xlfn.COMPOUNDVALUE(61)</f>
        <v>164</v>
      </c>
      <c r="C24" s="137">
        <v>92244</v>
      </c>
      <c r="D24" s="136">
        <f>_xlfn.COMPOUNDVALUE(62)</f>
        <v>284</v>
      </c>
      <c r="E24" s="137">
        <v>100133</v>
      </c>
      <c r="F24" s="136">
        <f>_xlfn.COMPOUNDVALUE(63)</f>
        <v>448</v>
      </c>
      <c r="G24" s="137">
        <v>192377</v>
      </c>
      <c r="H24" s="136">
        <f>_xlfn.COMPOUNDVALUE(64)</f>
        <v>12</v>
      </c>
      <c r="I24" s="138">
        <v>19487</v>
      </c>
      <c r="J24" s="136">
        <v>25</v>
      </c>
      <c r="K24" s="138">
        <v>2420</v>
      </c>
      <c r="L24" s="136">
        <v>467</v>
      </c>
      <c r="M24" s="138">
        <v>175310</v>
      </c>
      <c r="N24" s="88" t="s">
        <v>57</v>
      </c>
    </row>
    <row r="25" spans="1:14" s="86" customFormat="1" ht="15.75" customHeight="1">
      <c r="A25" s="87" t="s">
        <v>131</v>
      </c>
      <c r="B25" s="136">
        <f>_xlfn.COMPOUNDVALUE(65)</f>
        <v>107</v>
      </c>
      <c r="C25" s="137">
        <v>53791</v>
      </c>
      <c r="D25" s="136">
        <f>_xlfn.COMPOUNDVALUE(66)</f>
        <v>257</v>
      </c>
      <c r="E25" s="137">
        <v>80485</v>
      </c>
      <c r="F25" s="136">
        <f>_xlfn.COMPOUNDVALUE(67)</f>
        <v>364</v>
      </c>
      <c r="G25" s="137">
        <v>134276</v>
      </c>
      <c r="H25" s="136">
        <f>_xlfn.COMPOUNDVALUE(68)</f>
        <v>9</v>
      </c>
      <c r="I25" s="138">
        <v>3459</v>
      </c>
      <c r="J25" s="136">
        <v>36</v>
      </c>
      <c r="K25" s="138">
        <v>1104</v>
      </c>
      <c r="L25" s="136">
        <v>376</v>
      </c>
      <c r="M25" s="138">
        <v>131922</v>
      </c>
      <c r="N25" s="88" t="s">
        <v>58</v>
      </c>
    </row>
    <row r="26" spans="1:14" s="86" customFormat="1" ht="15.75" customHeight="1">
      <c r="A26" s="87" t="s">
        <v>132</v>
      </c>
      <c r="B26" s="136">
        <f>_xlfn.COMPOUNDVALUE(69)</f>
        <v>296</v>
      </c>
      <c r="C26" s="137">
        <v>162500</v>
      </c>
      <c r="D26" s="136">
        <f>_xlfn.COMPOUNDVALUE(70)</f>
        <v>401</v>
      </c>
      <c r="E26" s="137">
        <v>160057</v>
      </c>
      <c r="F26" s="136">
        <f>_xlfn.COMPOUNDVALUE(71)</f>
        <v>697</v>
      </c>
      <c r="G26" s="137">
        <v>322556</v>
      </c>
      <c r="H26" s="136">
        <f>_xlfn.COMPOUNDVALUE(72)</f>
        <v>50</v>
      </c>
      <c r="I26" s="138">
        <v>33398</v>
      </c>
      <c r="J26" s="136">
        <v>38</v>
      </c>
      <c r="K26" s="138">
        <v>7973</v>
      </c>
      <c r="L26" s="136">
        <v>762</v>
      </c>
      <c r="M26" s="138">
        <v>297131</v>
      </c>
      <c r="N26" s="88" t="s">
        <v>59</v>
      </c>
    </row>
    <row r="27" spans="1:14" s="86" customFormat="1" ht="15.75" customHeight="1">
      <c r="A27" s="87" t="s">
        <v>133</v>
      </c>
      <c r="B27" s="136">
        <f>_xlfn.COMPOUNDVALUE(73)</f>
        <v>98</v>
      </c>
      <c r="C27" s="137">
        <v>34495</v>
      </c>
      <c r="D27" s="136">
        <f>_xlfn.COMPOUNDVALUE(74)</f>
        <v>204</v>
      </c>
      <c r="E27" s="137">
        <v>73682</v>
      </c>
      <c r="F27" s="136">
        <f>_xlfn.COMPOUNDVALUE(75)</f>
        <v>302</v>
      </c>
      <c r="G27" s="137">
        <v>108177</v>
      </c>
      <c r="H27" s="136">
        <f>_xlfn.COMPOUNDVALUE(76)</f>
        <v>9</v>
      </c>
      <c r="I27" s="138">
        <v>7705</v>
      </c>
      <c r="J27" s="136">
        <v>16</v>
      </c>
      <c r="K27" s="138">
        <v>1679</v>
      </c>
      <c r="L27" s="136">
        <v>314</v>
      </c>
      <c r="M27" s="138">
        <v>102151</v>
      </c>
      <c r="N27" s="88" t="s">
        <v>60</v>
      </c>
    </row>
    <row r="28" spans="1:14" s="86" customFormat="1" ht="15.75" customHeight="1">
      <c r="A28" s="104" t="s">
        <v>61</v>
      </c>
      <c r="B28" s="139">
        <v>3861</v>
      </c>
      <c r="C28" s="140">
        <v>1896585</v>
      </c>
      <c r="D28" s="139">
        <v>5265</v>
      </c>
      <c r="E28" s="140">
        <v>1979845</v>
      </c>
      <c r="F28" s="139">
        <v>9126</v>
      </c>
      <c r="G28" s="140">
        <v>3876430</v>
      </c>
      <c r="H28" s="139">
        <v>331</v>
      </c>
      <c r="I28" s="141">
        <v>289119</v>
      </c>
      <c r="J28" s="139">
        <v>539</v>
      </c>
      <c r="K28" s="141">
        <v>85667</v>
      </c>
      <c r="L28" s="139">
        <v>9701</v>
      </c>
      <c r="M28" s="141">
        <v>3672979</v>
      </c>
      <c r="N28" s="105" t="s">
        <v>62</v>
      </c>
    </row>
    <row r="29" spans="1:14" s="86" customFormat="1" ht="15.75" customHeight="1">
      <c r="A29" s="106"/>
      <c r="B29" s="146"/>
      <c r="C29" s="145"/>
      <c r="D29" s="146"/>
      <c r="E29" s="145"/>
      <c r="F29" s="144"/>
      <c r="G29" s="145"/>
      <c r="H29" s="144"/>
      <c r="I29" s="145"/>
      <c r="J29" s="144"/>
      <c r="K29" s="145"/>
      <c r="L29" s="144"/>
      <c r="M29" s="145"/>
      <c r="N29" s="107"/>
    </row>
    <row r="30" spans="1:14" s="86" customFormat="1" ht="15.75" customHeight="1">
      <c r="A30" s="84" t="s">
        <v>134</v>
      </c>
      <c r="B30" s="131">
        <f>_xlfn.COMPOUNDVALUE(77)</f>
        <v>1475</v>
      </c>
      <c r="C30" s="132">
        <v>765888</v>
      </c>
      <c r="D30" s="131">
        <f>_xlfn.COMPOUNDVALUE(78)</f>
        <v>2779</v>
      </c>
      <c r="E30" s="132">
        <v>1000131</v>
      </c>
      <c r="F30" s="131">
        <f>_xlfn.COMPOUNDVALUE(79)</f>
        <v>4254</v>
      </c>
      <c r="G30" s="132">
        <v>1766019</v>
      </c>
      <c r="H30" s="131">
        <f>_xlfn.COMPOUNDVALUE(80)</f>
        <v>109</v>
      </c>
      <c r="I30" s="133">
        <v>85059</v>
      </c>
      <c r="J30" s="131">
        <v>224</v>
      </c>
      <c r="K30" s="133">
        <v>23858</v>
      </c>
      <c r="L30" s="131">
        <v>4471</v>
      </c>
      <c r="M30" s="133">
        <v>1704817</v>
      </c>
      <c r="N30" s="85" t="s">
        <v>63</v>
      </c>
    </row>
    <row r="31" spans="1:14" s="86" customFormat="1" ht="15.75" customHeight="1">
      <c r="A31" s="87" t="s">
        <v>135</v>
      </c>
      <c r="B31" s="136">
        <f>_xlfn.COMPOUNDVALUE(81)</f>
        <v>1241</v>
      </c>
      <c r="C31" s="137">
        <v>711944</v>
      </c>
      <c r="D31" s="136">
        <f>_xlfn.COMPOUNDVALUE(82)</f>
        <v>1086</v>
      </c>
      <c r="E31" s="137">
        <v>415228</v>
      </c>
      <c r="F31" s="136">
        <f>_xlfn.COMPOUNDVALUE(83)</f>
        <v>2327</v>
      </c>
      <c r="G31" s="137">
        <v>1127172</v>
      </c>
      <c r="H31" s="136">
        <f>_xlfn.COMPOUNDVALUE(84)</f>
        <v>118</v>
      </c>
      <c r="I31" s="138">
        <v>60000</v>
      </c>
      <c r="J31" s="136">
        <v>134</v>
      </c>
      <c r="K31" s="138">
        <v>18264</v>
      </c>
      <c r="L31" s="136">
        <v>2488</v>
      </c>
      <c r="M31" s="138">
        <v>1085435</v>
      </c>
      <c r="N31" s="88" t="s">
        <v>64</v>
      </c>
    </row>
    <row r="32" spans="1:14" s="86" customFormat="1" ht="15.75" customHeight="1">
      <c r="A32" s="87" t="s">
        <v>136</v>
      </c>
      <c r="B32" s="136">
        <f>_xlfn.COMPOUNDVALUE(85)</f>
        <v>1118</v>
      </c>
      <c r="C32" s="137">
        <v>620511</v>
      </c>
      <c r="D32" s="136">
        <f>_xlfn.COMPOUNDVALUE(86)</f>
        <v>1214</v>
      </c>
      <c r="E32" s="137">
        <v>498607</v>
      </c>
      <c r="F32" s="136">
        <f>_xlfn.COMPOUNDVALUE(87)</f>
        <v>2332</v>
      </c>
      <c r="G32" s="137">
        <v>1119118</v>
      </c>
      <c r="H32" s="136">
        <f>_xlfn.COMPOUNDVALUE(88)</f>
        <v>82</v>
      </c>
      <c r="I32" s="138">
        <v>70328</v>
      </c>
      <c r="J32" s="136">
        <v>80</v>
      </c>
      <c r="K32" s="138">
        <v>18396</v>
      </c>
      <c r="L32" s="136">
        <v>2474</v>
      </c>
      <c r="M32" s="138">
        <v>1067186</v>
      </c>
      <c r="N32" s="88" t="s">
        <v>65</v>
      </c>
    </row>
    <row r="33" spans="1:14" s="86" customFormat="1" ht="15.75" customHeight="1">
      <c r="A33" s="87" t="s">
        <v>137</v>
      </c>
      <c r="B33" s="136">
        <f>_xlfn.COMPOUNDVALUE(89)</f>
        <v>321</v>
      </c>
      <c r="C33" s="137">
        <v>180895</v>
      </c>
      <c r="D33" s="136">
        <f>_xlfn.COMPOUNDVALUE(90)</f>
        <v>581</v>
      </c>
      <c r="E33" s="137">
        <v>213712</v>
      </c>
      <c r="F33" s="136">
        <f>_xlfn.COMPOUNDVALUE(91)</f>
        <v>902</v>
      </c>
      <c r="G33" s="137">
        <v>394607</v>
      </c>
      <c r="H33" s="136">
        <f>_xlfn.COMPOUNDVALUE(92)</f>
        <v>38</v>
      </c>
      <c r="I33" s="138">
        <v>14208</v>
      </c>
      <c r="J33" s="136">
        <v>51</v>
      </c>
      <c r="K33" s="138">
        <v>7914</v>
      </c>
      <c r="L33" s="136">
        <v>947</v>
      </c>
      <c r="M33" s="138">
        <v>388314</v>
      </c>
      <c r="N33" s="88" t="s">
        <v>66</v>
      </c>
    </row>
    <row r="34" spans="1:14" s="86" customFormat="1" ht="15.75" customHeight="1">
      <c r="A34" s="87" t="s">
        <v>138</v>
      </c>
      <c r="B34" s="136">
        <f>_xlfn.COMPOUNDVALUE(93)</f>
        <v>581</v>
      </c>
      <c r="C34" s="137">
        <v>312730</v>
      </c>
      <c r="D34" s="136">
        <f>_xlfn.COMPOUNDVALUE(94)</f>
        <v>635</v>
      </c>
      <c r="E34" s="137">
        <v>226415</v>
      </c>
      <c r="F34" s="136">
        <f>_xlfn.COMPOUNDVALUE(95)</f>
        <v>1216</v>
      </c>
      <c r="G34" s="137">
        <v>539145</v>
      </c>
      <c r="H34" s="136">
        <f>_xlfn.COMPOUNDVALUE(96)</f>
        <v>57</v>
      </c>
      <c r="I34" s="138">
        <v>23322</v>
      </c>
      <c r="J34" s="136">
        <v>58</v>
      </c>
      <c r="K34" s="138">
        <v>6482</v>
      </c>
      <c r="L34" s="136">
        <v>1296</v>
      </c>
      <c r="M34" s="138">
        <v>522305</v>
      </c>
      <c r="N34" s="88" t="s">
        <v>67</v>
      </c>
    </row>
    <row r="35" spans="1:14" s="86" customFormat="1" ht="15.75" customHeight="1">
      <c r="A35" s="87" t="s">
        <v>139</v>
      </c>
      <c r="B35" s="136">
        <f>_xlfn.COMPOUNDVALUE(97)</f>
        <v>643</v>
      </c>
      <c r="C35" s="137">
        <v>396928</v>
      </c>
      <c r="D35" s="136">
        <f>_xlfn.COMPOUNDVALUE(98)</f>
        <v>1496</v>
      </c>
      <c r="E35" s="137">
        <v>501908</v>
      </c>
      <c r="F35" s="136">
        <f>_xlfn.COMPOUNDVALUE(99)</f>
        <v>2139</v>
      </c>
      <c r="G35" s="137">
        <v>898836</v>
      </c>
      <c r="H35" s="136">
        <f>_xlfn.COMPOUNDVALUE(100)</f>
        <v>58</v>
      </c>
      <c r="I35" s="138">
        <v>30707</v>
      </c>
      <c r="J35" s="136">
        <v>72</v>
      </c>
      <c r="K35" s="138">
        <v>5212</v>
      </c>
      <c r="L35" s="136">
        <v>2223</v>
      </c>
      <c r="M35" s="138">
        <v>873341</v>
      </c>
      <c r="N35" s="88" t="s">
        <v>68</v>
      </c>
    </row>
    <row r="36" spans="1:14" s="86" customFormat="1" ht="15.75" customHeight="1">
      <c r="A36" s="104" t="s">
        <v>69</v>
      </c>
      <c r="B36" s="139">
        <v>5379</v>
      </c>
      <c r="C36" s="140">
        <v>2988897</v>
      </c>
      <c r="D36" s="139">
        <v>7791</v>
      </c>
      <c r="E36" s="140">
        <v>2856000</v>
      </c>
      <c r="F36" s="139">
        <v>13170</v>
      </c>
      <c r="G36" s="140">
        <v>5844897</v>
      </c>
      <c r="H36" s="139">
        <v>462</v>
      </c>
      <c r="I36" s="141">
        <v>283625</v>
      </c>
      <c r="J36" s="139">
        <v>619</v>
      </c>
      <c r="K36" s="141">
        <v>80125</v>
      </c>
      <c r="L36" s="139">
        <v>13899</v>
      </c>
      <c r="M36" s="141">
        <v>5641398</v>
      </c>
      <c r="N36" s="105" t="s">
        <v>70</v>
      </c>
    </row>
    <row r="37" spans="1:14" s="86" customFormat="1" ht="15.75" customHeight="1">
      <c r="A37" s="106"/>
      <c r="B37" s="146"/>
      <c r="C37" s="145"/>
      <c r="D37" s="146"/>
      <c r="E37" s="145"/>
      <c r="F37" s="144"/>
      <c r="G37" s="145"/>
      <c r="H37" s="144"/>
      <c r="I37" s="145"/>
      <c r="J37" s="144"/>
      <c r="K37" s="145"/>
      <c r="L37" s="144"/>
      <c r="M37" s="145"/>
      <c r="N37" s="107"/>
    </row>
    <row r="38" spans="1:14" s="86" customFormat="1" ht="15.75" customHeight="1">
      <c r="A38" s="84" t="s">
        <v>71</v>
      </c>
      <c r="B38" s="131">
        <f>_xlfn.COMPOUNDVALUE(101)</f>
        <v>2004</v>
      </c>
      <c r="C38" s="132">
        <v>1090030</v>
      </c>
      <c r="D38" s="131">
        <f>_xlfn.COMPOUNDVALUE(102)</f>
        <v>2331</v>
      </c>
      <c r="E38" s="132">
        <v>945306</v>
      </c>
      <c r="F38" s="131">
        <f>_xlfn.COMPOUNDVALUE(103)</f>
        <v>4335</v>
      </c>
      <c r="G38" s="132">
        <v>2035337</v>
      </c>
      <c r="H38" s="131">
        <f>_xlfn.COMPOUNDVALUE(104)</f>
        <v>167</v>
      </c>
      <c r="I38" s="133">
        <v>158002</v>
      </c>
      <c r="J38" s="131">
        <v>301</v>
      </c>
      <c r="K38" s="133">
        <v>49623</v>
      </c>
      <c r="L38" s="131">
        <v>4653</v>
      </c>
      <c r="M38" s="133">
        <v>1926958</v>
      </c>
      <c r="N38" s="85" t="s">
        <v>72</v>
      </c>
    </row>
    <row r="39" spans="1:14" s="86" customFormat="1" ht="15.75" customHeight="1">
      <c r="A39" s="84" t="s">
        <v>140</v>
      </c>
      <c r="B39" s="131">
        <f>_xlfn.COMPOUNDVALUE(105)</f>
        <v>427</v>
      </c>
      <c r="C39" s="132">
        <v>176243</v>
      </c>
      <c r="D39" s="131">
        <f>_xlfn.COMPOUNDVALUE(106)</f>
        <v>512</v>
      </c>
      <c r="E39" s="132">
        <v>179551</v>
      </c>
      <c r="F39" s="131">
        <f>_xlfn.COMPOUNDVALUE(107)</f>
        <v>939</v>
      </c>
      <c r="G39" s="132">
        <v>355794</v>
      </c>
      <c r="H39" s="131">
        <f>_xlfn.COMPOUNDVALUE(108)</f>
        <v>44</v>
      </c>
      <c r="I39" s="133">
        <v>47452</v>
      </c>
      <c r="J39" s="131">
        <v>34</v>
      </c>
      <c r="K39" s="133">
        <v>3181</v>
      </c>
      <c r="L39" s="131">
        <v>1003</v>
      </c>
      <c r="M39" s="133">
        <v>311522</v>
      </c>
      <c r="N39" s="85" t="s">
        <v>73</v>
      </c>
    </row>
    <row r="40" spans="1:14" s="86" customFormat="1" ht="15.75" customHeight="1">
      <c r="A40" s="84" t="s">
        <v>141</v>
      </c>
      <c r="B40" s="131">
        <f>_xlfn.COMPOUNDVALUE(109)</f>
        <v>921</v>
      </c>
      <c r="C40" s="132">
        <v>445554</v>
      </c>
      <c r="D40" s="131">
        <f>_xlfn.COMPOUNDVALUE(110)</f>
        <v>997</v>
      </c>
      <c r="E40" s="132">
        <v>354539</v>
      </c>
      <c r="F40" s="131">
        <f>_xlfn.COMPOUNDVALUE(111)</f>
        <v>1918</v>
      </c>
      <c r="G40" s="132">
        <v>800093</v>
      </c>
      <c r="H40" s="131">
        <f>_xlfn.COMPOUNDVALUE(112)</f>
        <v>71</v>
      </c>
      <c r="I40" s="133">
        <v>52613</v>
      </c>
      <c r="J40" s="131">
        <v>98</v>
      </c>
      <c r="K40" s="133">
        <v>10994</v>
      </c>
      <c r="L40" s="131">
        <v>2043</v>
      </c>
      <c r="M40" s="133">
        <v>758474</v>
      </c>
      <c r="N40" s="85" t="s">
        <v>74</v>
      </c>
    </row>
    <row r="41" spans="1:14" s="86" customFormat="1" ht="15.75" customHeight="1">
      <c r="A41" s="84" t="s">
        <v>142</v>
      </c>
      <c r="B41" s="131">
        <f>_xlfn.COMPOUNDVALUE(113)</f>
        <v>552</v>
      </c>
      <c r="C41" s="132">
        <v>206577</v>
      </c>
      <c r="D41" s="131">
        <f>_xlfn.COMPOUNDVALUE(114)</f>
        <v>547</v>
      </c>
      <c r="E41" s="132">
        <v>186759</v>
      </c>
      <c r="F41" s="131">
        <f>_xlfn.COMPOUNDVALUE(115)</f>
        <v>1099</v>
      </c>
      <c r="G41" s="132">
        <v>393336</v>
      </c>
      <c r="H41" s="131">
        <f>_xlfn.COMPOUNDVALUE(116)</f>
        <v>34</v>
      </c>
      <c r="I41" s="133">
        <v>6785</v>
      </c>
      <c r="J41" s="131">
        <v>72</v>
      </c>
      <c r="K41" s="133">
        <v>7547</v>
      </c>
      <c r="L41" s="131">
        <v>1167</v>
      </c>
      <c r="M41" s="133">
        <v>394097</v>
      </c>
      <c r="N41" s="85" t="s">
        <v>75</v>
      </c>
    </row>
    <row r="42" spans="1:14" s="86" customFormat="1" ht="15.75" customHeight="1">
      <c r="A42" s="87" t="s">
        <v>143</v>
      </c>
      <c r="B42" s="136">
        <f>_xlfn.COMPOUNDVALUE(117)</f>
        <v>591</v>
      </c>
      <c r="C42" s="137">
        <v>341308</v>
      </c>
      <c r="D42" s="136">
        <f>_xlfn.COMPOUNDVALUE(118)</f>
        <v>465</v>
      </c>
      <c r="E42" s="137">
        <v>175177</v>
      </c>
      <c r="F42" s="136">
        <f>_xlfn.COMPOUNDVALUE(119)</f>
        <v>1056</v>
      </c>
      <c r="G42" s="137">
        <v>516485</v>
      </c>
      <c r="H42" s="136">
        <f>_xlfn.COMPOUNDVALUE(120)</f>
        <v>84</v>
      </c>
      <c r="I42" s="138">
        <v>41406</v>
      </c>
      <c r="J42" s="136">
        <v>36</v>
      </c>
      <c r="K42" s="138">
        <v>3440</v>
      </c>
      <c r="L42" s="136">
        <v>1148</v>
      </c>
      <c r="M42" s="138">
        <v>478518</v>
      </c>
      <c r="N42" s="88" t="s">
        <v>76</v>
      </c>
    </row>
    <row r="43" spans="1:14" s="86" customFormat="1" ht="15.75" customHeight="1">
      <c r="A43" s="87" t="s">
        <v>144</v>
      </c>
      <c r="B43" s="136">
        <f>_xlfn.COMPOUNDVALUE(121)</f>
        <v>212</v>
      </c>
      <c r="C43" s="137">
        <v>121131</v>
      </c>
      <c r="D43" s="136">
        <f>_xlfn.COMPOUNDVALUE(122)</f>
        <v>369</v>
      </c>
      <c r="E43" s="137">
        <v>128304</v>
      </c>
      <c r="F43" s="136">
        <f>_xlfn.COMPOUNDVALUE(123)</f>
        <v>581</v>
      </c>
      <c r="G43" s="137">
        <v>249434</v>
      </c>
      <c r="H43" s="136">
        <f>_xlfn.COMPOUNDVALUE(124)</f>
        <v>20</v>
      </c>
      <c r="I43" s="138">
        <v>15607</v>
      </c>
      <c r="J43" s="136">
        <v>14</v>
      </c>
      <c r="K43" s="138">
        <v>1088</v>
      </c>
      <c r="L43" s="136">
        <v>607</v>
      </c>
      <c r="M43" s="138">
        <v>234915</v>
      </c>
      <c r="N43" s="88" t="s">
        <v>77</v>
      </c>
    </row>
    <row r="44" spans="1:14" s="86" customFormat="1" ht="15.75" customHeight="1">
      <c r="A44" s="87" t="s">
        <v>78</v>
      </c>
      <c r="B44" s="136">
        <f>_xlfn.COMPOUNDVALUE(125)</f>
        <v>266</v>
      </c>
      <c r="C44" s="137">
        <v>123645</v>
      </c>
      <c r="D44" s="136">
        <f>_xlfn.COMPOUNDVALUE(126)</f>
        <v>381</v>
      </c>
      <c r="E44" s="137">
        <v>126469</v>
      </c>
      <c r="F44" s="136">
        <f>_xlfn.COMPOUNDVALUE(127)</f>
        <v>647</v>
      </c>
      <c r="G44" s="137">
        <v>250114</v>
      </c>
      <c r="H44" s="136">
        <f>_xlfn.COMPOUNDVALUE(128)</f>
        <v>36</v>
      </c>
      <c r="I44" s="138">
        <v>9802</v>
      </c>
      <c r="J44" s="136">
        <v>34</v>
      </c>
      <c r="K44" s="138">
        <v>-5159</v>
      </c>
      <c r="L44" s="136">
        <v>692</v>
      </c>
      <c r="M44" s="138">
        <v>235153</v>
      </c>
      <c r="N44" s="88" t="s">
        <v>79</v>
      </c>
    </row>
    <row r="45" spans="1:14" s="86" customFormat="1" ht="15.75" customHeight="1">
      <c r="A45" s="87" t="s">
        <v>145</v>
      </c>
      <c r="B45" s="136">
        <f>_xlfn.COMPOUNDVALUE(129)</f>
        <v>452</v>
      </c>
      <c r="C45" s="137">
        <v>269053</v>
      </c>
      <c r="D45" s="136">
        <f>_xlfn.COMPOUNDVALUE(130)</f>
        <v>948</v>
      </c>
      <c r="E45" s="137">
        <v>302270</v>
      </c>
      <c r="F45" s="136">
        <f>_xlfn.COMPOUNDVALUE(131)</f>
        <v>1400</v>
      </c>
      <c r="G45" s="137">
        <v>571323</v>
      </c>
      <c r="H45" s="136">
        <f>_xlfn.COMPOUNDVALUE(132)</f>
        <v>43</v>
      </c>
      <c r="I45" s="138">
        <v>26628</v>
      </c>
      <c r="J45" s="136">
        <v>42</v>
      </c>
      <c r="K45" s="138">
        <v>3186</v>
      </c>
      <c r="L45" s="136">
        <v>1456</v>
      </c>
      <c r="M45" s="138">
        <v>547881</v>
      </c>
      <c r="N45" s="88" t="s">
        <v>80</v>
      </c>
    </row>
    <row r="46" spans="1:14" s="86" customFormat="1" ht="15.75" customHeight="1">
      <c r="A46" s="87" t="s">
        <v>81</v>
      </c>
      <c r="B46" s="136">
        <f>_xlfn.COMPOUNDVALUE(133)</f>
        <v>288</v>
      </c>
      <c r="C46" s="137">
        <v>124186</v>
      </c>
      <c r="D46" s="136">
        <f>_xlfn.COMPOUNDVALUE(134)</f>
        <v>320</v>
      </c>
      <c r="E46" s="137">
        <v>132604</v>
      </c>
      <c r="F46" s="136">
        <f>_xlfn.COMPOUNDVALUE(135)</f>
        <v>608</v>
      </c>
      <c r="G46" s="137">
        <v>256791</v>
      </c>
      <c r="H46" s="136">
        <f>_xlfn.COMPOUNDVALUE(136)</f>
        <v>23</v>
      </c>
      <c r="I46" s="138">
        <v>26465</v>
      </c>
      <c r="J46" s="136">
        <v>22</v>
      </c>
      <c r="K46" s="138">
        <v>-319</v>
      </c>
      <c r="L46" s="136">
        <v>641</v>
      </c>
      <c r="M46" s="138">
        <v>230006</v>
      </c>
      <c r="N46" s="88" t="s">
        <v>82</v>
      </c>
    </row>
    <row r="47" spans="1:14" s="86" customFormat="1" ht="15.75" customHeight="1">
      <c r="A47" s="87" t="s">
        <v>83</v>
      </c>
      <c r="B47" s="136">
        <f>_xlfn.COMPOUNDVALUE(137)</f>
        <v>676</v>
      </c>
      <c r="C47" s="137">
        <v>304867</v>
      </c>
      <c r="D47" s="136">
        <f>_xlfn.COMPOUNDVALUE(138)</f>
        <v>916</v>
      </c>
      <c r="E47" s="137">
        <v>345006</v>
      </c>
      <c r="F47" s="136">
        <f>_xlfn.COMPOUNDVALUE(139)</f>
        <v>1592</v>
      </c>
      <c r="G47" s="137">
        <v>649874</v>
      </c>
      <c r="H47" s="136">
        <f>_xlfn.COMPOUNDVALUE(140)</f>
        <v>73</v>
      </c>
      <c r="I47" s="138">
        <v>50523</v>
      </c>
      <c r="J47" s="136">
        <v>80</v>
      </c>
      <c r="K47" s="138">
        <v>6797</v>
      </c>
      <c r="L47" s="136">
        <v>1697</v>
      </c>
      <c r="M47" s="138">
        <v>606148</v>
      </c>
      <c r="N47" s="88" t="s">
        <v>84</v>
      </c>
    </row>
    <row r="48" spans="1:14" s="86" customFormat="1" ht="15.75" customHeight="1">
      <c r="A48" s="87" t="s">
        <v>146</v>
      </c>
      <c r="B48" s="136">
        <f>_xlfn.COMPOUNDVALUE(141)</f>
        <v>531</v>
      </c>
      <c r="C48" s="137">
        <v>280187</v>
      </c>
      <c r="D48" s="136">
        <f>_xlfn.COMPOUNDVALUE(142)</f>
        <v>862</v>
      </c>
      <c r="E48" s="137">
        <v>301768</v>
      </c>
      <c r="F48" s="136">
        <f>_xlfn.COMPOUNDVALUE(143)</f>
        <v>1393</v>
      </c>
      <c r="G48" s="137">
        <v>581955</v>
      </c>
      <c r="H48" s="136">
        <f>_xlfn.COMPOUNDVALUE(144)</f>
        <v>70</v>
      </c>
      <c r="I48" s="138">
        <v>48969</v>
      </c>
      <c r="J48" s="136">
        <v>49</v>
      </c>
      <c r="K48" s="138">
        <v>6313</v>
      </c>
      <c r="L48" s="136">
        <v>1480</v>
      </c>
      <c r="M48" s="138">
        <v>539299</v>
      </c>
      <c r="N48" s="88" t="s">
        <v>85</v>
      </c>
    </row>
    <row r="49" spans="1:14" s="86" customFormat="1" ht="15.75" customHeight="1">
      <c r="A49" s="104" t="s">
        <v>86</v>
      </c>
      <c r="B49" s="139">
        <v>6920</v>
      </c>
      <c r="C49" s="140">
        <v>3482782</v>
      </c>
      <c r="D49" s="139">
        <v>8648</v>
      </c>
      <c r="E49" s="140">
        <v>3177752</v>
      </c>
      <c r="F49" s="139">
        <v>15568</v>
      </c>
      <c r="G49" s="140">
        <v>6660533</v>
      </c>
      <c r="H49" s="139">
        <v>665</v>
      </c>
      <c r="I49" s="141">
        <v>484253</v>
      </c>
      <c r="J49" s="139">
        <v>782</v>
      </c>
      <c r="K49" s="141">
        <v>86690</v>
      </c>
      <c r="L49" s="139">
        <v>16587</v>
      </c>
      <c r="M49" s="141">
        <v>6262970</v>
      </c>
      <c r="N49" s="105" t="s">
        <v>87</v>
      </c>
    </row>
    <row r="50" spans="1:15" s="86" customFormat="1" ht="15.75" customHeight="1" thickBot="1">
      <c r="A50" s="108"/>
      <c r="B50" s="152"/>
      <c r="C50" s="153"/>
      <c r="D50" s="152"/>
      <c r="E50" s="153"/>
      <c r="F50" s="154"/>
      <c r="G50" s="153"/>
      <c r="H50" s="154"/>
      <c r="I50" s="153"/>
      <c r="J50" s="154"/>
      <c r="K50" s="153"/>
      <c r="L50" s="154"/>
      <c r="M50" s="153"/>
      <c r="N50" s="109"/>
      <c r="O50" s="89"/>
    </row>
    <row r="51" spans="1:14" s="86" customFormat="1" ht="15.75" customHeight="1" thickBot="1" thickTop="1">
      <c r="A51" s="90" t="s">
        <v>88</v>
      </c>
      <c r="B51" s="158">
        <v>22894</v>
      </c>
      <c r="C51" s="159">
        <v>12057223</v>
      </c>
      <c r="D51" s="158">
        <v>34491</v>
      </c>
      <c r="E51" s="159">
        <v>12762280</v>
      </c>
      <c r="F51" s="158">
        <v>57385</v>
      </c>
      <c r="G51" s="159">
        <v>24819503</v>
      </c>
      <c r="H51" s="158">
        <v>1987</v>
      </c>
      <c r="I51" s="160">
        <v>1442722</v>
      </c>
      <c r="J51" s="158">
        <v>2879</v>
      </c>
      <c r="K51" s="160">
        <v>358591</v>
      </c>
      <c r="L51" s="158">
        <v>60569</v>
      </c>
      <c r="M51" s="160">
        <v>23735371</v>
      </c>
      <c r="N51" s="91" t="s">
        <v>89</v>
      </c>
    </row>
    <row r="52" spans="1:14" s="94" customFormat="1" ht="3.75" customHeight="1">
      <c r="A52" s="92"/>
      <c r="B52" s="93"/>
      <c r="C52" s="93"/>
      <c r="D52" s="93"/>
      <c r="E52" s="93"/>
      <c r="F52" s="93"/>
      <c r="G52" s="93"/>
      <c r="H52" s="93"/>
      <c r="I52" s="93"/>
      <c r="J52" s="93"/>
      <c r="K52" s="93"/>
      <c r="L52" s="93"/>
      <c r="M52" s="93"/>
      <c r="N52" s="92"/>
    </row>
    <row r="53" spans="1:14" s="165" customFormat="1" ht="13.5" customHeight="1">
      <c r="A53" s="210" t="s">
        <v>164</v>
      </c>
      <c r="B53" s="210"/>
      <c r="C53" s="210"/>
      <c r="D53" s="210"/>
      <c r="E53" s="210"/>
      <c r="F53" s="210"/>
      <c r="G53" s="210"/>
      <c r="H53" s="210"/>
      <c r="I53" s="210"/>
      <c r="J53" s="95"/>
      <c r="K53" s="95"/>
      <c r="L53" s="96"/>
      <c r="M53" s="96"/>
      <c r="N53" s="96"/>
    </row>
    <row r="55" spans="2:10" ht="13.5">
      <c r="B55" s="166"/>
      <c r="C55" s="166"/>
      <c r="D55" s="166"/>
      <c r="E55" s="166"/>
      <c r="F55" s="166"/>
      <c r="G55" s="166"/>
      <c r="H55" s="166"/>
      <c r="J55" s="166"/>
    </row>
    <row r="56" spans="2:10" ht="13.5">
      <c r="B56" s="166"/>
      <c r="C56" s="166"/>
      <c r="D56" s="166"/>
      <c r="E56" s="166"/>
      <c r="F56" s="166"/>
      <c r="G56" s="166"/>
      <c r="H56" s="166"/>
      <c r="J56" s="166"/>
    </row>
    <row r="57" spans="2:10" ht="13.5">
      <c r="B57" s="166"/>
      <c r="C57" s="166"/>
      <c r="D57" s="166"/>
      <c r="E57" s="166"/>
      <c r="F57" s="166"/>
      <c r="G57" s="166"/>
      <c r="H57" s="166"/>
      <c r="J57" s="166"/>
    </row>
    <row r="58" spans="2:10" ht="13.5">
      <c r="B58" s="166"/>
      <c r="C58" s="166"/>
      <c r="D58" s="166"/>
      <c r="E58" s="166"/>
      <c r="F58" s="166"/>
      <c r="G58" s="166"/>
      <c r="H58" s="166"/>
      <c r="J58" s="166"/>
    </row>
    <row r="59" spans="2:10" ht="13.5">
      <c r="B59" s="166"/>
      <c r="C59" s="166"/>
      <c r="D59" s="166"/>
      <c r="E59" s="166"/>
      <c r="F59" s="166"/>
      <c r="G59" s="166"/>
      <c r="H59" s="166"/>
      <c r="J59" s="166"/>
    </row>
    <row r="60" spans="2:10" ht="13.5">
      <c r="B60" s="166"/>
      <c r="C60" s="166"/>
      <c r="D60" s="166"/>
      <c r="E60" s="166"/>
      <c r="F60" s="166"/>
      <c r="G60" s="166"/>
      <c r="H60" s="166"/>
      <c r="J60" s="166"/>
    </row>
    <row r="61" spans="2:10" ht="13.5">
      <c r="B61" s="166"/>
      <c r="C61" s="166"/>
      <c r="D61" s="166"/>
      <c r="E61" s="166"/>
      <c r="F61" s="166"/>
      <c r="G61" s="166"/>
      <c r="H61" s="166"/>
      <c r="J61" s="166"/>
    </row>
    <row r="62" spans="2:10" ht="13.5">
      <c r="B62" s="166"/>
      <c r="C62" s="166"/>
      <c r="D62" s="166"/>
      <c r="E62" s="166"/>
      <c r="F62" s="166"/>
      <c r="G62" s="166"/>
      <c r="H62" s="166"/>
      <c r="J62" s="166"/>
    </row>
    <row r="63" spans="2:10" ht="13.5">
      <c r="B63" s="166"/>
      <c r="C63" s="166"/>
      <c r="D63" s="166"/>
      <c r="E63" s="166"/>
      <c r="F63" s="166"/>
      <c r="G63" s="166"/>
      <c r="H63" s="166"/>
      <c r="J63" s="166"/>
    </row>
    <row r="64" spans="2:10" ht="13.5">
      <c r="B64" s="166"/>
      <c r="C64" s="166"/>
      <c r="D64" s="166"/>
      <c r="E64" s="166"/>
      <c r="F64" s="166"/>
      <c r="G64" s="166"/>
      <c r="H64" s="166"/>
      <c r="J64" s="166"/>
    </row>
    <row r="65" spans="2:10" ht="13.5">
      <c r="B65" s="166"/>
      <c r="C65" s="166"/>
      <c r="D65" s="166"/>
      <c r="E65" s="166"/>
      <c r="F65" s="166"/>
      <c r="G65" s="166"/>
      <c r="H65" s="166"/>
      <c r="J65" s="166"/>
    </row>
    <row r="66" spans="2:10" ht="13.5">
      <c r="B66" s="166"/>
      <c r="C66" s="166"/>
      <c r="D66" s="166"/>
      <c r="E66" s="166"/>
      <c r="F66" s="166"/>
      <c r="G66" s="166"/>
      <c r="H66" s="166"/>
      <c r="J66" s="166"/>
    </row>
    <row r="67" spans="2:10" ht="13.5">
      <c r="B67" s="166"/>
      <c r="C67" s="166"/>
      <c r="D67" s="166"/>
      <c r="E67" s="166"/>
      <c r="F67" s="166"/>
      <c r="G67" s="166"/>
      <c r="H67" s="166"/>
      <c r="J67" s="166"/>
    </row>
  </sheetData>
  <sheetProtection/>
  <mergeCells count="11">
    <mergeCell ref="L3:M4"/>
    <mergeCell ref="N3:N5"/>
    <mergeCell ref="B4:C4"/>
    <mergeCell ref="D4:E4"/>
    <mergeCell ref="F4:G4"/>
    <mergeCell ref="A53:I53"/>
    <mergeCell ref="A2:G2"/>
    <mergeCell ref="A3:A5"/>
    <mergeCell ref="B3:G3"/>
    <mergeCell ref="H3:I4"/>
    <mergeCell ref="J3:K4"/>
  </mergeCells>
  <printOptions/>
  <pageMargins left="0.7874015748031497" right="0.6299212598425197" top="0.984251968503937" bottom="0.984251968503937" header="0.5118110236220472" footer="0.5118110236220472"/>
  <pageSetup horizontalDpi="600" verticalDpi="600" orientation="landscape" paperSize="9" scale="82" r:id="rId1"/>
  <headerFooter alignWithMargins="0">
    <oddFooter>&amp;R熊本国税局
消費税
（H27）</oddFooter>
  </headerFooter>
</worksheet>
</file>

<file path=xl/worksheets/sheet5.xml><?xml version="1.0" encoding="utf-8"?>
<worksheet xmlns="http://schemas.openxmlformats.org/spreadsheetml/2006/main" xmlns:r="http://schemas.openxmlformats.org/officeDocument/2006/relationships">
  <dimension ref="A1:N53"/>
  <sheetViews>
    <sheetView view="pageBreakPreview" zoomScaleSheetLayoutView="100" workbookViewId="0" topLeftCell="A1">
      <selection activeCell="A1" sqref="A1"/>
    </sheetView>
  </sheetViews>
  <sheetFormatPr defaultColWidth="9.00390625" defaultRowHeight="13.5"/>
  <cols>
    <col min="1" max="1" width="11.125" style="130" customWidth="1"/>
    <col min="2" max="2" width="10.625" style="130" customWidth="1"/>
    <col min="3" max="3" width="12.625" style="130" customWidth="1"/>
    <col min="4" max="4" width="10.625" style="130" customWidth="1"/>
    <col min="5" max="5" width="12.625" style="130" customWidth="1"/>
    <col min="6" max="6" width="10.625" style="130" customWidth="1"/>
    <col min="7" max="7" width="12.625" style="130" customWidth="1"/>
    <col min="8" max="8" width="10.625" style="130" customWidth="1"/>
    <col min="9" max="9" width="12.625" style="130" customWidth="1"/>
    <col min="10" max="10" width="10.625" style="130" customWidth="1"/>
    <col min="11" max="11" width="12.625" style="130" customWidth="1"/>
    <col min="12" max="12" width="10.625" style="130" customWidth="1"/>
    <col min="13" max="13" width="12.625" style="130" customWidth="1"/>
    <col min="14" max="14" width="11.375" style="130" customWidth="1"/>
    <col min="15" max="16384" width="9.00390625" style="130" customWidth="1"/>
  </cols>
  <sheetData>
    <row r="1" spans="1:13" ht="13.5">
      <c r="A1" s="71" t="s">
        <v>90</v>
      </c>
      <c r="B1" s="71"/>
      <c r="C1" s="71"/>
      <c r="D1" s="71"/>
      <c r="E1" s="71"/>
      <c r="F1" s="71"/>
      <c r="G1" s="71"/>
      <c r="H1" s="71"/>
      <c r="I1" s="71"/>
      <c r="J1" s="71"/>
      <c r="K1" s="71"/>
      <c r="L1" s="72"/>
      <c r="M1" s="72"/>
    </row>
    <row r="2" spans="1:13" ht="14.25" thickBot="1">
      <c r="A2" s="221" t="s">
        <v>91</v>
      </c>
      <c r="B2" s="221"/>
      <c r="C2" s="221"/>
      <c r="D2" s="221"/>
      <c r="E2" s="221"/>
      <c r="F2" s="221"/>
      <c r="G2" s="221"/>
      <c r="H2" s="221"/>
      <c r="I2" s="221"/>
      <c r="J2" s="97"/>
      <c r="K2" s="97"/>
      <c r="L2" s="72"/>
      <c r="M2" s="72"/>
    </row>
    <row r="3" spans="1:14" ht="19.5" customHeight="1">
      <c r="A3" s="212" t="s">
        <v>27</v>
      </c>
      <c r="B3" s="215" t="s">
        <v>28</v>
      </c>
      <c r="C3" s="215"/>
      <c r="D3" s="215"/>
      <c r="E3" s="215"/>
      <c r="F3" s="215"/>
      <c r="G3" s="215"/>
      <c r="H3" s="216" t="s">
        <v>12</v>
      </c>
      <c r="I3" s="217"/>
      <c r="J3" s="219" t="s">
        <v>29</v>
      </c>
      <c r="K3" s="217"/>
      <c r="L3" s="216" t="s">
        <v>30</v>
      </c>
      <c r="M3" s="217"/>
      <c r="N3" s="204" t="s">
        <v>92</v>
      </c>
    </row>
    <row r="4" spans="1:14" ht="17.25" customHeight="1">
      <c r="A4" s="213"/>
      <c r="B4" s="208" t="s">
        <v>15</v>
      </c>
      <c r="C4" s="209"/>
      <c r="D4" s="208" t="s">
        <v>32</v>
      </c>
      <c r="E4" s="209"/>
      <c r="F4" s="208" t="s">
        <v>33</v>
      </c>
      <c r="G4" s="209"/>
      <c r="H4" s="208"/>
      <c r="I4" s="218"/>
      <c r="J4" s="208"/>
      <c r="K4" s="218"/>
      <c r="L4" s="208"/>
      <c r="M4" s="218"/>
      <c r="N4" s="205"/>
    </row>
    <row r="5" spans="1:14" ht="28.5" customHeight="1">
      <c r="A5" s="214"/>
      <c r="B5" s="73" t="s">
        <v>34</v>
      </c>
      <c r="C5" s="74" t="s">
        <v>35</v>
      </c>
      <c r="D5" s="73" t="s">
        <v>34</v>
      </c>
      <c r="E5" s="74" t="s">
        <v>35</v>
      </c>
      <c r="F5" s="73" t="s">
        <v>34</v>
      </c>
      <c r="G5" s="75" t="s">
        <v>36</v>
      </c>
      <c r="H5" s="73" t="s">
        <v>34</v>
      </c>
      <c r="I5" s="76" t="s">
        <v>37</v>
      </c>
      <c r="J5" s="73" t="s">
        <v>34</v>
      </c>
      <c r="K5" s="76" t="s">
        <v>38</v>
      </c>
      <c r="L5" s="73" t="s">
        <v>34</v>
      </c>
      <c r="M5" s="77" t="s">
        <v>39</v>
      </c>
      <c r="N5" s="206"/>
    </row>
    <row r="6" spans="1:14" s="98" customFormat="1" ht="10.5">
      <c r="A6" s="78"/>
      <c r="B6" s="79" t="s">
        <v>4</v>
      </c>
      <c r="C6" s="80" t="s">
        <v>5</v>
      </c>
      <c r="D6" s="79" t="s">
        <v>4</v>
      </c>
      <c r="E6" s="80" t="s">
        <v>5</v>
      </c>
      <c r="F6" s="79" t="s">
        <v>4</v>
      </c>
      <c r="G6" s="80" t="s">
        <v>5</v>
      </c>
      <c r="H6" s="79" t="s">
        <v>4</v>
      </c>
      <c r="I6" s="81" t="s">
        <v>5</v>
      </c>
      <c r="J6" s="79" t="s">
        <v>4</v>
      </c>
      <c r="K6" s="81" t="s">
        <v>5</v>
      </c>
      <c r="L6" s="79" t="s">
        <v>4</v>
      </c>
      <c r="M6" s="81" t="s">
        <v>5</v>
      </c>
      <c r="N6" s="82"/>
    </row>
    <row r="7" spans="1:14" ht="15.75" customHeight="1">
      <c r="A7" s="84" t="s">
        <v>40</v>
      </c>
      <c r="B7" s="131">
        <f>_xlfn.COMPOUNDVALUE(145)</f>
        <v>5802</v>
      </c>
      <c r="C7" s="132">
        <v>33977510</v>
      </c>
      <c r="D7" s="131">
        <f>_xlfn.COMPOUNDVALUE(146)</f>
        <v>2521</v>
      </c>
      <c r="E7" s="132">
        <v>1489373</v>
      </c>
      <c r="F7" s="131">
        <f>_xlfn.COMPOUNDVALUE(147)</f>
        <v>8323</v>
      </c>
      <c r="G7" s="132">
        <v>35466883</v>
      </c>
      <c r="H7" s="131">
        <f>_xlfn.COMPOUNDVALUE(148)</f>
        <v>406</v>
      </c>
      <c r="I7" s="133">
        <v>1510731</v>
      </c>
      <c r="J7" s="131">
        <v>437</v>
      </c>
      <c r="K7" s="133">
        <v>73385</v>
      </c>
      <c r="L7" s="131">
        <v>8788</v>
      </c>
      <c r="M7" s="133">
        <v>34029536</v>
      </c>
      <c r="N7" s="85" t="s">
        <v>40</v>
      </c>
    </row>
    <row r="8" spans="1:14" ht="15.75" customHeight="1">
      <c r="A8" s="87" t="s">
        <v>41</v>
      </c>
      <c r="B8" s="136">
        <f>_xlfn.COMPOUNDVALUE(149)</f>
        <v>2561</v>
      </c>
      <c r="C8" s="137">
        <v>13952632</v>
      </c>
      <c r="D8" s="136">
        <f>_xlfn.COMPOUNDVALUE(150)</f>
        <v>1087</v>
      </c>
      <c r="E8" s="137">
        <v>653947</v>
      </c>
      <c r="F8" s="136">
        <f>_xlfn.COMPOUNDVALUE(151)</f>
        <v>3648</v>
      </c>
      <c r="G8" s="137">
        <v>14606578</v>
      </c>
      <c r="H8" s="136">
        <f>_xlfn.COMPOUNDVALUE(152)</f>
        <v>144</v>
      </c>
      <c r="I8" s="138">
        <v>1219329</v>
      </c>
      <c r="J8" s="136">
        <v>142</v>
      </c>
      <c r="K8" s="138">
        <v>30994</v>
      </c>
      <c r="L8" s="136">
        <v>3809</v>
      </c>
      <c r="M8" s="138">
        <v>13418243</v>
      </c>
      <c r="N8" s="88" t="s">
        <v>41</v>
      </c>
    </row>
    <row r="9" spans="1:14" ht="15.75" customHeight="1">
      <c r="A9" s="87" t="s">
        <v>119</v>
      </c>
      <c r="B9" s="136">
        <f>_xlfn.COMPOUNDVALUE(153)</f>
        <v>1432</v>
      </c>
      <c r="C9" s="137">
        <v>5884604</v>
      </c>
      <c r="D9" s="136">
        <f>_xlfn.COMPOUNDVALUE(154)</f>
        <v>668</v>
      </c>
      <c r="E9" s="137">
        <v>366835</v>
      </c>
      <c r="F9" s="136">
        <f>_xlfn.COMPOUNDVALUE(155)</f>
        <v>2100</v>
      </c>
      <c r="G9" s="137">
        <v>6251439</v>
      </c>
      <c r="H9" s="136">
        <f>_xlfn.COMPOUNDVALUE(156)</f>
        <v>69</v>
      </c>
      <c r="I9" s="138">
        <v>194668</v>
      </c>
      <c r="J9" s="136">
        <v>93</v>
      </c>
      <c r="K9" s="138">
        <v>14913</v>
      </c>
      <c r="L9" s="136">
        <v>2177</v>
      </c>
      <c r="M9" s="138">
        <v>6071684</v>
      </c>
      <c r="N9" s="88" t="s">
        <v>42</v>
      </c>
    </row>
    <row r="10" spans="1:14" ht="15.75" customHeight="1">
      <c r="A10" s="87" t="s">
        <v>120</v>
      </c>
      <c r="B10" s="136">
        <f>_xlfn.COMPOUNDVALUE(157)</f>
        <v>697</v>
      </c>
      <c r="C10" s="137">
        <v>3807306</v>
      </c>
      <c r="D10" s="136">
        <f>_xlfn.COMPOUNDVALUE(158)</f>
        <v>363</v>
      </c>
      <c r="E10" s="137">
        <v>217214</v>
      </c>
      <c r="F10" s="136">
        <f>_xlfn.COMPOUNDVALUE(159)</f>
        <v>1060</v>
      </c>
      <c r="G10" s="137">
        <v>4024520</v>
      </c>
      <c r="H10" s="136">
        <f>_xlfn.COMPOUNDVALUE(160)</f>
        <v>23</v>
      </c>
      <c r="I10" s="138">
        <v>35591</v>
      </c>
      <c r="J10" s="136">
        <v>28</v>
      </c>
      <c r="K10" s="138">
        <v>-11811</v>
      </c>
      <c r="L10" s="136">
        <v>1085</v>
      </c>
      <c r="M10" s="138">
        <v>3977118</v>
      </c>
      <c r="N10" s="88" t="s">
        <v>43</v>
      </c>
    </row>
    <row r="11" spans="1:14" ht="15.75" customHeight="1">
      <c r="A11" s="87" t="s">
        <v>121</v>
      </c>
      <c r="B11" s="136">
        <f>_xlfn.COMPOUNDVALUE(161)</f>
        <v>1053</v>
      </c>
      <c r="C11" s="137">
        <v>5061845</v>
      </c>
      <c r="D11" s="136">
        <f>_xlfn.COMPOUNDVALUE(162)</f>
        <v>455</v>
      </c>
      <c r="E11" s="137">
        <v>262806</v>
      </c>
      <c r="F11" s="136">
        <f>_xlfn.COMPOUNDVALUE(163)</f>
        <v>1508</v>
      </c>
      <c r="G11" s="137">
        <v>5324651</v>
      </c>
      <c r="H11" s="136">
        <f>_xlfn.COMPOUNDVALUE(164)</f>
        <v>71</v>
      </c>
      <c r="I11" s="138">
        <v>686645</v>
      </c>
      <c r="J11" s="136">
        <v>88</v>
      </c>
      <c r="K11" s="138">
        <v>19467</v>
      </c>
      <c r="L11" s="136">
        <v>1589</v>
      </c>
      <c r="M11" s="138">
        <v>4657473</v>
      </c>
      <c r="N11" s="88" t="s">
        <v>44</v>
      </c>
    </row>
    <row r="12" spans="1:14" ht="15.75" customHeight="1">
      <c r="A12" s="87" t="s">
        <v>122</v>
      </c>
      <c r="B12" s="136">
        <f>_xlfn.COMPOUNDVALUE(165)</f>
        <v>1012</v>
      </c>
      <c r="C12" s="137">
        <v>3723149</v>
      </c>
      <c r="D12" s="136">
        <f>_xlfn.COMPOUNDVALUE(166)</f>
        <v>449</v>
      </c>
      <c r="E12" s="137">
        <v>283283</v>
      </c>
      <c r="F12" s="136">
        <f>_xlfn.COMPOUNDVALUE(167)</f>
        <v>1461</v>
      </c>
      <c r="G12" s="137">
        <v>4006432</v>
      </c>
      <c r="H12" s="136">
        <f>_xlfn.COMPOUNDVALUE(168)</f>
        <v>57</v>
      </c>
      <c r="I12" s="138">
        <v>402298</v>
      </c>
      <c r="J12" s="136">
        <v>138</v>
      </c>
      <c r="K12" s="138">
        <v>6427</v>
      </c>
      <c r="L12" s="136">
        <v>1529</v>
      </c>
      <c r="M12" s="138">
        <v>3610561</v>
      </c>
      <c r="N12" s="88" t="s">
        <v>45</v>
      </c>
    </row>
    <row r="13" spans="1:14" ht="15.75" customHeight="1">
      <c r="A13" s="87" t="s">
        <v>123</v>
      </c>
      <c r="B13" s="136">
        <f>_xlfn.COMPOUNDVALUE(169)</f>
        <v>422</v>
      </c>
      <c r="C13" s="137">
        <v>1581630</v>
      </c>
      <c r="D13" s="136">
        <f>_xlfn.COMPOUNDVALUE(170)</f>
        <v>217</v>
      </c>
      <c r="E13" s="137">
        <v>112362</v>
      </c>
      <c r="F13" s="136">
        <f>_xlfn.COMPOUNDVALUE(171)</f>
        <v>639</v>
      </c>
      <c r="G13" s="137">
        <v>1693992</v>
      </c>
      <c r="H13" s="136">
        <f>_xlfn.COMPOUNDVALUE(172)</f>
        <v>21</v>
      </c>
      <c r="I13" s="138">
        <v>51040</v>
      </c>
      <c r="J13" s="136">
        <v>17</v>
      </c>
      <c r="K13" s="138">
        <v>579</v>
      </c>
      <c r="L13" s="136">
        <v>664</v>
      </c>
      <c r="M13" s="138">
        <v>1643531</v>
      </c>
      <c r="N13" s="88" t="s">
        <v>46</v>
      </c>
    </row>
    <row r="14" spans="1:14" ht="15.75" customHeight="1">
      <c r="A14" s="87" t="s">
        <v>124</v>
      </c>
      <c r="B14" s="136">
        <f>_xlfn.COMPOUNDVALUE(173)</f>
        <v>1287</v>
      </c>
      <c r="C14" s="137">
        <v>10396959</v>
      </c>
      <c r="D14" s="136">
        <f>_xlfn.COMPOUNDVALUE(174)</f>
        <v>488</v>
      </c>
      <c r="E14" s="137">
        <v>297049</v>
      </c>
      <c r="F14" s="136">
        <f>_xlfn.COMPOUNDVALUE(175)</f>
        <v>1775</v>
      </c>
      <c r="G14" s="137">
        <v>10694008</v>
      </c>
      <c r="H14" s="136">
        <f>_xlfn.COMPOUNDVALUE(176)</f>
        <v>101</v>
      </c>
      <c r="I14" s="138">
        <v>683089</v>
      </c>
      <c r="J14" s="136">
        <v>72</v>
      </c>
      <c r="K14" s="138">
        <v>13863</v>
      </c>
      <c r="L14" s="136">
        <v>1894</v>
      </c>
      <c r="M14" s="138">
        <v>10024782</v>
      </c>
      <c r="N14" s="88" t="s">
        <v>47</v>
      </c>
    </row>
    <row r="15" spans="1:14" ht="15.75" customHeight="1">
      <c r="A15" s="87" t="s">
        <v>125</v>
      </c>
      <c r="B15" s="136">
        <f>_xlfn.COMPOUNDVALUE(177)</f>
        <v>771</v>
      </c>
      <c r="C15" s="137">
        <v>3306668</v>
      </c>
      <c r="D15" s="136">
        <f>_xlfn.COMPOUNDVALUE(178)</f>
        <v>331</v>
      </c>
      <c r="E15" s="137">
        <v>197376</v>
      </c>
      <c r="F15" s="136">
        <f>_xlfn.COMPOUNDVALUE(179)</f>
        <v>1102</v>
      </c>
      <c r="G15" s="137">
        <v>3504045</v>
      </c>
      <c r="H15" s="136">
        <f>_xlfn.COMPOUNDVALUE(180)</f>
        <v>63</v>
      </c>
      <c r="I15" s="138">
        <v>298413</v>
      </c>
      <c r="J15" s="136">
        <v>42</v>
      </c>
      <c r="K15" s="138">
        <v>15049</v>
      </c>
      <c r="L15" s="136">
        <v>1169</v>
      </c>
      <c r="M15" s="138">
        <v>3220680</v>
      </c>
      <c r="N15" s="88" t="s">
        <v>48</v>
      </c>
    </row>
    <row r="16" spans="1:14" ht="15.75" customHeight="1">
      <c r="A16" s="87" t="s">
        <v>126</v>
      </c>
      <c r="B16" s="136">
        <f>_xlfn.COMPOUNDVALUE(181)</f>
        <v>632</v>
      </c>
      <c r="C16" s="137">
        <v>2545922</v>
      </c>
      <c r="D16" s="136">
        <f>_xlfn.COMPOUNDVALUE(182)</f>
        <v>270</v>
      </c>
      <c r="E16" s="137">
        <v>149218</v>
      </c>
      <c r="F16" s="136">
        <f>_xlfn.COMPOUNDVALUE(183)</f>
        <v>902</v>
      </c>
      <c r="G16" s="137">
        <v>2695140</v>
      </c>
      <c r="H16" s="136">
        <f>_xlfn.COMPOUNDVALUE(184)</f>
        <v>32</v>
      </c>
      <c r="I16" s="138">
        <v>166203</v>
      </c>
      <c r="J16" s="136">
        <v>41</v>
      </c>
      <c r="K16" s="138">
        <v>7175</v>
      </c>
      <c r="L16" s="136">
        <v>943</v>
      </c>
      <c r="M16" s="138">
        <v>2536111</v>
      </c>
      <c r="N16" s="88" t="s">
        <v>49</v>
      </c>
    </row>
    <row r="17" spans="1:14" ht="15.75" customHeight="1">
      <c r="A17" s="104" t="s">
        <v>147</v>
      </c>
      <c r="B17" s="139">
        <v>15669</v>
      </c>
      <c r="C17" s="140">
        <v>84238225</v>
      </c>
      <c r="D17" s="139">
        <v>6849</v>
      </c>
      <c r="E17" s="140">
        <v>4029463</v>
      </c>
      <c r="F17" s="139">
        <v>22518</v>
      </c>
      <c r="G17" s="140">
        <v>88267687</v>
      </c>
      <c r="H17" s="139">
        <v>987</v>
      </c>
      <c r="I17" s="141">
        <v>5248007</v>
      </c>
      <c r="J17" s="139">
        <v>1098</v>
      </c>
      <c r="K17" s="141">
        <v>170040</v>
      </c>
      <c r="L17" s="139">
        <v>23647</v>
      </c>
      <c r="M17" s="141">
        <v>83189720</v>
      </c>
      <c r="N17" s="105" t="s">
        <v>51</v>
      </c>
    </row>
    <row r="18" spans="1:14" ht="15.75" customHeight="1">
      <c r="A18" s="106"/>
      <c r="B18" s="146"/>
      <c r="C18" s="145"/>
      <c r="D18" s="146"/>
      <c r="E18" s="145"/>
      <c r="F18" s="144"/>
      <c r="G18" s="145"/>
      <c r="H18" s="144"/>
      <c r="I18" s="145"/>
      <c r="J18" s="144"/>
      <c r="K18" s="145"/>
      <c r="L18" s="144"/>
      <c r="M18" s="145"/>
      <c r="N18" s="107"/>
    </row>
    <row r="19" spans="1:14" ht="15.75" customHeight="1">
      <c r="A19" s="84" t="s">
        <v>52</v>
      </c>
      <c r="B19" s="131">
        <f>_xlfn.COMPOUNDVALUE(185)</f>
        <v>4908</v>
      </c>
      <c r="C19" s="132">
        <v>34568438</v>
      </c>
      <c r="D19" s="131">
        <f>_xlfn.COMPOUNDVALUE(186)</f>
        <v>2301</v>
      </c>
      <c r="E19" s="132">
        <v>1390607</v>
      </c>
      <c r="F19" s="131">
        <f>_xlfn.COMPOUNDVALUE(187)</f>
        <v>7209</v>
      </c>
      <c r="G19" s="132">
        <v>35959046</v>
      </c>
      <c r="H19" s="131">
        <f>_xlfn.COMPOUNDVALUE(188)</f>
        <v>303</v>
      </c>
      <c r="I19" s="133">
        <v>1914881</v>
      </c>
      <c r="J19" s="131">
        <v>397</v>
      </c>
      <c r="K19" s="133">
        <v>62029</v>
      </c>
      <c r="L19" s="131">
        <v>7544</v>
      </c>
      <c r="M19" s="133">
        <v>34106194</v>
      </c>
      <c r="N19" s="85" t="s">
        <v>52</v>
      </c>
    </row>
    <row r="20" spans="1:14" ht="15.75" customHeight="1">
      <c r="A20" s="84" t="s">
        <v>53</v>
      </c>
      <c r="B20" s="131">
        <f>_xlfn.COMPOUNDVALUE(189)</f>
        <v>1691</v>
      </c>
      <c r="C20" s="132">
        <v>9853851</v>
      </c>
      <c r="D20" s="131">
        <f>_xlfn.COMPOUNDVALUE(190)</f>
        <v>837</v>
      </c>
      <c r="E20" s="132">
        <v>463607</v>
      </c>
      <c r="F20" s="131">
        <f>_xlfn.COMPOUNDVALUE(191)</f>
        <v>2528</v>
      </c>
      <c r="G20" s="132">
        <v>10317458</v>
      </c>
      <c r="H20" s="131">
        <f>_xlfn.COMPOUNDVALUE(192)</f>
        <v>126</v>
      </c>
      <c r="I20" s="133">
        <v>515155</v>
      </c>
      <c r="J20" s="131">
        <v>123</v>
      </c>
      <c r="K20" s="133">
        <v>-4830</v>
      </c>
      <c r="L20" s="131">
        <v>2671</v>
      </c>
      <c r="M20" s="133">
        <v>9797473</v>
      </c>
      <c r="N20" s="85" t="s">
        <v>53</v>
      </c>
    </row>
    <row r="21" spans="1:14" ht="15.75" customHeight="1">
      <c r="A21" s="87" t="s">
        <v>127</v>
      </c>
      <c r="B21" s="136">
        <f>_xlfn.COMPOUNDVALUE(193)</f>
        <v>765</v>
      </c>
      <c r="C21" s="137">
        <v>5960725</v>
      </c>
      <c r="D21" s="136">
        <f>_xlfn.COMPOUNDVALUE(194)</f>
        <v>302</v>
      </c>
      <c r="E21" s="137">
        <v>166029</v>
      </c>
      <c r="F21" s="136">
        <f>_xlfn.COMPOUNDVALUE(195)</f>
        <v>1067</v>
      </c>
      <c r="G21" s="137">
        <v>6126754</v>
      </c>
      <c r="H21" s="136">
        <f>_xlfn.COMPOUNDVALUE(196)</f>
        <v>44</v>
      </c>
      <c r="I21" s="138">
        <v>71864</v>
      </c>
      <c r="J21" s="136">
        <v>46</v>
      </c>
      <c r="K21" s="138">
        <v>13112</v>
      </c>
      <c r="L21" s="136">
        <v>1115</v>
      </c>
      <c r="M21" s="138">
        <v>6068001</v>
      </c>
      <c r="N21" s="88" t="s">
        <v>54</v>
      </c>
    </row>
    <row r="22" spans="1:14" ht="15.75" customHeight="1">
      <c r="A22" s="87" t="s">
        <v>128</v>
      </c>
      <c r="B22" s="136">
        <f>_xlfn.COMPOUNDVALUE(197)</f>
        <v>978</v>
      </c>
      <c r="C22" s="137">
        <v>4210136</v>
      </c>
      <c r="D22" s="136">
        <f>_xlfn.COMPOUNDVALUE(198)</f>
        <v>433</v>
      </c>
      <c r="E22" s="137">
        <v>227068</v>
      </c>
      <c r="F22" s="136">
        <f>_xlfn.COMPOUNDVALUE(199)</f>
        <v>1411</v>
      </c>
      <c r="G22" s="137">
        <v>4437204</v>
      </c>
      <c r="H22" s="136">
        <f>_xlfn.COMPOUNDVALUE(200)</f>
        <v>48</v>
      </c>
      <c r="I22" s="138">
        <v>424693</v>
      </c>
      <c r="J22" s="136">
        <v>64</v>
      </c>
      <c r="K22" s="138">
        <v>-3316</v>
      </c>
      <c r="L22" s="136">
        <v>1466</v>
      </c>
      <c r="M22" s="138">
        <v>4009195</v>
      </c>
      <c r="N22" s="88" t="s">
        <v>55</v>
      </c>
    </row>
    <row r="23" spans="1:14" ht="15.75" customHeight="1">
      <c r="A23" s="87" t="s">
        <v>129</v>
      </c>
      <c r="B23" s="136">
        <f>_xlfn.COMPOUNDVALUE(201)</f>
        <v>779</v>
      </c>
      <c r="C23" s="137">
        <v>4183785</v>
      </c>
      <c r="D23" s="136">
        <f>_xlfn.COMPOUNDVALUE(202)</f>
        <v>316</v>
      </c>
      <c r="E23" s="137">
        <v>184035</v>
      </c>
      <c r="F23" s="136">
        <f>_xlfn.COMPOUNDVALUE(203)</f>
        <v>1095</v>
      </c>
      <c r="G23" s="137">
        <v>4367820</v>
      </c>
      <c r="H23" s="136">
        <f>_xlfn.COMPOUNDVALUE(204)</f>
        <v>55</v>
      </c>
      <c r="I23" s="138">
        <v>373066</v>
      </c>
      <c r="J23" s="136">
        <v>65</v>
      </c>
      <c r="K23" s="138">
        <v>-1915</v>
      </c>
      <c r="L23" s="136">
        <v>1150</v>
      </c>
      <c r="M23" s="138">
        <v>3992839</v>
      </c>
      <c r="N23" s="88" t="s">
        <v>56</v>
      </c>
    </row>
    <row r="24" spans="1:14" ht="15.75" customHeight="1">
      <c r="A24" s="87" t="s">
        <v>130</v>
      </c>
      <c r="B24" s="136">
        <f>_xlfn.COMPOUNDVALUE(205)</f>
        <v>518</v>
      </c>
      <c r="C24" s="137">
        <v>5162585</v>
      </c>
      <c r="D24" s="136">
        <f>_xlfn.COMPOUNDVALUE(206)</f>
        <v>274</v>
      </c>
      <c r="E24" s="137">
        <v>165392</v>
      </c>
      <c r="F24" s="136">
        <f>_xlfn.COMPOUNDVALUE(207)</f>
        <v>792</v>
      </c>
      <c r="G24" s="137">
        <v>5327977</v>
      </c>
      <c r="H24" s="136">
        <f>_xlfn.COMPOUNDVALUE(208)</f>
        <v>40</v>
      </c>
      <c r="I24" s="138">
        <v>2490424</v>
      </c>
      <c r="J24" s="136">
        <v>25</v>
      </c>
      <c r="K24" s="138">
        <v>1439</v>
      </c>
      <c r="L24" s="136">
        <v>832</v>
      </c>
      <c r="M24" s="138">
        <v>2838993</v>
      </c>
      <c r="N24" s="88" t="s">
        <v>57</v>
      </c>
    </row>
    <row r="25" spans="1:14" ht="15.75" customHeight="1">
      <c r="A25" s="87" t="s">
        <v>131</v>
      </c>
      <c r="B25" s="136">
        <f>_xlfn.COMPOUNDVALUE(209)</f>
        <v>276</v>
      </c>
      <c r="C25" s="137">
        <v>915623</v>
      </c>
      <c r="D25" s="136">
        <f>_xlfn.COMPOUNDVALUE(210)</f>
        <v>121</v>
      </c>
      <c r="E25" s="137">
        <v>58727</v>
      </c>
      <c r="F25" s="136">
        <f>_xlfn.COMPOUNDVALUE(211)</f>
        <v>397</v>
      </c>
      <c r="G25" s="137">
        <v>974351</v>
      </c>
      <c r="H25" s="136">
        <f>_xlfn.COMPOUNDVALUE(212)</f>
        <v>10</v>
      </c>
      <c r="I25" s="138">
        <v>22083</v>
      </c>
      <c r="J25" s="136">
        <v>27</v>
      </c>
      <c r="K25" s="138">
        <v>-2868</v>
      </c>
      <c r="L25" s="136">
        <v>411</v>
      </c>
      <c r="M25" s="138">
        <v>949399</v>
      </c>
      <c r="N25" s="88" t="s">
        <v>58</v>
      </c>
    </row>
    <row r="26" spans="1:14" ht="15.75" customHeight="1">
      <c r="A26" s="87" t="s">
        <v>132</v>
      </c>
      <c r="B26" s="136">
        <f>_xlfn.COMPOUNDVALUE(213)</f>
        <v>684</v>
      </c>
      <c r="C26" s="137">
        <v>5752283</v>
      </c>
      <c r="D26" s="136">
        <f>_xlfn.COMPOUNDVALUE(214)</f>
        <v>341</v>
      </c>
      <c r="E26" s="137">
        <v>183779</v>
      </c>
      <c r="F26" s="136">
        <f>_xlfn.COMPOUNDVALUE(215)</f>
        <v>1025</v>
      </c>
      <c r="G26" s="137">
        <v>5936062</v>
      </c>
      <c r="H26" s="136">
        <f>_xlfn.COMPOUNDVALUE(216)</f>
        <v>70</v>
      </c>
      <c r="I26" s="138">
        <v>208929</v>
      </c>
      <c r="J26" s="136">
        <v>47</v>
      </c>
      <c r="K26" s="138">
        <v>1841</v>
      </c>
      <c r="L26" s="136">
        <v>1095</v>
      </c>
      <c r="M26" s="138">
        <v>5728973</v>
      </c>
      <c r="N26" s="88" t="s">
        <v>59</v>
      </c>
    </row>
    <row r="27" spans="1:14" ht="15.75" customHeight="1">
      <c r="A27" s="87" t="s">
        <v>133</v>
      </c>
      <c r="B27" s="136">
        <f>_xlfn.COMPOUNDVALUE(217)</f>
        <v>287</v>
      </c>
      <c r="C27" s="137">
        <v>914945</v>
      </c>
      <c r="D27" s="136">
        <f>_xlfn.COMPOUNDVALUE(218)</f>
        <v>132</v>
      </c>
      <c r="E27" s="137">
        <v>71787</v>
      </c>
      <c r="F27" s="136">
        <f>_xlfn.COMPOUNDVALUE(219)</f>
        <v>419</v>
      </c>
      <c r="G27" s="137">
        <v>986732</v>
      </c>
      <c r="H27" s="136">
        <f>_xlfn.COMPOUNDVALUE(220)</f>
        <v>22</v>
      </c>
      <c r="I27" s="138">
        <v>43665</v>
      </c>
      <c r="J27" s="136">
        <v>22</v>
      </c>
      <c r="K27" s="138">
        <v>32719</v>
      </c>
      <c r="L27" s="136">
        <v>442</v>
      </c>
      <c r="M27" s="138">
        <v>975786</v>
      </c>
      <c r="N27" s="88" t="s">
        <v>60</v>
      </c>
    </row>
    <row r="28" spans="1:14" ht="15.75" customHeight="1">
      <c r="A28" s="104" t="s">
        <v>148</v>
      </c>
      <c r="B28" s="139">
        <v>10886</v>
      </c>
      <c r="C28" s="140">
        <v>71522371</v>
      </c>
      <c r="D28" s="139">
        <v>5057</v>
      </c>
      <c r="E28" s="140">
        <v>2911031</v>
      </c>
      <c r="F28" s="139">
        <v>15943</v>
      </c>
      <c r="G28" s="140">
        <v>74433403</v>
      </c>
      <c r="H28" s="139">
        <v>718</v>
      </c>
      <c r="I28" s="141">
        <v>6064761</v>
      </c>
      <c r="J28" s="139">
        <v>816</v>
      </c>
      <c r="K28" s="141">
        <v>98212</v>
      </c>
      <c r="L28" s="139">
        <v>16726</v>
      </c>
      <c r="M28" s="141">
        <v>68466853</v>
      </c>
      <c r="N28" s="105" t="s">
        <v>62</v>
      </c>
    </row>
    <row r="29" spans="1:14" ht="15.75" customHeight="1">
      <c r="A29" s="106"/>
      <c r="B29" s="146"/>
      <c r="C29" s="145"/>
      <c r="D29" s="146"/>
      <c r="E29" s="145"/>
      <c r="F29" s="144"/>
      <c r="G29" s="145"/>
      <c r="H29" s="144"/>
      <c r="I29" s="145"/>
      <c r="J29" s="144"/>
      <c r="K29" s="145"/>
      <c r="L29" s="144"/>
      <c r="M29" s="145"/>
      <c r="N29" s="107"/>
    </row>
    <row r="30" spans="1:14" ht="15.75" customHeight="1">
      <c r="A30" s="84" t="s">
        <v>134</v>
      </c>
      <c r="B30" s="131">
        <f>_xlfn.COMPOUNDVALUE(221)</f>
        <v>3823</v>
      </c>
      <c r="C30" s="132">
        <v>23646732</v>
      </c>
      <c r="D30" s="131">
        <f>_xlfn.COMPOUNDVALUE(222)</f>
        <v>1634</v>
      </c>
      <c r="E30" s="132">
        <v>1016500</v>
      </c>
      <c r="F30" s="131">
        <f>_xlfn.COMPOUNDVALUE(223)</f>
        <v>5457</v>
      </c>
      <c r="G30" s="132">
        <v>24663233</v>
      </c>
      <c r="H30" s="131">
        <f>_xlfn.COMPOUNDVALUE(224)</f>
        <v>225</v>
      </c>
      <c r="I30" s="133">
        <v>1142038</v>
      </c>
      <c r="J30" s="131">
        <v>324</v>
      </c>
      <c r="K30" s="133">
        <v>-151406</v>
      </c>
      <c r="L30" s="131">
        <v>5739</v>
      </c>
      <c r="M30" s="133">
        <v>23369788</v>
      </c>
      <c r="N30" s="85" t="s">
        <v>63</v>
      </c>
    </row>
    <row r="31" spans="1:14" ht="15.75" customHeight="1">
      <c r="A31" s="87" t="s">
        <v>135</v>
      </c>
      <c r="B31" s="136">
        <f>_xlfn.COMPOUNDVALUE(225)</f>
        <v>1641</v>
      </c>
      <c r="C31" s="137">
        <v>11236751</v>
      </c>
      <c r="D31" s="136">
        <f>_xlfn.COMPOUNDVALUE(226)</f>
        <v>626</v>
      </c>
      <c r="E31" s="137">
        <v>392344</v>
      </c>
      <c r="F31" s="136">
        <f>_xlfn.COMPOUNDVALUE(227)</f>
        <v>2267</v>
      </c>
      <c r="G31" s="137">
        <v>11629095</v>
      </c>
      <c r="H31" s="136">
        <f>_xlfn.COMPOUNDVALUE(228)</f>
        <v>100</v>
      </c>
      <c r="I31" s="138">
        <v>298637</v>
      </c>
      <c r="J31" s="136">
        <v>141</v>
      </c>
      <c r="K31" s="138">
        <v>24356</v>
      </c>
      <c r="L31" s="136">
        <v>2383</v>
      </c>
      <c r="M31" s="138">
        <v>11354815</v>
      </c>
      <c r="N31" s="88" t="s">
        <v>64</v>
      </c>
    </row>
    <row r="32" spans="1:14" ht="15.75" customHeight="1">
      <c r="A32" s="87" t="s">
        <v>136</v>
      </c>
      <c r="B32" s="136">
        <f>_xlfn.COMPOUNDVALUE(229)</f>
        <v>1987</v>
      </c>
      <c r="C32" s="137">
        <v>10404099</v>
      </c>
      <c r="D32" s="136">
        <f>_xlfn.COMPOUNDVALUE(230)</f>
        <v>829</v>
      </c>
      <c r="E32" s="137">
        <v>490390</v>
      </c>
      <c r="F32" s="136">
        <f>_xlfn.COMPOUNDVALUE(231)</f>
        <v>2816</v>
      </c>
      <c r="G32" s="137">
        <v>10894489</v>
      </c>
      <c r="H32" s="136">
        <f>_xlfn.COMPOUNDVALUE(232)</f>
        <v>94</v>
      </c>
      <c r="I32" s="138">
        <v>273622</v>
      </c>
      <c r="J32" s="136">
        <v>75</v>
      </c>
      <c r="K32" s="138">
        <v>18309</v>
      </c>
      <c r="L32" s="136">
        <v>2921</v>
      </c>
      <c r="M32" s="138">
        <v>10639176</v>
      </c>
      <c r="N32" s="88" t="s">
        <v>65</v>
      </c>
    </row>
    <row r="33" spans="1:14" ht="15.75" customHeight="1">
      <c r="A33" s="87" t="s">
        <v>137</v>
      </c>
      <c r="B33" s="136">
        <f>_xlfn.COMPOUNDVALUE(233)</f>
        <v>574</v>
      </c>
      <c r="C33" s="137">
        <v>2666161</v>
      </c>
      <c r="D33" s="136">
        <f>_xlfn.COMPOUNDVALUE(234)</f>
        <v>317</v>
      </c>
      <c r="E33" s="137">
        <v>184584</v>
      </c>
      <c r="F33" s="136">
        <f>_xlfn.COMPOUNDVALUE(235)</f>
        <v>891</v>
      </c>
      <c r="G33" s="137">
        <v>2850745</v>
      </c>
      <c r="H33" s="136">
        <f>_xlfn.COMPOUNDVALUE(236)</f>
        <v>42</v>
      </c>
      <c r="I33" s="138">
        <v>167687</v>
      </c>
      <c r="J33" s="136">
        <v>30</v>
      </c>
      <c r="K33" s="138">
        <v>10692</v>
      </c>
      <c r="L33" s="136">
        <v>941</v>
      </c>
      <c r="M33" s="138">
        <v>2693749</v>
      </c>
      <c r="N33" s="88" t="s">
        <v>66</v>
      </c>
    </row>
    <row r="34" spans="1:14" ht="15.75" customHeight="1">
      <c r="A34" s="87" t="s">
        <v>138</v>
      </c>
      <c r="B34" s="136">
        <f>_xlfn.COMPOUNDVALUE(237)</f>
        <v>585</v>
      </c>
      <c r="C34" s="137">
        <v>2514358</v>
      </c>
      <c r="D34" s="136">
        <f>_xlfn.COMPOUNDVALUE(238)</f>
        <v>271</v>
      </c>
      <c r="E34" s="137">
        <v>157784</v>
      </c>
      <c r="F34" s="136">
        <f>_xlfn.COMPOUNDVALUE(239)</f>
        <v>856</v>
      </c>
      <c r="G34" s="137">
        <v>2672142</v>
      </c>
      <c r="H34" s="136">
        <f>_xlfn.COMPOUNDVALUE(240)</f>
        <v>52</v>
      </c>
      <c r="I34" s="138">
        <v>94242</v>
      </c>
      <c r="J34" s="136">
        <v>34</v>
      </c>
      <c r="K34" s="138">
        <v>4285</v>
      </c>
      <c r="L34" s="136">
        <v>918</v>
      </c>
      <c r="M34" s="138">
        <v>2582185</v>
      </c>
      <c r="N34" s="88" t="s">
        <v>67</v>
      </c>
    </row>
    <row r="35" spans="1:14" ht="15.75" customHeight="1">
      <c r="A35" s="87" t="s">
        <v>139</v>
      </c>
      <c r="B35" s="136">
        <f>_xlfn.COMPOUNDVALUE(241)</f>
        <v>777</v>
      </c>
      <c r="C35" s="137">
        <v>4256796</v>
      </c>
      <c r="D35" s="136">
        <f>_xlfn.COMPOUNDVALUE(242)</f>
        <v>306</v>
      </c>
      <c r="E35" s="137">
        <v>174820</v>
      </c>
      <c r="F35" s="136">
        <f>_xlfn.COMPOUNDVALUE(243)</f>
        <v>1083</v>
      </c>
      <c r="G35" s="137">
        <v>4431615</v>
      </c>
      <c r="H35" s="136">
        <f>_xlfn.COMPOUNDVALUE(244)</f>
        <v>61</v>
      </c>
      <c r="I35" s="138">
        <v>476384</v>
      </c>
      <c r="J35" s="136">
        <v>75</v>
      </c>
      <c r="K35" s="138">
        <v>9659</v>
      </c>
      <c r="L35" s="136">
        <v>1153</v>
      </c>
      <c r="M35" s="138">
        <v>3964890</v>
      </c>
      <c r="N35" s="88" t="s">
        <v>68</v>
      </c>
    </row>
    <row r="36" spans="1:14" ht="15.75" customHeight="1">
      <c r="A36" s="104" t="s">
        <v>149</v>
      </c>
      <c r="B36" s="139">
        <v>9387</v>
      </c>
      <c r="C36" s="140">
        <v>54724897</v>
      </c>
      <c r="D36" s="139">
        <v>3983</v>
      </c>
      <c r="E36" s="140">
        <v>2416422</v>
      </c>
      <c r="F36" s="139">
        <v>13370</v>
      </c>
      <c r="G36" s="140">
        <v>57141319</v>
      </c>
      <c r="H36" s="139">
        <v>574</v>
      </c>
      <c r="I36" s="141">
        <v>2452610</v>
      </c>
      <c r="J36" s="139">
        <v>679</v>
      </c>
      <c r="K36" s="141">
        <v>-84106</v>
      </c>
      <c r="L36" s="139">
        <v>14055</v>
      </c>
      <c r="M36" s="141">
        <v>54604603</v>
      </c>
      <c r="N36" s="105" t="s">
        <v>70</v>
      </c>
    </row>
    <row r="37" spans="1:14" ht="15.75" customHeight="1">
      <c r="A37" s="110"/>
      <c r="B37" s="146"/>
      <c r="C37" s="145"/>
      <c r="D37" s="146"/>
      <c r="E37" s="145"/>
      <c r="F37" s="144"/>
      <c r="G37" s="145"/>
      <c r="H37" s="144"/>
      <c r="I37" s="145"/>
      <c r="J37" s="144"/>
      <c r="K37" s="145"/>
      <c r="L37" s="144"/>
      <c r="M37" s="145"/>
      <c r="N37" s="107"/>
    </row>
    <row r="38" spans="1:14" ht="15.75" customHeight="1">
      <c r="A38" s="84" t="s">
        <v>150</v>
      </c>
      <c r="B38" s="131">
        <f>_xlfn.COMPOUNDVALUE(245)</f>
        <v>6063</v>
      </c>
      <c r="C38" s="132">
        <v>46765495</v>
      </c>
      <c r="D38" s="131">
        <f>_xlfn.COMPOUNDVALUE(246)</f>
        <v>2693</v>
      </c>
      <c r="E38" s="132">
        <v>1555606</v>
      </c>
      <c r="F38" s="131">
        <f>_xlfn.COMPOUNDVALUE(247)</f>
        <v>8756</v>
      </c>
      <c r="G38" s="132">
        <v>48321101</v>
      </c>
      <c r="H38" s="131">
        <f>_xlfn.COMPOUNDVALUE(248)</f>
        <v>382</v>
      </c>
      <c r="I38" s="133">
        <v>2133631</v>
      </c>
      <c r="J38" s="131">
        <v>512</v>
      </c>
      <c r="K38" s="133">
        <v>-6061</v>
      </c>
      <c r="L38" s="131">
        <v>9198</v>
      </c>
      <c r="M38" s="133">
        <v>46181408</v>
      </c>
      <c r="N38" s="85" t="s">
        <v>72</v>
      </c>
    </row>
    <row r="39" spans="1:14" ht="15.75" customHeight="1">
      <c r="A39" s="84" t="s">
        <v>140</v>
      </c>
      <c r="B39" s="131">
        <f>_xlfn.COMPOUNDVALUE(249)</f>
        <v>931</v>
      </c>
      <c r="C39" s="132">
        <v>4106695</v>
      </c>
      <c r="D39" s="131">
        <f>_xlfn.COMPOUNDVALUE(250)</f>
        <v>478</v>
      </c>
      <c r="E39" s="132">
        <v>282902</v>
      </c>
      <c r="F39" s="131">
        <f>_xlfn.COMPOUNDVALUE(251)</f>
        <v>1409</v>
      </c>
      <c r="G39" s="132">
        <v>4389597</v>
      </c>
      <c r="H39" s="131">
        <f>_xlfn.COMPOUNDVALUE(252)</f>
        <v>74</v>
      </c>
      <c r="I39" s="133">
        <v>240335</v>
      </c>
      <c r="J39" s="131">
        <v>46</v>
      </c>
      <c r="K39" s="133">
        <v>6115</v>
      </c>
      <c r="L39" s="131">
        <v>1489</v>
      </c>
      <c r="M39" s="133">
        <v>4155377</v>
      </c>
      <c r="N39" s="85" t="s">
        <v>73</v>
      </c>
    </row>
    <row r="40" spans="1:14" ht="15.75" customHeight="1">
      <c r="A40" s="84" t="s">
        <v>141</v>
      </c>
      <c r="B40" s="131">
        <f>_xlfn.COMPOUNDVALUE(253)</f>
        <v>1278</v>
      </c>
      <c r="C40" s="132">
        <v>5938918</v>
      </c>
      <c r="D40" s="131">
        <f>_xlfn.COMPOUNDVALUE(254)</f>
        <v>561</v>
      </c>
      <c r="E40" s="132">
        <v>335319</v>
      </c>
      <c r="F40" s="131">
        <f>_xlfn.COMPOUNDVALUE(255)</f>
        <v>1839</v>
      </c>
      <c r="G40" s="132">
        <v>6274237</v>
      </c>
      <c r="H40" s="131">
        <f>_xlfn.COMPOUNDVALUE(256)</f>
        <v>110</v>
      </c>
      <c r="I40" s="133">
        <v>393774</v>
      </c>
      <c r="J40" s="131">
        <v>93</v>
      </c>
      <c r="K40" s="133">
        <v>12844</v>
      </c>
      <c r="L40" s="131">
        <v>1961</v>
      </c>
      <c r="M40" s="133">
        <v>5893307</v>
      </c>
      <c r="N40" s="85" t="s">
        <v>74</v>
      </c>
    </row>
    <row r="41" spans="1:14" ht="15.75" customHeight="1">
      <c r="A41" s="84" t="s">
        <v>142</v>
      </c>
      <c r="B41" s="131">
        <f>_xlfn.COMPOUNDVALUE(257)</f>
        <v>1086</v>
      </c>
      <c r="C41" s="132">
        <v>3452155</v>
      </c>
      <c r="D41" s="131">
        <f>_xlfn.COMPOUNDVALUE(258)</f>
        <v>456</v>
      </c>
      <c r="E41" s="132">
        <v>251068</v>
      </c>
      <c r="F41" s="131">
        <f>_xlfn.COMPOUNDVALUE(259)</f>
        <v>1542</v>
      </c>
      <c r="G41" s="132">
        <v>3703223</v>
      </c>
      <c r="H41" s="131">
        <f>_xlfn.COMPOUNDVALUE(260)</f>
        <v>72</v>
      </c>
      <c r="I41" s="133">
        <v>222999</v>
      </c>
      <c r="J41" s="131">
        <v>136</v>
      </c>
      <c r="K41" s="133">
        <v>28991</v>
      </c>
      <c r="L41" s="131">
        <v>1646</v>
      </c>
      <c r="M41" s="133">
        <v>3509215</v>
      </c>
      <c r="N41" s="85" t="s">
        <v>75</v>
      </c>
    </row>
    <row r="42" spans="1:14" ht="15.75" customHeight="1">
      <c r="A42" s="87" t="s">
        <v>143</v>
      </c>
      <c r="B42" s="136">
        <f>_xlfn.COMPOUNDVALUE(261)</f>
        <v>702</v>
      </c>
      <c r="C42" s="137">
        <v>4020319</v>
      </c>
      <c r="D42" s="136">
        <f>_xlfn.COMPOUNDVALUE(262)</f>
        <v>279</v>
      </c>
      <c r="E42" s="137">
        <v>157007</v>
      </c>
      <c r="F42" s="136">
        <f>_xlfn.COMPOUNDVALUE(263)</f>
        <v>981</v>
      </c>
      <c r="G42" s="137">
        <v>4177326</v>
      </c>
      <c r="H42" s="136">
        <f>_xlfn.COMPOUNDVALUE(264)</f>
        <v>66</v>
      </c>
      <c r="I42" s="138">
        <v>219979</v>
      </c>
      <c r="J42" s="136">
        <v>42</v>
      </c>
      <c r="K42" s="138">
        <v>45531</v>
      </c>
      <c r="L42" s="136">
        <v>1052</v>
      </c>
      <c r="M42" s="138">
        <v>4002878</v>
      </c>
      <c r="N42" s="88" t="s">
        <v>76</v>
      </c>
    </row>
    <row r="43" spans="1:14" ht="15.75" customHeight="1">
      <c r="A43" s="87" t="s">
        <v>144</v>
      </c>
      <c r="B43" s="136">
        <f>_xlfn.COMPOUNDVALUE(265)</f>
        <v>325</v>
      </c>
      <c r="C43" s="137">
        <v>1372315</v>
      </c>
      <c r="D43" s="136">
        <f>_xlfn.COMPOUNDVALUE(266)</f>
        <v>201</v>
      </c>
      <c r="E43" s="137">
        <v>98815</v>
      </c>
      <c r="F43" s="136">
        <f>_xlfn.COMPOUNDVALUE(267)</f>
        <v>526</v>
      </c>
      <c r="G43" s="137">
        <v>1471130</v>
      </c>
      <c r="H43" s="136">
        <f>_xlfn.COMPOUNDVALUE(268)</f>
        <v>34</v>
      </c>
      <c r="I43" s="138">
        <v>135772</v>
      </c>
      <c r="J43" s="136">
        <v>11</v>
      </c>
      <c r="K43" s="138">
        <v>2161</v>
      </c>
      <c r="L43" s="136">
        <v>560</v>
      </c>
      <c r="M43" s="138">
        <v>1337519</v>
      </c>
      <c r="N43" s="88" t="s">
        <v>77</v>
      </c>
    </row>
    <row r="44" spans="1:14" ht="15.75" customHeight="1">
      <c r="A44" s="87" t="s">
        <v>151</v>
      </c>
      <c r="B44" s="136">
        <f>_xlfn.COMPOUNDVALUE(269)</f>
        <v>397</v>
      </c>
      <c r="C44" s="137">
        <v>1336144</v>
      </c>
      <c r="D44" s="136">
        <f>_xlfn.COMPOUNDVALUE(270)</f>
        <v>158</v>
      </c>
      <c r="E44" s="137">
        <v>89093</v>
      </c>
      <c r="F44" s="136">
        <f>_xlfn.COMPOUNDVALUE(271)</f>
        <v>555</v>
      </c>
      <c r="G44" s="137">
        <v>1425238</v>
      </c>
      <c r="H44" s="136">
        <f>_xlfn.COMPOUNDVALUE(272)</f>
        <v>20</v>
      </c>
      <c r="I44" s="138">
        <v>55946</v>
      </c>
      <c r="J44" s="136">
        <v>31</v>
      </c>
      <c r="K44" s="138">
        <v>-499</v>
      </c>
      <c r="L44" s="136">
        <v>579</v>
      </c>
      <c r="M44" s="138">
        <v>1368792</v>
      </c>
      <c r="N44" s="88" t="s">
        <v>79</v>
      </c>
    </row>
    <row r="45" spans="1:14" ht="15.75" customHeight="1">
      <c r="A45" s="87" t="s">
        <v>145</v>
      </c>
      <c r="B45" s="136">
        <f>_xlfn.COMPOUNDVALUE(273)</f>
        <v>792</v>
      </c>
      <c r="C45" s="137">
        <v>3725875</v>
      </c>
      <c r="D45" s="136">
        <f>_xlfn.COMPOUNDVALUE(274)</f>
        <v>366</v>
      </c>
      <c r="E45" s="137">
        <v>218546</v>
      </c>
      <c r="F45" s="136">
        <f>_xlfn.COMPOUNDVALUE(275)</f>
        <v>1158</v>
      </c>
      <c r="G45" s="137">
        <v>3944421</v>
      </c>
      <c r="H45" s="136">
        <f>_xlfn.COMPOUNDVALUE(276)</f>
        <v>70</v>
      </c>
      <c r="I45" s="138">
        <v>263532</v>
      </c>
      <c r="J45" s="136">
        <v>65</v>
      </c>
      <c r="K45" s="138">
        <v>3263</v>
      </c>
      <c r="L45" s="136">
        <v>1232</v>
      </c>
      <c r="M45" s="138">
        <v>3684152</v>
      </c>
      <c r="N45" s="88" t="s">
        <v>80</v>
      </c>
    </row>
    <row r="46" spans="1:14" ht="15.75" customHeight="1">
      <c r="A46" s="87" t="s">
        <v>152</v>
      </c>
      <c r="B46" s="136">
        <f>_xlfn.COMPOUNDVALUE(277)</f>
        <v>614</v>
      </c>
      <c r="C46" s="137">
        <v>4042234</v>
      </c>
      <c r="D46" s="136">
        <f>_xlfn.COMPOUNDVALUE(278)</f>
        <v>281</v>
      </c>
      <c r="E46" s="137">
        <v>152424</v>
      </c>
      <c r="F46" s="136">
        <f>_xlfn.COMPOUNDVALUE(279)</f>
        <v>895</v>
      </c>
      <c r="G46" s="137">
        <v>4194658</v>
      </c>
      <c r="H46" s="136">
        <f>_xlfn.COMPOUNDVALUE(280)</f>
        <v>55</v>
      </c>
      <c r="I46" s="138">
        <v>463703</v>
      </c>
      <c r="J46" s="136">
        <v>29</v>
      </c>
      <c r="K46" s="138">
        <v>11506</v>
      </c>
      <c r="L46" s="136">
        <v>956</v>
      </c>
      <c r="M46" s="138">
        <v>3742461</v>
      </c>
      <c r="N46" s="88" t="s">
        <v>82</v>
      </c>
    </row>
    <row r="47" spans="1:14" ht="15.75" customHeight="1">
      <c r="A47" s="87" t="s">
        <v>153</v>
      </c>
      <c r="B47" s="136">
        <f>_xlfn.COMPOUNDVALUE(281)</f>
        <v>1515</v>
      </c>
      <c r="C47" s="137">
        <v>7595967</v>
      </c>
      <c r="D47" s="136">
        <f>_xlfn.COMPOUNDVALUE(282)</f>
        <v>764</v>
      </c>
      <c r="E47" s="137">
        <v>408406</v>
      </c>
      <c r="F47" s="136">
        <f>_xlfn.COMPOUNDVALUE(283)</f>
        <v>2279</v>
      </c>
      <c r="G47" s="137">
        <v>8004373</v>
      </c>
      <c r="H47" s="136">
        <f>_xlfn.COMPOUNDVALUE(284)</f>
        <v>83</v>
      </c>
      <c r="I47" s="138">
        <v>452256</v>
      </c>
      <c r="J47" s="136">
        <v>77</v>
      </c>
      <c r="K47" s="138">
        <v>5325</v>
      </c>
      <c r="L47" s="136">
        <v>2371</v>
      </c>
      <c r="M47" s="138">
        <v>7557442</v>
      </c>
      <c r="N47" s="88" t="s">
        <v>84</v>
      </c>
    </row>
    <row r="48" spans="1:14" ht="15.75" customHeight="1">
      <c r="A48" s="87" t="s">
        <v>146</v>
      </c>
      <c r="B48" s="136">
        <f>_xlfn.COMPOUNDVALUE(285)</f>
        <v>728</v>
      </c>
      <c r="C48" s="137">
        <v>3959013</v>
      </c>
      <c r="D48" s="136">
        <f>_xlfn.COMPOUNDVALUE(286)</f>
        <v>256</v>
      </c>
      <c r="E48" s="137">
        <v>154277</v>
      </c>
      <c r="F48" s="136">
        <f>_xlfn.COMPOUNDVALUE(287)</f>
        <v>984</v>
      </c>
      <c r="G48" s="137">
        <v>4113289</v>
      </c>
      <c r="H48" s="136">
        <f>_xlfn.COMPOUNDVALUE(288)</f>
        <v>45</v>
      </c>
      <c r="I48" s="138">
        <v>240705</v>
      </c>
      <c r="J48" s="136">
        <v>57</v>
      </c>
      <c r="K48" s="138">
        <v>21727</v>
      </c>
      <c r="L48" s="136">
        <v>1037</v>
      </c>
      <c r="M48" s="138">
        <v>3894311</v>
      </c>
      <c r="N48" s="88" t="s">
        <v>85</v>
      </c>
    </row>
    <row r="49" spans="1:14" ht="15.75" customHeight="1">
      <c r="A49" s="104" t="s">
        <v>154</v>
      </c>
      <c r="B49" s="139">
        <v>14431</v>
      </c>
      <c r="C49" s="140">
        <v>86315129</v>
      </c>
      <c r="D49" s="139">
        <v>6493</v>
      </c>
      <c r="E49" s="140">
        <v>3703463</v>
      </c>
      <c r="F49" s="139">
        <v>20924</v>
      </c>
      <c r="G49" s="140">
        <v>90018593</v>
      </c>
      <c r="H49" s="139">
        <v>1011</v>
      </c>
      <c r="I49" s="141">
        <v>4822633</v>
      </c>
      <c r="J49" s="139">
        <v>1099</v>
      </c>
      <c r="K49" s="141">
        <v>130903</v>
      </c>
      <c r="L49" s="139">
        <v>22081</v>
      </c>
      <c r="M49" s="141">
        <v>85326862</v>
      </c>
      <c r="N49" s="105" t="s">
        <v>87</v>
      </c>
    </row>
    <row r="50" spans="1:14" ht="15.75" customHeight="1" thickBot="1">
      <c r="A50" s="108"/>
      <c r="B50" s="152"/>
      <c r="C50" s="153"/>
      <c r="D50" s="152"/>
      <c r="E50" s="153"/>
      <c r="F50" s="154"/>
      <c r="G50" s="153"/>
      <c r="H50" s="154"/>
      <c r="I50" s="153"/>
      <c r="J50" s="154"/>
      <c r="K50" s="153"/>
      <c r="L50" s="154"/>
      <c r="M50" s="153"/>
      <c r="N50" s="109"/>
    </row>
    <row r="51" spans="1:14" ht="15.75" customHeight="1" thickBot="1" thickTop="1">
      <c r="A51" s="90" t="s">
        <v>155</v>
      </c>
      <c r="B51" s="158">
        <v>50373</v>
      </c>
      <c r="C51" s="159">
        <v>296800622</v>
      </c>
      <c r="D51" s="158">
        <v>22382</v>
      </c>
      <c r="E51" s="159">
        <v>13060379</v>
      </c>
      <c r="F51" s="158">
        <v>72755</v>
      </c>
      <c r="G51" s="159">
        <v>309861001</v>
      </c>
      <c r="H51" s="158">
        <v>3290</v>
      </c>
      <c r="I51" s="160">
        <v>18588011</v>
      </c>
      <c r="J51" s="158">
        <v>3692</v>
      </c>
      <c r="K51" s="160">
        <v>315049</v>
      </c>
      <c r="L51" s="158">
        <v>76509</v>
      </c>
      <c r="M51" s="160">
        <v>291588039</v>
      </c>
      <c r="N51" s="91" t="s">
        <v>89</v>
      </c>
    </row>
    <row r="52" spans="1:14" s="157" customFormat="1" ht="3.75" customHeight="1">
      <c r="A52" s="92"/>
      <c r="B52" s="93"/>
      <c r="C52" s="93"/>
      <c r="D52" s="93"/>
      <c r="E52" s="93"/>
      <c r="F52" s="93"/>
      <c r="G52" s="93"/>
      <c r="H52" s="93"/>
      <c r="I52" s="93"/>
      <c r="J52" s="93"/>
      <c r="K52" s="93"/>
      <c r="L52" s="93"/>
      <c r="M52" s="93"/>
      <c r="N52" s="92"/>
    </row>
    <row r="53" spans="1:14" ht="13.5">
      <c r="A53" s="220" t="s">
        <v>164</v>
      </c>
      <c r="B53" s="220"/>
      <c r="C53" s="220"/>
      <c r="D53" s="220"/>
      <c r="E53" s="220"/>
      <c r="F53" s="220"/>
      <c r="G53" s="220"/>
      <c r="H53" s="220"/>
      <c r="I53" s="220"/>
      <c r="J53" s="99"/>
      <c r="K53" s="97"/>
      <c r="L53" s="72"/>
      <c r="M53" s="72"/>
      <c r="N53" s="72"/>
    </row>
  </sheetData>
  <sheetProtection/>
  <mergeCells count="11">
    <mergeCell ref="L3:M4"/>
    <mergeCell ref="N3:N5"/>
    <mergeCell ref="B4:C4"/>
    <mergeCell ref="D4:E4"/>
    <mergeCell ref="F4:G4"/>
    <mergeCell ref="A53:I53"/>
    <mergeCell ref="A2:I2"/>
    <mergeCell ref="A3:A5"/>
    <mergeCell ref="B3:G3"/>
    <mergeCell ref="H3:I4"/>
    <mergeCell ref="J3:K4"/>
  </mergeCells>
  <printOptions/>
  <pageMargins left="0.7874015748031497" right="0.6299212598425197" top="0.984251968503937" bottom="0.984251968503937" header="0.5118110236220472" footer="0.5118110236220472"/>
  <pageSetup horizontalDpi="600" verticalDpi="600" orientation="landscape" paperSize="9" scale="82" r:id="rId1"/>
  <headerFooter alignWithMargins="0">
    <oddFooter>&amp;R熊本国税局
消費税
（H27）</oddFooter>
  </headerFooter>
  <rowBreaks count="1" manualBreakCount="1">
    <brk id="37" max="255" man="1"/>
  </rowBreaks>
</worksheet>
</file>

<file path=xl/worksheets/sheet6.xml><?xml version="1.0" encoding="utf-8"?>
<worksheet xmlns="http://schemas.openxmlformats.org/spreadsheetml/2006/main" xmlns:r="http://schemas.openxmlformats.org/officeDocument/2006/relationships">
  <dimension ref="A1:R53"/>
  <sheetViews>
    <sheetView view="pageBreakPreview" zoomScaleSheetLayoutView="100" workbookViewId="0" topLeftCell="A1">
      <selection activeCell="A1" sqref="A1"/>
    </sheetView>
  </sheetViews>
  <sheetFormatPr defaultColWidth="9.00390625" defaultRowHeight="13.5"/>
  <cols>
    <col min="1" max="1" width="10.375" style="130" customWidth="1"/>
    <col min="2" max="2" width="10.625" style="130" customWidth="1"/>
    <col min="3" max="3" width="12.625" style="130" customWidth="1"/>
    <col min="4" max="4" width="10.625" style="130" customWidth="1"/>
    <col min="5" max="5" width="12.625" style="130" customWidth="1"/>
    <col min="6" max="6" width="10.625" style="130" customWidth="1"/>
    <col min="7" max="7" width="12.625" style="130" customWidth="1"/>
    <col min="8" max="8" width="10.625" style="130" customWidth="1"/>
    <col min="9" max="9" width="12.625" style="130" customWidth="1"/>
    <col min="10" max="10" width="10.625" style="130" customWidth="1"/>
    <col min="11" max="11" width="12.625" style="130" customWidth="1"/>
    <col min="12" max="12" width="10.625" style="130" customWidth="1"/>
    <col min="13" max="13" width="12.625" style="130" customWidth="1"/>
    <col min="14" max="17" width="10.625" style="130" customWidth="1"/>
    <col min="18" max="18" width="10.375" style="130" customWidth="1"/>
    <col min="19" max="16384" width="9.00390625" style="130" customWidth="1"/>
  </cols>
  <sheetData>
    <row r="1" spans="1:16" ht="13.5">
      <c r="A1" s="71" t="s">
        <v>90</v>
      </c>
      <c r="B1" s="71"/>
      <c r="C1" s="71"/>
      <c r="D1" s="71"/>
      <c r="E1" s="71"/>
      <c r="F1" s="71"/>
      <c r="G1" s="71"/>
      <c r="H1" s="71"/>
      <c r="I1" s="71"/>
      <c r="J1" s="71"/>
      <c r="K1" s="71"/>
      <c r="L1" s="72"/>
      <c r="M1" s="72"/>
      <c r="N1" s="72"/>
      <c r="O1" s="72"/>
      <c r="P1" s="72"/>
    </row>
    <row r="2" spans="1:16" ht="14.25" thickBot="1">
      <c r="A2" s="221" t="s">
        <v>93</v>
      </c>
      <c r="B2" s="221"/>
      <c r="C2" s="221"/>
      <c r="D2" s="221"/>
      <c r="E2" s="221"/>
      <c r="F2" s="221"/>
      <c r="G2" s="221"/>
      <c r="H2" s="221"/>
      <c r="I2" s="221"/>
      <c r="J2" s="97"/>
      <c r="K2" s="97"/>
      <c r="L2" s="72"/>
      <c r="M2" s="72"/>
      <c r="N2" s="72"/>
      <c r="O2" s="72"/>
      <c r="P2" s="72"/>
    </row>
    <row r="3" spans="1:18" ht="19.5" customHeight="1">
      <c r="A3" s="212" t="s">
        <v>27</v>
      </c>
      <c r="B3" s="215" t="s">
        <v>28</v>
      </c>
      <c r="C3" s="215"/>
      <c r="D3" s="215"/>
      <c r="E3" s="215"/>
      <c r="F3" s="215"/>
      <c r="G3" s="215"/>
      <c r="H3" s="215" t="s">
        <v>12</v>
      </c>
      <c r="I3" s="215"/>
      <c r="J3" s="232" t="s">
        <v>29</v>
      </c>
      <c r="K3" s="215"/>
      <c r="L3" s="215" t="s">
        <v>30</v>
      </c>
      <c r="M3" s="215"/>
      <c r="N3" s="222" t="s">
        <v>94</v>
      </c>
      <c r="O3" s="223"/>
      <c r="P3" s="223"/>
      <c r="Q3" s="223"/>
      <c r="R3" s="204" t="s">
        <v>92</v>
      </c>
    </row>
    <row r="4" spans="1:18" ht="17.25" customHeight="1">
      <c r="A4" s="213"/>
      <c r="B4" s="207" t="s">
        <v>15</v>
      </c>
      <c r="C4" s="207"/>
      <c r="D4" s="207" t="s">
        <v>32</v>
      </c>
      <c r="E4" s="207"/>
      <c r="F4" s="207" t="s">
        <v>33</v>
      </c>
      <c r="G4" s="207"/>
      <c r="H4" s="207"/>
      <c r="I4" s="207"/>
      <c r="J4" s="207"/>
      <c r="K4" s="207"/>
      <c r="L4" s="207"/>
      <c r="M4" s="207"/>
      <c r="N4" s="224" t="s">
        <v>95</v>
      </c>
      <c r="O4" s="226" t="s">
        <v>96</v>
      </c>
      <c r="P4" s="228" t="s">
        <v>97</v>
      </c>
      <c r="Q4" s="218" t="s">
        <v>98</v>
      </c>
      <c r="R4" s="205"/>
    </row>
    <row r="5" spans="1:18" ht="28.5" customHeight="1">
      <c r="A5" s="214"/>
      <c r="B5" s="73" t="s">
        <v>34</v>
      </c>
      <c r="C5" s="74" t="s">
        <v>35</v>
      </c>
      <c r="D5" s="73" t="s">
        <v>34</v>
      </c>
      <c r="E5" s="74" t="s">
        <v>35</v>
      </c>
      <c r="F5" s="73" t="s">
        <v>34</v>
      </c>
      <c r="G5" s="74" t="s">
        <v>36</v>
      </c>
      <c r="H5" s="73" t="s">
        <v>34</v>
      </c>
      <c r="I5" s="74" t="s">
        <v>37</v>
      </c>
      <c r="J5" s="73" t="s">
        <v>34</v>
      </c>
      <c r="K5" s="74" t="s">
        <v>38</v>
      </c>
      <c r="L5" s="73" t="s">
        <v>34</v>
      </c>
      <c r="M5" s="100" t="s">
        <v>99</v>
      </c>
      <c r="N5" s="225"/>
      <c r="O5" s="227"/>
      <c r="P5" s="229"/>
      <c r="Q5" s="230"/>
      <c r="R5" s="206"/>
    </row>
    <row r="6" spans="1:18" s="98" customFormat="1" ht="10.5">
      <c r="A6" s="78"/>
      <c r="B6" s="79" t="s">
        <v>4</v>
      </c>
      <c r="C6" s="80" t="s">
        <v>5</v>
      </c>
      <c r="D6" s="79" t="s">
        <v>4</v>
      </c>
      <c r="E6" s="80" t="s">
        <v>5</v>
      </c>
      <c r="F6" s="79" t="s">
        <v>4</v>
      </c>
      <c r="G6" s="80" t="s">
        <v>5</v>
      </c>
      <c r="H6" s="79" t="s">
        <v>4</v>
      </c>
      <c r="I6" s="80" t="s">
        <v>5</v>
      </c>
      <c r="J6" s="79" t="s">
        <v>4</v>
      </c>
      <c r="K6" s="80" t="s">
        <v>5</v>
      </c>
      <c r="L6" s="79" t="s">
        <v>4</v>
      </c>
      <c r="M6" s="80" t="s">
        <v>5</v>
      </c>
      <c r="N6" s="79" t="s">
        <v>4</v>
      </c>
      <c r="O6" s="101" t="s">
        <v>4</v>
      </c>
      <c r="P6" s="101" t="s">
        <v>4</v>
      </c>
      <c r="Q6" s="102" t="s">
        <v>4</v>
      </c>
      <c r="R6" s="82"/>
    </row>
    <row r="7" spans="1:18" ht="15.75" customHeight="1">
      <c r="A7" s="84" t="s">
        <v>40</v>
      </c>
      <c r="B7" s="131">
        <f>_xlfn.COMPOUNDVALUE(289)</f>
        <v>7683</v>
      </c>
      <c r="C7" s="132">
        <v>35035121</v>
      </c>
      <c r="D7" s="131">
        <f>_xlfn.COMPOUNDVALUE(290)</f>
        <v>5900</v>
      </c>
      <c r="E7" s="132">
        <v>2841747</v>
      </c>
      <c r="F7" s="131">
        <f>_xlfn.COMPOUNDVALUE(291)</f>
        <v>13583</v>
      </c>
      <c r="G7" s="132">
        <v>37876868</v>
      </c>
      <c r="H7" s="131">
        <f>_xlfn.COMPOUNDVALUE(292)</f>
        <v>523</v>
      </c>
      <c r="I7" s="133">
        <v>1601306</v>
      </c>
      <c r="J7" s="131">
        <v>790</v>
      </c>
      <c r="K7" s="133">
        <v>114022</v>
      </c>
      <c r="L7" s="131">
        <v>14300</v>
      </c>
      <c r="M7" s="133">
        <v>36389583</v>
      </c>
      <c r="N7" s="131">
        <v>14170</v>
      </c>
      <c r="O7" s="134">
        <v>690</v>
      </c>
      <c r="P7" s="134">
        <v>46</v>
      </c>
      <c r="Q7" s="135">
        <v>14906</v>
      </c>
      <c r="R7" s="85" t="s">
        <v>40</v>
      </c>
    </row>
    <row r="8" spans="1:18" ht="15.75" customHeight="1">
      <c r="A8" s="87" t="s">
        <v>41</v>
      </c>
      <c r="B8" s="136">
        <f>_xlfn.COMPOUNDVALUE(293)</f>
        <v>3525</v>
      </c>
      <c r="C8" s="137">
        <v>14403068</v>
      </c>
      <c r="D8" s="136">
        <f>_xlfn.COMPOUNDVALUE(294)</f>
        <v>2493</v>
      </c>
      <c r="E8" s="137">
        <v>1187878</v>
      </c>
      <c r="F8" s="136">
        <f>_xlfn.COMPOUNDVALUE(295)</f>
        <v>6018</v>
      </c>
      <c r="G8" s="137">
        <v>15590946</v>
      </c>
      <c r="H8" s="136">
        <f>_xlfn.COMPOUNDVALUE(296)</f>
        <v>212</v>
      </c>
      <c r="I8" s="138">
        <v>1272082</v>
      </c>
      <c r="J8" s="136">
        <v>257</v>
      </c>
      <c r="K8" s="138">
        <v>49430</v>
      </c>
      <c r="L8" s="136">
        <v>6305</v>
      </c>
      <c r="M8" s="138">
        <v>14368294</v>
      </c>
      <c r="N8" s="131">
        <v>6758</v>
      </c>
      <c r="O8" s="134">
        <v>187</v>
      </c>
      <c r="P8" s="134">
        <v>19</v>
      </c>
      <c r="Q8" s="135">
        <v>6964</v>
      </c>
      <c r="R8" s="85" t="s">
        <v>41</v>
      </c>
    </row>
    <row r="9" spans="1:18" ht="15.75" customHeight="1">
      <c r="A9" s="87" t="s">
        <v>119</v>
      </c>
      <c r="B9" s="136">
        <f>_xlfn.COMPOUNDVALUE(297)</f>
        <v>2114</v>
      </c>
      <c r="C9" s="137">
        <v>6369118</v>
      </c>
      <c r="D9" s="136">
        <f>_xlfn.COMPOUNDVALUE(298)</f>
        <v>2571</v>
      </c>
      <c r="E9" s="137">
        <v>1076924</v>
      </c>
      <c r="F9" s="136">
        <f>_xlfn.COMPOUNDVALUE(299)</f>
        <v>4685</v>
      </c>
      <c r="G9" s="137">
        <v>7446042</v>
      </c>
      <c r="H9" s="136">
        <f>_xlfn.COMPOUNDVALUE(300)</f>
        <v>110</v>
      </c>
      <c r="I9" s="138">
        <v>229117</v>
      </c>
      <c r="J9" s="136">
        <v>209</v>
      </c>
      <c r="K9" s="138">
        <v>21335</v>
      </c>
      <c r="L9" s="136">
        <v>4830</v>
      </c>
      <c r="M9" s="138">
        <v>7238261</v>
      </c>
      <c r="N9" s="131">
        <v>4864</v>
      </c>
      <c r="O9" s="134">
        <v>104</v>
      </c>
      <c r="P9" s="134">
        <v>9</v>
      </c>
      <c r="Q9" s="135">
        <v>4977</v>
      </c>
      <c r="R9" s="85" t="s">
        <v>42</v>
      </c>
    </row>
    <row r="10" spans="1:18" ht="15.75" customHeight="1">
      <c r="A10" s="87" t="s">
        <v>120</v>
      </c>
      <c r="B10" s="136">
        <f>_xlfn.COMPOUNDVALUE(301)</f>
        <v>1043</v>
      </c>
      <c r="C10" s="137">
        <v>4004583</v>
      </c>
      <c r="D10" s="136">
        <f>_xlfn.COMPOUNDVALUE(302)</f>
        <v>1154</v>
      </c>
      <c r="E10" s="137">
        <v>490238</v>
      </c>
      <c r="F10" s="136">
        <f>_xlfn.COMPOUNDVALUE(303)</f>
        <v>2197</v>
      </c>
      <c r="G10" s="137">
        <v>4494821</v>
      </c>
      <c r="H10" s="136">
        <f>_xlfn.COMPOUNDVALUE(304)</f>
        <v>60</v>
      </c>
      <c r="I10" s="138">
        <v>58849</v>
      </c>
      <c r="J10" s="136">
        <v>76</v>
      </c>
      <c r="K10" s="138">
        <v>-10568</v>
      </c>
      <c r="L10" s="136">
        <v>2262</v>
      </c>
      <c r="M10" s="138">
        <v>4425403</v>
      </c>
      <c r="N10" s="131">
        <v>2314</v>
      </c>
      <c r="O10" s="134">
        <v>58</v>
      </c>
      <c r="P10" s="134">
        <v>4</v>
      </c>
      <c r="Q10" s="135">
        <v>2376</v>
      </c>
      <c r="R10" s="85" t="s">
        <v>43</v>
      </c>
    </row>
    <row r="11" spans="1:18" ht="15.75" customHeight="1">
      <c r="A11" s="87" t="s">
        <v>121</v>
      </c>
      <c r="B11" s="136">
        <f>_xlfn.COMPOUNDVALUE(305)</f>
        <v>1619</v>
      </c>
      <c r="C11" s="137">
        <v>5355375</v>
      </c>
      <c r="D11" s="136">
        <f>_xlfn.COMPOUNDVALUE(306)</f>
        <v>1825</v>
      </c>
      <c r="E11" s="137">
        <v>755802</v>
      </c>
      <c r="F11" s="136">
        <f>_xlfn.COMPOUNDVALUE(307)</f>
        <v>3444</v>
      </c>
      <c r="G11" s="137">
        <v>6111177</v>
      </c>
      <c r="H11" s="136">
        <f>_xlfn.COMPOUNDVALUE(308)</f>
        <v>142</v>
      </c>
      <c r="I11" s="138">
        <v>746815</v>
      </c>
      <c r="J11" s="136">
        <v>162</v>
      </c>
      <c r="K11" s="138">
        <v>23303</v>
      </c>
      <c r="L11" s="136">
        <v>3621</v>
      </c>
      <c r="M11" s="138">
        <v>5387665</v>
      </c>
      <c r="N11" s="131">
        <v>3647</v>
      </c>
      <c r="O11" s="134">
        <v>90</v>
      </c>
      <c r="P11" s="134">
        <v>8</v>
      </c>
      <c r="Q11" s="135">
        <v>3745</v>
      </c>
      <c r="R11" s="85" t="s">
        <v>44</v>
      </c>
    </row>
    <row r="12" spans="1:18" ht="15.75" customHeight="1">
      <c r="A12" s="87" t="s">
        <v>122</v>
      </c>
      <c r="B12" s="136">
        <f>_xlfn.COMPOUNDVALUE(309)</f>
        <v>1565</v>
      </c>
      <c r="C12" s="137">
        <v>4005605</v>
      </c>
      <c r="D12" s="136">
        <f>_xlfn.COMPOUNDVALUE(310)</f>
        <v>1341</v>
      </c>
      <c r="E12" s="137">
        <v>594491</v>
      </c>
      <c r="F12" s="136">
        <f>_xlfn.COMPOUNDVALUE(311)</f>
        <v>2906</v>
      </c>
      <c r="G12" s="137">
        <v>4600095</v>
      </c>
      <c r="H12" s="136">
        <f>_xlfn.COMPOUNDVALUE(312)</f>
        <v>98</v>
      </c>
      <c r="I12" s="138">
        <v>426010</v>
      </c>
      <c r="J12" s="136">
        <v>197</v>
      </c>
      <c r="K12" s="138">
        <v>8331</v>
      </c>
      <c r="L12" s="136">
        <v>3034</v>
      </c>
      <c r="M12" s="138">
        <v>4182416</v>
      </c>
      <c r="N12" s="131">
        <v>2982</v>
      </c>
      <c r="O12" s="134">
        <v>106</v>
      </c>
      <c r="P12" s="134">
        <v>1</v>
      </c>
      <c r="Q12" s="135">
        <v>3089</v>
      </c>
      <c r="R12" s="85" t="s">
        <v>45</v>
      </c>
    </row>
    <row r="13" spans="1:18" ht="15.75" customHeight="1">
      <c r="A13" s="87" t="s">
        <v>123</v>
      </c>
      <c r="B13" s="136">
        <f>_xlfn.COMPOUNDVALUE(313)</f>
        <v>630</v>
      </c>
      <c r="C13" s="137">
        <v>1672723</v>
      </c>
      <c r="D13" s="136">
        <f>_xlfn.COMPOUNDVALUE(314)</f>
        <v>656</v>
      </c>
      <c r="E13" s="137">
        <v>277762</v>
      </c>
      <c r="F13" s="136">
        <f>_xlfn.COMPOUNDVALUE(315)</f>
        <v>1286</v>
      </c>
      <c r="G13" s="137">
        <v>1950485</v>
      </c>
      <c r="H13" s="136">
        <f>_xlfn.COMPOUNDVALUE(316)</f>
        <v>30</v>
      </c>
      <c r="I13" s="138">
        <v>55664</v>
      </c>
      <c r="J13" s="136">
        <v>39</v>
      </c>
      <c r="K13" s="138">
        <v>2373</v>
      </c>
      <c r="L13" s="136">
        <v>1329</v>
      </c>
      <c r="M13" s="138">
        <v>1897194</v>
      </c>
      <c r="N13" s="131">
        <v>1301</v>
      </c>
      <c r="O13" s="134">
        <v>43</v>
      </c>
      <c r="P13" s="134">
        <v>1</v>
      </c>
      <c r="Q13" s="135">
        <v>1345</v>
      </c>
      <c r="R13" s="85" t="s">
        <v>46</v>
      </c>
    </row>
    <row r="14" spans="1:18" ht="15.75" customHeight="1">
      <c r="A14" s="87" t="s">
        <v>124</v>
      </c>
      <c r="B14" s="136">
        <f>_xlfn.COMPOUNDVALUE(317)</f>
        <v>2079</v>
      </c>
      <c r="C14" s="137">
        <v>10862608</v>
      </c>
      <c r="D14" s="136">
        <f>_xlfn.COMPOUNDVALUE(318)</f>
        <v>1492</v>
      </c>
      <c r="E14" s="137">
        <v>667539</v>
      </c>
      <c r="F14" s="136">
        <f>_xlfn.COMPOUNDVALUE(319)</f>
        <v>3571</v>
      </c>
      <c r="G14" s="137">
        <v>11530147</v>
      </c>
      <c r="H14" s="136">
        <f>_xlfn.COMPOUNDVALUE(320)</f>
        <v>174</v>
      </c>
      <c r="I14" s="138">
        <v>716992</v>
      </c>
      <c r="J14" s="136">
        <v>137</v>
      </c>
      <c r="K14" s="138">
        <v>35394</v>
      </c>
      <c r="L14" s="136">
        <v>3786</v>
      </c>
      <c r="M14" s="138">
        <v>10848549</v>
      </c>
      <c r="N14" s="131">
        <v>3758</v>
      </c>
      <c r="O14" s="134">
        <v>158</v>
      </c>
      <c r="P14" s="134">
        <v>9</v>
      </c>
      <c r="Q14" s="135">
        <v>3925</v>
      </c>
      <c r="R14" s="85" t="s">
        <v>47</v>
      </c>
    </row>
    <row r="15" spans="1:18" ht="15.75" customHeight="1">
      <c r="A15" s="87" t="s">
        <v>125</v>
      </c>
      <c r="B15" s="136">
        <f>_xlfn.COMPOUNDVALUE(321)</f>
        <v>1151</v>
      </c>
      <c r="C15" s="137">
        <v>3492760</v>
      </c>
      <c r="D15" s="136">
        <f>_xlfn.COMPOUNDVALUE(322)</f>
        <v>1344</v>
      </c>
      <c r="E15" s="137">
        <v>535615</v>
      </c>
      <c r="F15" s="136">
        <f>_xlfn.COMPOUNDVALUE(323)</f>
        <v>2495</v>
      </c>
      <c r="G15" s="137">
        <v>4028374</v>
      </c>
      <c r="H15" s="136">
        <f>_xlfn.COMPOUNDVALUE(324)</f>
        <v>94</v>
      </c>
      <c r="I15" s="138">
        <v>337584</v>
      </c>
      <c r="J15" s="136">
        <v>98</v>
      </c>
      <c r="K15" s="138">
        <v>21520</v>
      </c>
      <c r="L15" s="136">
        <v>2609</v>
      </c>
      <c r="M15" s="138">
        <v>3712310</v>
      </c>
      <c r="N15" s="131">
        <v>2624</v>
      </c>
      <c r="O15" s="134">
        <v>69</v>
      </c>
      <c r="P15" s="134">
        <v>1</v>
      </c>
      <c r="Q15" s="135">
        <v>2694</v>
      </c>
      <c r="R15" s="85" t="s">
        <v>48</v>
      </c>
    </row>
    <row r="16" spans="1:18" ht="15.75" customHeight="1">
      <c r="A16" s="87" t="s">
        <v>126</v>
      </c>
      <c r="B16" s="136">
        <f>_xlfn.COMPOUNDVALUE(325)</f>
        <v>994</v>
      </c>
      <c r="C16" s="137">
        <v>2726224</v>
      </c>
      <c r="D16" s="136">
        <f>_xlfn.COMPOUNDVALUE(326)</f>
        <v>860</v>
      </c>
      <c r="E16" s="137">
        <v>350151</v>
      </c>
      <c r="F16" s="136">
        <f>_xlfn.COMPOUNDVALUE(327)</f>
        <v>1854</v>
      </c>
      <c r="G16" s="137">
        <v>3076375</v>
      </c>
      <c r="H16" s="136">
        <f>_xlfn.COMPOUNDVALUE(328)</f>
        <v>73</v>
      </c>
      <c r="I16" s="138">
        <v>189314</v>
      </c>
      <c r="J16" s="136">
        <v>72</v>
      </c>
      <c r="K16" s="138">
        <v>11007</v>
      </c>
      <c r="L16" s="136">
        <v>1953</v>
      </c>
      <c r="M16" s="138">
        <v>2898068</v>
      </c>
      <c r="N16" s="131">
        <v>2148</v>
      </c>
      <c r="O16" s="134">
        <v>48</v>
      </c>
      <c r="P16" s="134">
        <v>4</v>
      </c>
      <c r="Q16" s="135">
        <v>2200</v>
      </c>
      <c r="R16" s="85" t="s">
        <v>49</v>
      </c>
    </row>
    <row r="17" spans="1:18" ht="15.75" customHeight="1">
      <c r="A17" s="104" t="s">
        <v>100</v>
      </c>
      <c r="B17" s="139">
        <v>22403</v>
      </c>
      <c r="C17" s="140">
        <v>87927184</v>
      </c>
      <c r="D17" s="139">
        <v>19636</v>
      </c>
      <c r="E17" s="140">
        <v>8778146</v>
      </c>
      <c r="F17" s="139">
        <v>42039</v>
      </c>
      <c r="G17" s="140">
        <v>96705329</v>
      </c>
      <c r="H17" s="139">
        <v>1516</v>
      </c>
      <c r="I17" s="141">
        <v>5633734</v>
      </c>
      <c r="J17" s="139">
        <v>2037</v>
      </c>
      <c r="K17" s="141">
        <v>276148</v>
      </c>
      <c r="L17" s="139">
        <v>44029</v>
      </c>
      <c r="M17" s="141">
        <v>91347744</v>
      </c>
      <c r="N17" s="139">
        <v>44566</v>
      </c>
      <c r="O17" s="142">
        <v>1553</v>
      </c>
      <c r="P17" s="142">
        <v>102</v>
      </c>
      <c r="Q17" s="143">
        <v>46221</v>
      </c>
      <c r="R17" s="105" t="s">
        <v>51</v>
      </c>
    </row>
    <row r="18" spans="1:18" ht="15.75" customHeight="1">
      <c r="A18" s="110"/>
      <c r="B18" s="144"/>
      <c r="C18" s="145"/>
      <c r="D18" s="146"/>
      <c r="E18" s="145"/>
      <c r="F18" s="144"/>
      <c r="G18" s="145"/>
      <c r="H18" s="144"/>
      <c r="I18" s="145"/>
      <c r="J18" s="144"/>
      <c r="K18" s="145"/>
      <c r="L18" s="144"/>
      <c r="M18" s="145"/>
      <c r="N18" s="147"/>
      <c r="O18" s="148"/>
      <c r="P18" s="148"/>
      <c r="Q18" s="149"/>
      <c r="R18" s="107" t="s">
        <v>101</v>
      </c>
    </row>
    <row r="19" spans="1:18" ht="15.75" customHeight="1">
      <c r="A19" s="84" t="s">
        <v>52</v>
      </c>
      <c r="B19" s="131">
        <f>_xlfn.COMPOUNDVALUE(329)</f>
        <v>6334</v>
      </c>
      <c r="C19" s="132">
        <v>35275486</v>
      </c>
      <c r="D19" s="131">
        <f>_xlfn.COMPOUNDVALUE(330)</f>
        <v>4062</v>
      </c>
      <c r="E19" s="132">
        <v>2098073</v>
      </c>
      <c r="F19" s="131">
        <f>_xlfn.COMPOUNDVALUE(331)</f>
        <v>10396</v>
      </c>
      <c r="G19" s="132">
        <v>37373559</v>
      </c>
      <c r="H19" s="131">
        <f>_xlfn.COMPOUNDVALUE(332)</f>
        <v>385</v>
      </c>
      <c r="I19" s="133">
        <v>1985139</v>
      </c>
      <c r="J19" s="131">
        <v>632</v>
      </c>
      <c r="K19" s="133">
        <v>108887</v>
      </c>
      <c r="L19" s="131">
        <v>10939</v>
      </c>
      <c r="M19" s="133">
        <v>35497307</v>
      </c>
      <c r="N19" s="131">
        <v>10844</v>
      </c>
      <c r="O19" s="134">
        <v>257</v>
      </c>
      <c r="P19" s="134">
        <v>23</v>
      </c>
      <c r="Q19" s="135">
        <v>11124</v>
      </c>
      <c r="R19" s="85" t="s">
        <v>52</v>
      </c>
    </row>
    <row r="20" spans="1:18" ht="15.75" customHeight="1">
      <c r="A20" s="84" t="s">
        <v>53</v>
      </c>
      <c r="B20" s="131">
        <f>_xlfn.COMPOUNDVALUE(333)</f>
        <v>2370</v>
      </c>
      <c r="C20" s="132">
        <v>10153517</v>
      </c>
      <c r="D20" s="131">
        <f>_xlfn.COMPOUNDVALUE(334)</f>
        <v>1683</v>
      </c>
      <c r="E20" s="132">
        <v>765854</v>
      </c>
      <c r="F20" s="131">
        <f>_xlfn.COMPOUNDVALUE(335)</f>
        <v>4053</v>
      </c>
      <c r="G20" s="132">
        <v>10919371</v>
      </c>
      <c r="H20" s="131">
        <f>_xlfn.COMPOUNDVALUE(336)</f>
        <v>205</v>
      </c>
      <c r="I20" s="133">
        <v>600897</v>
      </c>
      <c r="J20" s="131">
        <v>183</v>
      </c>
      <c r="K20" s="133">
        <v>6143</v>
      </c>
      <c r="L20" s="131">
        <v>4309</v>
      </c>
      <c r="M20" s="133">
        <v>10324617</v>
      </c>
      <c r="N20" s="131">
        <v>4245</v>
      </c>
      <c r="O20" s="134">
        <v>198</v>
      </c>
      <c r="P20" s="134">
        <v>13</v>
      </c>
      <c r="Q20" s="135">
        <v>4456</v>
      </c>
      <c r="R20" s="85" t="s">
        <v>53</v>
      </c>
    </row>
    <row r="21" spans="1:18" ht="15.75" customHeight="1">
      <c r="A21" s="87" t="s">
        <v>127</v>
      </c>
      <c r="B21" s="136">
        <f>_xlfn.COMPOUNDVALUE(337)</f>
        <v>1077</v>
      </c>
      <c r="C21" s="137">
        <v>6119415</v>
      </c>
      <c r="D21" s="136">
        <f>_xlfn.COMPOUNDVALUE(338)</f>
        <v>689</v>
      </c>
      <c r="E21" s="137">
        <v>317236</v>
      </c>
      <c r="F21" s="136">
        <f>_xlfn.COMPOUNDVALUE(339)</f>
        <v>1766</v>
      </c>
      <c r="G21" s="137">
        <v>6436651</v>
      </c>
      <c r="H21" s="136">
        <f>_xlfn.COMPOUNDVALUE(340)</f>
        <v>59</v>
      </c>
      <c r="I21" s="138">
        <v>81351</v>
      </c>
      <c r="J21" s="136">
        <v>87</v>
      </c>
      <c r="K21" s="138">
        <v>17912</v>
      </c>
      <c r="L21" s="136">
        <v>1851</v>
      </c>
      <c r="M21" s="138">
        <v>6373211</v>
      </c>
      <c r="N21" s="131">
        <v>1787</v>
      </c>
      <c r="O21" s="134">
        <v>46</v>
      </c>
      <c r="P21" s="134">
        <v>2</v>
      </c>
      <c r="Q21" s="135">
        <v>1835</v>
      </c>
      <c r="R21" s="85" t="s">
        <v>54</v>
      </c>
    </row>
    <row r="22" spans="1:18" ht="15.75" customHeight="1">
      <c r="A22" s="87" t="s">
        <v>128</v>
      </c>
      <c r="B22" s="136">
        <f>_xlfn.COMPOUNDVALUE(341)</f>
        <v>1447</v>
      </c>
      <c r="C22" s="137">
        <v>4439022</v>
      </c>
      <c r="D22" s="136">
        <f>_xlfn.COMPOUNDVALUE(342)</f>
        <v>1181</v>
      </c>
      <c r="E22" s="137">
        <v>488267</v>
      </c>
      <c r="F22" s="136">
        <f>_xlfn.COMPOUNDVALUE(343)</f>
        <v>2628</v>
      </c>
      <c r="G22" s="137">
        <v>4927289</v>
      </c>
      <c r="H22" s="136">
        <f>_xlfn.COMPOUNDVALUE(344)</f>
        <v>82</v>
      </c>
      <c r="I22" s="138">
        <v>456745</v>
      </c>
      <c r="J22" s="136">
        <v>136</v>
      </c>
      <c r="K22" s="138">
        <v>4770</v>
      </c>
      <c r="L22" s="136">
        <v>2745</v>
      </c>
      <c r="M22" s="138">
        <v>4475314</v>
      </c>
      <c r="N22" s="131">
        <v>2733</v>
      </c>
      <c r="O22" s="134">
        <v>69</v>
      </c>
      <c r="P22" s="134">
        <v>2</v>
      </c>
      <c r="Q22" s="135">
        <v>2804</v>
      </c>
      <c r="R22" s="85" t="s">
        <v>55</v>
      </c>
    </row>
    <row r="23" spans="1:18" ht="15.75" customHeight="1">
      <c r="A23" s="87" t="s">
        <v>129</v>
      </c>
      <c r="B23" s="136">
        <f>_xlfn.COMPOUNDVALUE(345)</f>
        <v>1089</v>
      </c>
      <c r="C23" s="137">
        <v>4343051</v>
      </c>
      <c r="D23" s="136">
        <f>_xlfn.COMPOUNDVALUE(346)</f>
        <v>693</v>
      </c>
      <c r="E23" s="137">
        <v>327404</v>
      </c>
      <c r="F23" s="136">
        <f>_xlfn.COMPOUNDVALUE(347)</f>
        <v>1782</v>
      </c>
      <c r="G23" s="137">
        <v>4670455</v>
      </c>
      <c r="H23" s="136">
        <f>_xlfn.COMPOUNDVALUE(348)</f>
        <v>96</v>
      </c>
      <c r="I23" s="138">
        <v>400598</v>
      </c>
      <c r="J23" s="136">
        <v>81</v>
      </c>
      <c r="K23" s="138">
        <v>-140</v>
      </c>
      <c r="L23" s="136">
        <v>1884</v>
      </c>
      <c r="M23" s="138">
        <v>4269717</v>
      </c>
      <c r="N23" s="131">
        <v>1853</v>
      </c>
      <c r="O23" s="134">
        <v>72</v>
      </c>
      <c r="P23" s="134">
        <v>1</v>
      </c>
      <c r="Q23" s="135">
        <v>1926</v>
      </c>
      <c r="R23" s="85" t="s">
        <v>56</v>
      </c>
    </row>
    <row r="24" spans="1:18" ht="15.75" customHeight="1">
      <c r="A24" s="87" t="s">
        <v>130</v>
      </c>
      <c r="B24" s="136">
        <f>_xlfn.COMPOUNDVALUE(349)</f>
        <v>682</v>
      </c>
      <c r="C24" s="137">
        <v>5254829</v>
      </c>
      <c r="D24" s="136">
        <f>_xlfn.COMPOUNDVALUE(350)</f>
        <v>558</v>
      </c>
      <c r="E24" s="137">
        <v>265525</v>
      </c>
      <c r="F24" s="136">
        <f>_xlfn.COMPOUNDVALUE(351)</f>
        <v>1240</v>
      </c>
      <c r="G24" s="137">
        <v>5520354</v>
      </c>
      <c r="H24" s="136">
        <f>_xlfn.COMPOUNDVALUE(352)</f>
        <v>52</v>
      </c>
      <c r="I24" s="138">
        <v>2509911</v>
      </c>
      <c r="J24" s="136">
        <v>50</v>
      </c>
      <c r="K24" s="138">
        <v>3859</v>
      </c>
      <c r="L24" s="136">
        <v>1299</v>
      </c>
      <c r="M24" s="138">
        <v>3014302</v>
      </c>
      <c r="N24" s="131">
        <v>1427</v>
      </c>
      <c r="O24" s="134">
        <v>35</v>
      </c>
      <c r="P24" s="134">
        <v>1</v>
      </c>
      <c r="Q24" s="135">
        <v>1463</v>
      </c>
      <c r="R24" s="85" t="s">
        <v>57</v>
      </c>
    </row>
    <row r="25" spans="1:18" ht="15.75" customHeight="1">
      <c r="A25" s="87" t="s">
        <v>131</v>
      </c>
      <c r="B25" s="136">
        <f>_xlfn.COMPOUNDVALUE(353)</f>
        <v>383</v>
      </c>
      <c r="C25" s="137">
        <v>969414</v>
      </c>
      <c r="D25" s="136">
        <f>_xlfn.COMPOUNDVALUE(354)</f>
        <v>378</v>
      </c>
      <c r="E25" s="137">
        <v>139213</v>
      </c>
      <c r="F25" s="136">
        <f>_xlfn.COMPOUNDVALUE(355)</f>
        <v>761</v>
      </c>
      <c r="G25" s="137">
        <v>1108627</v>
      </c>
      <c r="H25" s="136">
        <f>_xlfn.COMPOUNDVALUE(356)</f>
        <v>19</v>
      </c>
      <c r="I25" s="138">
        <v>25542</v>
      </c>
      <c r="J25" s="136">
        <v>63</v>
      </c>
      <c r="K25" s="138">
        <v>-1764</v>
      </c>
      <c r="L25" s="136">
        <v>787</v>
      </c>
      <c r="M25" s="138">
        <v>1081321</v>
      </c>
      <c r="N25" s="131">
        <v>732</v>
      </c>
      <c r="O25" s="134">
        <v>21</v>
      </c>
      <c r="P25" s="134">
        <v>0</v>
      </c>
      <c r="Q25" s="135">
        <v>753</v>
      </c>
      <c r="R25" s="85" t="s">
        <v>58</v>
      </c>
    </row>
    <row r="26" spans="1:18" ht="15.75" customHeight="1">
      <c r="A26" s="87" t="s">
        <v>132</v>
      </c>
      <c r="B26" s="136">
        <f>_xlfn.COMPOUNDVALUE(357)</f>
        <v>980</v>
      </c>
      <c r="C26" s="137">
        <v>5914782</v>
      </c>
      <c r="D26" s="136">
        <f>_xlfn.COMPOUNDVALUE(358)</f>
        <v>742</v>
      </c>
      <c r="E26" s="137">
        <v>343836</v>
      </c>
      <c r="F26" s="136">
        <f>_xlfn.COMPOUNDVALUE(359)</f>
        <v>1722</v>
      </c>
      <c r="G26" s="137">
        <v>6258618</v>
      </c>
      <c r="H26" s="136">
        <f>_xlfn.COMPOUNDVALUE(360)</f>
        <v>120</v>
      </c>
      <c r="I26" s="138">
        <v>242327</v>
      </c>
      <c r="J26" s="136">
        <v>85</v>
      </c>
      <c r="K26" s="138">
        <v>9813</v>
      </c>
      <c r="L26" s="136">
        <v>1857</v>
      </c>
      <c r="M26" s="138">
        <v>6026105</v>
      </c>
      <c r="N26" s="131">
        <v>1790</v>
      </c>
      <c r="O26" s="134">
        <v>89</v>
      </c>
      <c r="P26" s="134">
        <v>2</v>
      </c>
      <c r="Q26" s="135">
        <v>1881</v>
      </c>
      <c r="R26" s="85" t="s">
        <v>59</v>
      </c>
    </row>
    <row r="27" spans="1:18" ht="15.75" customHeight="1">
      <c r="A27" s="87" t="s">
        <v>133</v>
      </c>
      <c r="B27" s="136">
        <f>_xlfn.COMPOUNDVALUE(361)</f>
        <v>385</v>
      </c>
      <c r="C27" s="137">
        <v>949440</v>
      </c>
      <c r="D27" s="136">
        <f>_xlfn.COMPOUNDVALUE(362)</f>
        <v>336</v>
      </c>
      <c r="E27" s="137">
        <v>145469</v>
      </c>
      <c r="F27" s="136">
        <f>_xlfn.COMPOUNDVALUE(363)</f>
        <v>721</v>
      </c>
      <c r="G27" s="137">
        <v>1094909</v>
      </c>
      <c r="H27" s="136">
        <f>_xlfn.COMPOUNDVALUE(364)</f>
        <v>31</v>
      </c>
      <c r="I27" s="138">
        <v>51370</v>
      </c>
      <c r="J27" s="136">
        <v>38</v>
      </c>
      <c r="K27" s="138">
        <v>34398</v>
      </c>
      <c r="L27" s="136">
        <v>756</v>
      </c>
      <c r="M27" s="138">
        <v>1077937</v>
      </c>
      <c r="N27" s="131">
        <v>891</v>
      </c>
      <c r="O27" s="134">
        <v>23</v>
      </c>
      <c r="P27" s="134">
        <v>1</v>
      </c>
      <c r="Q27" s="135">
        <v>915</v>
      </c>
      <c r="R27" s="85" t="s">
        <v>60</v>
      </c>
    </row>
    <row r="28" spans="1:18" ht="15.75" customHeight="1">
      <c r="A28" s="104" t="s">
        <v>61</v>
      </c>
      <c r="B28" s="139">
        <v>14747</v>
      </c>
      <c r="C28" s="140">
        <v>73418956</v>
      </c>
      <c r="D28" s="139">
        <v>10322</v>
      </c>
      <c r="E28" s="140">
        <v>4890877</v>
      </c>
      <c r="F28" s="139">
        <v>25069</v>
      </c>
      <c r="G28" s="140">
        <v>78309833</v>
      </c>
      <c r="H28" s="139">
        <v>1049</v>
      </c>
      <c r="I28" s="141">
        <v>6353880</v>
      </c>
      <c r="J28" s="139">
        <v>1355</v>
      </c>
      <c r="K28" s="141">
        <v>183879</v>
      </c>
      <c r="L28" s="139">
        <v>26427</v>
      </c>
      <c r="M28" s="141">
        <v>72139832</v>
      </c>
      <c r="N28" s="139">
        <v>26302</v>
      </c>
      <c r="O28" s="142">
        <v>810</v>
      </c>
      <c r="P28" s="142">
        <v>45</v>
      </c>
      <c r="Q28" s="143">
        <v>27157</v>
      </c>
      <c r="R28" s="105" t="s">
        <v>62</v>
      </c>
    </row>
    <row r="29" spans="1:18" ht="15.75" customHeight="1">
      <c r="A29" s="110"/>
      <c r="B29" s="144"/>
      <c r="C29" s="145"/>
      <c r="D29" s="146"/>
      <c r="E29" s="145"/>
      <c r="F29" s="144"/>
      <c r="G29" s="145"/>
      <c r="H29" s="144"/>
      <c r="I29" s="145"/>
      <c r="J29" s="144"/>
      <c r="K29" s="145"/>
      <c r="L29" s="144"/>
      <c r="M29" s="145"/>
      <c r="N29" s="147"/>
      <c r="O29" s="148"/>
      <c r="P29" s="148"/>
      <c r="Q29" s="149"/>
      <c r="R29" s="107" t="s">
        <v>101</v>
      </c>
    </row>
    <row r="30" spans="1:18" ht="15.75" customHeight="1">
      <c r="A30" s="84" t="s">
        <v>134</v>
      </c>
      <c r="B30" s="131">
        <f>_xlfn.COMPOUNDVALUE(365)</f>
        <v>5298</v>
      </c>
      <c r="C30" s="132">
        <v>24412621</v>
      </c>
      <c r="D30" s="131">
        <f>_xlfn.COMPOUNDVALUE(366)</f>
        <v>4413</v>
      </c>
      <c r="E30" s="132">
        <v>2016631</v>
      </c>
      <c r="F30" s="131">
        <f>_xlfn.COMPOUNDVALUE(367)</f>
        <v>9711</v>
      </c>
      <c r="G30" s="132">
        <v>26429251</v>
      </c>
      <c r="H30" s="131">
        <f>_xlfn.COMPOUNDVALUE(368)</f>
        <v>334</v>
      </c>
      <c r="I30" s="133">
        <v>1227098</v>
      </c>
      <c r="J30" s="131">
        <v>548</v>
      </c>
      <c r="K30" s="133">
        <v>-127548</v>
      </c>
      <c r="L30" s="131">
        <v>10210</v>
      </c>
      <c r="M30" s="133">
        <v>25074606</v>
      </c>
      <c r="N30" s="131">
        <v>10387</v>
      </c>
      <c r="O30" s="134">
        <v>268</v>
      </c>
      <c r="P30" s="134">
        <v>29</v>
      </c>
      <c r="Q30" s="135">
        <v>10684</v>
      </c>
      <c r="R30" s="85" t="s">
        <v>63</v>
      </c>
    </row>
    <row r="31" spans="1:18" ht="15.75" customHeight="1">
      <c r="A31" s="87" t="s">
        <v>135</v>
      </c>
      <c r="B31" s="136">
        <f>_xlfn.COMPOUNDVALUE(369)</f>
        <v>2882</v>
      </c>
      <c r="C31" s="137">
        <v>11948695</v>
      </c>
      <c r="D31" s="136">
        <f>_xlfn.COMPOUNDVALUE(370)</f>
        <v>1712</v>
      </c>
      <c r="E31" s="137">
        <v>807572</v>
      </c>
      <c r="F31" s="136">
        <f>_xlfn.COMPOUNDVALUE(371)</f>
        <v>4594</v>
      </c>
      <c r="G31" s="137">
        <v>12756267</v>
      </c>
      <c r="H31" s="136">
        <f>_xlfn.COMPOUNDVALUE(372)</f>
        <v>218</v>
      </c>
      <c r="I31" s="138">
        <v>358637</v>
      </c>
      <c r="J31" s="136">
        <v>275</v>
      </c>
      <c r="K31" s="138">
        <v>42620</v>
      </c>
      <c r="L31" s="136">
        <v>4871</v>
      </c>
      <c r="M31" s="138">
        <v>12440250</v>
      </c>
      <c r="N31" s="131">
        <v>4771</v>
      </c>
      <c r="O31" s="134">
        <v>198</v>
      </c>
      <c r="P31" s="134">
        <v>4</v>
      </c>
      <c r="Q31" s="135">
        <v>4973</v>
      </c>
      <c r="R31" s="85" t="s">
        <v>64</v>
      </c>
    </row>
    <row r="32" spans="1:18" ht="15.75" customHeight="1">
      <c r="A32" s="87" t="s">
        <v>136</v>
      </c>
      <c r="B32" s="136">
        <f>_xlfn.COMPOUNDVALUE(373)</f>
        <v>3105</v>
      </c>
      <c r="C32" s="137">
        <v>11024610</v>
      </c>
      <c r="D32" s="136">
        <f>_xlfn.COMPOUNDVALUE(374)</f>
        <v>2043</v>
      </c>
      <c r="E32" s="137">
        <v>988997</v>
      </c>
      <c r="F32" s="136">
        <f>_xlfn.COMPOUNDVALUE(375)</f>
        <v>5148</v>
      </c>
      <c r="G32" s="137">
        <v>12013607</v>
      </c>
      <c r="H32" s="136">
        <f>_xlfn.COMPOUNDVALUE(376)</f>
        <v>176</v>
      </c>
      <c r="I32" s="138">
        <v>343950</v>
      </c>
      <c r="J32" s="136">
        <v>155</v>
      </c>
      <c r="K32" s="138">
        <v>36705</v>
      </c>
      <c r="L32" s="136">
        <v>5395</v>
      </c>
      <c r="M32" s="138">
        <v>11706362</v>
      </c>
      <c r="N32" s="131">
        <v>5433</v>
      </c>
      <c r="O32" s="134">
        <v>113</v>
      </c>
      <c r="P32" s="134">
        <v>4</v>
      </c>
      <c r="Q32" s="135">
        <v>5550</v>
      </c>
      <c r="R32" s="85" t="s">
        <v>65</v>
      </c>
    </row>
    <row r="33" spans="1:18" ht="15.75" customHeight="1">
      <c r="A33" s="87" t="s">
        <v>137</v>
      </c>
      <c r="B33" s="136">
        <f>_xlfn.COMPOUNDVALUE(377)</f>
        <v>895</v>
      </c>
      <c r="C33" s="137">
        <v>2847056</v>
      </c>
      <c r="D33" s="136">
        <f>_xlfn.COMPOUNDVALUE(378)</f>
        <v>898</v>
      </c>
      <c r="E33" s="137">
        <v>398296</v>
      </c>
      <c r="F33" s="136">
        <f>_xlfn.COMPOUNDVALUE(379)</f>
        <v>1793</v>
      </c>
      <c r="G33" s="137">
        <v>3245352</v>
      </c>
      <c r="H33" s="136">
        <f>_xlfn.COMPOUNDVALUE(380)</f>
        <v>80</v>
      </c>
      <c r="I33" s="138">
        <v>181895</v>
      </c>
      <c r="J33" s="136">
        <v>81</v>
      </c>
      <c r="K33" s="138">
        <v>18606</v>
      </c>
      <c r="L33" s="136">
        <v>1888</v>
      </c>
      <c r="M33" s="138">
        <v>3082063</v>
      </c>
      <c r="N33" s="131">
        <v>1906</v>
      </c>
      <c r="O33" s="134">
        <v>62</v>
      </c>
      <c r="P33" s="134">
        <v>1</v>
      </c>
      <c r="Q33" s="135">
        <v>1969</v>
      </c>
      <c r="R33" s="85" t="s">
        <v>66</v>
      </c>
    </row>
    <row r="34" spans="1:18" ht="15.75" customHeight="1">
      <c r="A34" s="87" t="s">
        <v>138</v>
      </c>
      <c r="B34" s="136">
        <f>_xlfn.COMPOUNDVALUE(381)</f>
        <v>1166</v>
      </c>
      <c r="C34" s="137">
        <v>2827088</v>
      </c>
      <c r="D34" s="136">
        <f>_xlfn.COMPOUNDVALUE(382)</f>
        <v>906</v>
      </c>
      <c r="E34" s="137">
        <v>384199</v>
      </c>
      <c r="F34" s="136">
        <f>_xlfn.COMPOUNDVALUE(383)</f>
        <v>2072</v>
      </c>
      <c r="G34" s="137">
        <v>3211287</v>
      </c>
      <c r="H34" s="136">
        <f>_xlfn.COMPOUNDVALUE(384)</f>
        <v>109</v>
      </c>
      <c r="I34" s="138">
        <v>117564</v>
      </c>
      <c r="J34" s="136">
        <v>92</v>
      </c>
      <c r="K34" s="138">
        <v>10767</v>
      </c>
      <c r="L34" s="136">
        <v>2214</v>
      </c>
      <c r="M34" s="138">
        <v>3104490</v>
      </c>
      <c r="N34" s="131">
        <v>2154</v>
      </c>
      <c r="O34" s="134">
        <v>64</v>
      </c>
      <c r="P34" s="134">
        <v>3</v>
      </c>
      <c r="Q34" s="135">
        <v>2221</v>
      </c>
      <c r="R34" s="85" t="s">
        <v>67</v>
      </c>
    </row>
    <row r="35" spans="1:18" ht="15.75" customHeight="1">
      <c r="A35" s="87" t="s">
        <v>139</v>
      </c>
      <c r="B35" s="136">
        <f>_xlfn.COMPOUNDVALUE(385)</f>
        <v>1420</v>
      </c>
      <c r="C35" s="137">
        <v>4653724</v>
      </c>
      <c r="D35" s="136">
        <f>_xlfn.COMPOUNDVALUE(386)</f>
        <v>1802</v>
      </c>
      <c r="E35" s="137">
        <v>676728</v>
      </c>
      <c r="F35" s="136">
        <f>_xlfn.COMPOUNDVALUE(387)</f>
        <v>3222</v>
      </c>
      <c r="G35" s="137">
        <v>5330451</v>
      </c>
      <c r="H35" s="136">
        <f>_xlfn.COMPOUNDVALUE(388)</f>
        <v>119</v>
      </c>
      <c r="I35" s="138">
        <v>507091</v>
      </c>
      <c r="J35" s="136">
        <v>147</v>
      </c>
      <c r="K35" s="138">
        <v>14871</v>
      </c>
      <c r="L35" s="136">
        <v>3376</v>
      </c>
      <c r="M35" s="138">
        <v>4838231</v>
      </c>
      <c r="N35" s="131">
        <v>3303</v>
      </c>
      <c r="O35" s="134">
        <v>112</v>
      </c>
      <c r="P35" s="134">
        <v>10</v>
      </c>
      <c r="Q35" s="135">
        <v>3425</v>
      </c>
      <c r="R35" s="85" t="s">
        <v>68</v>
      </c>
    </row>
    <row r="36" spans="1:18" ht="15.75" customHeight="1">
      <c r="A36" s="104" t="s">
        <v>69</v>
      </c>
      <c r="B36" s="139">
        <v>14766</v>
      </c>
      <c r="C36" s="140">
        <v>57713794</v>
      </c>
      <c r="D36" s="139">
        <v>11774</v>
      </c>
      <c r="E36" s="140">
        <v>5272422</v>
      </c>
      <c r="F36" s="139">
        <v>26540</v>
      </c>
      <c r="G36" s="140">
        <v>62986216</v>
      </c>
      <c r="H36" s="139">
        <v>1036</v>
      </c>
      <c r="I36" s="141">
        <v>2736234</v>
      </c>
      <c r="J36" s="139">
        <v>1298</v>
      </c>
      <c r="K36" s="141">
        <v>-3980</v>
      </c>
      <c r="L36" s="139">
        <v>27954</v>
      </c>
      <c r="M36" s="141">
        <v>60246001</v>
      </c>
      <c r="N36" s="139">
        <v>27954</v>
      </c>
      <c r="O36" s="142">
        <v>817</v>
      </c>
      <c r="P36" s="142">
        <v>51</v>
      </c>
      <c r="Q36" s="143">
        <v>28822</v>
      </c>
      <c r="R36" s="105" t="s">
        <v>70</v>
      </c>
    </row>
    <row r="37" spans="1:18" ht="15.75" customHeight="1">
      <c r="A37" s="110"/>
      <c r="B37" s="146"/>
      <c r="C37" s="145"/>
      <c r="D37" s="146"/>
      <c r="E37" s="145"/>
      <c r="F37" s="144"/>
      <c r="G37" s="145"/>
      <c r="H37" s="144"/>
      <c r="I37" s="145"/>
      <c r="J37" s="144"/>
      <c r="K37" s="145"/>
      <c r="L37" s="144"/>
      <c r="M37" s="145"/>
      <c r="N37" s="147"/>
      <c r="O37" s="148"/>
      <c r="P37" s="148"/>
      <c r="Q37" s="149"/>
      <c r="R37" s="107" t="s">
        <v>101</v>
      </c>
    </row>
    <row r="38" spans="1:18" ht="15.75" customHeight="1">
      <c r="A38" s="84" t="s">
        <v>71</v>
      </c>
      <c r="B38" s="131">
        <f>_xlfn.COMPOUNDVALUE(389)</f>
        <v>8067</v>
      </c>
      <c r="C38" s="132">
        <v>47855525</v>
      </c>
      <c r="D38" s="131">
        <f>_xlfn.COMPOUNDVALUE(390)</f>
        <v>5024</v>
      </c>
      <c r="E38" s="132">
        <v>2500912</v>
      </c>
      <c r="F38" s="131">
        <f>_xlfn.COMPOUNDVALUE(391)</f>
        <v>13091</v>
      </c>
      <c r="G38" s="132">
        <v>50356437</v>
      </c>
      <c r="H38" s="131">
        <f>_xlfn.COMPOUNDVALUE(392)</f>
        <v>549</v>
      </c>
      <c r="I38" s="133">
        <v>2291634</v>
      </c>
      <c r="J38" s="131">
        <v>813</v>
      </c>
      <c r="K38" s="133">
        <v>43563</v>
      </c>
      <c r="L38" s="131">
        <v>13851</v>
      </c>
      <c r="M38" s="133">
        <v>48108366</v>
      </c>
      <c r="N38" s="131">
        <v>13822</v>
      </c>
      <c r="O38" s="134">
        <v>419</v>
      </c>
      <c r="P38" s="134">
        <v>38</v>
      </c>
      <c r="Q38" s="135">
        <v>14279</v>
      </c>
      <c r="R38" s="85" t="s">
        <v>72</v>
      </c>
    </row>
    <row r="39" spans="1:18" ht="15.75" customHeight="1">
      <c r="A39" s="84" t="s">
        <v>140</v>
      </c>
      <c r="B39" s="131">
        <f>_xlfn.COMPOUNDVALUE(393)</f>
        <v>1358</v>
      </c>
      <c r="C39" s="132">
        <v>4282938</v>
      </c>
      <c r="D39" s="131">
        <f>_xlfn.COMPOUNDVALUE(394)</f>
        <v>990</v>
      </c>
      <c r="E39" s="132">
        <v>462453</v>
      </c>
      <c r="F39" s="131">
        <f>_xlfn.COMPOUNDVALUE(395)</f>
        <v>2348</v>
      </c>
      <c r="G39" s="132">
        <v>4745391</v>
      </c>
      <c r="H39" s="131">
        <f>_xlfn.COMPOUNDVALUE(396)</f>
        <v>118</v>
      </c>
      <c r="I39" s="133">
        <v>287788</v>
      </c>
      <c r="J39" s="131">
        <v>80</v>
      </c>
      <c r="K39" s="133">
        <v>9296</v>
      </c>
      <c r="L39" s="131">
        <v>2492</v>
      </c>
      <c r="M39" s="133">
        <v>4466899</v>
      </c>
      <c r="N39" s="131">
        <v>2398</v>
      </c>
      <c r="O39" s="134">
        <v>115</v>
      </c>
      <c r="P39" s="134">
        <v>5</v>
      </c>
      <c r="Q39" s="135">
        <v>2518</v>
      </c>
      <c r="R39" s="85" t="s">
        <v>73</v>
      </c>
    </row>
    <row r="40" spans="1:18" ht="15.75" customHeight="1">
      <c r="A40" s="84" t="s">
        <v>141</v>
      </c>
      <c r="B40" s="131">
        <f>_xlfn.COMPOUNDVALUE(397)</f>
        <v>2199</v>
      </c>
      <c r="C40" s="132">
        <v>6384472</v>
      </c>
      <c r="D40" s="131">
        <f>_xlfn.COMPOUNDVALUE(398)</f>
        <v>1558</v>
      </c>
      <c r="E40" s="132">
        <v>689858</v>
      </c>
      <c r="F40" s="131">
        <f>_xlfn.COMPOUNDVALUE(399)</f>
        <v>3757</v>
      </c>
      <c r="G40" s="132">
        <v>7074330</v>
      </c>
      <c r="H40" s="131">
        <f>_xlfn.COMPOUNDVALUE(400)</f>
        <v>181</v>
      </c>
      <c r="I40" s="133">
        <v>446387</v>
      </c>
      <c r="J40" s="131">
        <v>191</v>
      </c>
      <c r="K40" s="133">
        <v>23838</v>
      </c>
      <c r="L40" s="131">
        <v>4004</v>
      </c>
      <c r="M40" s="133">
        <v>6651780</v>
      </c>
      <c r="N40" s="131">
        <v>4003</v>
      </c>
      <c r="O40" s="134">
        <v>116</v>
      </c>
      <c r="P40" s="134">
        <v>5</v>
      </c>
      <c r="Q40" s="135">
        <v>4124</v>
      </c>
      <c r="R40" s="85" t="s">
        <v>74</v>
      </c>
    </row>
    <row r="41" spans="1:18" ht="15.75" customHeight="1">
      <c r="A41" s="84" t="s">
        <v>142</v>
      </c>
      <c r="B41" s="131">
        <f>_xlfn.COMPOUNDVALUE(401)</f>
        <v>1638</v>
      </c>
      <c r="C41" s="132">
        <v>3658732</v>
      </c>
      <c r="D41" s="131">
        <f>_xlfn.COMPOUNDVALUE(402)</f>
        <v>1003</v>
      </c>
      <c r="E41" s="132">
        <v>437827</v>
      </c>
      <c r="F41" s="131">
        <f>_xlfn.COMPOUNDVALUE(403)</f>
        <v>2641</v>
      </c>
      <c r="G41" s="132">
        <v>4096559</v>
      </c>
      <c r="H41" s="131">
        <f>_xlfn.COMPOUNDVALUE(404)</f>
        <v>106</v>
      </c>
      <c r="I41" s="133">
        <v>229784</v>
      </c>
      <c r="J41" s="131">
        <v>208</v>
      </c>
      <c r="K41" s="133">
        <v>36537</v>
      </c>
      <c r="L41" s="131">
        <v>2813</v>
      </c>
      <c r="M41" s="133">
        <v>3903312</v>
      </c>
      <c r="N41" s="131">
        <v>2883</v>
      </c>
      <c r="O41" s="134">
        <v>84</v>
      </c>
      <c r="P41" s="134">
        <v>4</v>
      </c>
      <c r="Q41" s="135">
        <v>2971</v>
      </c>
      <c r="R41" s="85" t="s">
        <v>75</v>
      </c>
    </row>
    <row r="42" spans="1:18" ht="15.75" customHeight="1">
      <c r="A42" s="87" t="s">
        <v>143</v>
      </c>
      <c r="B42" s="136">
        <f>_xlfn.COMPOUNDVALUE(405)</f>
        <v>1293</v>
      </c>
      <c r="C42" s="137">
        <v>4361627</v>
      </c>
      <c r="D42" s="136">
        <f>_xlfn.COMPOUNDVALUE(406)</f>
        <v>744</v>
      </c>
      <c r="E42" s="137">
        <v>332183</v>
      </c>
      <c r="F42" s="136">
        <f>_xlfn.COMPOUNDVALUE(407)</f>
        <v>2037</v>
      </c>
      <c r="G42" s="137">
        <v>4693811</v>
      </c>
      <c r="H42" s="136">
        <f>_xlfn.COMPOUNDVALUE(408)</f>
        <v>150</v>
      </c>
      <c r="I42" s="138">
        <v>261385</v>
      </c>
      <c r="J42" s="136">
        <v>78</v>
      </c>
      <c r="K42" s="138">
        <v>48970</v>
      </c>
      <c r="L42" s="136">
        <v>2200</v>
      </c>
      <c r="M42" s="138">
        <v>4481396</v>
      </c>
      <c r="N42" s="131">
        <v>2159</v>
      </c>
      <c r="O42" s="134">
        <v>109</v>
      </c>
      <c r="P42" s="134">
        <v>6</v>
      </c>
      <c r="Q42" s="135">
        <v>2274</v>
      </c>
      <c r="R42" s="85" t="s">
        <v>76</v>
      </c>
    </row>
    <row r="43" spans="1:18" ht="15.75" customHeight="1">
      <c r="A43" s="87" t="s">
        <v>144</v>
      </c>
      <c r="B43" s="136">
        <f>_xlfn.COMPOUNDVALUE(409)</f>
        <v>537</v>
      </c>
      <c r="C43" s="137">
        <v>1493446</v>
      </c>
      <c r="D43" s="136">
        <f>_xlfn.COMPOUNDVALUE(410)</f>
        <v>570</v>
      </c>
      <c r="E43" s="137">
        <v>227119</v>
      </c>
      <c r="F43" s="136">
        <f>_xlfn.COMPOUNDVALUE(411)</f>
        <v>1107</v>
      </c>
      <c r="G43" s="137">
        <v>1720565</v>
      </c>
      <c r="H43" s="136">
        <f>_xlfn.COMPOUNDVALUE(412)</f>
        <v>54</v>
      </c>
      <c r="I43" s="138">
        <v>151379</v>
      </c>
      <c r="J43" s="136">
        <v>25</v>
      </c>
      <c r="K43" s="138">
        <v>3248</v>
      </c>
      <c r="L43" s="136">
        <v>1167</v>
      </c>
      <c r="M43" s="138">
        <v>1572434</v>
      </c>
      <c r="N43" s="136">
        <v>1304</v>
      </c>
      <c r="O43" s="150">
        <v>30</v>
      </c>
      <c r="P43" s="150">
        <v>2</v>
      </c>
      <c r="Q43" s="151">
        <v>1336</v>
      </c>
      <c r="R43" s="88" t="s">
        <v>77</v>
      </c>
    </row>
    <row r="44" spans="1:18" ht="15.75" customHeight="1">
      <c r="A44" s="87" t="s">
        <v>78</v>
      </c>
      <c r="B44" s="136">
        <f>_xlfn.COMPOUNDVALUE(413)</f>
        <v>663</v>
      </c>
      <c r="C44" s="137">
        <v>1459790</v>
      </c>
      <c r="D44" s="136">
        <f>_xlfn.COMPOUNDVALUE(414)</f>
        <v>539</v>
      </c>
      <c r="E44" s="137">
        <v>215562</v>
      </c>
      <c r="F44" s="136">
        <f>_xlfn.COMPOUNDVALUE(415)</f>
        <v>1202</v>
      </c>
      <c r="G44" s="137">
        <v>1675352</v>
      </c>
      <c r="H44" s="136">
        <f>_xlfn.COMPOUNDVALUE(416)</f>
        <v>56</v>
      </c>
      <c r="I44" s="138">
        <v>65748</v>
      </c>
      <c r="J44" s="136">
        <v>65</v>
      </c>
      <c r="K44" s="138">
        <v>-5659</v>
      </c>
      <c r="L44" s="136">
        <v>1271</v>
      </c>
      <c r="M44" s="138">
        <v>1603945</v>
      </c>
      <c r="N44" s="136">
        <v>1236</v>
      </c>
      <c r="O44" s="150">
        <v>66</v>
      </c>
      <c r="P44" s="150">
        <v>3</v>
      </c>
      <c r="Q44" s="151">
        <v>1305</v>
      </c>
      <c r="R44" s="88" t="s">
        <v>79</v>
      </c>
    </row>
    <row r="45" spans="1:18" ht="15.75" customHeight="1">
      <c r="A45" s="87" t="s">
        <v>145</v>
      </c>
      <c r="B45" s="136">
        <f>_xlfn.COMPOUNDVALUE(417)</f>
        <v>1244</v>
      </c>
      <c r="C45" s="137">
        <v>3994928</v>
      </c>
      <c r="D45" s="136">
        <f>_xlfn.COMPOUNDVALUE(418)</f>
        <v>1314</v>
      </c>
      <c r="E45" s="137">
        <v>520816</v>
      </c>
      <c r="F45" s="136">
        <f>_xlfn.COMPOUNDVALUE(419)</f>
        <v>2558</v>
      </c>
      <c r="G45" s="137">
        <v>4515744</v>
      </c>
      <c r="H45" s="136">
        <f>_xlfn.COMPOUNDVALUE(420)</f>
        <v>113</v>
      </c>
      <c r="I45" s="138">
        <v>290160</v>
      </c>
      <c r="J45" s="136">
        <v>107</v>
      </c>
      <c r="K45" s="138">
        <v>6449</v>
      </c>
      <c r="L45" s="136">
        <v>2688</v>
      </c>
      <c r="M45" s="138">
        <v>4232033</v>
      </c>
      <c r="N45" s="136">
        <v>2594</v>
      </c>
      <c r="O45" s="150">
        <v>96</v>
      </c>
      <c r="P45" s="150">
        <v>4</v>
      </c>
      <c r="Q45" s="151">
        <v>2694</v>
      </c>
      <c r="R45" s="88" t="s">
        <v>80</v>
      </c>
    </row>
    <row r="46" spans="1:18" ht="15.75" customHeight="1">
      <c r="A46" s="87" t="s">
        <v>81</v>
      </c>
      <c r="B46" s="136">
        <f>_xlfn.COMPOUNDVALUE(421)</f>
        <v>902</v>
      </c>
      <c r="C46" s="137">
        <v>4166420</v>
      </c>
      <c r="D46" s="136">
        <f>_xlfn.COMPOUNDVALUE(422)</f>
        <v>601</v>
      </c>
      <c r="E46" s="137">
        <v>285028</v>
      </c>
      <c r="F46" s="136">
        <f>_xlfn.COMPOUNDVALUE(423)</f>
        <v>1503</v>
      </c>
      <c r="G46" s="137">
        <v>4451448</v>
      </c>
      <c r="H46" s="136">
        <f>_xlfn.COMPOUNDVALUE(424)</f>
        <v>78</v>
      </c>
      <c r="I46" s="138">
        <v>490169</v>
      </c>
      <c r="J46" s="136">
        <v>51</v>
      </c>
      <c r="K46" s="138">
        <v>11187</v>
      </c>
      <c r="L46" s="136">
        <v>1597</v>
      </c>
      <c r="M46" s="138">
        <v>3972467</v>
      </c>
      <c r="N46" s="136">
        <v>1829</v>
      </c>
      <c r="O46" s="150">
        <v>49</v>
      </c>
      <c r="P46" s="150">
        <v>5</v>
      </c>
      <c r="Q46" s="151">
        <v>1883</v>
      </c>
      <c r="R46" s="88" t="s">
        <v>82</v>
      </c>
    </row>
    <row r="47" spans="1:18" ht="15.75" customHeight="1">
      <c r="A47" s="87" t="s">
        <v>83</v>
      </c>
      <c r="B47" s="136">
        <f>_xlfn.COMPOUNDVALUE(425)</f>
        <v>2191</v>
      </c>
      <c r="C47" s="137">
        <v>7900834</v>
      </c>
      <c r="D47" s="136">
        <f>_xlfn.COMPOUNDVALUE(426)</f>
        <v>1680</v>
      </c>
      <c r="E47" s="137">
        <v>753413</v>
      </c>
      <c r="F47" s="136">
        <f>_xlfn.COMPOUNDVALUE(427)</f>
        <v>3871</v>
      </c>
      <c r="G47" s="137">
        <v>8654246</v>
      </c>
      <c r="H47" s="136">
        <f>_xlfn.COMPOUNDVALUE(428)</f>
        <v>156</v>
      </c>
      <c r="I47" s="138">
        <v>502779</v>
      </c>
      <c r="J47" s="136">
        <v>157</v>
      </c>
      <c r="K47" s="138">
        <v>12122</v>
      </c>
      <c r="L47" s="136">
        <v>4068</v>
      </c>
      <c r="M47" s="138">
        <v>8163589</v>
      </c>
      <c r="N47" s="136">
        <v>3997</v>
      </c>
      <c r="O47" s="150">
        <v>150</v>
      </c>
      <c r="P47" s="150">
        <v>9</v>
      </c>
      <c r="Q47" s="151">
        <v>4156</v>
      </c>
      <c r="R47" s="88" t="s">
        <v>84</v>
      </c>
    </row>
    <row r="48" spans="1:18" ht="15.75" customHeight="1">
      <c r="A48" s="87" t="s">
        <v>146</v>
      </c>
      <c r="B48" s="136">
        <f>_xlfn.COMPOUNDVALUE(429)</f>
        <v>1259</v>
      </c>
      <c r="C48" s="137">
        <v>4239199</v>
      </c>
      <c r="D48" s="136">
        <f>_xlfn.COMPOUNDVALUE(430)</f>
        <v>1118</v>
      </c>
      <c r="E48" s="137">
        <v>456045</v>
      </c>
      <c r="F48" s="136">
        <f>_xlfn.COMPOUNDVALUE(431)</f>
        <v>2377</v>
      </c>
      <c r="G48" s="137">
        <v>4695244</v>
      </c>
      <c r="H48" s="136">
        <f>_xlfn.COMPOUNDVALUE(432)</f>
        <v>115</v>
      </c>
      <c r="I48" s="138">
        <v>289675</v>
      </c>
      <c r="J48" s="136">
        <v>106</v>
      </c>
      <c r="K48" s="138">
        <v>28040</v>
      </c>
      <c r="L48" s="136">
        <v>2517</v>
      </c>
      <c r="M48" s="138">
        <v>4433610</v>
      </c>
      <c r="N48" s="136">
        <v>2537</v>
      </c>
      <c r="O48" s="150">
        <v>95</v>
      </c>
      <c r="P48" s="150">
        <v>4</v>
      </c>
      <c r="Q48" s="151">
        <v>2636</v>
      </c>
      <c r="R48" s="88" t="s">
        <v>85</v>
      </c>
    </row>
    <row r="49" spans="1:18" s="86" customFormat="1" ht="15.75" customHeight="1">
      <c r="A49" s="104" t="s">
        <v>86</v>
      </c>
      <c r="B49" s="139">
        <v>21351</v>
      </c>
      <c r="C49" s="140">
        <v>89797911</v>
      </c>
      <c r="D49" s="139">
        <v>15141</v>
      </c>
      <c r="E49" s="140">
        <v>6881215</v>
      </c>
      <c r="F49" s="139">
        <v>36492</v>
      </c>
      <c r="G49" s="140">
        <v>96679126</v>
      </c>
      <c r="H49" s="139">
        <v>1676</v>
      </c>
      <c r="I49" s="141">
        <v>5306886</v>
      </c>
      <c r="J49" s="139">
        <v>1881</v>
      </c>
      <c r="K49" s="141">
        <v>217593</v>
      </c>
      <c r="L49" s="139">
        <v>38668</v>
      </c>
      <c r="M49" s="141">
        <v>91589833</v>
      </c>
      <c r="N49" s="139">
        <v>38762</v>
      </c>
      <c r="O49" s="142">
        <v>1329</v>
      </c>
      <c r="P49" s="142">
        <v>85</v>
      </c>
      <c r="Q49" s="143">
        <v>40176</v>
      </c>
      <c r="R49" s="105" t="s">
        <v>87</v>
      </c>
    </row>
    <row r="50" spans="1:18" s="157" customFormat="1" ht="15.75" customHeight="1" thickBot="1">
      <c r="A50" s="108"/>
      <c r="B50" s="152"/>
      <c r="C50" s="153"/>
      <c r="D50" s="152"/>
      <c r="E50" s="153"/>
      <c r="F50" s="154"/>
      <c r="G50" s="153"/>
      <c r="H50" s="154"/>
      <c r="I50" s="153"/>
      <c r="J50" s="154"/>
      <c r="K50" s="153"/>
      <c r="L50" s="154"/>
      <c r="M50" s="153"/>
      <c r="N50" s="154"/>
      <c r="O50" s="155"/>
      <c r="P50" s="155"/>
      <c r="Q50" s="156"/>
      <c r="R50" s="109"/>
    </row>
    <row r="51" spans="1:18" ht="15.75" customHeight="1" thickBot="1" thickTop="1">
      <c r="A51" s="90" t="s">
        <v>89</v>
      </c>
      <c r="B51" s="158">
        <v>73267</v>
      </c>
      <c r="C51" s="159">
        <v>308857845</v>
      </c>
      <c r="D51" s="158">
        <v>56873</v>
      </c>
      <c r="E51" s="159">
        <v>25822660</v>
      </c>
      <c r="F51" s="158">
        <v>130140</v>
      </c>
      <c r="G51" s="159">
        <v>334680504</v>
      </c>
      <c r="H51" s="158">
        <v>5277</v>
      </c>
      <c r="I51" s="160">
        <v>20030733</v>
      </c>
      <c r="J51" s="158">
        <v>6571</v>
      </c>
      <c r="K51" s="160">
        <v>673640</v>
      </c>
      <c r="L51" s="158">
        <v>137078</v>
      </c>
      <c r="M51" s="160">
        <v>315323410</v>
      </c>
      <c r="N51" s="161">
        <v>137584</v>
      </c>
      <c r="O51" s="162">
        <v>4509</v>
      </c>
      <c r="P51" s="162">
        <v>283</v>
      </c>
      <c r="Q51" s="163">
        <v>142376</v>
      </c>
      <c r="R51" s="103" t="s">
        <v>89</v>
      </c>
    </row>
    <row r="52" spans="1:18" s="157" customFormat="1" ht="3.75" customHeight="1">
      <c r="A52" s="92"/>
      <c r="B52" s="93"/>
      <c r="C52" s="93"/>
      <c r="D52" s="93"/>
      <c r="E52" s="93"/>
      <c r="F52" s="93"/>
      <c r="G52" s="93"/>
      <c r="H52" s="93"/>
      <c r="I52" s="93"/>
      <c r="J52" s="93"/>
      <c r="K52" s="93"/>
      <c r="L52" s="93"/>
      <c r="M52" s="93"/>
      <c r="N52" s="93"/>
      <c r="O52" s="93"/>
      <c r="P52" s="93"/>
      <c r="Q52" s="93"/>
      <c r="R52" s="92"/>
    </row>
    <row r="53" spans="1:10" ht="13.5">
      <c r="A53" s="231" t="s">
        <v>165</v>
      </c>
      <c r="B53" s="231"/>
      <c r="C53" s="231"/>
      <c r="D53" s="231"/>
      <c r="E53" s="231"/>
      <c r="F53" s="231"/>
      <c r="G53" s="231"/>
      <c r="H53" s="231"/>
      <c r="I53" s="231"/>
      <c r="J53" s="231"/>
    </row>
  </sheetData>
  <sheetProtection/>
  <mergeCells count="16">
    <mergeCell ref="A53:J53"/>
    <mergeCell ref="A2:I2"/>
    <mergeCell ref="A3:A5"/>
    <mergeCell ref="B3:G3"/>
    <mergeCell ref="H3:I4"/>
    <mergeCell ref="J3:K4"/>
    <mergeCell ref="L3:M4"/>
    <mergeCell ref="N3:Q3"/>
    <mergeCell ref="R3:R5"/>
    <mergeCell ref="B4:C4"/>
    <mergeCell ref="D4:E4"/>
    <mergeCell ref="F4:G4"/>
    <mergeCell ref="N4:N5"/>
    <mergeCell ref="O4:O5"/>
    <mergeCell ref="P4:P5"/>
    <mergeCell ref="Q4:Q5"/>
  </mergeCells>
  <printOptions/>
  <pageMargins left="0.7874015748031497" right="0.6299212598425197" top="0.984251968503937" bottom="0.984251968503937" header="0.5118110236220472" footer="0.5118110236220472"/>
  <pageSetup horizontalDpi="600" verticalDpi="600" orientation="landscape" paperSize="9" scale="65" r:id="rId1"/>
  <headerFooter alignWithMargins="0">
    <oddFooter>&amp;R熊本国税局
消費税
（H27）</oddFooter>
  </headerFooter>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dc:creator>
  <cp:keywords/>
  <dc:description/>
  <cp:lastModifiedBy>国税庁</cp:lastModifiedBy>
  <cp:lastPrinted>2016-12-19T06:04:39Z</cp:lastPrinted>
  <dcterms:created xsi:type="dcterms:W3CDTF">2003-07-09T01:05:10Z</dcterms:created>
  <dcterms:modified xsi:type="dcterms:W3CDTF">2017-04-14T08:14:05Z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