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520" windowHeight="8250" tabRatio="901"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<sst xmlns="http://schemas.openxmlformats.org/spreadsheetml/2006/main" count="446" uniqueCount="166">
  <si>
    <t>７　消　費　税</t>
  </si>
  <si>
    <t>区　　　分</t>
  </si>
  <si>
    <t>件　　　数</t>
  </si>
  <si>
    <t>税　　　額</t>
  </si>
  <si>
    <t>件</t>
  </si>
  <si>
    <t>千円</t>
  </si>
  <si>
    <t>差引計</t>
  </si>
  <si>
    <t>加算税</t>
  </si>
  <si>
    <t>課税事業者届出書</t>
  </si>
  <si>
    <t>課税事業者選択届出書</t>
  </si>
  <si>
    <t>新設法人に該当する旨の届出書</t>
  </si>
  <si>
    <t>納税申告計</t>
  </si>
  <si>
    <t>還付申告及び処理</t>
  </si>
  <si>
    <t>実</t>
  </si>
  <si>
    <t>個　人　事　業　者</t>
  </si>
  <si>
    <t>一般申告及び処理</t>
  </si>
  <si>
    <t>法　　　　　　　人</t>
  </si>
  <si>
    <t>合　　　　　　　計</t>
  </si>
  <si>
    <t>件　　数</t>
  </si>
  <si>
    <t>税　　額</t>
  </si>
  <si>
    <t>(3)　課税事業者等届出件数</t>
  </si>
  <si>
    <t>千円</t>
  </si>
  <si>
    <t>件</t>
  </si>
  <si>
    <t>(2)　課税状況の累年比較</t>
  </si>
  <si>
    <t>合計</t>
  </si>
  <si>
    <t>(4)　税務署別課税状況</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</si>
  <si>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</si>
  <si>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</si>
  <si>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</si>
  <si>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</si>
  <si>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</si>
  <si>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</si>
  <si>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</si>
  <si>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</si>
  <si>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</si>
  <si>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</si>
  <si>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</si>
  <si>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</si>
  <si>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</si>
  <si>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</si>
  <si>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熊本西</t>
  </si>
  <si>
    <t>熊本東</t>
  </si>
  <si>
    <t>八代</t>
  </si>
  <si>
    <t>人吉</t>
  </si>
  <si>
    <t>玉名</t>
  </si>
  <si>
    <t>天草</t>
  </si>
  <si>
    <t>山鹿</t>
  </si>
  <si>
    <t>菊池</t>
  </si>
  <si>
    <t>宇土</t>
  </si>
  <si>
    <t>阿蘇</t>
  </si>
  <si>
    <t>熊本県計</t>
  </si>
  <si>
    <t>熊本県計</t>
  </si>
  <si>
    <t>大分</t>
  </si>
  <si>
    <t>別府</t>
  </si>
  <si>
    <t>中津</t>
  </si>
  <si>
    <t>日田</t>
  </si>
  <si>
    <t>佐伯</t>
  </si>
  <si>
    <t>臼杵</t>
  </si>
  <si>
    <t>竹田</t>
  </si>
  <si>
    <t>宇佐</t>
  </si>
  <si>
    <t>三重</t>
  </si>
  <si>
    <t>大分県計</t>
  </si>
  <si>
    <t>大分県計</t>
  </si>
  <si>
    <t>宮崎</t>
  </si>
  <si>
    <t>都城</t>
  </si>
  <si>
    <t>延岡</t>
  </si>
  <si>
    <t>日南</t>
  </si>
  <si>
    <t>小林</t>
  </si>
  <si>
    <t>高鍋</t>
  </si>
  <si>
    <t>宮崎県計</t>
  </si>
  <si>
    <t>宮崎県計</t>
  </si>
  <si>
    <t>鹿児島</t>
  </si>
  <si>
    <t>鹿児島</t>
  </si>
  <si>
    <t>川内</t>
  </si>
  <si>
    <t>鹿屋</t>
  </si>
  <si>
    <t>大島</t>
  </si>
  <si>
    <t>出水</t>
  </si>
  <si>
    <t>指宿</t>
  </si>
  <si>
    <t>種子島</t>
  </si>
  <si>
    <t>種子島</t>
  </si>
  <si>
    <t>知覧</t>
  </si>
  <si>
    <t>伊集院</t>
  </si>
  <si>
    <t>伊集院</t>
  </si>
  <si>
    <t>加治木</t>
  </si>
  <si>
    <t>加治木</t>
  </si>
  <si>
    <t>大隅</t>
  </si>
  <si>
    <t>鹿児島県計</t>
  </si>
  <si>
    <t>鹿児島県計</t>
  </si>
  <si>
    <t>総　計</t>
  </si>
  <si>
    <t>総　計</t>
  </si>
  <si>
    <t>(4)　税務署別課税状況（続）</t>
  </si>
  <si>
    <t>　ロ　法　　　人</t>
  </si>
  <si>
    <t>税務署名</t>
  </si>
  <si>
    <t>　ハ　個人事業者と法人の合計</t>
  </si>
  <si>
    <t>課　税　事　業　者　等　届　出　件　数</t>
  </si>
  <si>
    <t>課税事業者
届出</t>
  </si>
  <si>
    <t>課税事業者
選択届出</t>
  </si>
  <si>
    <t>新設法人に
該当する旨
の届出</t>
  </si>
  <si>
    <t>合　　　計</t>
  </si>
  <si>
    <t>税　　額
(①－②＋③)</t>
  </si>
  <si>
    <t>熊本県計</t>
  </si>
  <si>
    <t/>
  </si>
  <si>
    <t>　 （注）　納税義務者でなくなった旨の届出書又は課税事業者選択不適用届出書を提出した者は含まない。</t>
  </si>
  <si>
    <t>（注）　この表は「(1)　課税状況」の現年分を税務署別に示したものである（加算税を除く。）。</t>
  </si>
  <si>
    <t>（注）　この表は「(1)　課税状況」の現年分及び「(3)　課税事業者等届出件数」を税務署別に示したものである（加算税を除く。）。</t>
  </si>
  <si>
    <t>　「現年分」は、平成25年４月１日から平成26年３月31日までに終了した課税期間について、平成26年６月30日現在の申告（国・地方公共団体等については平成26年９月30日までの申告を含む。）及び処理（更正、決定等）による課税事績を「申告書及び決議書」に基づいて作成した。</t>
  </si>
  <si>
    <t>平成21年度</t>
  </si>
  <si>
    <t>平成22年度</t>
  </si>
  <si>
    <t>平成23年度</t>
  </si>
  <si>
    <t>平成24年度</t>
  </si>
  <si>
    <t>平成25年度</t>
  </si>
  <si>
    <t>調査対象等：平成25年度末（平成26年３月31日現在）の届出件数を示している。</t>
  </si>
  <si>
    <t>調査対象等：</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</si>
  <si>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</si>
  <si>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</si>
  <si>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</si>
  <si>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</si>
  <si>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</si>
  <si>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</si>
  <si>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</si>
  <si>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</si>
  <si>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</si>
  <si>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</si>
  <si>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</si>
  <si>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</si>
  <si>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八代</t>
  </si>
  <si>
    <t>人吉</t>
  </si>
  <si>
    <t>玉名</t>
  </si>
  <si>
    <t>天草</t>
  </si>
  <si>
    <t>山鹿</t>
  </si>
  <si>
    <t>菊池</t>
  </si>
  <si>
    <t>宇土</t>
  </si>
  <si>
    <t>阿蘇</t>
  </si>
  <si>
    <t>中津</t>
  </si>
  <si>
    <t>日田</t>
  </si>
  <si>
    <t>佐伯</t>
  </si>
  <si>
    <t>臼杵</t>
  </si>
  <si>
    <t>竹田</t>
  </si>
  <si>
    <t>宇佐</t>
  </si>
  <si>
    <t>三重</t>
  </si>
  <si>
    <t>宮崎</t>
  </si>
  <si>
    <t>都城</t>
  </si>
  <si>
    <t>延岡</t>
  </si>
  <si>
    <t>日南</t>
  </si>
  <si>
    <t>小林</t>
  </si>
  <si>
    <t>高鍋</t>
  </si>
  <si>
    <t>川内</t>
  </si>
  <si>
    <t>鹿屋</t>
  </si>
  <si>
    <t>大島</t>
  </si>
  <si>
    <t>出水</t>
  </si>
  <si>
    <t>指宿</t>
  </si>
  <si>
    <t>知覧</t>
  </si>
  <si>
    <t>大隅</t>
  </si>
  <si>
    <t>熊本県計</t>
  </si>
  <si>
    <t>大分県計</t>
  </si>
  <si>
    <t>宮崎県計</t>
  </si>
  <si>
    <t>鹿児島</t>
  </si>
  <si>
    <t>種子島</t>
  </si>
  <si>
    <t>伊集院</t>
  </si>
  <si>
    <t>加治木</t>
  </si>
  <si>
    <t>鹿児島県計</t>
  </si>
  <si>
    <t>総　計</t>
  </si>
  <si>
    <t>１　税関分は含まない。</t>
  </si>
  <si>
    <t>　　（注）</t>
  </si>
  <si>
    <t>２　「件数欄」の「実」は、実件数を示す。</t>
  </si>
  <si>
    <t>　「既往年分」は、平成25年３月31日以前に終了した課税期間について、平成25年７月１日から平成26年６月30日までの間の申告（平成25年７月１日から同年９月30日までの間の国・地方公共団体等に係る申告を除く。)及び処理（更正、決定等）による課税事績を「申告書及び決議書」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</si>
</sst>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thin"/>
      <right style="medium"/>
      <top>
        <color indexed="63"/>
      </top>
      <bottom style="medium"/>
    </border>
    <border>
      <left style="thin"/>
      <right style="medium"/>
      <top style="double"/>
      <bottom style="medium"/>
    </border>
    <border>
      <left style="medium"/>
      <right/>
      <top style="hair">
        <color indexed="55"/>
      </top>
      <bottom>
        <color indexed="63"/>
      </bottom>
    </border>
    <border>
      <left style="thin"/>
      <right style="medium"/>
      <top style="hair">
        <color indexed="55"/>
      </top>
      <bottom>
        <color indexed="63"/>
      </bottom>
    </border>
    <border>
      <left style="medium"/>
      <right style="thin"/>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theme="0" tint="-0.3499799966812134"/>
      </top>
      <bottom style="double"/>
    </border>
    <border>
      <left style="thin"/>
      <right style="medium"/>
      <top style="thin">
        <color theme="0" tint="-0.3499799966812134"/>
      </top>
      <bottom style="double"/>
    </border>
    <border>
      <left style="medium"/>
      <right/>
      <top style="thin">
        <color theme="0" tint="-0.3499799966812134"/>
      </top>
      <bottom style="thin">
        <color theme="0" tint="-0.3499799966812134"/>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color indexed="63"/>
      </bottom>
    </border>
    <border>
      <left style="hair"/>
      <right/>
      <top style="hair">
        <color indexed="55"/>
      </top>
      <bottom>
        <color indexed="63"/>
      </bottom>
    </border>
    <border>
      <left style="thin"/>
      <right style="hair"/>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style="thin">
        <color theme="0" tint="-0.3499799966812134"/>
      </top>
      <bottom style="double"/>
    </border>
    <border>
      <left style="hair"/>
      <right style="thin"/>
      <top style="thin">
        <color theme="0" tint="-0.3499799966812134"/>
      </top>
      <bottom style="double"/>
    </border>
    <border>
      <left style="thin"/>
      <right style="hair"/>
      <top style="thin">
        <color theme="0" tint="-0.3499799966812134"/>
      </top>
      <bottom style="double"/>
    </border>
    <border>
      <left style="hair"/>
      <right style="hair"/>
      <top style="thin">
        <color theme="0" tint="-0.3499799966812134"/>
      </top>
      <bottom style="double"/>
    </border>
    <border>
      <left style="hair"/>
      <right/>
      <top style="thin">
        <color theme="0" tint="-0.3499799966812134"/>
      </top>
      <bottom style="double"/>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3" fontId="2" fillId="34" borderId="29"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1"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2" xfId="0" applyFont="1" applyBorder="1" applyAlignment="1">
      <alignment horizontal="distributed" vertical="center"/>
    </xf>
    <xf numFmtId="3" fontId="2" fillId="33" borderId="32" xfId="0" applyNumberFormat="1" applyFont="1" applyFill="1" applyBorder="1" applyAlignment="1">
      <alignment horizontal="right" vertical="center"/>
    </xf>
    <xf numFmtId="3" fontId="2" fillId="33" borderId="33" xfId="0" applyNumberFormat="1" applyFont="1" applyFill="1" applyBorder="1" applyAlignment="1">
      <alignment horizontal="right" vertical="center"/>
    </xf>
    <xf numFmtId="0" fontId="7" fillId="0" borderId="34"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5" xfId="0" applyNumberFormat="1" applyFont="1" applyFill="1" applyBorder="1" applyAlignment="1">
      <alignment horizontal="right" vertical="center"/>
    </xf>
    <xf numFmtId="0" fontId="2" fillId="0" borderId="34"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40" xfId="0" applyFont="1" applyBorder="1" applyAlignment="1">
      <alignment horizontal="distributed" vertical="center" indent="1"/>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41" xfId="61" applyFont="1" applyBorder="1" applyAlignment="1">
      <alignment horizontal="distributed" vertical="center" indent="1"/>
      <protection/>
    </xf>
    <xf numFmtId="0" fontId="2" fillId="0" borderId="42" xfId="61" applyFont="1" applyBorder="1" applyAlignment="1">
      <alignment horizontal="distributed" vertical="center" indent="1"/>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3" xfId="61" applyFont="1" applyBorder="1" applyAlignment="1">
      <alignment horizontal="centerContinuous" vertical="center" wrapText="1"/>
      <protection/>
    </xf>
    <xf numFmtId="0" fontId="7" fillId="35" borderId="34"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4" xfId="61" applyFont="1" applyFill="1" applyBorder="1" applyAlignment="1">
      <alignment horizontal="right" vertical="top"/>
      <protection/>
    </xf>
    <xf numFmtId="0" fontId="7" fillId="35" borderId="39"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9" fillId="0" borderId="0" xfId="61" applyFont="1">
      <alignment/>
      <protection/>
    </xf>
    <xf numFmtId="0" fontId="2" fillId="36" borderId="47" xfId="61" applyFont="1" applyFill="1" applyBorder="1" applyAlignment="1">
      <alignment horizontal="distributed" vertical="center"/>
      <protection/>
    </xf>
    <xf numFmtId="0" fontId="2" fillId="36" borderId="48" xfId="61" applyFont="1" applyFill="1" applyBorder="1" applyAlignment="1">
      <alignment horizontal="distributed" vertical="center"/>
      <protection/>
    </xf>
    <xf numFmtId="0" fontId="11" fillId="0" borderId="0" xfId="61" applyFont="1">
      <alignment/>
      <protection/>
    </xf>
    <xf numFmtId="0" fontId="6" fillId="0" borderId="49"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0" xfId="61" applyFont="1" applyFill="1" applyBorder="1" applyAlignment="1">
      <alignment horizontal="center" vertical="center"/>
      <protection/>
    </xf>
    <xf numFmtId="177" fontId="6" fillId="0" borderId="0" xfId="61" applyNumberFormat="1" applyFont="1" applyFill="1" applyBorder="1" applyAlignment="1">
      <alignment horizontal="right" vertical="center"/>
      <protection/>
    </xf>
    <xf numFmtId="0" fontId="9" fillId="0" borderId="0" xfId="61" applyFont="1" applyFill="1">
      <alignment/>
      <protection/>
    </xf>
    <xf numFmtId="0" fontId="2" fillId="0" borderId="0" xfId="61" applyFont="1" applyBorder="1" applyAlignment="1">
      <alignment horizontal="left"/>
      <protection/>
    </xf>
    <xf numFmtId="0" fontId="2" fillId="0" borderId="0" xfId="61" applyFont="1" applyAlignment="1">
      <alignment horizontal="left"/>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0" xfId="61" applyFont="1" applyFill="1" applyBorder="1" applyAlignment="1">
      <alignment horizontal="left" vertical="center"/>
      <protection/>
    </xf>
    <xf numFmtId="0" fontId="2" fillId="0" borderId="42" xfId="61" applyFont="1" applyBorder="1" applyAlignment="1">
      <alignment horizontal="center" vertical="center" wrapText="1"/>
      <protection/>
    </xf>
    <xf numFmtId="0" fontId="7" fillId="34" borderId="31"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6" fillId="0" borderId="51" xfId="61" applyFont="1" applyBorder="1" applyAlignment="1">
      <alignment horizontal="center" vertical="center"/>
      <protection/>
    </xf>
    <xf numFmtId="0" fontId="6" fillId="36" borderId="52" xfId="61" applyFont="1" applyFill="1" applyBorder="1" applyAlignment="1">
      <alignment horizontal="distributed" vertical="center"/>
      <protection/>
    </xf>
    <xf numFmtId="0" fontId="6" fillId="36" borderId="53" xfId="61" applyFont="1" applyFill="1" applyBorder="1" applyAlignment="1">
      <alignment horizontal="distributed" vertical="center"/>
      <protection/>
    </xf>
    <xf numFmtId="0" fontId="10" fillId="0" borderId="54" xfId="61" applyFont="1" applyFill="1" applyBorder="1" applyAlignment="1">
      <alignment horizontal="distributed" vertical="center"/>
      <protection/>
    </xf>
    <xf numFmtId="0" fontId="10" fillId="0" borderId="55" xfId="61" applyFont="1" applyFill="1" applyBorder="1" applyAlignment="1">
      <alignment horizontal="center" vertical="center"/>
      <protection/>
    </xf>
    <xf numFmtId="0" fontId="10" fillId="0" borderId="56" xfId="61" applyFont="1" applyFill="1" applyBorder="1" applyAlignment="1">
      <alignment horizontal="distributed" vertical="center"/>
      <protection/>
    </xf>
    <xf numFmtId="0" fontId="10" fillId="0" borderId="57" xfId="61" applyFont="1" applyFill="1" applyBorder="1" applyAlignment="1">
      <alignment horizontal="center" vertical="center"/>
      <protection/>
    </xf>
    <xf numFmtId="0" fontId="10" fillId="0" borderId="58" xfId="61" applyFont="1" applyFill="1" applyBorder="1" applyAlignment="1">
      <alignment horizontal="distributed" vertical="center"/>
      <protection/>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5" xfId="0" applyNumberFormat="1" applyFont="1" applyFill="1" applyBorder="1" applyAlignment="1">
      <alignment vertical="center"/>
    </xf>
    <xf numFmtId="3" fontId="2" fillId="34" borderId="60" xfId="0" applyNumberFormat="1" applyFont="1" applyFill="1" applyBorder="1" applyAlignment="1">
      <alignment vertical="center"/>
    </xf>
    <xf numFmtId="3" fontId="6"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0" fontId="0" fillId="0" borderId="0" xfId="61" applyFont="1">
      <alignment/>
      <protection/>
    </xf>
    <xf numFmtId="177" fontId="2" fillId="34" borderId="35" xfId="61" applyNumberFormat="1" applyFont="1" applyFill="1" applyBorder="1" applyAlignment="1">
      <alignment horizontal="right" vertical="center"/>
      <protection/>
    </xf>
    <xf numFmtId="177" fontId="2" fillId="33" borderId="32" xfId="61" applyNumberFormat="1" applyFont="1" applyFill="1" applyBorder="1" applyAlignment="1">
      <alignment horizontal="right" vertical="center"/>
      <protection/>
    </xf>
    <xf numFmtId="177" fontId="2" fillId="33" borderId="72" xfId="61" applyNumberFormat="1" applyFont="1" applyFill="1" applyBorder="1" applyAlignment="1">
      <alignment horizontal="right" vertical="center"/>
      <protection/>
    </xf>
    <xf numFmtId="177" fontId="2" fillId="34" borderId="59" xfId="61" applyNumberFormat="1" applyFont="1" applyFill="1" applyBorder="1" applyAlignment="1">
      <alignment horizontal="right" vertical="center"/>
      <protection/>
    </xf>
    <xf numFmtId="177" fontId="2" fillId="34" borderId="72" xfId="61" applyNumberFormat="1" applyFont="1" applyFill="1" applyBorder="1" applyAlignment="1">
      <alignment horizontal="right" vertical="center"/>
      <protection/>
    </xf>
    <xf numFmtId="177" fontId="2" fillId="34" borderId="73" xfId="61" applyNumberFormat="1" applyFont="1" applyFill="1" applyBorder="1" applyAlignment="1">
      <alignment horizontal="right" vertical="center"/>
      <protection/>
    </xf>
    <xf numFmtId="177" fontId="2" fillId="33" borderId="22" xfId="61" applyNumberFormat="1" applyFont="1" applyFill="1" applyBorder="1" applyAlignment="1">
      <alignment horizontal="right" vertical="center"/>
      <protection/>
    </xf>
    <xf numFmtId="177" fontId="2" fillId="33" borderId="74" xfId="61" applyNumberFormat="1" applyFont="1" applyFill="1" applyBorder="1" applyAlignment="1">
      <alignment horizontal="right" vertical="center"/>
      <protection/>
    </xf>
    <xf numFmtId="177" fontId="6" fillId="34" borderId="75" xfId="61" applyNumberFormat="1" applyFont="1" applyFill="1" applyBorder="1" applyAlignment="1">
      <alignment horizontal="right" vertical="center"/>
      <protection/>
    </xf>
    <xf numFmtId="177" fontId="6" fillId="33" borderId="63" xfId="61" applyNumberFormat="1" applyFont="1" applyFill="1" applyBorder="1" applyAlignment="1">
      <alignment horizontal="right" vertical="center"/>
      <protection/>
    </xf>
    <xf numFmtId="177" fontId="6" fillId="33" borderId="76" xfId="61" applyNumberFormat="1" applyFont="1" applyFill="1" applyBorder="1" applyAlignment="1">
      <alignment horizontal="right" vertical="center"/>
      <protection/>
    </xf>
    <xf numFmtId="177" fontId="6" fillId="34" borderId="62" xfId="61" applyNumberFormat="1" applyFont="1" applyFill="1" applyBorder="1" applyAlignment="1">
      <alignment horizontal="right" vertical="center"/>
      <protection/>
    </xf>
    <xf numFmtId="177" fontId="6" fillId="34" borderId="76" xfId="61" applyNumberFormat="1" applyFont="1" applyFill="1" applyBorder="1" applyAlignment="1">
      <alignment horizontal="right" vertical="center"/>
      <protection/>
    </xf>
    <xf numFmtId="177" fontId="10" fillId="0" borderId="77" xfId="61" applyNumberFormat="1" applyFont="1" applyFill="1" applyBorder="1" applyAlignment="1">
      <alignment horizontal="right" vertical="center"/>
      <protection/>
    </xf>
    <xf numFmtId="177" fontId="10" fillId="0" borderId="78" xfId="61" applyNumberFormat="1" applyFont="1" applyFill="1" applyBorder="1" applyAlignment="1">
      <alignment horizontal="right" vertical="center"/>
      <protection/>
    </xf>
    <xf numFmtId="177" fontId="10" fillId="0" borderId="79"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2" fillId="0" borderId="80" xfId="61" applyNumberFormat="1" applyFont="1" applyFill="1" applyBorder="1" applyAlignment="1">
      <alignment horizontal="right" vertical="center"/>
      <protection/>
    </xf>
    <xf numFmtId="177" fontId="2" fillId="0" borderId="81" xfId="61" applyNumberFormat="1" applyFont="1" applyFill="1" applyBorder="1" applyAlignment="1">
      <alignment horizontal="right" vertical="center"/>
      <protection/>
    </xf>
    <xf numFmtId="177" fontId="2" fillId="34" borderId="60" xfId="61" applyNumberFormat="1" applyFont="1" applyFill="1" applyBorder="1" applyAlignment="1">
      <alignment horizontal="right" vertical="center"/>
      <protection/>
    </xf>
    <xf numFmtId="177" fontId="2" fillId="34" borderId="74"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177" fontId="2" fillId="0" borderId="84" xfId="61" applyNumberFormat="1" applyFont="1" applyFill="1" applyBorder="1" applyAlignment="1">
      <alignment horizontal="right" vertical="center"/>
      <protection/>
    </xf>
    <xf numFmtId="177" fontId="2" fillId="0" borderId="85" xfId="61" applyNumberFormat="1" applyFont="1" applyFill="1" applyBorder="1" applyAlignment="1">
      <alignment horizontal="right" vertical="center"/>
      <protection/>
    </xf>
    <xf numFmtId="177" fontId="2" fillId="0" borderId="86" xfId="61" applyNumberFormat="1" applyFont="1" applyFill="1" applyBorder="1" applyAlignment="1">
      <alignment horizontal="right" vertical="center"/>
      <protection/>
    </xf>
    <xf numFmtId="0" fontId="0" fillId="0" borderId="0" xfId="61" applyFont="1" applyFill="1">
      <alignment/>
      <protection/>
    </xf>
    <xf numFmtId="177" fontId="6" fillId="34" borderId="19"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87" xfId="61" applyNumberFormat="1" applyFont="1" applyFill="1" applyBorder="1" applyAlignment="1">
      <alignment horizontal="right" vertical="center"/>
      <protection/>
    </xf>
    <xf numFmtId="177" fontId="6" fillId="34" borderId="88" xfId="61" applyNumberFormat="1" applyFont="1" applyFill="1" applyBorder="1" applyAlignment="1">
      <alignment horizontal="right" vertical="center"/>
      <protection/>
    </xf>
    <xf numFmtId="177" fontId="6" fillId="34" borderId="89" xfId="61" applyNumberFormat="1" applyFont="1" applyFill="1" applyBorder="1" applyAlignment="1">
      <alignment horizontal="right" vertical="center"/>
      <protection/>
    </xf>
    <xf numFmtId="177" fontId="6" fillId="34" borderId="90"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Alignment="1">
      <alignment/>
      <protection/>
    </xf>
    <xf numFmtId="0" fontId="0" fillId="0" borderId="0" xfId="61" applyFont="1" applyBorder="1">
      <alignment/>
      <protection/>
    </xf>
    <xf numFmtId="3" fontId="2" fillId="34" borderId="91" xfId="0" applyNumberFormat="1" applyFont="1" applyFill="1" applyBorder="1" applyAlignment="1">
      <alignment horizontal="right" vertical="center" indent="1"/>
    </xf>
    <xf numFmtId="3" fontId="2" fillId="34" borderId="92" xfId="0" applyNumberFormat="1" applyFont="1" applyFill="1" applyBorder="1" applyAlignment="1">
      <alignment horizontal="right" vertical="center" indent="1"/>
    </xf>
    <xf numFmtId="3" fontId="2" fillId="34" borderId="93" xfId="0" applyNumberFormat="1" applyFont="1" applyFill="1" applyBorder="1" applyAlignment="1">
      <alignment horizontal="right" vertical="center" indent="1"/>
    </xf>
    <xf numFmtId="3" fontId="2" fillId="34" borderId="50" xfId="0" applyNumberFormat="1" applyFont="1" applyFill="1" applyBorder="1" applyAlignment="1">
      <alignment horizontal="right" vertical="center" indent="1"/>
    </xf>
    <xf numFmtId="0" fontId="2" fillId="0" borderId="0" xfId="0" applyFont="1" applyAlignment="1">
      <alignment horizontal="right" vertical="top"/>
    </xf>
    <xf numFmtId="0" fontId="2" fillId="0" borderId="94" xfId="0" applyFont="1" applyBorder="1" applyAlignment="1">
      <alignment horizontal="distributed" vertical="center" wrapText="1"/>
    </xf>
    <xf numFmtId="0" fontId="2" fillId="0" borderId="94" xfId="0" applyFont="1" applyBorder="1" applyAlignment="1">
      <alignment horizontal="distributed" vertical="center"/>
    </xf>
    <xf numFmtId="0" fontId="2" fillId="0" borderId="95" xfId="0" applyFont="1" applyBorder="1" applyAlignment="1">
      <alignment horizontal="distributed" vertical="center"/>
    </xf>
    <xf numFmtId="0" fontId="2" fillId="0" borderId="96" xfId="0" applyFont="1" applyBorder="1" applyAlignment="1">
      <alignment horizontal="distributed" vertical="center" wrapText="1"/>
    </xf>
    <xf numFmtId="0" fontId="2" fillId="0" borderId="97" xfId="0" applyFont="1" applyBorder="1" applyAlignment="1">
      <alignment horizontal="distributed" vertical="center"/>
    </xf>
    <xf numFmtId="0" fontId="6" fillId="0" borderId="98" xfId="0" applyFont="1" applyBorder="1" applyAlignment="1">
      <alignment horizontal="distributed" vertical="center"/>
    </xf>
    <xf numFmtId="0" fontId="6" fillId="0" borderId="99" xfId="0" applyFont="1" applyBorder="1" applyAlignment="1">
      <alignment horizontal="distributed" vertical="center"/>
    </xf>
    <xf numFmtId="0" fontId="2" fillId="0" borderId="49" xfId="0" applyFont="1" applyBorder="1" applyAlignment="1">
      <alignment horizontal="distributed" vertical="center"/>
    </xf>
    <xf numFmtId="0" fontId="2" fillId="0" borderId="100"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2" fillId="0" borderId="103" xfId="0" applyFont="1" applyBorder="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96"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61" applyFont="1" applyAlignment="1">
      <alignment horizontal="left" vertical="center"/>
      <protection/>
    </xf>
    <xf numFmtId="0" fontId="2" fillId="0" borderId="101" xfId="61" applyFont="1" applyBorder="1" applyAlignment="1">
      <alignment horizontal="distributed" vertical="center"/>
      <protection/>
    </xf>
    <xf numFmtId="0" fontId="2" fillId="0" borderId="103" xfId="61" applyFont="1" applyBorder="1" applyAlignment="1">
      <alignment horizontal="distributed" vertical="center"/>
      <protection/>
    </xf>
    <xf numFmtId="0" fontId="2" fillId="0" borderId="115" xfId="61" applyFont="1" applyBorder="1" applyAlignment="1">
      <alignment horizontal="distributed" vertical="center"/>
      <protection/>
    </xf>
    <xf numFmtId="0" fontId="2" fillId="0" borderId="116" xfId="61" applyFont="1" applyBorder="1" applyAlignment="1">
      <alignment horizontal="center" vertical="center"/>
      <protection/>
    </xf>
    <xf numFmtId="0" fontId="2" fillId="0" borderId="117" xfId="61" applyFont="1" applyBorder="1" applyAlignment="1">
      <alignment horizontal="center" vertical="center"/>
      <protection/>
    </xf>
    <xf numFmtId="0" fontId="2" fillId="0" borderId="118" xfId="61" applyFont="1" applyBorder="1" applyAlignment="1">
      <alignment horizontal="center" vertical="center"/>
      <protection/>
    </xf>
    <xf numFmtId="0" fontId="2" fillId="0" borderId="119"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117" xfId="61" applyFont="1" applyBorder="1" applyAlignment="1">
      <alignment horizontal="center" vertical="center" wrapText="1"/>
      <protection/>
    </xf>
    <xf numFmtId="0" fontId="2" fillId="0" borderId="40" xfId="61" applyFont="1" applyBorder="1" applyAlignment="1">
      <alignment horizontal="distributed" vertical="center" wrapText="1"/>
      <protection/>
    </xf>
    <xf numFmtId="0" fontId="2" fillId="0" borderId="121" xfId="61" applyFont="1" applyBorder="1" applyAlignment="1">
      <alignment horizontal="distributed" vertical="center" wrapText="1"/>
      <protection/>
    </xf>
    <xf numFmtId="0" fontId="2" fillId="0" borderId="122" xfId="61" applyFont="1" applyBorder="1" applyAlignment="1">
      <alignment horizontal="distributed" vertical="center" wrapText="1"/>
      <protection/>
    </xf>
    <xf numFmtId="0" fontId="2" fillId="0" borderId="123" xfId="61" applyFont="1" applyBorder="1" applyAlignment="1">
      <alignment horizontal="center" vertical="center"/>
      <protection/>
    </xf>
    <xf numFmtId="0" fontId="2" fillId="0" borderId="124" xfId="61" applyFont="1" applyBorder="1" applyAlignment="1">
      <alignment horizontal="center" vertical="center"/>
      <protection/>
    </xf>
    <xf numFmtId="0" fontId="2" fillId="0" borderId="0" xfId="61" applyFont="1" applyBorder="1" applyAlignment="1">
      <alignment horizontal="left"/>
      <protection/>
    </xf>
    <xf numFmtId="0" fontId="2" fillId="0" borderId="125" xfId="61" applyFont="1" applyBorder="1" applyAlignment="1">
      <alignment horizontal="left" vertical="center"/>
      <protection/>
    </xf>
    <xf numFmtId="0" fontId="2" fillId="0" borderId="0" xfId="61" applyFont="1" applyFill="1" applyBorder="1" applyAlignment="1">
      <alignment horizontal="left" vertical="center"/>
      <protection/>
    </xf>
    <xf numFmtId="0" fontId="2" fillId="0" borderId="0" xfId="61" applyFont="1" applyBorder="1" applyAlignment="1">
      <alignment horizontal="left" vertical="center"/>
      <protection/>
    </xf>
    <xf numFmtId="0" fontId="2" fillId="0" borderId="126"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distributed" vertical="center" wrapText="1"/>
      <protection/>
    </xf>
    <xf numFmtId="0" fontId="2" fillId="0" borderId="129" xfId="61" applyFont="1" applyBorder="1" applyAlignment="1">
      <alignment horizontal="distributed" vertical="center"/>
      <protection/>
    </xf>
    <xf numFmtId="0" fontId="2" fillId="0" borderId="130" xfId="61" applyFont="1" applyBorder="1" applyAlignment="1">
      <alignment horizontal="distributed" vertical="center" wrapText="1"/>
      <protection/>
    </xf>
    <xf numFmtId="0" fontId="2" fillId="0" borderId="131" xfId="61" applyFont="1" applyBorder="1" applyAlignment="1">
      <alignment horizontal="distributed" vertical="center"/>
      <protection/>
    </xf>
    <xf numFmtId="0" fontId="2" fillId="0" borderId="132" xfId="61" applyFont="1" applyBorder="1" applyAlignment="1">
      <alignment horizontal="distributed" vertical="center" wrapText="1"/>
      <protection/>
    </xf>
    <xf numFmtId="0" fontId="2" fillId="0" borderId="133" xfId="61" applyFont="1" applyBorder="1" applyAlignment="1">
      <alignment horizontal="distributed" vertical="center" wrapText="1"/>
      <protection/>
    </xf>
    <xf numFmtId="0" fontId="2" fillId="0" borderId="43" xfId="61" applyFont="1" applyBorder="1" applyAlignment="1">
      <alignment horizontal="center" vertical="center"/>
      <protection/>
    </xf>
    <xf numFmtId="0" fontId="2" fillId="0" borderId="116"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view="pageBreakPreview" zoomScaleSheetLayoutView="100" workbookViewId="0" topLeftCell="A7">
      <selection activeCell="H19" sqref="H19"/>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83" t="s">
        <v>0</v>
      </c>
      <c r="B1" s="183"/>
      <c r="C1" s="183"/>
      <c r="D1" s="183"/>
      <c r="E1" s="183"/>
      <c r="F1" s="183"/>
      <c r="G1" s="183"/>
      <c r="H1" s="183"/>
      <c r="I1" s="183"/>
      <c r="J1" s="183"/>
      <c r="K1" s="183"/>
    </row>
    <row r="2" spans="1:11" ht="15">
      <c r="A2" s="56"/>
      <c r="B2" s="56"/>
      <c r="C2" s="56"/>
      <c r="D2" s="56"/>
      <c r="E2" s="56"/>
      <c r="F2" s="56"/>
      <c r="G2" s="56"/>
      <c r="H2" s="56"/>
      <c r="I2" s="56"/>
      <c r="J2" s="56"/>
      <c r="K2" s="56"/>
    </row>
    <row r="3" spans="1:11" ht="12" thickBot="1">
      <c r="A3" s="184" t="s">
        <v>113</v>
      </c>
      <c r="B3" s="184"/>
      <c r="C3" s="184"/>
      <c r="D3" s="184"/>
      <c r="E3" s="184"/>
      <c r="F3" s="184"/>
      <c r="G3" s="184"/>
      <c r="H3" s="184"/>
      <c r="I3" s="184"/>
      <c r="J3" s="184"/>
      <c r="K3" s="184"/>
    </row>
    <row r="4" spans="1:11" ht="24" customHeight="1">
      <c r="A4" s="185" t="s">
        <v>1</v>
      </c>
      <c r="B4" s="186"/>
      <c r="C4" s="189" t="s">
        <v>114</v>
      </c>
      <c r="D4" s="190"/>
      <c r="E4" s="191"/>
      <c r="F4" s="189" t="s">
        <v>115</v>
      </c>
      <c r="G4" s="190"/>
      <c r="H4" s="191"/>
      <c r="I4" s="189" t="s">
        <v>116</v>
      </c>
      <c r="J4" s="190"/>
      <c r="K4" s="192"/>
    </row>
    <row r="5" spans="1:11" ht="24" customHeight="1">
      <c r="A5" s="187"/>
      <c r="B5" s="188"/>
      <c r="C5" s="193" t="s">
        <v>2</v>
      </c>
      <c r="D5" s="194"/>
      <c r="E5" s="6" t="s">
        <v>3</v>
      </c>
      <c r="F5" s="193" t="s">
        <v>2</v>
      </c>
      <c r="G5" s="194"/>
      <c r="H5" s="6" t="s">
        <v>3</v>
      </c>
      <c r="I5" s="193" t="s">
        <v>2</v>
      </c>
      <c r="J5" s="194"/>
      <c r="K5" s="14" t="s">
        <v>3</v>
      </c>
    </row>
    <row r="6" spans="1:11" ht="12" customHeight="1">
      <c r="A6" s="43"/>
      <c r="B6" s="46"/>
      <c r="C6" s="44"/>
      <c r="D6" s="36" t="s">
        <v>22</v>
      </c>
      <c r="E6" s="35" t="s">
        <v>21</v>
      </c>
      <c r="F6" s="44"/>
      <c r="G6" s="36" t="s">
        <v>22</v>
      </c>
      <c r="H6" s="35" t="s">
        <v>21</v>
      </c>
      <c r="I6" s="44"/>
      <c r="J6" s="36" t="s">
        <v>22</v>
      </c>
      <c r="K6" s="45" t="s">
        <v>21</v>
      </c>
    </row>
    <row r="7" spans="1:11" ht="30" customHeight="1">
      <c r="A7" s="172" t="s">
        <v>117</v>
      </c>
      <c r="B7" s="40" t="s">
        <v>118</v>
      </c>
      <c r="C7" s="15"/>
      <c r="D7" s="111">
        <v>21802</v>
      </c>
      <c r="E7" s="41">
        <v>6982857</v>
      </c>
      <c r="F7" s="18"/>
      <c r="G7" s="111">
        <v>49817</v>
      </c>
      <c r="H7" s="41">
        <v>183412568</v>
      </c>
      <c r="I7" s="18"/>
      <c r="J7" s="111">
        <v>71619</v>
      </c>
      <c r="K7" s="42">
        <v>190395426</v>
      </c>
    </row>
    <row r="8" spans="1:11" ht="30" customHeight="1">
      <c r="A8" s="173"/>
      <c r="B8" s="23" t="s">
        <v>119</v>
      </c>
      <c r="C8" s="15"/>
      <c r="D8" s="112">
        <v>35230</v>
      </c>
      <c r="E8" s="113">
        <v>8329039</v>
      </c>
      <c r="F8" s="18"/>
      <c r="G8" s="112">
        <v>23256</v>
      </c>
      <c r="H8" s="113">
        <v>8522101</v>
      </c>
      <c r="I8" s="18"/>
      <c r="J8" s="112">
        <v>58486</v>
      </c>
      <c r="K8" s="114">
        <v>16851140</v>
      </c>
    </row>
    <row r="9" spans="1:11" s="3" customFormat="1" ht="30" customHeight="1">
      <c r="A9" s="173"/>
      <c r="B9" s="24" t="s">
        <v>120</v>
      </c>
      <c r="C9" s="16"/>
      <c r="D9" s="115">
        <v>57032</v>
      </c>
      <c r="E9" s="116">
        <v>15311896</v>
      </c>
      <c r="F9" s="16"/>
      <c r="G9" s="115">
        <v>73073</v>
      </c>
      <c r="H9" s="116">
        <v>191934669</v>
      </c>
      <c r="I9" s="16"/>
      <c r="J9" s="115">
        <v>130105</v>
      </c>
      <c r="K9" s="117">
        <v>207246565</v>
      </c>
    </row>
    <row r="10" spans="1:11" ht="30" customHeight="1">
      <c r="A10" s="174"/>
      <c r="B10" s="25" t="s">
        <v>121</v>
      </c>
      <c r="C10" s="15"/>
      <c r="D10" s="118">
        <v>1765</v>
      </c>
      <c r="E10" s="119">
        <v>661893</v>
      </c>
      <c r="F10" s="15"/>
      <c r="G10" s="118">
        <v>2915</v>
      </c>
      <c r="H10" s="119">
        <v>9857521</v>
      </c>
      <c r="I10" s="15"/>
      <c r="J10" s="118">
        <v>4680</v>
      </c>
      <c r="K10" s="120">
        <v>10519414</v>
      </c>
    </row>
    <row r="11" spans="1:11" ht="30" customHeight="1">
      <c r="A11" s="175" t="s">
        <v>122</v>
      </c>
      <c r="B11" s="57" t="s">
        <v>123</v>
      </c>
      <c r="C11" s="9"/>
      <c r="D11" s="121">
        <v>2730</v>
      </c>
      <c r="E11" s="20">
        <v>394972</v>
      </c>
      <c r="F11" s="37"/>
      <c r="G11" s="122">
        <v>3488</v>
      </c>
      <c r="H11" s="20">
        <v>716278</v>
      </c>
      <c r="I11" s="37"/>
      <c r="J11" s="122">
        <v>6218</v>
      </c>
      <c r="K11" s="21">
        <v>1111250</v>
      </c>
    </row>
    <row r="12" spans="1:11" ht="30" customHeight="1">
      <c r="A12" s="176"/>
      <c r="B12" s="58" t="s">
        <v>124</v>
      </c>
      <c r="C12" s="38"/>
      <c r="D12" s="112">
        <v>290</v>
      </c>
      <c r="E12" s="113">
        <v>36476</v>
      </c>
      <c r="F12" s="39"/>
      <c r="G12" s="123">
        <v>443</v>
      </c>
      <c r="H12" s="113">
        <v>343336</v>
      </c>
      <c r="I12" s="39"/>
      <c r="J12" s="123">
        <v>733</v>
      </c>
      <c r="K12" s="114">
        <v>379812</v>
      </c>
    </row>
    <row r="13" spans="1:11" s="3" customFormat="1" ht="30" customHeight="1">
      <c r="A13" s="177" t="s">
        <v>6</v>
      </c>
      <c r="B13" s="178"/>
      <c r="C13" s="26" t="s">
        <v>13</v>
      </c>
      <c r="D13" s="124">
        <v>59943</v>
      </c>
      <c r="E13" s="125">
        <v>15008500</v>
      </c>
      <c r="F13" s="26" t="s">
        <v>13</v>
      </c>
      <c r="G13" s="124">
        <v>76463</v>
      </c>
      <c r="H13" s="125">
        <v>182450090</v>
      </c>
      <c r="I13" s="26" t="s">
        <v>13</v>
      </c>
      <c r="J13" s="124">
        <v>136406</v>
      </c>
      <c r="K13" s="126">
        <v>197458590</v>
      </c>
    </row>
    <row r="14" spans="1:11" ht="30" customHeight="1" thickBot="1">
      <c r="A14" s="179" t="s">
        <v>7</v>
      </c>
      <c r="B14" s="180"/>
      <c r="C14" s="17"/>
      <c r="D14" s="127">
        <v>2371</v>
      </c>
      <c r="E14" s="128">
        <v>72942</v>
      </c>
      <c r="F14" s="19"/>
      <c r="G14" s="127">
        <v>2522</v>
      </c>
      <c r="H14" s="128">
        <v>107747</v>
      </c>
      <c r="I14" s="19"/>
      <c r="J14" s="127">
        <v>4893</v>
      </c>
      <c r="K14" s="129">
        <v>180689</v>
      </c>
    </row>
    <row r="15" spans="1:11" s="66" customFormat="1" ht="3.75" customHeight="1">
      <c r="A15" s="63"/>
      <c r="B15" s="63"/>
      <c r="C15" s="64"/>
      <c r="D15" s="65"/>
      <c r="E15" s="65"/>
      <c r="F15" s="65"/>
      <c r="G15" s="65"/>
      <c r="H15" s="65"/>
      <c r="I15" s="65"/>
      <c r="J15" s="65"/>
      <c r="K15" s="65"/>
    </row>
    <row r="16" spans="1:11" s="4" customFormat="1" ht="37.5" customHeight="1">
      <c r="A16" s="67" t="s">
        <v>112</v>
      </c>
      <c r="B16" s="181" t="s">
        <v>105</v>
      </c>
      <c r="C16" s="181"/>
      <c r="D16" s="181"/>
      <c r="E16" s="181"/>
      <c r="F16" s="181"/>
      <c r="G16" s="181"/>
      <c r="H16" s="181"/>
      <c r="I16" s="181"/>
      <c r="J16" s="181"/>
      <c r="K16" s="181"/>
    </row>
    <row r="17" spans="2:11" ht="39.75" customHeight="1">
      <c r="B17" s="182" t="s">
        <v>165</v>
      </c>
      <c r="C17" s="182"/>
      <c r="D17" s="182"/>
      <c r="E17" s="182"/>
      <c r="F17" s="182"/>
      <c r="G17" s="182"/>
      <c r="H17" s="182"/>
      <c r="I17" s="182"/>
      <c r="J17" s="182"/>
      <c r="K17" s="182"/>
    </row>
    <row r="18" spans="1:2" ht="14.25" customHeight="1">
      <c r="A18" s="171" t="s">
        <v>163</v>
      </c>
      <c r="B18" s="1" t="s">
        <v>162</v>
      </c>
    </row>
    <row r="19" spans="1:2" ht="11.25">
      <c r="A19" s="61"/>
      <c r="B19" s="1" t="s">
        <v>164</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6299212598425197" top="0.984251968503937" bottom="0.984251968503937" header="0.5118110236220472" footer="0.5118110236220472"/>
  <pageSetup fitToHeight="1" fitToWidth="1" horizontalDpi="600" verticalDpi="600" orientation="portrait" paperSize="9" r:id="rId1"/>
  <headerFooter alignWithMargins="0">
    <oddFooter>&amp;R熊本国税局
消費税
（H25）</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SheetLayoutView="100" workbookViewId="0" topLeftCell="A1">
      <selection activeCell="A1" sqref="A1"/>
    </sheetView>
  </sheetViews>
  <sheetFormatPr defaultColWidth="9.00390625" defaultRowHeight="13.5"/>
  <cols>
    <col min="1" max="1" width="10.625" style="60" customWidth="1"/>
    <col min="2" max="2" width="15.625" style="60" customWidth="1"/>
    <col min="3" max="3" width="8.625" style="60" customWidth="1"/>
    <col min="4" max="4" width="10.625" style="60" customWidth="1"/>
    <col min="5" max="5" width="8.625" style="60" customWidth="1"/>
    <col min="6" max="6" width="12.875" style="60" bestFit="1" customWidth="1"/>
    <col min="7" max="7" width="8.625" style="60" customWidth="1"/>
    <col min="8" max="8" width="12.875" style="60" bestFit="1" customWidth="1"/>
    <col min="9" max="16384" width="9.00390625" style="60" customWidth="1"/>
  </cols>
  <sheetData>
    <row r="1" s="1" customFormat="1" ht="12" thickBot="1">
      <c r="A1" s="1" t="s">
        <v>23</v>
      </c>
    </row>
    <row r="2" spans="1:8" s="1" customFormat="1" ht="15" customHeight="1">
      <c r="A2" s="185" t="s">
        <v>1</v>
      </c>
      <c r="B2" s="186"/>
      <c r="C2" s="195" t="s">
        <v>14</v>
      </c>
      <c r="D2" s="195"/>
      <c r="E2" s="195" t="s">
        <v>16</v>
      </c>
      <c r="F2" s="195"/>
      <c r="G2" s="196" t="s">
        <v>17</v>
      </c>
      <c r="H2" s="197"/>
    </row>
    <row r="3" spans="1:8" s="1" customFormat="1" ht="15" customHeight="1">
      <c r="A3" s="187"/>
      <c r="B3" s="188"/>
      <c r="C3" s="9" t="s">
        <v>18</v>
      </c>
      <c r="D3" s="6" t="s">
        <v>19</v>
      </c>
      <c r="E3" s="9" t="s">
        <v>18</v>
      </c>
      <c r="F3" s="7" t="s">
        <v>19</v>
      </c>
      <c r="G3" s="9" t="s">
        <v>18</v>
      </c>
      <c r="H3" s="8" t="s">
        <v>19</v>
      </c>
    </row>
    <row r="4" spans="1:8" s="10" customFormat="1" ht="15" customHeight="1">
      <c r="A4" s="48"/>
      <c r="B4" s="6"/>
      <c r="C4" s="49" t="s">
        <v>4</v>
      </c>
      <c r="D4" s="50" t="s">
        <v>5</v>
      </c>
      <c r="E4" s="49" t="s">
        <v>4</v>
      </c>
      <c r="F4" s="50" t="s">
        <v>5</v>
      </c>
      <c r="G4" s="49" t="s">
        <v>4</v>
      </c>
      <c r="H4" s="51" t="s">
        <v>5</v>
      </c>
    </row>
    <row r="5" spans="1:8" s="59" customFormat="1" ht="30" customHeight="1">
      <c r="A5" s="200" t="s">
        <v>106</v>
      </c>
      <c r="B5" s="40" t="s">
        <v>11</v>
      </c>
      <c r="C5" s="47">
        <v>69889</v>
      </c>
      <c r="D5" s="41">
        <v>16607300</v>
      </c>
      <c r="E5" s="47">
        <v>75735</v>
      </c>
      <c r="F5" s="41">
        <v>195735988</v>
      </c>
      <c r="G5" s="47">
        <v>145624</v>
      </c>
      <c r="H5" s="42">
        <v>212343289</v>
      </c>
    </row>
    <row r="6" spans="1:8" s="59" customFormat="1" ht="30" customHeight="1">
      <c r="A6" s="201"/>
      <c r="B6" s="25" t="s">
        <v>12</v>
      </c>
      <c r="C6" s="28">
        <v>2244</v>
      </c>
      <c r="D6" s="29">
        <v>1409991</v>
      </c>
      <c r="E6" s="28">
        <v>2704</v>
      </c>
      <c r="F6" s="29">
        <v>9063416</v>
      </c>
      <c r="G6" s="28">
        <v>4948</v>
      </c>
      <c r="H6" s="30">
        <v>10473407</v>
      </c>
    </row>
    <row r="7" spans="1:8" s="59" customFormat="1" ht="30" customHeight="1">
      <c r="A7" s="200" t="s">
        <v>107</v>
      </c>
      <c r="B7" s="22" t="s">
        <v>11</v>
      </c>
      <c r="C7" s="27">
        <v>66713</v>
      </c>
      <c r="D7" s="20">
        <v>16139396</v>
      </c>
      <c r="E7" s="27">
        <v>75091</v>
      </c>
      <c r="F7" s="20">
        <v>194306141</v>
      </c>
      <c r="G7" s="27">
        <v>141804</v>
      </c>
      <c r="H7" s="21">
        <v>210445537</v>
      </c>
    </row>
    <row r="8" spans="1:8" s="59" customFormat="1" ht="30" customHeight="1">
      <c r="A8" s="201"/>
      <c r="B8" s="25" t="s">
        <v>12</v>
      </c>
      <c r="C8" s="28">
        <v>2006</v>
      </c>
      <c r="D8" s="29">
        <v>966009</v>
      </c>
      <c r="E8" s="28">
        <v>2473</v>
      </c>
      <c r="F8" s="29">
        <v>7497826</v>
      </c>
      <c r="G8" s="28">
        <v>4479</v>
      </c>
      <c r="H8" s="30">
        <v>8463835</v>
      </c>
    </row>
    <row r="9" spans="1:8" s="59" customFormat="1" ht="30" customHeight="1">
      <c r="A9" s="200" t="s">
        <v>108</v>
      </c>
      <c r="B9" s="22" t="s">
        <v>11</v>
      </c>
      <c r="C9" s="27">
        <v>60624</v>
      </c>
      <c r="D9" s="20">
        <v>15254726</v>
      </c>
      <c r="E9" s="27">
        <v>74001</v>
      </c>
      <c r="F9" s="20">
        <v>192658088</v>
      </c>
      <c r="G9" s="27">
        <v>134625</v>
      </c>
      <c r="H9" s="21">
        <v>207912814</v>
      </c>
    </row>
    <row r="10" spans="1:8" s="59" customFormat="1" ht="30" customHeight="1">
      <c r="A10" s="201"/>
      <c r="B10" s="25" t="s">
        <v>12</v>
      </c>
      <c r="C10" s="28">
        <v>1985</v>
      </c>
      <c r="D10" s="29">
        <v>854657</v>
      </c>
      <c r="E10" s="28">
        <v>2416</v>
      </c>
      <c r="F10" s="29">
        <v>6866253</v>
      </c>
      <c r="G10" s="28">
        <v>4401</v>
      </c>
      <c r="H10" s="30">
        <v>7720911</v>
      </c>
    </row>
    <row r="11" spans="1:8" s="59" customFormat="1" ht="30" customHeight="1">
      <c r="A11" s="200" t="s">
        <v>109</v>
      </c>
      <c r="B11" s="22" t="s">
        <v>11</v>
      </c>
      <c r="C11" s="27">
        <v>58360</v>
      </c>
      <c r="D11" s="20">
        <v>15362976</v>
      </c>
      <c r="E11" s="27">
        <v>73323</v>
      </c>
      <c r="F11" s="20">
        <v>191085914</v>
      </c>
      <c r="G11" s="27">
        <v>131683</v>
      </c>
      <c r="H11" s="21">
        <v>206448890</v>
      </c>
    </row>
    <row r="12" spans="1:8" s="59" customFormat="1" ht="30" customHeight="1">
      <c r="A12" s="201"/>
      <c r="B12" s="25" t="s">
        <v>12</v>
      </c>
      <c r="C12" s="28">
        <v>1626</v>
      </c>
      <c r="D12" s="29">
        <v>589703</v>
      </c>
      <c r="E12" s="28">
        <v>2552</v>
      </c>
      <c r="F12" s="29">
        <v>7597139</v>
      </c>
      <c r="G12" s="28">
        <v>4178</v>
      </c>
      <c r="H12" s="30">
        <v>8186842</v>
      </c>
    </row>
    <row r="13" spans="1:8" s="1" customFormat="1" ht="30" customHeight="1">
      <c r="A13" s="198" t="s">
        <v>110</v>
      </c>
      <c r="B13" s="22" t="s">
        <v>11</v>
      </c>
      <c r="C13" s="27">
        <v>57032</v>
      </c>
      <c r="D13" s="20">
        <v>15311896</v>
      </c>
      <c r="E13" s="27">
        <v>73073</v>
      </c>
      <c r="F13" s="20">
        <v>191934669</v>
      </c>
      <c r="G13" s="27">
        <v>130105</v>
      </c>
      <c r="H13" s="21">
        <v>207246565</v>
      </c>
    </row>
    <row r="14" spans="1:8" s="1" customFormat="1" ht="30" customHeight="1" thickBot="1">
      <c r="A14" s="199"/>
      <c r="B14" s="31" t="s">
        <v>12</v>
      </c>
      <c r="C14" s="32">
        <v>1765</v>
      </c>
      <c r="D14" s="33">
        <v>661893</v>
      </c>
      <c r="E14" s="32">
        <v>2915</v>
      </c>
      <c r="F14" s="33">
        <v>9857521</v>
      </c>
      <c r="G14" s="32">
        <v>4680</v>
      </c>
      <c r="H14" s="34">
        <v>10519414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（H25）</oddFooter>
  </headerFooter>
</worksheet>
</file>

<file path=xl/worksheets/sheet3.xml><?xml version="1.0" encoding="utf-8"?>
<worksheet xmlns="http://schemas.openxmlformats.org/spreadsheetml/2006/main" xmlns:r="http://schemas.openxmlformats.org/officeDocument/2006/relationships">
  <dimension ref="A1:I7"/>
  <sheetViews>
    <sheetView showGridLines="0" view="pageBreakPreview" zoomScaleSheetLayoutView="100" workbookViewId="0" topLeftCell="A1">
      <selection activeCell="A1" sqref="A1"/>
    </sheetView>
  </sheetViews>
  <sheetFormatPr defaultColWidth="9.00390625" defaultRowHeight="13.5"/>
  <cols>
    <col min="1" max="2" width="18.625" style="60" customWidth="1"/>
    <col min="3" max="3" width="23.625" style="60" customWidth="1"/>
    <col min="4" max="4" width="18.625" style="60" customWidth="1"/>
    <col min="5" max="16384" width="9.00390625" style="60" customWidth="1"/>
  </cols>
  <sheetData>
    <row r="1" s="1" customFormat="1" ht="20.25" customHeight="1" thickBot="1">
      <c r="A1" s="1" t="s">
        <v>20</v>
      </c>
    </row>
    <row r="2" spans="1:4" s="4" customFormat="1" ht="19.5" customHeight="1">
      <c r="A2" s="11" t="s">
        <v>8</v>
      </c>
      <c r="B2" s="12" t="s">
        <v>9</v>
      </c>
      <c r="C2" s="13" t="s">
        <v>10</v>
      </c>
      <c r="D2" s="62" t="s">
        <v>24</v>
      </c>
    </row>
    <row r="3" spans="1:4" s="10" customFormat="1" ht="15" customHeight="1">
      <c r="A3" s="52" t="s">
        <v>4</v>
      </c>
      <c r="B3" s="53" t="s">
        <v>4</v>
      </c>
      <c r="C3" s="54" t="s">
        <v>4</v>
      </c>
      <c r="D3" s="55" t="s">
        <v>4</v>
      </c>
    </row>
    <row r="4" spans="1:9" s="4" customFormat="1" ht="30" customHeight="1" thickBot="1">
      <c r="A4" s="167">
        <v>136211</v>
      </c>
      <c r="B4" s="168">
        <v>3320</v>
      </c>
      <c r="C4" s="169">
        <v>290</v>
      </c>
      <c r="D4" s="170">
        <v>139821</v>
      </c>
      <c r="E4" s="5"/>
      <c r="G4" s="5"/>
      <c r="I4" s="5"/>
    </row>
    <row r="5" spans="1:9" s="70" customFormat="1" ht="3.75" customHeight="1">
      <c r="A5" s="68"/>
      <c r="B5" s="68"/>
      <c r="C5" s="68"/>
      <c r="D5" s="68"/>
      <c r="E5" s="69"/>
      <c r="G5" s="69"/>
      <c r="I5" s="69"/>
    </row>
    <row r="6" spans="1:4" s="10" customFormat="1" ht="13.5" customHeight="1">
      <c r="A6" s="202" t="s">
        <v>111</v>
      </c>
      <c r="B6" s="202"/>
      <c r="C6" s="202"/>
      <c r="D6" s="202"/>
    </row>
    <row r="7" spans="1:4" s="4" customFormat="1" ht="15" customHeight="1">
      <c r="A7" s="203" t="s">
        <v>102</v>
      </c>
      <c r="B7" s="203"/>
      <c r="C7" s="203"/>
      <c r="D7" s="203"/>
    </row>
  </sheetData>
  <sheetProtection/>
  <mergeCells count="2">
    <mergeCell ref="A6:D6"/>
    <mergeCell ref="A7:D7"/>
  </mergeCells>
  <printOptions horizontalCentered="1"/>
  <pageMargins left="0.7874015748031497" right="0.6299212598425197" top="0.984251968503937" bottom="0.984251968503937" header="0.5118110236220472" footer="0.5118110236220472"/>
  <pageSetup horizontalDpi="600" verticalDpi="600" orientation="portrait" paperSize="9" r:id="rId1"/>
  <headerFooter alignWithMargins="0">
    <oddFooter>&amp;R熊本国税局
消費税
（H25）</oddFooter>
  </headerFooter>
</worksheet>
</file>

<file path=xl/worksheets/sheet4.xml><?xml version="1.0" encoding="utf-8"?>
<worksheet xmlns="http://schemas.openxmlformats.org/spreadsheetml/2006/main" xmlns:r="http://schemas.openxmlformats.org/officeDocument/2006/relationships">
  <dimension ref="A1:O67"/>
  <sheetViews>
    <sheetView view="pageBreakPreview" zoomScaleSheetLayoutView="100" workbookViewId="0" topLeftCell="A1">
      <selection activeCell="A1" sqref="A1"/>
    </sheetView>
  </sheetViews>
  <sheetFormatPr defaultColWidth="9.00390625" defaultRowHeight="13.5"/>
  <cols>
    <col min="1" max="1" width="11.37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4" width="11.375" style="130" customWidth="1"/>
    <col min="15" max="16384" width="9.00390625" style="130" customWidth="1"/>
  </cols>
  <sheetData>
    <row r="1" spans="1:14" ht="13.5">
      <c r="A1" s="71" t="s">
        <v>25</v>
      </c>
      <c r="B1" s="71"/>
      <c r="C1" s="71"/>
      <c r="D1" s="71"/>
      <c r="E1" s="71"/>
      <c r="F1" s="71"/>
      <c r="G1" s="71"/>
      <c r="H1" s="72"/>
      <c r="I1" s="72"/>
      <c r="J1" s="72"/>
      <c r="K1" s="72"/>
      <c r="L1" s="72"/>
      <c r="M1" s="72"/>
      <c r="N1" s="72"/>
    </row>
    <row r="2" spans="1:14" ht="14.25" thickBot="1">
      <c r="A2" s="204" t="s">
        <v>26</v>
      </c>
      <c r="B2" s="204"/>
      <c r="C2" s="204"/>
      <c r="D2" s="204"/>
      <c r="E2" s="204"/>
      <c r="F2" s="204"/>
      <c r="G2" s="204"/>
      <c r="H2" s="72"/>
      <c r="I2" s="72"/>
      <c r="J2" s="72"/>
      <c r="K2" s="72"/>
      <c r="L2" s="72"/>
      <c r="M2" s="72"/>
      <c r="N2" s="72"/>
    </row>
    <row r="3" spans="1:14" ht="19.5" customHeight="1">
      <c r="A3" s="205" t="s">
        <v>27</v>
      </c>
      <c r="B3" s="208" t="s">
        <v>28</v>
      </c>
      <c r="C3" s="208"/>
      <c r="D3" s="208"/>
      <c r="E3" s="208"/>
      <c r="F3" s="208"/>
      <c r="G3" s="208"/>
      <c r="H3" s="209" t="s">
        <v>12</v>
      </c>
      <c r="I3" s="210"/>
      <c r="J3" s="213" t="s">
        <v>29</v>
      </c>
      <c r="K3" s="210"/>
      <c r="L3" s="209" t="s">
        <v>30</v>
      </c>
      <c r="M3" s="210"/>
      <c r="N3" s="214" t="s">
        <v>31</v>
      </c>
    </row>
    <row r="4" spans="1:14" ht="17.25" customHeight="1">
      <c r="A4" s="206"/>
      <c r="B4" s="217" t="s">
        <v>15</v>
      </c>
      <c r="C4" s="217"/>
      <c r="D4" s="211" t="s">
        <v>32</v>
      </c>
      <c r="E4" s="218"/>
      <c r="F4" s="211" t="s">
        <v>33</v>
      </c>
      <c r="G4" s="218"/>
      <c r="H4" s="211"/>
      <c r="I4" s="212"/>
      <c r="J4" s="211"/>
      <c r="K4" s="212"/>
      <c r="L4" s="211"/>
      <c r="M4" s="212"/>
      <c r="N4" s="215"/>
    </row>
    <row r="5" spans="1:14" s="164" customFormat="1" ht="28.5" customHeight="1">
      <c r="A5" s="207"/>
      <c r="B5" s="73" t="s">
        <v>34</v>
      </c>
      <c r="C5" s="74" t="s">
        <v>35</v>
      </c>
      <c r="D5" s="73" t="s">
        <v>34</v>
      </c>
      <c r="E5" s="74" t="s">
        <v>35</v>
      </c>
      <c r="F5" s="73" t="s">
        <v>34</v>
      </c>
      <c r="G5" s="75" t="s">
        <v>36</v>
      </c>
      <c r="H5" s="73" t="s">
        <v>34</v>
      </c>
      <c r="I5" s="76" t="s">
        <v>37</v>
      </c>
      <c r="J5" s="73" t="s">
        <v>34</v>
      </c>
      <c r="K5" s="76" t="s">
        <v>38</v>
      </c>
      <c r="L5" s="73" t="s">
        <v>34</v>
      </c>
      <c r="M5" s="77" t="s">
        <v>39</v>
      </c>
      <c r="N5" s="216"/>
    </row>
    <row r="6" spans="1:14" s="83" customFormat="1" ht="10.5">
      <c r="A6" s="78"/>
      <c r="B6" s="79" t="s">
        <v>4</v>
      </c>
      <c r="C6" s="80" t="s">
        <v>5</v>
      </c>
      <c r="D6" s="79" t="s">
        <v>4</v>
      </c>
      <c r="E6" s="80" t="s">
        <v>5</v>
      </c>
      <c r="F6" s="79" t="s">
        <v>4</v>
      </c>
      <c r="G6" s="80" t="s">
        <v>5</v>
      </c>
      <c r="H6" s="79" t="s">
        <v>4</v>
      </c>
      <c r="I6" s="81" t="s">
        <v>5</v>
      </c>
      <c r="J6" s="79" t="s">
        <v>4</v>
      </c>
      <c r="K6" s="81" t="s">
        <v>5</v>
      </c>
      <c r="L6" s="79" t="s">
        <v>4</v>
      </c>
      <c r="M6" s="81" t="s">
        <v>5</v>
      </c>
      <c r="N6" s="82"/>
    </row>
    <row r="7" spans="1:14" s="86" customFormat="1" ht="15.75" customHeight="1">
      <c r="A7" s="84" t="s">
        <v>40</v>
      </c>
      <c r="B7" s="131">
        <f>_xlfn.COMPOUNDVALUE(1)</f>
        <v>1867</v>
      </c>
      <c r="C7" s="132">
        <v>644434</v>
      </c>
      <c r="D7" s="131">
        <f>_xlfn.COMPOUNDVALUE(2)</f>
        <v>3358</v>
      </c>
      <c r="E7" s="132">
        <v>855467</v>
      </c>
      <c r="F7" s="131">
        <f>_xlfn.COMPOUNDVALUE(3)</f>
        <v>5225</v>
      </c>
      <c r="G7" s="132">
        <v>1499901</v>
      </c>
      <c r="H7" s="131">
        <f>_xlfn.COMPOUNDVALUE(4)</f>
        <v>132</v>
      </c>
      <c r="I7" s="133">
        <v>85344</v>
      </c>
      <c r="J7" s="131">
        <v>307</v>
      </c>
      <c r="K7" s="133">
        <v>42491</v>
      </c>
      <c r="L7" s="131">
        <f>_xlfn.COMPOUNDVALUE(4)</f>
        <v>5507</v>
      </c>
      <c r="M7" s="133">
        <v>1457048</v>
      </c>
      <c r="N7" s="85" t="s">
        <v>40</v>
      </c>
    </row>
    <row r="8" spans="1:14" s="86" customFormat="1" ht="15.75" customHeight="1">
      <c r="A8" s="87" t="s">
        <v>41</v>
      </c>
      <c r="B8" s="136">
        <f>_xlfn.COMPOUNDVALUE(5)</f>
        <v>913</v>
      </c>
      <c r="C8" s="137">
        <v>264273</v>
      </c>
      <c r="D8" s="136">
        <f>_xlfn.COMPOUNDVALUE(6)</f>
        <v>1484</v>
      </c>
      <c r="E8" s="137">
        <v>360165</v>
      </c>
      <c r="F8" s="136">
        <f>_xlfn.COMPOUNDVALUE(7)</f>
        <v>2397</v>
      </c>
      <c r="G8" s="137">
        <v>624438</v>
      </c>
      <c r="H8" s="136">
        <f>_xlfn.COMPOUNDVALUE(8)</f>
        <v>54</v>
      </c>
      <c r="I8" s="138">
        <v>15010</v>
      </c>
      <c r="J8" s="136">
        <v>157</v>
      </c>
      <c r="K8" s="138">
        <v>19209</v>
      </c>
      <c r="L8" s="136">
        <f>_xlfn.COMPOUNDVALUE(8)</f>
        <v>2490</v>
      </c>
      <c r="M8" s="138">
        <v>628637</v>
      </c>
      <c r="N8" s="88" t="s">
        <v>41</v>
      </c>
    </row>
    <row r="9" spans="1:14" s="86" customFormat="1" ht="15.75" customHeight="1">
      <c r="A9" s="87" t="s">
        <v>125</v>
      </c>
      <c r="B9" s="136">
        <f>_xlfn.COMPOUNDVALUE(9)</f>
        <v>650</v>
      </c>
      <c r="C9" s="137">
        <v>269849</v>
      </c>
      <c r="D9" s="136">
        <f>_xlfn.COMPOUNDVALUE(10)</f>
        <v>1967</v>
      </c>
      <c r="E9" s="137">
        <v>484794</v>
      </c>
      <c r="F9" s="136">
        <f>_xlfn.COMPOUNDVALUE(11)</f>
        <v>2617</v>
      </c>
      <c r="G9" s="137">
        <v>754643</v>
      </c>
      <c r="H9" s="136">
        <f>_xlfn.COMPOUNDVALUE(12)</f>
        <v>39</v>
      </c>
      <c r="I9" s="138">
        <v>3633</v>
      </c>
      <c r="J9" s="136">
        <v>120</v>
      </c>
      <c r="K9" s="138">
        <v>10620</v>
      </c>
      <c r="L9" s="136">
        <f>_xlfn.COMPOUNDVALUE(12)</f>
        <v>2680</v>
      </c>
      <c r="M9" s="138">
        <v>761630</v>
      </c>
      <c r="N9" s="88" t="s">
        <v>42</v>
      </c>
    </row>
    <row r="10" spans="1:14" s="86" customFormat="1" ht="15.75" customHeight="1">
      <c r="A10" s="87" t="s">
        <v>126</v>
      </c>
      <c r="B10" s="136">
        <f>_xlfn.COMPOUNDVALUE(13)</f>
        <v>343</v>
      </c>
      <c r="C10" s="137">
        <v>106670</v>
      </c>
      <c r="D10" s="136">
        <f>_xlfn.COMPOUNDVALUE(14)</f>
        <v>818</v>
      </c>
      <c r="E10" s="137">
        <v>175511</v>
      </c>
      <c r="F10" s="136">
        <f>_xlfn.COMPOUNDVALUE(15)</f>
        <v>1161</v>
      </c>
      <c r="G10" s="137">
        <v>282181</v>
      </c>
      <c r="H10" s="136">
        <f>_xlfn.COMPOUNDVALUE(16)</f>
        <v>31</v>
      </c>
      <c r="I10" s="138">
        <v>9312</v>
      </c>
      <c r="J10" s="136">
        <v>43</v>
      </c>
      <c r="K10" s="138">
        <v>5627</v>
      </c>
      <c r="L10" s="136">
        <f>_xlfn.COMPOUNDVALUE(16)</f>
        <v>1208</v>
      </c>
      <c r="M10" s="138">
        <v>278496</v>
      </c>
      <c r="N10" s="88" t="s">
        <v>43</v>
      </c>
    </row>
    <row r="11" spans="1:14" s="86" customFormat="1" ht="15.75" customHeight="1">
      <c r="A11" s="87" t="s">
        <v>127</v>
      </c>
      <c r="B11" s="136">
        <f>_xlfn.COMPOUNDVALUE(17)</f>
        <v>521</v>
      </c>
      <c r="C11" s="137">
        <v>166917</v>
      </c>
      <c r="D11" s="136">
        <f>_xlfn.COMPOUNDVALUE(18)</f>
        <v>1379</v>
      </c>
      <c r="E11" s="137">
        <v>313742</v>
      </c>
      <c r="F11" s="136">
        <f>_xlfn.COMPOUNDVALUE(19)</f>
        <v>1900</v>
      </c>
      <c r="G11" s="137">
        <v>480659</v>
      </c>
      <c r="H11" s="136">
        <f>_xlfn.COMPOUNDVALUE(20)</f>
        <v>41</v>
      </c>
      <c r="I11" s="138">
        <v>9737</v>
      </c>
      <c r="J11" s="136">
        <v>69</v>
      </c>
      <c r="K11" s="138">
        <v>4240</v>
      </c>
      <c r="L11" s="136">
        <f>_xlfn.COMPOUNDVALUE(20)</f>
        <v>1956</v>
      </c>
      <c r="M11" s="138">
        <v>475163</v>
      </c>
      <c r="N11" s="88" t="s">
        <v>44</v>
      </c>
    </row>
    <row r="12" spans="1:14" s="86" customFormat="1" ht="15.75" customHeight="1">
      <c r="A12" s="87" t="s">
        <v>128</v>
      </c>
      <c r="B12" s="136">
        <f>_xlfn.COMPOUNDVALUE(21)</f>
        <v>536</v>
      </c>
      <c r="C12" s="137">
        <v>168172</v>
      </c>
      <c r="D12" s="136">
        <f>_xlfn.COMPOUNDVALUE(22)</f>
        <v>922</v>
      </c>
      <c r="E12" s="137">
        <v>209149</v>
      </c>
      <c r="F12" s="136">
        <f>_xlfn.COMPOUNDVALUE(23)</f>
        <v>1458</v>
      </c>
      <c r="G12" s="137">
        <v>377321</v>
      </c>
      <c r="H12" s="136">
        <f>_xlfn.COMPOUNDVALUE(24)</f>
        <v>46</v>
      </c>
      <c r="I12" s="138">
        <v>12646</v>
      </c>
      <c r="J12" s="136">
        <v>48</v>
      </c>
      <c r="K12" s="138">
        <v>4026</v>
      </c>
      <c r="L12" s="136">
        <f>_xlfn.COMPOUNDVALUE(24)</f>
        <v>1519</v>
      </c>
      <c r="M12" s="138">
        <v>368700</v>
      </c>
      <c r="N12" s="88" t="s">
        <v>45</v>
      </c>
    </row>
    <row r="13" spans="1:14" s="86" customFormat="1" ht="15.75" customHeight="1">
      <c r="A13" s="87" t="s">
        <v>129</v>
      </c>
      <c r="B13" s="136">
        <f>_xlfn.COMPOUNDVALUE(25)</f>
        <v>205</v>
      </c>
      <c r="C13" s="137">
        <v>58994</v>
      </c>
      <c r="D13" s="136">
        <f>_xlfn.COMPOUNDVALUE(26)</f>
        <v>485</v>
      </c>
      <c r="E13" s="137">
        <v>100628</v>
      </c>
      <c r="F13" s="136">
        <f>_xlfn.COMPOUNDVALUE(27)</f>
        <v>690</v>
      </c>
      <c r="G13" s="137">
        <v>159623</v>
      </c>
      <c r="H13" s="136">
        <f>_xlfn.COMPOUNDVALUE(28)</f>
        <v>12</v>
      </c>
      <c r="I13" s="138">
        <v>2321</v>
      </c>
      <c r="J13" s="136">
        <v>31</v>
      </c>
      <c r="K13" s="138">
        <v>6449</v>
      </c>
      <c r="L13" s="136">
        <f>_xlfn.COMPOUNDVALUE(28)</f>
        <v>714</v>
      </c>
      <c r="M13" s="138">
        <v>163750</v>
      </c>
      <c r="N13" s="88" t="s">
        <v>46</v>
      </c>
    </row>
    <row r="14" spans="1:14" s="86" customFormat="1" ht="15.75" customHeight="1">
      <c r="A14" s="87" t="s">
        <v>130</v>
      </c>
      <c r="B14" s="136">
        <f>_xlfn.COMPOUNDVALUE(29)</f>
        <v>750</v>
      </c>
      <c r="C14" s="137">
        <v>232369</v>
      </c>
      <c r="D14" s="136">
        <f>_xlfn.COMPOUNDVALUE(30)</f>
        <v>1045</v>
      </c>
      <c r="E14" s="137">
        <v>237281</v>
      </c>
      <c r="F14" s="136">
        <f>_xlfn.COMPOUNDVALUE(31)</f>
        <v>1795</v>
      </c>
      <c r="G14" s="137">
        <v>469650</v>
      </c>
      <c r="H14" s="136">
        <f>_xlfn.COMPOUNDVALUE(32)</f>
        <v>100</v>
      </c>
      <c r="I14" s="138">
        <v>38696</v>
      </c>
      <c r="J14" s="136">
        <v>72</v>
      </c>
      <c r="K14" s="138">
        <v>8302</v>
      </c>
      <c r="L14" s="136">
        <f>_xlfn.COMPOUNDVALUE(32)</f>
        <v>1927</v>
      </c>
      <c r="M14" s="138">
        <v>439256</v>
      </c>
      <c r="N14" s="88" t="s">
        <v>47</v>
      </c>
    </row>
    <row r="15" spans="1:14" s="86" customFormat="1" ht="15.75" customHeight="1">
      <c r="A15" s="87" t="s">
        <v>131</v>
      </c>
      <c r="B15" s="136">
        <f>_xlfn.COMPOUNDVALUE(33)</f>
        <v>372</v>
      </c>
      <c r="C15" s="137">
        <v>104664</v>
      </c>
      <c r="D15" s="136">
        <f>_xlfn.COMPOUNDVALUE(34)</f>
        <v>1056</v>
      </c>
      <c r="E15" s="137">
        <v>221326</v>
      </c>
      <c r="F15" s="136">
        <f>_xlfn.COMPOUNDVALUE(35)</f>
        <v>1428</v>
      </c>
      <c r="G15" s="137">
        <v>325990</v>
      </c>
      <c r="H15" s="136">
        <f>_xlfn.COMPOUNDVALUE(36)</f>
        <v>22</v>
      </c>
      <c r="I15" s="138">
        <v>2582</v>
      </c>
      <c r="J15" s="136">
        <v>92</v>
      </c>
      <c r="K15" s="138">
        <v>10091</v>
      </c>
      <c r="L15" s="136">
        <f>_xlfn.COMPOUNDVALUE(36)</f>
        <v>1482</v>
      </c>
      <c r="M15" s="138">
        <v>333499</v>
      </c>
      <c r="N15" s="88" t="s">
        <v>48</v>
      </c>
    </row>
    <row r="16" spans="1:14" s="86" customFormat="1" ht="15.75" customHeight="1">
      <c r="A16" s="87" t="s">
        <v>132</v>
      </c>
      <c r="B16" s="136">
        <f>_xlfn.COMPOUNDVALUE(37)</f>
        <v>351</v>
      </c>
      <c r="C16" s="137">
        <v>111258</v>
      </c>
      <c r="D16" s="136">
        <f>_xlfn.COMPOUNDVALUE(38)</f>
        <v>638</v>
      </c>
      <c r="E16" s="137">
        <v>135355</v>
      </c>
      <c r="F16" s="136">
        <f>_xlfn.COMPOUNDVALUE(39)</f>
        <v>989</v>
      </c>
      <c r="G16" s="137">
        <v>246613</v>
      </c>
      <c r="H16" s="136">
        <f>_xlfn.COMPOUNDVALUE(40)</f>
        <v>33</v>
      </c>
      <c r="I16" s="138">
        <v>8823</v>
      </c>
      <c r="J16" s="136">
        <v>47</v>
      </c>
      <c r="K16" s="138">
        <v>5539</v>
      </c>
      <c r="L16" s="136">
        <f>_xlfn.COMPOUNDVALUE(40)</f>
        <v>1034</v>
      </c>
      <c r="M16" s="138">
        <v>243329</v>
      </c>
      <c r="N16" s="88" t="s">
        <v>49</v>
      </c>
    </row>
    <row r="17" spans="1:14" s="86" customFormat="1" ht="15.75" customHeight="1">
      <c r="A17" s="104" t="s">
        <v>50</v>
      </c>
      <c r="B17" s="139">
        <v>6508</v>
      </c>
      <c r="C17" s="140">
        <v>2127599</v>
      </c>
      <c r="D17" s="139">
        <v>13152</v>
      </c>
      <c r="E17" s="140">
        <v>3093419</v>
      </c>
      <c r="F17" s="139">
        <v>19660</v>
      </c>
      <c r="G17" s="140">
        <v>5221018</v>
      </c>
      <c r="H17" s="139">
        <v>510</v>
      </c>
      <c r="I17" s="141">
        <v>188104</v>
      </c>
      <c r="J17" s="139">
        <v>986</v>
      </c>
      <c r="K17" s="141">
        <v>116595</v>
      </c>
      <c r="L17" s="139">
        <v>20517</v>
      </c>
      <c r="M17" s="141">
        <v>5149509</v>
      </c>
      <c r="N17" s="105" t="s">
        <v>51</v>
      </c>
    </row>
    <row r="18" spans="1:14" s="86" customFormat="1" ht="15.75" customHeight="1">
      <c r="A18" s="106"/>
      <c r="B18" s="146"/>
      <c r="C18" s="145"/>
      <c r="D18" s="146"/>
      <c r="E18" s="145"/>
      <c r="F18" s="144"/>
      <c r="G18" s="145"/>
      <c r="H18" s="144"/>
      <c r="I18" s="145"/>
      <c r="J18" s="144"/>
      <c r="K18" s="145"/>
      <c r="L18" s="144"/>
      <c r="M18" s="145"/>
      <c r="N18" s="107"/>
    </row>
    <row r="19" spans="1:14" s="86" customFormat="1" ht="15.75" customHeight="1">
      <c r="A19" s="84" t="s">
        <v>52</v>
      </c>
      <c r="B19" s="131">
        <f>_xlfn.COMPOUNDVALUE(41)</f>
        <v>1341</v>
      </c>
      <c r="C19" s="132">
        <v>459709</v>
      </c>
      <c r="D19" s="131">
        <f>_xlfn.COMPOUNDVALUE(42)</f>
        <v>1780</v>
      </c>
      <c r="E19" s="132">
        <v>469135</v>
      </c>
      <c r="F19" s="131">
        <f>_xlfn.COMPOUNDVALUE(43)</f>
        <v>3121</v>
      </c>
      <c r="G19" s="132">
        <v>928844</v>
      </c>
      <c r="H19" s="131">
        <f>_xlfn.COMPOUNDVALUE(44)</f>
        <v>77</v>
      </c>
      <c r="I19" s="133">
        <v>18345</v>
      </c>
      <c r="J19" s="131">
        <v>257</v>
      </c>
      <c r="K19" s="133">
        <v>60700</v>
      </c>
      <c r="L19" s="131">
        <f>_xlfn.COMPOUNDVALUE(44)</f>
        <v>3351</v>
      </c>
      <c r="M19" s="133">
        <v>971199</v>
      </c>
      <c r="N19" s="85" t="s">
        <v>52</v>
      </c>
    </row>
    <row r="20" spans="1:14" s="86" customFormat="1" ht="15.75" customHeight="1">
      <c r="A20" s="84" t="s">
        <v>53</v>
      </c>
      <c r="B20" s="131">
        <f>_xlfn.COMPOUNDVALUE(45)</f>
        <v>586</v>
      </c>
      <c r="C20" s="132">
        <v>162871</v>
      </c>
      <c r="D20" s="131">
        <f>_xlfn.COMPOUNDVALUE(46)</f>
        <v>893</v>
      </c>
      <c r="E20" s="132">
        <v>207455</v>
      </c>
      <c r="F20" s="131">
        <f>_xlfn.COMPOUNDVALUE(47)</f>
        <v>1479</v>
      </c>
      <c r="G20" s="132">
        <v>370326</v>
      </c>
      <c r="H20" s="131">
        <f>_xlfn.COMPOUNDVALUE(48)</f>
        <v>43</v>
      </c>
      <c r="I20" s="133">
        <v>32485</v>
      </c>
      <c r="J20" s="131">
        <v>65</v>
      </c>
      <c r="K20" s="133">
        <v>6131</v>
      </c>
      <c r="L20" s="131">
        <f>_xlfn.COMPOUNDVALUE(48)</f>
        <v>1548</v>
      </c>
      <c r="M20" s="133">
        <v>343972</v>
      </c>
      <c r="N20" s="85" t="s">
        <v>53</v>
      </c>
    </row>
    <row r="21" spans="1:14" s="86" customFormat="1" ht="15.75" customHeight="1">
      <c r="A21" s="87" t="s">
        <v>133</v>
      </c>
      <c r="B21" s="136">
        <f>_xlfn.COMPOUNDVALUE(49)</f>
        <v>303</v>
      </c>
      <c r="C21" s="137">
        <v>85206</v>
      </c>
      <c r="D21" s="136">
        <f>_xlfn.COMPOUNDVALUE(50)</f>
        <v>394</v>
      </c>
      <c r="E21" s="137">
        <v>100052</v>
      </c>
      <c r="F21" s="136">
        <f>_xlfn.COMPOUNDVALUE(51)</f>
        <v>697</v>
      </c>
      <c r="G21" s="137">
        <v>185258</v>
      </c>
      <c r="H21" s="136">
        <f>_xlfn.COMPOUNDVALUE(52)</f>
        <v>15</v>
      </c>
      <c r="I21" s="138">
        <v>1514</v>
      </c>
      <c r="J21" s="136">
        <v>40</v>
      </c>
      <c r="K21" s="138">
        <v>3081</v>
      </c>
      <c r="L21" s="136">
        <f>_xlfn.COMPOUNDVALUE(52)</f>
        <v>733</v>
      </c>
      <c r="M21" s="138">
        <v>186824</v>
      </c>
      <c r="N21" s="88" t="s">
        <v>54</v>
      </c>
    </row>
    <row r="22" spans="1:14" s="86" customFormat="1" ht="15.75" customHeight="1">
      <c r="A22" s="87" t="s">
        <v>134</v>
      </c>
      <c r="B22" s="136">
        <f>_xlfn.COMPOUNDVALUE(53)</f>
        <v>476</v>
      </c>
      <c r="C22" s="137">
        <v>139430</v>
      </c>
      <c r="D22" s="136">
        <f>_xlfn.COMPOUNDVALUE(54)</f>
        <v>783</v>
      </c>
      <c r="E22" s="137">
        <v>184769</v>
      </c>
      <c r="F22" s="136">
        <f>_xlfn.COMPOUNDVALUE(55)</f>
        <v>1259</v>
      </c>
      <c r="G22" s="137">
        <v>324199</v>
      </c>
      <c r="H22" s="136">
        <f>_xlfn.COMPOUNDVALUE(56)</f>
        <v>21</v>
      </c>
      <c r="I22" s="138">
        <v>6442</v>
      </c>
      <c r="J22" s="136">
        <v>49</v>
      </c>
      <c r="K22" s="138">
        <v>4184</v>
      </c>
      <c r="L22" s="136">
        <f>_xlfn.COMPOUNDVALUE(56)</f>
        <v>1298</v>
      </c>
      <c r="M22" s="138">
        <v>321941</v>
      </c>
      <c r="N22" s="88" t="s">
        <v>55</v>
      </c>
    </row>
    <row r="23" spans="1:14" s="86" customFormat="1" ht="15.75" customHeight="1">
      <c r="A23" s="87" t="s">
        <v>135</v>
      </c>
      <c r="B23" s="136">
        <f>_xlfn.COMPOUNDVALUE(57)</f>
        <v>330</v>
      </c>
      <c r="C23" s="137">
        <v>100205</v>
      </c>
      <c r="D23" s="136">
        <f>_xlfn.COMPOUNDVALUE(58)</f>
        <v>425</v>
      </c>
      <c r="E23" s="137">
        <v>95912</v>
      </c>
      <c r="F23" s="136">
        <f>_xlfn.COMPOUNDVALUE(59)</f>
        <v>755</v>
      </c>
      <c r="G23" s="137">
        <v>196117</v>
      </c>
      <c r="H23" s="136">
        <f>_xlfn.COMPOUNDVALUE(60)</f>
        <v>20</v>
      </c>
      <c r="I23" s="138">
        <v>4450</v>
      </c>
      <c r="J23" s="136">
        <v>31</v>
      </c>
      <c r="K23" s="138">
        <v>3316</v>
      </c>
      <c r="L23" s="136">
        <f>_xlfn.COMPOUNDVALUE(60)</f>
        <v>786</v>
      </c>
      <c r="M23" s="138">
        <v>194983</v>
      </c>
      <c r="N23" s="88" t="s">
        <v>56</v>
      </c>
    </row>
    <row r="24" spans="1:14" s="86" customFormat="1" ht="15.75" customHeight="1">
      <c r="A24" s="87" t="s">
        <v>136</v>
      </c>
      <c r="B24" s="136">
        <f>_xlfn.COMPOUNDVALUE(61)</f>
        <v>149</v>
      </c>
      <c r="C24" s="137">
        <v>52342</v>
      </c>
      <c r="D24" s="136">
        <f>_xlfn.COMPOUNDVALUE(62)</f>
        <v>302</v>
      </c>
      <c r="E24" s="137">
        <v>69773</v>
      </c>
      <c r="F24" s="136">
        <f>_xlfn.COMPOUNDVALUE(63)</f>
        <v>451</v>
      </c>
      <c r="G24" s="137">
        <v>122115</v>
      </c>
      <c r="H24" s="136">
        <f>_xlfn.COMPOUNDVALUE(64)</f>
        <v>13</v>
      </c>
      <c r="I24" s="138">
        <v>2249</v>
      </c>
      <c r="J24" s="136">
        <v>24</v>
      </c>
      <c r="K24" s="138">
        <v>2345</v>
      </c>
      <c r="L24" s="136">
        <f>_xlfn.COMPOUNDVALUE(64)</f>
        <v>468</v>
      </c>
      <c r="M24" s="138">
        <v>122211</v>
      </c>
      <c r="N24" s="88" t="s">
        <v>57</v>
      </c>
    </row>
    <row r="25" spans="1:14" s="86" customFormat="1" ht="15.75" customHeight="1">
      <c r="A25" s="87" t="s">
        <v>137</v>
      </c>
      <c r="B25" s="136">
        <f>_xlfn.COMPOUNDVALUE(65)</f>
        <v>106</v>
      </c>
      <c r="C25" s="137">
        <v>29394</v>
      </c>
      <c r="D25" s="136">
        <f>_xlfn.COMPOUNDVALUE(66)</f>
        <v>259</v>
      </c>
      <c r="E25" s="137">
        <v>51924</v>
      </c>
      <c r="F25" s="136">
        <f>_xlfn.COMPOUNDVALUE(67)</f>
        <v>365</v>
      </c>
      <c r="G25" s="137">
        <v>81318</v>
      </c>
      <c r="H25" s="136">
        <f>_xlfn.COMPOUNDVALUE(68)</f>
        <v>9</v>
      </c>
      <c r="I25" s="138">
        <v>2921</v>
      </c>
      <c r="J25" s="136">
        <v>25</v>
      </c>
      <c r="K25" s="138">
        <v>1476</v>
      </c>
      <c r="L25" s="136">
        <f>_xlfn.COMPOUNDVALUE(68)</f>
        <v>379</v>
      </c>
      <c r="M25" s="138">
        <v>79873</v>
      </c>
      <c r="N25" s="88" t="s">
        <v>58</v>
      </c>
    </row>
    <row r="26" spans="1:14" s="86" customFormat="1" ht="15.75" customHeight="1">
      <c r="A26" s="87" t="s">
        <v>138</v>
      </c>
      <c r="B26" s="136">
        <f>_xlfn.COMPOUNDVALUE(69)</f>
        <v>291</v>
      </c>
      <c r="C26" s="137">
        <v>98352</v>
      </c>
      <c r="D26" s="136">
        <f>_xlfn.COMPOUNDVALUE(70)</f>
        <v>450</v>
      </c>
      <c r="E26" s="137">
        <v>111271</v>
      </c>
      <c r="F26" s="136">
        <f>_xlfn.COMPOUNDVALUE(71)</f>
        <v>741</v>
      </c>
      <c r="G26" s="137">
        <v>209623</v>
      </c>
      <c r="H26" s="136">
        <f>_xlfn.COMPOUNDVALUE(72)</f>
        <v>39</v>
      </c>
      <c r="I26" s="138">
        <v>11387</v>
      </c>
      <c r="J26" s="136">
        <v>29</v>
      </c>
      <c r="K26" s="138">
        <v>2980</v>
      </c>
      <c r="L26" s="136">
        <f>_xlfn.COMPOUNDVALUE(72)</f>
        <v>789</v>
      </c>
      <c r="M26" s="138">
        <v>201215</v>
      </c>
      <c r="N26" s="88" t="s">
        <v>59</v>
      </c>
    </row>
    <row r="27" spans="1:14" s="86" customFormat="1" ht="15.75" customHeight="1">
      <c r="A27" s="87" t="s">
        <v>139</v>
      </c>
      <c r="B27" s="136">
        <f>_xlfn.COMPOUNDVALUE(73)</f>
        <v>105</v>
      </c>
      <c r="C27" s="137">
        <v>26141</v>
      </c>
      <c r="D27" s="136">
        <f>_xlfn.COMPOUNDVALUE(74)</f>
        <v>210</v>
      </c>
      <c r="E27" s="137">
        <v>46400</v>
      </c>
      <c r="F27" s="136">
        <f>_xlfn.COMPOUNDVALUE(75)</f>
        <v>315</v>
      </c>
      <c r="G27" s="137">
        <v>72541</v>
      </c>
      <c r="H27" s="136">
        <f>_xlfn.COMPOUNDVALUE(76)</f>
        <v>7</v>
      </c>
      <c r="I27" s="138">
        <v>563</v>
      </c>
      <c r="J27" s="136">
        <v>34</v>
      </c>
      <c r="K27" s="138">
        <v>6374</v>
      </c>
      <c r="L27" s="136">
        <f>_xlfn.COMPOUNDVALUE(76)</f>
        <v>339</v>
      </c>
      <c r="M27" s="138">
        <v>78352</v>
      </c>
      <c r="N27" s="88" t="s">
        <v>60</v>
      </c>
    </row>
    <row r="28" spans="1:14" s="86" customFormat="1" ht="15.75" customHeight="1">
      <c r="A28" s="104" t="s">
        <v>61</v>
      </c>
      <c r="B28" s="139">
        <v>3687</v>
      </c>
      <c r="C28" s="140">
        <v>1153650</v>
      </c>
      <c r="D28" s="139">
        <v>5496</v>
      </c>
      <c r="E28" s="140">
        <v>1336691</v>
      </c>
      <c r="F28" s="139">
        <v>9183</v>
      </c>
      <c r="G28" s="140">
        <v>2490340</v>
      </c>
      <c r="H28" s="139">
        <v>244</v>
      </c>
      <c r="I28" s="141">
        <v>80356</v>
      </c>
      <c r="J28" s="139">
        <v>554</v>
      </c>
      <c r="K28" s="141">
        <v>90585</v>
      </c>
      <c r="L28" s="139">
        <v>9691</v>
      </c>
      <c r="M28" s="141">
        <v>2500569</v>
      </c>
      <c r="N28" s="105" t="s">
        <v>62</v>
      </c>
    </row>
    <row r="29" spans="1:14" s="86" customFormat="1" ht="15.75" customHeight="1">
      <c r="A29" s="106"/>
      <c r="B29" s="146"/>
      <c r="C29" s="145"/>
      <c r="D29" s="146"/>
      <c r="E29" s="145"/>
      <c r="F29" s="144"/>
      <c r="G29" s="145"/>
      <c r="H29" s="144"/>
      <c r="I29" s="145"/>
      <c r="J29" s="144"/>
      <c r="K29" s="145"/>
      <c r="L29" s="144"/>
      <c r="M29" s="145"/>
      <c r="N29" s="107"/>
    </row>
    <row r="30" spans="1:14" s="86" customFormat="1" ht="15.75" customHeight="1">
      <c r="A30" s="84" t="s">
        <v>140</v>
      </c>
      <c r="B30" s="131">
        <f>_xlfn.COMPOUNDVALUE(77)</f>
        <v>1360</v>
      </c>
      <c r="C30" s="132">
        <v>457528</v>
      </c>
      <c r="D30" s="131">
        <f>_xlfn.COMPOUNDVALUE(78)</f>
        <v>2685</v>
      </c>
      <c r="E30" s="132">
        <v>630601</v>
      </c>
      <c r="F30" s="131">
        <f>_xlfn.COMPOUNDVALUE(79)</f>
        <v>4045</v>
      </c>
      <c r="G30" s="132">
        <v>1088130</v>
      </c>
      <c r="H30" s="131">
        <f>_xlfn.COMPOUNDVALUE(80)</f>
        <v>93</v>
      </c>
      <c r="I30" s="133">
        <v>51338</v>
      </c>
      <c r="J30" s="131">
        <v>224</v>
      </c>
      <c r="K30" s="133">
        <v>23008</v>
      </c>
      <c r="L30" s="131">
        <f>_xlfn.COMPOUNDVALUE(80)</f>
        <v>4224</v>
      </c>
      <c r="M30" s="133">
        <v>1059800</v>
      </c>
      <c r="N30" s="85" t="s">
        <v>63</v>
      </c>
    </row>
    <row r="31" spans="1:14" s="86" customFormat="1" ht="15.75" customHeight="1">
      <c r="A31" s="87" t="s">
        <v>141</v>
      </c>
      <c r="B31" s="136">
        <f>_xlfn.COMPOUNDVALUE(81)</f>
        <v>1137</v>
      </c>
      <c r="C31" s="137">
        <v>389721</v>
      </c>
      <c r="D31" s="136">
        <f>_xlfn.COMPOUNDVALUE(82)</f>
        <v>1112</v>
      </c>
      <c r="E31" s="137">
        <v>270277</v>
      </c>
      <c r="F31" s="136">
        <f>_xlfn.COMPOUNDVALUE(83)</f>
        <v>2249</v>
      </c>
      <c r="G31" s="137">
        <v>659998</v>
      </c>
      <c r="H31" s="136">
        <f>_xlfn.COMPOUNDVALUE(84)</f>
        <v>114</v>
      </c>
      <c r="I31" s="138">
        <v>35445</v>
      </c>
      <c r="J31" s="136">
        <v>134</v>
      </c>
      <c r="K31" s="138">
        <v>16290</v>
      </c>
      <c r="L31" s="136">
        <f>_xlfn.COMPOUNDVALUE(84)</f>
        <v>2402</v>
      </c>
      <c r="M31" s="138">
        <v>640842</v>
      </c>
      <c r="N31" s="88" t="s">
        <v>64</v>
      </c>
    </row>
    <row r="32" spans="1:14" s="86" customFormat="1" ht="15.75" customHeight="1">
      <c r="A32" s="87" t="s">
        <v>142</v>
      </c>
      <c r="B32" s="136">
        <f>_xlfn.COMPOUNDVALUE(85)</f>
        <v>1111</v>
      </c>
      <c r="C32" s="137">
        <v>370776</v>
      </c>
      <c r="D32" s="136">
        <f>_xlfn.COMPOUNDVALUE(86)</f>
        <v>1278</v>
      </c>
      <c r="E32" s="137">
        <v>325721</v>
      </c>
      <c r="F32" s="136">
        <f>_xlfn.COMPOUNDVALUE(87)</f>
        <v>2389</v>
      </c>
      <c r="G32" s="137">
        <v>696497</v>
      </c>
      <c r="H32" s="136">
        <f>_xlfn.COMPOUNDVALUE(88)</f>
        <v>82</v>
      </c>
      <c r="I32" s="138">
        <v>28126</v>
      </c>
      <c r="J32" s="136">
        <v>86</v>
      </c>
      <c r="K32" s="138">
        <v>9940</v>
      </c>
      <c r="L32" s="136">
        <f>_xlfn.COMPOUNDVALUE(88)</f>
        <v>2500</v>
      </c>
      <c r="M32" s="138">
        <v>678310</v>
      </c>
      <c r="N32" s="88" t="s">
        <v>65</v>
      </c>
    </row>
    <row r="33" spans="1:14" s="86" customFormat="1" ht="15.75" customHeight="1">
      <c r="A33" s="87" t="s">
        <v>143</v>
      </c>
      <c r="B33" s="136">
        <f>_xlfn.COMPOUNDVALUE(89)</f>
        <v>295</v>
      </c>
      <c r="C33" s="137">
        <v>103851</v>
      </c>
      <c r="D33" s="136">
        <f>_xlfn.COMPOUNDVALUE(90)</f>
        <v>643</v>
      </c>
      <c r="E33" s="137">
        <v>141315</v>
      </c>
      <c r="F33" s="136">
        <f>_xlfn.COMPOUNDVALUE(91)</f>
        <v>938</v>
      </c>
      <c r="G33" s="137">
        <v>245166</v>
      </c>
      <c r="H33" s="136">
        <f>_xlfn.COMPOUNDVALUE(92)</f>
        <v>45</v>
      </c>
      <c r="I33" s="138">
        <v>13050</v>
      </c>
      <c r="J33" s="136">
        <v>29</v>
      </c>
      <c r="K33" s="138">
        <v>4026</v>
      </c>
      <c r="L33" s="136">
        <f>_xlfn.COMPOUNDVALUE(92)</f>
        <v>996</v>
      </c>
      <c r="M33" s="138">
        <v>236142</v>
      </c>
      <c r="N33" s="88" t="s">
        <v>66</v>
      </c>
    </row>
    <row r="34" spans="1:14" s="86" customFormat="1" ht="15.75" customHeight="1">
      <c r="A34" s="87" t="s">
        <v>144</v>
      </c>
      <c r="B34" s="136">
        <f>_xlfn.COMPOUNDVALUE(93)</f>
        <v>547</v>
      </c>
      <c r="C34" s="137">
        <v>162181</v>
      </c>
      <c r="D34" s="136">
        <f>_xlfn.COMPOUNDVALUE(94)</f>
        <v>629</v>
      </c>
      <c r="E34" s="137">
        <v>144170</v>
      </c>
      <c r="F34" s="136">
        <f>_xlfn.COMPOUNDVALUE(95)</f>
        <v>1176</v>
      </c>
      <c r="G34" s="137">
        <v>306351</v>
      </c>
      <c r="H34" s="136">
        <f>_xlfn.COMPOUNDVALUE(96)</f>
        <v>76</v>
      </c>
      <c r="I34" s="138">
        <v>30442</v>
      </c>
      <c r="J34" s="136">
        <v>54</v>
      </c>
      <c r="K34" s="138">
        <v>8657</v>
      </c>
      <c r="L34" s="136">
        <f>_xlfn.COMPOUNDVALUE(96)</f>
        <v>1267</v>
      </c>
      <c r="M34" s="138">
        <v>284566</v>
      </c>
      <c r="N34" s="88" t="s">
        <v>67</v>
      </c>
    </row>
    <row r="35" spans="1:14" s="86" customFormat="1" ht="15.75" customHeight="1">
      <c r="A35" s="87" t="s">
        <v>145</v>
      </c>
      <c r="B35" s="136">
        <f>_xlfn.COMPOUNDVALUE(97)</f>
        <v>547</v>
      </c>
      <c r="C35" s="137">
        <v>176073</v>
      </c>
      <c r="D35" s="136">
        <f>_xlfn.COMPOUNDVALUE(98)</f>
        <v>1390</v>
      </c>
      <c r="E35" s="137">
        <v>301404</v>
      </c>
      <c r="F35" s="136">
        <f>_xlfn.COMPOUNDVALUE(99)</f>
        <v>1937</v>
      </c>
      <c r="G35" s="137">
        <v>477477</v>
      </c>
      <c r="H35" s="136">
        <f>_xlfn.COMPOUNDVALUE(100)</f>
        <v>53</v>
      </c>
      <c r="I35" s="138">
        <v>23740</v>
      </c>
      <c r="J35" s="136">
        <v>86</v>
      </c>
      <c r="K35" s="138">
        <v>5257</v>
      </c>
      <c r="L35" s="136">
        <f>_xlfn.COMPOUNDVALUE(100)</f>
        <v>2023</v>
      </c>
      <c r="M35" s="138">
        <v>458993</v>
      </c>
      <c r="N35" s="88" t="s">
        <v>68</v>
      </c>
    </row>
    <row r="36" spans="1:14" s="86" customFormat="1" ht="15.75" customHeight="1">
      <c r="A36" s="104" t="s">
        <v>69</v>
      </c>
      <c r="B36" s="139">
        <v>4997</v>
      </c>
      <c r="C36" s="140">
        <v>1660130</v>
      </c>
      <c r="D36" s="139">
        <v>7737</v>
      </c>
      <c r="E36" s="140">
        <v>1813489</v>
      </c>
      <c r="F36" s="139">
        <v>12734</v>
      </c>
      <c r="G36" s="140">
        <v>3473618</v>
      </c>
      <c r="H36" s="139">
        <v>463</v>
      </c>
      <c r="I36" s="141">
        <v>182141</v>
      </c>
      <c r="J36" s="139">
        <v>613</v>
      </c>
      <c r="K36" s="141">
        <v>67177</v>
      </c>
      <c r="L36" s="139">
        <v>13412</v>
      </c>
      <c r="M36" s="141">
        <v>3358654</v>
      </c>
      <c r="N36" s="105" t="s">
        <v>70</v>
      </c>
    </row>
    <row r="37" spans="1:14" s="86" customFormat="1" ht="15.75" customHeight="1">
      <c r="A37" s="106"/>
      <c r="B37" s="146"/>
      <c r="C37" s="145"/>
      <c r="D37" s="146"/>
      <c r="E37" s="145"/>
      <c r="F37" s="144"/>
      <c r="G37" s="145"/>
      <c r="H37" s="144"/>
      <c r="I37" s="145"/>
      <c r="J37" s="144"/>
      <c r="K37" s="145"/>
      <c r="L37" s="144"/>
      <c r="M37" s="145"/>
      <c r="N37" s="107"/>
    </row>
    <row r="38" spans="1:14" s="86" customFormat="1" ht="15.75" customHeight="1">
      <c r="A38" s="84" t="s">
        <v>71</v>
      </c>
      <c r="B38" s="131">
        <f>_xlfn.COMPOUNDVALUE(101)</f>
        <v>1829</v>
      </c>
      <c r="C38" s="132">
        <v>648437</v>
      </c>
      <c r="D38" s="131">
        <f>_xlfn.COMPOUNDVALUE(102)</f>
        <v>2358</v>
      </c>
      <c r="E38" s="132">
        <v>624165</v>
      </c>
      <c r="F38" s="131">
        <f>_xlfn.COMPOUNDVALUE(103)</f>
        <v>4187</v>
      </c>
      <c r="G38" s="132">
        <v>1272601</v>
      </c>
      <c r="H38" s="131">
        <f>_xlfn.COMPOUNDVALUE(104)</f>
        <v>96</v>
      </c>
      <c r="I38" s="133">
        <v>41110</v>
      </c>
      <c r="J38" s="131">
        <v>319</v>
      </c>
      <c r="K38" s="133">
        <v>37151</v>
      </c>
      <c r="L38" s="131">
        <f>_xlfn.COMPOUNDVALUE(104)</f>
        <v>4448</v>
      </c>
      <c r="M38" s="133">
        <v>1268642</v>
      </c>
      <c r="N38" s="85" t="s">
        <v>72</v>
      </c>
    </row>
    <row r="39" spans="1:14" s="86" customFormat="1" ht="15.75" customHeight="1">
      <c r="A39" s="84" t="s">
        <v>146</v>
      </c>
      <c r="B39" s="131">
        <f>_xlfn.COMPOUNDVALUE(105)</f>
        <v>387</v>
      </c>
      <c r="C39" s="132">
        <v>106937</v>
      </c>
      <c r="D39" s="131">
        <f>_xlfn.COMPOUNDVALUE(106)</f>
        <v>552</v>
      </c>
      <c r="E39" s="132">
        <v>122508</v>
      </c>
      <c r="F39" s="131">
        <f>_xlfn.COMPOUNDVALUE(107)</f>
        <v>939</v>
      </c>
      <c r="G39" s="132">
        <v>229444</v>
      </c>
      <c r="H39" s="131">
        <f>_xlfn.COMPOUNDVALUE(108)</f>
        <v>35</v>
      </c>
      <c r="I39" s="133">
        <v>9658</v>
      </c>
      <c r="J39" s="131">
        <v>33</v>
      </c>
      <c r="K39" s="133">
        <v>3702</v>
      </c>
      <c r="L39" s="131">
        <f>_xlfn.COMPOUNDVALUE(108)</f>
        <v>988</v>
      </c>
      <c r="M39" s="133">
        <v>223489</v>
      </c>
      <c r="N39" s="85" t="s">
        <v>73</v>
      </c>
    </row>
    <row r="40" spans="1:14" s="86" customFormat="1" ht="15.75" customHeight="1">
      <c r="A40" s="84" t="s">
        <v>147</v>
      </c>
      <c r="B40" s="131">
        <f>_xlfn.COMPOUNDVALUE(109)</f>
        <v>866</v>
      </c>
      <c r="C40" s="132">
        <v>252016</v>
      </c>
      <c r="D40" s="131">
        <f>_xlfn.COMPOUNDVALUE(110)</f>
        <v>1002</v>
      </c>
      <c r="E40" s="132">
        <v>230235</v>
      </c>
      <c r="F40" s="131">
        <f>_xlfn.COMPOUNDVALUE(111)</f>
        <v>1868</v>
      </c>
      <c r="G40" s="132">
        <v>482251</v>
      </c>
      <c r="H40" s="131">
        <f>_xlfn.COMPOUNDVALUE(112)</f>
        <v>88</v>
      </c>
      <c r="I40" s="133">
        <v>33302</v>
      </c>
      <c r="J40" s="131">
        <v>45</v>
      </c>
      <c r="K40" s="133">
        <v>5923</v>
      </c>
      <c r="L40" s="131">
        <f>_xlfn.COMPOUNDVALUE(112)</f>
        <v>1975</v>
      </c>
      <c r="M40" s="133">
        <v>454871</v>
      </c>
      <c r="N40" s="85" t="s">
        <v>74</v>
      </c>
    </row>
    <row r="41" spans="1:14" s="86" customFormat="1" ht="15.75" customHeight="1">
      <c r="A41" s="84" t="s">
        <v>148</v>
      </c>
      <c r="B41" s="131">
        <f>_xlfn.COMPOUNDVALUE(113)</f>
        <v>583</v>
      </c>
      <c r="C41" s="132">
        <v>131971</v>
      </c>
      <c r="D41" s="131">
        <f>_xlfn.COMPOUNDVALUE(114)</f>
        <v>573</v>
      </c>
      <c r="E41" s="132">
        <v>119752</v>
      </c>
      <c r="F41" s="131">
        <f>_xlfn.COMPOUNDVALUE(115)</f>
        <v>1156</v>
      </c>
      <c r="G41" s="132">
        <v>251723</v>
      </c>
      <c r="H41" s="131">
        <f>_xlfn.COMPOUNDVALUE(116)</f>
        <v>35</v>
      </c>
      <c r="I41" s="133">
        <v>6562</v>
      </c>
      <c r="J41" s="131">
        <v>57</v>
      </c>
      <c r="K41" s="133">
        <v>3909</v>
      </c>
      <c r="L41" s="131">
        <f>_xlfn.COMPOUNDVALUE(116)</f>
        <v>1222</v>
      </c>
      <c r="M41" s="133">
        <v>249069</v>
      </c>
      <c r="N41" s="85" t="s">
        <v>75</v>
      </c>
    </row>
    <row r="42" spans="1:14" s="86" customFormat="1" ht="15.75" customHeight="1">
      <c r="A42" s="87" t="s">
        <v>149</v>
      </c>
      <c r="B42" s="136">
        <f>_xlfn.COMPOUNDVALUE(117)</f>
        <v>616</v>
      </c>
      <c r="C42" s="137">
        <v>194380</v>
      </c>
      <c r="D42" s="136">
        <f>_xlfn.COMPOUNDVALUE(118)</f>
        <v>501</v>
      </c>
      <c r="E42" s="137">
        <v>108372</v>
      </c>
      <c r="F42" s="136">
        <f>_xlfn.COMPOUNDVALUE(119)</f>
        <v>1117</v>
      </c>
      <c r="G42" s="137">
        <v>302752</v>
      </c>
      <c r="H42" s="136">
        <f>_xlfn.COMPOUNDVALUE(120)</f>
        <v>102</v>
      </c>
      <c r="I42" s="138">
        <v>24222</v>
      </c>
      <c r="J42" s="136">
        <v>91</v>
      </c>
      <c r="K42" s="138">
        <v>7525</v>
      </c>
      <c r="L42" s="136">
        <f>_xlfn.COMPOUNDVALUE(120)</f>
        <v>1231</v>
      </c>
      <c r="M42" s="138">
        <v>286055</v>
      </c>
      <c r="N42" s="88" t="s">
        <v>76</v>
      </c>
    </row>
    <row r="43" spans="1:14" s="86" customFormat="1" ht="15.75" customHeight="1">
      <c r="A43" s="87" t="s">
        <v>150</v>
      </c>
      <c r="B43" s="136">
        <f>_xlfn.COMPOUNDVALUE(121)</f>
        <v>217</v>
      </c>
      <c r="C43" s="137">
        <v>72668</v>
      </c>
      <c r="D43" s="136">
        <f>_xlfn.COMPOUNDVALUE(122)</f>
        <v>411</v>
      </c>
      <c r="E43" s="137">
        <v>88533</v>
      </c>
      <c r="F43" s="136">
        <f>_xlfn.COMPOUNDVALUE(123)</f>
        <v>628</v>
      </c>
      <c r="G43" s="137">
        <v>161201</v>
      </c>
      <c r="H43" s="136">
        <f>_xlfn.COMPOUNDVALUE(124)</f>
        <v>21</v>
      </c>
      <c r="I43" s="138">
        <v>26282</v>
      </c>
      <c r="J43" s="136">
        <v>25</v>
      </c>
      <c r="K43" s="138">
        <v>968</v>
      </c>
      <c r="L43" s="136">
        <f>_xlfn.COMPOUNDVALUE(124)</f>
        <v>656</v>
      </c>
      <c r="M43" s="138">
        <v>135887</v>
      </c>
      <c r="N43" s="88" t="s">
        <v>77</v>
      </c>
    </row>
    <row r="44" spans="1:14" s="86" customFormat="1" ht="15.75" customHeight="1">
      <c r="A44" s="87" t="s">
        <v>78</v>
      </c>
      <c r="B44" s="136">
        <f>_xlfn.COMPOUNDVALUE(125)</f>
        <v>253</v>
      </c>
      <c r="C44" s="137">
        <v>72523</v>
      </c>
      <c r="D44" s="136">
        <f>_xlfn.COMPOUNDVALUE(126)</f>
        <v>405</v>
      </c>
      <c r="E44" s="137">
        <v>89911</v>
      </c>
      <c r="F44" s="136">
        <f>_xlfn.COMPOUNDVALUE(127)</f>
        <v>658</v>
      </c>
      <c r="G44" s="137">
        <v>162434</v>
      </c>
      <c r="H44" s="136">
        <f>_xlfn.COMPOUNDVALUE(128)</f>
        <v>20</v>
      </c>
      <c r="I44" s="138">
        <v>2248</v>
      </c>
      <c r="J44" s="136">
        <v>20</v>
      </c>
      <c r="K44" s="138">
        <v>1531</v>
      </c>
      <c r="L44" s="136">
        <f>_xlfn.COMPOUNDVALUE(128)</f>
        <v>681</v>
      </c>
      <c r="M44" s="138">
        <v>161716</v>
      </c>
      <c r="N44" s="88" t="s">
        <v>79</v>
      </c>
    </row>
    <row r="45" spans="1:14" s="86" customFormat="1" ht="15.75" customHeight="1">
      <c r="A45" s="87" t="s">
        <v>151</v>
      </c>
      <c r="B45" s="136">
        <f>_xlfn.COMPOUNDVALUE(129)</f>
        <v>463</v>
      </c>
      <c r="C45" s="137">
        <v>138981</v>
      </c>
      <c r="D45" s="136">
        <f>_xlfn.COMPOUNDVALUE(130)</f>
        <v>1013</v>
      </c>
      <c r="E45" s="137">
        <v>222095</v>
      </c>
      <c r="F45" s="136">
        <f>_xlfn.COMPOUNDVALUE(131)</f>
        <v>1476</v>
      </c>
      <c r="G45" s="137">
        <v>361076</v>
      </c>
      <c r="H45" s="136">
        <f>_xlfn.COMPOUNDVALUE(132)</f>
        <v>29</v>
      </c>
      <c r="I45" s="138">
        <v>28339</v>
      </c>
      <c r="J45" s="136">
        <v>104</v>
      </c>
      <c r="K45" s="138">
        <v>5323</v>
      </c>
      <c r="L45" s="136">
        <f>_xlfn.COMPOUNDVALUE(132)</f>
        <v>1518</v>
      </c>
      <c r="M45" s="138">
        <v>338059</v>
      </c>
      <c r="N45" s="88" t="s">
        <v>80</v>
      </c>
    </row>
    <row r="46" spans="1:14" s="86" customFormat="1" ht="15.75" customHeight="1">
      <c r="A46" s="87" t="s">
        <v>81</v>
      </c>
      <c r="B46" s="136">
        <f>_xlfn.COMPOUNDVALUE(133)</f>
        <v>271</v>
      </c>
      <c r="C46" s="137">
        <v>70088</v>
      </c>
      <c r="D46" s="136">
        <f>_xlfn.COMPOUNDVALUE(134)</f>
        <v>322</v>
      </c>
      <c r="E46" s="137">
        <v>75507</v>
      </c>
      <c r="F46" s="136">
        <f>_xlfn.COMPOUNDVALUE(135)</f>
        <v>593</v>
      </c>
      <c r="G46" s="137">
        <v>145595</v>
      </c>
      <c r="H46" s="136">
        <f>_xlfn.COMPOUNDVALUE(136)</f>
        <v>23</v>
      </c>
      <c r="I46" s="138">
        <v>7298</v>
      </c>
      <c r="J46" s="136">
        <v>39</v>
      </c>
      <c r="K46" s="138">
        <v>3485</v>
      </c>
      <c r="L46" s="136">
        <f>_xlfn.COMPOUNDVALUE(136)</f>
        <v>626</v>
      </c>
      <c r="M46" s="138">
        <v>141782</v>
      </c>
      <c r="N46" s="88" t="s">
        <v>82</v>
      </c>
    </row>
    <row r="47" spans="1:14" s="86" customFormat="1" ht="15.75" customHeight="1">
      <c r="A47" s="87" t="s">
        <v>83</v>
      </c>
      <c r="B47" s="136">
        <f>_xlfn.COMPOUNDVALUE(137)</f>
        <v>620</v>
      </c>
      <c r="C47" s="137">
        <v>195231</v>
      </c>
      <c r="D47" s="136">
        <f>_xlfn.COMPOUNDVALUE(138)</f>
        <v>891</v>
      </c>
      <c r="E47" s="137">
        <v>214424</v>
      </c>
      <c r="F47" s="136">
        <f>_xlfn.COMPOUNDVALUE(139)</f>
        <v>1511</v>
      </c>
      <c r="G47" s="137">
        <v>409655</v>
      </c>
      <c r="H47" s="136">
        <f>_xlfn.COMPOUNDVALUE(140)</f>
        <v>47</v>
      </c>
      <c r="I47" s="138">
        <v>14426</v>
      </c>
      <c r="J47" s="136">
        <v>97</v>
      </c>
      <c r="K47" s="138">
        <v>11755</v>
      </c>
      <c r="L47" s="136">
        <f>_xlfn.COMPOUNDVALUE(140)</f>
        <v>1589</v>
      </c>
      <c r="M47" s="138">
        <v>406984</v>
      </c>
      <c r="N47" s="88" t="s">
        <v>84</v>
      </c>
    </row>
    <row r="48" spans="1:14" s="86" customFormat="1" ht="15.75" customHeight="1">
      <c r="A48" s="87" t="s">
        <v>152</v>
      </c>
      <c r="B48" s="136">
        <f>_xlfn.COMPOUNDVALUE(141)</f>
        <v>505</v>
      </c>
      <c r="C48" s="137">
        <v>158247</v>
      </c>
      <c r="D48" s="136">
        <f>_xlfn.COMPOUNDVALUE(142)</f>
        <v>817</v>
      </c>
      <c r="E48" s="137">
        <v>189941</v>
      </c>
      <c r="F48" s="136">
        <f>_xlfn.COMPOUNDVALUE(143)</f>
        <v>1322</v>
      </c>
      <c r="G48" s="137">
        <v>348189</v>
      </c>
      <c r="H48" s="136">
        <f>_xlfn.COMPOUNDVALUE(144)</f>
        <v>52</v>
      </c>
      <c r="I48" s="138">
        <v>17845</v>
      </c>
      <c r="J48" s="136">
        <v>37</v>
      </c>
      <c r="K48" s="138">
        <v>2869</v>
      </c>
      <c r="L48" s="136">
        <f>_xlfn.COMPOUNDVALUE(144)</f>
        <v>1389</v>
      </c>
      <c r="M48" s="138">
        <v>333213</v>
      </c>
      <c r="N48" s="88" t="s">
        <v>85</v>
      </c>
    </row>
    <row r="49" spans="1:14" s="86" customFormat="1" ht="15.75" customHeight="1">
      <c r="A49" s="104" t="s">
        <v>86</v>
      </c>
      <c r="B49" s="139">
        <v>6610</v>
      </c>
      <c r="C49" s="140">
        <v>2041479</v>
      </c>
      <c r="D49" s="139">
        <v>8845</v>
      </c>
      <c r="E49" s="140">
        <v>2085441</v>
      </c>
      <c r="F49" s="139">
        <v>15455</v>
      </c>
      <c r="G49" s="140">
        <v>4126920</v>
      </c>
      <c r="H49" s="139">
        <v>548</v>
      </c>
      <c r="I49" s="141">
        <v>211292</v>
      </c>
      <c r="J49" s="139">
        <v>867</v>
      </c>
      <c r="K49" s="141">
        <v>84140</v>
      </c>
      <c r="L49" s="139">
        <v>16323</v>
      </c>
      <c r="M49" s="141">
        <v>3999767</v>
      </c>
      <c r="N49" s="105" t="s">
        <v>87</v>
      </c>
    </row>
    <row r="50" spans="1:15" s="86" customFormat="1" ht="15.75" customHeight="1" thickBot="1">
      <c r="A50" s="108"/>
      <c r="B50" s="152"/>
      <c r="C50" s="153"/>
      <c r="D50" s="152"/>
      <c r="E50" s="153"/>
      <c r="F50" s="154"/>
      <c r="G50" s="153"/>
      <c r="H50" s="154"/>
      <c r="I50" s="153"/>
      <c r="J50" s="154"/>
      <c r="K50" s="153"/>
      <c r="L50" s="154"/>
      <c r="M50" s="153"/>
      <c r="N50" s="109"/>
      <c r="O50" s="89"/>
    </row>
    <row r="51" spans="1:14" s="86" customFormat="1" ht="15.75" customHeight="1" thickBot="1" thickTop="1">
      <c r="A51" s="90" t="s">
        <v>88</v>
      </c>
      <c r="B51" s="158">
        <v>21802</v>
      </c>
      <c r="C51" s="159">
        <v>6982857</v>
      </c>
      <c r="D51" s="158">
        <v>35230</v>
      </c>
      <c r="E51" s="159">
        <v>8329039</v>
      </c>
      <c r="F51" s="158">
        <v>57032</v>
      </c>
      <c r="G51" s="159">
        <v>15311896</v>
      </c>
      <c r="H51" s="158">
        <v>1765</v>
      </c>
      <c r="I51" s="160">
        <v>661893</v>
      </c>
      <c r="J51" s="158">
        <v>3020</v>
      </c>
      <c r="K51" s="160">
        <v>358497</v>
      </c>
      <c r="L51" s="158">
        <v>59943</v>
      </c>
      <c r="M51" s="160">
        <v>15008500</v>
      </c>
      <c r="N51" s="91" t="s">
        <v>89</v>
      </c>
    </row>
    <row r="52" spans="1:14" s="94" customFormat="1" ht="3.75" customHeight="1">
      <c r="A52" s="92"/>
      <c r="B52" s="93"/>
      <c r="C52" s="93"/>
      <c r="D52" s="93"/>
      <c r="E52" s="93"/>
      <c r="F52" s="93"/>
      <c r="G52" s="93"/>
      <c r="H52" s="93"/>
      <c r="I52" s="93"/>
      <c r="J52" s="93"/>
      <c r="K52" s="93"/>
      <c r="L52" s="93"/>
      <c r="M52" s="93"/>
      <c r="N52" s="92"/>
    </row>
    <row r="53" spans="1:14" s="165" customFormat="1" ht="13.5" customHeight="1">
      <c r="A53" s="219" t="s">
        <v>103</v>
      </c>
      <c r="B53" s="219"/>
      <c r="C53" s="219"/>
      <c r="D53" s="219"/>
      <c r="E53" s="219"/>
      <c r="F53" s="219"/>
      <c r="G53" s="219"/>
      <c r="H53" s="219"/>
      <c r="I53" s="219"/>
      <c r="J53" s="95"/>
      <c r="K53" s="95"/>
      <c r="L53" s="96"/>
      <c r="M53" s="96"/>
      <c r="N53" s="96"/>
    </row>
    <row r="55" spans="2:10" ht="13.5">
      <c r="B55" s="166"/>
      <c r="C55" s="166"/>
      <c r="D55" s="166"/>
      <c r="E55" s="166"/>
      <c r="F55" s="166"/>
      <c r="G55" s="166"/>
      <c r="H55" s="166"/>
      <c r="J55" s="166"/>
    </row>
    <row r="56" spans="2:10" ht="13.5">
      <c r="B56" s="166"/>
      <c r="C56" s="166"/>
      <c r="D56" s="166"/>
      <c r="E56" s="166"/>
      <c r="F56" s="166"/>
      <c r="G56" s="166"/>
      <c r="H56" s="166"/>
      <c r="J56" s="166"/>
    </row>
    <row r="57" spans="2:10" ht="13.5">
      <c r="B57" s="166"/>
      <c r="C57" s="166"/>
      <c r="D57" s="166"/>
      <c r="E57" s="166"/>
      <c r="F57" s="166"/>
      <c r="G57" s="166"/>
      <c r="H57" s="166"/>
      <c r="J57" s="166"/>
    </row>
    <row r="58" spans="2:10" ht="13.5">
      <c r="B58" s="166"/>
      <c r="C58" s="166"/>
      <c r="D58" s="166"/>
      <c r="E58" s="166"/>
      <c r="F58" s="166"/>
      <c r="G58" s="166"/>
      <c r="H58" s="166"/>
      <c r="J58" s="166"/>
    </row>
    <row r="59" spans="2:10" ht="13.5">
      <c r="B59" s="166"/>
      <c r="C59" s="166"/>
      <c r="D59" s="166"/>
      <c r="E59" s="166"/>
      <c r="F59" s="166"/>
      <c r="G59" s="166"/>
      <c r="H59" s="166"/>
      <c r="J59" s="166"/>
    </row>
    <row r="60" spans="2:10" ht="13.5">
      <c r="B60" s="166"/>
      <c r="C60" s="166"/>
      <c r="D60" s="166"/>
      <c r="E60" s="166"/>
      <c r="F60" s="166"/>
      <c r="G60" s="166"/>
      <c r="H60" s="166"/>
      <c r="J60" s="166"/>
    </row>
    <row r="61" spans="2:10" ht="13.5">
      <c r="B61" s="166"/>
      <c r="C61" s="166"/>
      <c r="D61" s="166"/>
      <c r="E61" s="166"/>
      <c r="F61" s="166"/>
      <c r="G61" s="166"/>
      <c r="H61" s="166"/>
      <c r="J61" s="166"/>
    </row>
    <row r="62" spans="2:10" ht="13.5">
      <c r="B62" s="166"/>
      <c r="C62" s="166"/>
      <c r="D62" s="166"/>
      <c r="E62" s="166"/>
      <c r="F62" s="166"/>
      <c r="G62" s="166"/>
      <c r="H62" s="166"/>
      <c r="J62" s="166"/>
    </row>
    <row r="63" spans="2:10" ht="13.5">
      <c r="B63" s="166"/>
      <c r="C63" s="166"/>
      <c r="D63" s="166"/>
      <c r="E63" s="166"/>
      <c r="F63" s="166"/>
      <c r="G63" s="166"/>
      <c r="H63" s="166"/>
      <c r="J63" s="166"/>
    </row>
    <row r="64" spans="2:10" ht="13.5">
      <c r="B64" s="166"/>
      <c r="C64" s="166"/>
      <c r="D64" s="166"/>
      <c r="E64" s="166"/>
      <c r="F64" s="166"/>
      <c r="G64" s="166"/>
      <c r="H64" s="166"/>
      <c r="J64" s="166"/>
    </row>
    <row r="65" spans="2:10" ht="13.5">
      <c r="B65" s="166"/>
      <c r="C65" s="166"/>
      <c r="D65" s="166"/>
      <c r="E65" s="166"/>
      <c r="F65" s="166"/>
      <c r="G65" s="166"/>
      <c r="H65" s="166"/>
      <c r="J65" s="166"/>
    </row>
    <row r="66" spans="2:10" ht="13.5">
      <c r="B66" s="166"/>
      <c r="C66" s="166"/>
      <c r="D66" s="166"/>
      <c r="E66" s="166"/>
      <c r="F66" s="166"/>
      <c r="G66" s="166"/>
      <c r="H66" s="166"/>
      <c r="J66" s="166"/>
    </row>
    <row r="67" spans="2:10" ht="13.5">
      <c r="B67" s="166"/>
      <c r="C67" s="166"/>
      <c r="D67" s="166"/>
      <c r="E67" s="166"/>
      <c r="F67" s="166"/>
      <c r="G67" s="166"/>
      <c r="H67" s="166"/>
      <c r="J67" s="166"/>
    </row>
  </sheetData>
  <sheetProtection/>
  <mergeCells count="11">
    <mergeCell ref="N3:N5"/>
    <mergeCell ref="B4:C4"/>
    <mergeCell ref="D4:E4"/>
    <mergeCell ref="F4:G4"/>
    <mergeCell ref="A53:I53"/>
    <mergeCell ref="A2:G2"/>
    <mergeCell ref="A3:A5"/>
    <mergeCell ref="B3:G3"/>
    <mergeCell ref="H3:I4"/>
    <mergeCell ref="J3:K4"/>
    <mergeCell ref="L3:M4"/>
  </mergeCells>
  <printOptions/>
  <pageMargins left="0.7874015748031497" right="0.6299212598425197" top="0.984251968503937" bottom="0.984251968503937" header="0.5118110236220472" footer="0.5118110236220472"/>
  <pageSetup horizontalDpi="600" verticalDpi="600" orientation="landscape" paperSize="9" scale="82" r:id="rId1"/>
  <headerFooter alignWithMargins="0">
    <oddFooter>&amp;R熊本国税局
消費税
（H25）</oddFooter>
  </headerFooter>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workbookViewId="0" topLeftCell="A1">
      <selection activeCell="A1" sqref="A1"/>
    </sheetView>
  </sheetViews>
  <sheetFormatPr defaultColWidth="9.00390625" defaultRowHeight="13.5"/>
  <cols>
    <col min="1" max="1" width="11.12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4" width="11.375" style="130" customWidth="1"/>
    <col min="15" max="16384" width="9.00390625" style="130" customWidth="1"/>
  </cols>
  <sheetData>
    <row r="1" spans="1:13" ht="13.5">
      <c r="A1" s="71" t="s">
        <v>90</v>
      </c>
      <c r="B1" s="71"/>
      <c r="C1" s="71"/>
      <c r="D1" s="71"/>
      <c r="E1" s="71"/>
      <c r="F1" s="71"/>
      <c r="G1" s="71"/>
      <c r="H1" s="71"/>
      <c r="I1" s="71"/>
      <c r="J1" s="71"/>
      <c r="K1" s="71"/>
      <c r="L1" s="72"/>
      <c r="M1" s="72"/>
    </row>
    <row r="2" spans="1:13" ht="14.25" thickBot="1">
      <c r="A2" s="220" t="s">
        <v>91</v>
      </c>
      <c r="B2" s="220"/>
      <c r="C2" s="220"/>
      <c r="D2" s="220"/>
      <c r="E2" s="220"/>
      <c r="F2" s="220"/>
      <c r="G2" s="220"/>
      <c r="H2" s="220"/>
      <c r="I2" s="220"/>
      <c r="J2" s="97"/>
      <c r="K2" s="97"/>
      <c r="L2" s="72"/>
      <c r="M2" s="72"/>
    </row>
    <row r="3" spans="1:14" ht="19.5" customHeight="1">
      <c r="A3" s="205" t="s">
        <v>27</v>
      </c>
      <c r="B3" s="208" t="s">
        <v>28</v>
      </c>
      <c r="C3" s="208"/>
      <c r="D3" s="208"/>
      <c r="E3" s="208"/>
      <c r="F3" s="208"/>
      <c r="G3" s="208"/>
      <c r="H3" s="209" t="s">
        <v>12</v>
      </c>
      <c r="I3" s="210"/>
      <c r="J3" s="213" t="s">
        <v>29</v>
      </c>
      <c r="K3" s="210"/>
      <c r="L3" s="209" t="s">
        <v>30</v>
      </c>
      <c r="M3" s="210"/>
      <c r="N3" s="214" t="s">
        <v>92</v>
      </c>
    </row>
    <row r="4" spans="1:14" ht="17.25" customHeight="1">
      <c r="A4" s="206"/>
      <c r="B4" s="211" t="s">
        <v>15</v>
      </c>
      <c r="C4" s="218"/>
      <c r="D4" s="211" t="s">
        <v>32</v>
      </c>
      <c r="E4" s="218"/>
      <c r="F4" s="211" t="s">
        <v>33</v>
      </c>
      <c r="G4" s="218"/>
      <c r="H4" s="211"/>
      <c r="I4" s="212"/>
      <c r="J4" s="211"/>
      <c r="K4" s="212"/>
      <c r="L4" s="211"/>
      <c r="M4" s="212"/>
      <c r="N4" s="215"/>
    </row>
    <row r="5" spans="1:14" ht="28.5" customHeight="1">
      <c r="A5" s="207"/>
      <c r="B5" s="73" t="s">
        <v>34</v>
      </c>
      <c r="C5" s="74" t="s">
        <v>35</v>
      </c>
      <c r="D5" s="73" t="s">
        <v>34</v>
      </c>
      <c r="E5" s="74" t="s">
        <v>35</v>
      </c>
      <c r="F5" s="73" t="s">
        <v>34</v>
      </c>
      <c r="G5" s="75" t="s">
        <v>36</v>
      </c>
      <c r="H5" s="73" t="s">
        <v>34</v>
      </c>
      <c r="I5" s="76" t="s">
        <v>37</v>
      </c>
      <c r="J5" s="73" t="s">
        <v>34</v>
      </c>
      <c r="K5" s="76" t="s">
        <v>38</v>
      </c>
      <c r="L5" s="73" t="s">
        <v>34</v>
      </c>
      <c r="M5" s="77" t="s">
        <v>39</v>
      </c>
      <c r="N5" s="216"/>
    </row>
    <row r="6" spans="1:14" s="98" customFormat="1" ht="10.5">
      <c r="A6" s="78"/>
      <c r="B6" s="79" t="s">
        <v>4</v>
      </c>
      <c r="C6" s="80" t="s">
        <v>5</v>
      </c>
      <c r="D6" s="79" t="s">
        <v>4</v>
      </c>
      <c r="E6" s="80" t="s">
        <v>5</v>
      </c>
      <c r="F6" s="79" t="s">
        <v>4</v>
      </c>
      <c r="G6" s="80" t="s">
        <v>5</v>
      </c>
      <c r="H6" s="79" t="s">
        <v>4</v>
      </c>
      <c r="I6" s="81" t="s">
        <v>5</v>
      </c>
      <c r="J6" s="79" t="s">
        <v>4</v>
      </c>
      <c r="K6" s="81" t="s">
        <v>5</v>
      </c>
      <c r="L6" s="79" t="s">
        <v>4</v>
      </c>
      <c r="M6" s="81" t="s">
        <v>5</v>
      </c>
      <c r="N6" s="82"/>
    </row>
    <row r="7" spans="1:14" ht="15.75" customHeight="1">
      <c r="A7" s="84" t="s">
        <v>40</v>
      </c>
      <c r="B7" s="131">
        <f>_xlfn.COMPOUNDVALUE(145)</f>
        <v>5753</v>
      </c>
      <c r="C7" s="132">
        <v>22818316</v>
      </c>
      <c r="D7" s="131">
        <f>_xlfn.COMPOUNDVALUE(146)</f>
        <v>2703</v>
      </c>
      <c r="E7" s="132">
        <v>982588</v>
      </c>
      <c r="F7" s="131">
        <f>_xlfn.COMPOUNDVALUE(147)</f>
        <v>8456</v>
      </c>
      <c r="G7" s="132">
        <v>23800904</v>
      </c>
      <c r="H7" s="131">
        <f>_xlfn.COMPOUNDVALUE(148)</f>
        <v>379</v>
      </c>
      <c r="I7" s="133">
        <v>1099138</v>
      </c>
      <c r="J7" s="131">
        <v>544</v>
      </c>
      <c r="K7" s="133">
        <v>14626</v>
      </c>
      <c r="L7" s="131">
        <f>_xlfn.COMPOUNDVALUE(148)</f>
        <v>8889</v>
      </c>
      <c r="M7" s="133">
        <v>22716392</v>
      </c>
      <c r="N7" s="85" t="s">
        <v>40</v>
      </c>
    </row>
    <row r="8" spans="1:14" ht="15.75" customHeight="1">
      <c r="A8" s="87" t="s">
        <v>41</v>
      </c>
      <c r="B8" s="136">
        <f>_xlfn.COMPOUNDVALUE(149)</f>
        <v>2599</v>
      </c>
      <c r="C8" s="137">
        <v>8854965</v>
      </c>
      <c r="D8" s="136">
        <f>_xlfn.COMPOUNDVALUE(150)</f>
        <v>1158</v>
      </c>
      <c r="E8" s="137">
        <v>443099</v>
      </c>
      <c r="F8" s="136">
        <f>_xlfn.COMPOUNDVALUE(151)</f>
        <v>3757</v>
      </c>
      <c r="G8" s="137">
        <v>9298064</v>
      </c>
      <c r="H8" s="136">
        <f>_xlfn.COMPOUNDVALUE(152)</f>
        <v>130</v>
      </c>
      <c r="I8" s="138">
        <v>355328</v>
      </c>
      <c r="J8" s="136">
        <v>195</v>
      </c>
      <c r="K8" s="138">
        <v>21563</v>
      </c>
      <c r="L8" s="136">
        <f>_xlfn.COMPOUNDVALUE(152)</f>
        <v>3909</v>
      </c>
      <c r="M8" s="138">
        <v>8964299</v>
      </c>
      <c r="N8" s="88" t="s">
        <v>41</v>
      </c>
    </row>
    <row r="9" spans="1:14" ht="15.75" customHeight="1">
      <c r="A9" s="87" t="s">
        <v>125</v>
      </c>
      <c r="B9" s="136">
        <f>_xlfn.COMPOUNDVALUE(153)</f>
        <v>1458</v>
      </c>
      <c r="C9" s="137">
        <v>3633619</v>
      </c>
      <c r="D9" s="136">
        <f>_xlfn.COMPOUNDVALUE(154)</f>
        <v>732</v>
      </c>
      <c r="E9" s="137">
        <v>259891</v>
      </c>
      <c r="F9" s="136">
        <f>_xlfn.COMPOUNDVALUE(155)</f>
        <v>2190</v>
      </c>
      <c r="G9" s="137">
        <v>3893510</v>
      </c>
      <c r="H9" s="136">
        <f>_xlfn.COMPOUNDVALUE(156)</f>
        <v>74</v>
      </c>
      <c r="I9" s="138">
        <v>155934</v>
      </c>
      <c r="J9" s="136">
        <v>98</v>
      </c>
      <c r="K9" s="138">
        <v>16603</v>
      </c>
      <c r="L9" s="136">
        <f>_xlfn.COMPOUNDVALUE(156)</f>
        <v>2278</v>
      </c>
      <c r="M9" s="138">
        <v>3754179</v>
      </c>
      <c r="N9" s="88" t="s">
        <v>42</v>
      </c>
    </row>
    <row r="10" spans="1:14" ht="15.75" customHeight="1">
      <c r="A10" s="87" t="s">
        <v>126</v>
      </c>
      <c r="B10" s="136">
        <f>_xlfn.COMPOUNDVALUE(157)</f>
        <v>712</v>
      </c>
      <c r="C10" s="137">
        <v>2232918</v>
      </c>
      <c r="D10" s="136">
        <f>_xlfn.COMPOUNDVALUE(158)</f>
        <v>376</v>
      </c>
      <c r="E10" s="137">
        <v>137251</v>
      </c>
      <c r="F10" s="136">
        <f>_xlfn.COMPOUNDVALUE(159)</f>
        <v>1088</v>
      </c>
      <c r="G10" s="137">
        <v>2370169</v>
      </c>
      <c r="H10" s="136">
        <f>_xlfn.COMPOUNDVALUE(160)</f>
        <v>40</v>
      </c>
      <c r="I10" s="138">
        <v>61630</v>
      </c>
      <c r="J10" s="136">
        <v>40</v>
      </c>
      <c r="K10" s="138">
        <v>7212</v>
      </c>
      <c r="L10" s="136">
        <f>_xlfn.COMPOUNDVALUE(160)</f>
        <v>1136</v>
      </c>
      <c r="M10" s="138">
        <v>2315750</v>
      </c>
      <c r="N10" s="88" t="s">
        <v>43</v>
      </c>
    </row>
    <row r="11" spans="1:14" ht="15.75" customHeight="1">
      <c r="A11" s="87" t="s">
        <v>127</v>
      </c>
      <c r="B11" s="136">
        <f>_xlfn.COMPOUNDVALUE(161)</f>
        <v>1047</v>
      </c>
      <c r="C11" s="137">
        <v>3270790</v>
      </c>
      <c r="D11" s="136">
        <f>_xlfn.COMPOUNDVALUE(162)</f>
        <v>478</v>
      </c>
      <c r="E11" s="137">
        <v>181366</v>
      </c>
      <c r="F11" s="136">
        <f>_xlfn.COMPOUNDVALUE(163)</f>
        <v>1525</v>
      </c>
      <c r="G11" s="137">
        <v>3452155</v>
      </c>
      <c r="H11" s="136">
        <f>_xlfn.COMPOUNDVALUE(164)</f>
        <v>61</v>
      </c>
      <c r="I11" s="138">
        <v>248629</v>
      </c>
      <c r="J11" s="136">
        <v>90</v>
      </c>
      <c r="K11" s="138">
        <v>19857</v>
      </c>
      <c r="L11" s="136">
        <f>_xlfn.COMPOUNDVALUE(164)</f>
        <v>1595</v>
      </c>
      <c r="M11" s="138">
        <v>3223384</v>
      </c>
      <c r="N11" s="88" t="s">
        <v>44</v>
      </c>
    </row>
    <row r="12" spans="1:14" ht="15.75" customHeight="1">
      <c r="A12" s="87" t="s">
        <v>128</v>
      </c>
      <c r="B12" s="136">
        <f>_xlfn.COMPOUNDVALUE(165)</f>
        <v>1033</v>
      </c>
      <c r="C12" s="137">
        <v>2330121</v>
      </c>
      <c r="D12" s="136">
        <f>_xlfn.COMPOUNDVALUE(166)</f>
        <v>472</v>
      </c>
      <c r="E12" s="137">
        <v>184856</v>
      </c>
      <c r="F12" s="136">
        <f>_xlfn.COMPOUNDVALUE(167)</f>
        <v>1505</v>
      </c>
      <c r="G12" s="137">
        <v>2514977</v>
      </c>
      <c r="H12" s="136">
        <f>_xlfn.COMPOUNDVALUE(168)</f>
        <v>47</v>
      </c>
      <c r="I12" s="138">
        <v>179425</v>
      </c>
      <c r="J12" s="136">
        <v>71</v>
      </c>
      <c r="K12" s="138">
        <v>5787</v>
      </c>
      <c r="L12" s="136">
        <f>_xlfn.COMPOUNDVALUE(168)</f>
        <v>1563</v>
      </c>
      <c r="M12" s="138">
        <v>2341338</v>
      </c>
      <c r="N12" s="88" t="s">
        <v>45</v>
      </c>
    </row>
    <row r="13" spans="1:14" ht="15.75" customHeight="1">
      <c r="A13" s="87" t="s">
        <v>129</v>
      </c>
      <c r="B13" s="136">
        <f>_xlfn.COMPOUNDVALUE(169)</f>
        <v>412</v>
      </c>
      <c r="C13" s="137">
        <v>885664</v>
      </c>
      <c r="D13" s="136">
        <f>_xlfn.COMPOUNDVALUE(170)</f>
        <v>226</v>
      </c>
      <c r="E13" s="137">
        <v>77605</v>
      </c>
      <c r="F13" s="136">
        <f>_xlfn.COMPOUNDVALUE(171)</f>
        <v>638</v>
      </c>
      <c r="G13" s="137">
        <v>963269</v>
      </c>
      <c r="H13" s="136">
        <f>_xlfn.COMPOUNDVALUE(172)</f>
        <v>33</v>
      </c>
      <c r="I13" s="138">
        <v>360736</v>
      </c>
      <c r="J13" s="136">
        <v>42</v>
      </c>
      <c r="K13" s="138">
        <v>3502</v>
      </c>
      <c r="L13" s="136">
        <f>_xlfn.COMPOUNDVALUE(172)</f>
        <v>672</v>
      </c>
      <c r="M13" s="138">
        <v>606035</v>
      </c>
      <c r="N13" s="88" t="s">
        <v>46</v>
      </c>
    </row>
    <row r="14" spans="1:14" ht="15.75" customHeight="1">
      <c r="A14" s="87" t="s">
        <v>130</v>
      </c>
      <c r="B14" s="136">
        <f>_xlfn.COMPOUNDVALUE(173)</f>
        <v>1264</v>
      </c>
      <c r="C14" s="137">
        <v>8274554</v>
      </c>
      <c r="D14" s="136">
        <f>_xlfn.COMPOUNDVALUE(174)</f>
        <v>502</v>
      </c>
      <c r="E14" s="137">
        <v>180676</v>
      </c>
      <c r="F14" s="136">
        <f>_xlfn.COMPOUNDVALUE(175)</f>
        <v>1766</v>
      </c>
      <c r="G14" s="137">
        <v>8455230</v>
      </c>
      <c r="H14" s="136">
        <f>_xlfn.COMPOUNDVALUE(176)</f>
        <v>77</v>
      </c>
      <c r="I14" s="138">
        <v>287958</v>
      </c>
      <c r="J14" s="136">
        <v>77</v>
      </c>
      <c r="K14" s="138">
        <v>7482</v>
      </c>
      <c r="L14" s="136">
        <f>_xlfn.COMPOUNDVALUE(176)</f>
        <v>1867</v>
      </c>
      <c r="M14" s="138">
        <v>8174754</v>
      </c>
      <c r="N14" s="88" t="s">
        <v>47</v>
      </c>
    </row>
    <row r="15" spans="1:14" ht="15.75" customHeight="1">
      <c r="A15" s="87" t="s">
        <v>131</v>
      </c>
      <c r="B15" s="136">
        <f>_xlfn.COMPOUNDVALUE(177)</f>
        <v>806</v>
      </c>
      <c r="C15" s="137">
        <v>2175467</v>
      </c>
      <c r="D15" s="136">
        <f>_xlfn.COMPOUNDVALUE(178)</f>
        <v>357</v>
      </c>
      <c r="E15" s="137">
        <v>124459</v>
      </c>
      <c r="F15" s="136">
        <f>_xlfn.COMPOUNDVALUE(179)</f>
        <v>1163</v>
      </c>
      <c r="G15" s="137">
        <v>2299926</v>
      </c>
      <c r="H15" s="136">
        <f>_xlfn.COMPOUNDVALUE(180)</f>
        <v>49</v>
      </c>
      <c r="I15" s="138">
        <v>211451</v>
      </c>
      <c r="J15" s="136">
        <v>35</v>
      </c>
      <c r="K15" s="138">
        <v>221</v>
      </c>
      <c r="L15" s="136">
        <f>_xlfn.COMPOUNDVALUE(180)</f>
        <v>1221</v>
      </c>
      <c r="M15" s="138">
        <v>2088696</v>
      </c>
      <c r="N15" s="88" t="s">
        <v>48</v>
      </c>
    </row>
    <row r="16" spans="1:14" ht="15.75" customHeight="1">
      <c r="A16" s="87" t="s">
        <v>132</v>
      </c>
      <c r="B16" s="136">
        <f>_xlfn.COMPOUNDVALUE(181)</f>
        <v>663</v>
      </c>
      <c r="C16" s="137">
        <v>1487593</v>
      </c>
      <c r="D16" s="136">
        <f>_xlfn.COMPOUNDVALUE(182)</f>
        <v>312</v>
      </c>
      <c r="E16" s="137">
        <v>119773</v>
      </c>
      <c r="F16" s="136">
        <f>_xlfn.COMPOUNDVALUE(183)</f>
        <v>975</v>
      </c>
      <c r="G16" s="137">
        <v>1607366</v>
      </c>
      <c r="H16" s="136">
        <f>_xlfn.COMPOUNDVALUE(184)</f>
        <v>45</v>
      </c>
      <c r="I16" s="138">
        <v>104745</v>
      </c>
      <c r="J16" s="136">
        <v>32</v>
      </c>
      <c r="K16" s="138">
        <v>7446</v>
      </c>
      <c r="L16" s="136">
        <f>_xlfn.COMPOUNDVALUE(184)</f>
        <v>1027</v>
      </c>
      <c r="M16" s="138">
        <v>1510067</v>
      </c>
      <c r="N16" s="88" t="s">
        <v>49</v>
      </c>
    </row>
    <row r="17" spans="1:14" ht="15.75" customHeight="1">
      <c r="A17" s="104" t="s">
        <v>153</v>
      </c>
      <c r="B17" s="139">
        <v>15747</v>
      </c>
      <c r="C17" s="140">
        <v>55964006</v>
      </c>
      <c r="D17" s="139">
        <v>7316</v>
      </c>
      <c r="E17" s="140">
        <v>2691564</v>
      </c>
      <c r="F17" s="139">
        <v>23063</v>
      </c>
      <c r="G17" s="140">
        <v>58655570</v>
      </c>
      <c r="H17" s="139">
        <v>935</v>
      </c>
      <c r="I17" s="141">
        <v>3064975</v>
      </c>
      <c r="J17" s="139">
        <v>1224</v>
      </c>
      <c r="K17" s="141">
        <v>104299</v>
      </c>
      <c r="L17" s="139">
        <v>24157</v>
      </c>
      <c r="M17" s="141">
        <v>55694895</v>
      </c>
      <c r="N17" s="105" t="s">
        <v>51</v>
      </c>
    </row>
    <row r="18" spans="1:14" ht="15.75" customHeight="1">
      <c r="A18" s="106"/>
      <c r="B18" s="146"/>
      <c r="C18" s="145"/>
      <c r="D18" s="146"/>
      <c r="E18" s="145"/>
      <c r="F18" s="144"/>
      <c r="G18" s="145"/>
      <c r="H18" s="144"/>
      <c r="I18" s="145"/>
      <c r="J18" s="144"/>
      <c r="K18" s="145"/>
      <c r="L18" s="144"/>
      <c r="M18" s="145"/>
      <c r="N18" s="107"/>
    </row>
    <row r="19" spans="1:14" ht="15.75" customHeight="1">
      <c r="A19" s="84" t="s">
        <v>52</v>
      </c>
      <c r="B19" s="131">
        <f>_xlfn.COMPOUNDVALUE(185)</f>
        <v>4829</v>
      </c>
      <c r="C19" s="132">
        <v>20814361</v>
      </c>
      <c r="D19" s="131">
        <f>_xlfn.COMPOUNDVALUE(186)</f>
        <v>2338</v>
      </c>
      <c r="E19" s="132">
        <v>863274</v>
      </c>
      <c r="F19" s="131">
        <f>_xlfn.COMPOUNDVALUE(187)</f>
        <v>7167</v>
      </c>
      <c r="G19" s="132">
        <v>21677634</v>
      </c>
      <c r="H19" s="131">
        <f>_xlfn.COMPOUNDVALUE(188)</f>
        <v>237</v>
      </c>
      <c r="I19" s="133">
        <v>502580</v>
      </c>
      <c r="J19" s="131">
        <v>383</v>
      </c>
      <c r="K19" s="133">
        <v>67388</v>
      </c>
      <c r="L19" s="131">
        <f>_xlfn.COMPOUNDVALUE(188)</f>
        <v>7441</v>
      </c>
      <c r="M19" s="133">
        <v>21242442</v>
      </c>
      <c r="N19" s="85" t="s">
        <v>52</v>
      </c>
    </row>
    <row r="20" spans="1:14" ht="15.75" customHeight="1">
      <c r="A20" s="84" t="s">
        <v>53</v>
      </c>
      <c r="B20" s="131">
        <f>_xlfn.COMPOUNDVALUE(189)</f>
        <v>1633</v>
      </c>
      <c r="C20" s="132">
        <v>6192744</v>
      </c>
      <c r="D20" s="131">
        <f>_xlfn.COMPOUNDVALUE(190)</f>
        <v>878</v>
      </c>
      <c r="E20" s="132">
        <v>299448</v>
      </c>
      <c r="F20" s="131">
        <f>_xlfn.COMPOUNDVALUE(191)</f>
        <v>2511</v>
      </c>
      <c r="G20" s="132">
        <v>6492192</v>
      </c>
      <c r="H20" s="131">
        <f>_xlfn.COMPOUNDVALUE(192)</f>
        <v>112</v>
      </c>
      <c r="I20" s="133">
        <v>323807</v>
      </c>
      <c r="J20" s="131">
        <v>79</v>
      </c>
      <c r="K20" s="133">
        <v>11881</v>
      </c>
      <c r="L20" s="131">
        <f>_xlfn.COMPOUNDVALUE(192)</f>
        <v>2641</v>
      </c>
      <c r="M20" s="133">
        <v>6180266</v>
      </c>
      <c r="N20" s="85" t="s">
        <v>53</v>
      </c>
    </row>
    <row r="21" spans="1:14" ht="15.75" customHeight="1">
      <c r="A21" s="87" t="s">
        <v>133</v>
      </c>
      <c r="B21" s="136">
        <f>_xlfn.COMPOUNDVALUE(193)</f>
        <v>751</v>
      </c>
      <c r="C21" s="137">
        <v>3687372</v>
      </c>
      <c r="D21" s="136">
        <f>_xlfn.COMPOUNDVALUE(194)</f>
        <v>357</v>
      </c>
      <c r="E21" s="137">
        <v>127857</v>
      </c>
      <c r="F21" s="136">
        <f>_xlfn.COMPOUNDVALUE(195)</f>
        <v>1108</v>
      </c>
      <c r="G21" s="137">
        <v>3815229</v>
      </c>
      <c r="H21" s="136">
        <f>_xlfn.COMPOUNDVALUE(196)</f>
        <v>26</v>
      </c>
      <c r="I21" s="138">
        <v>30055</v>
      </c>
      <c r="J21" s="136">
        <v>66</v>
      </c>
      <c r="K21" s="138">
        <v>-1642</v>
      </c>
      <c r="L21" s="136">
        <f>_xlfn.COMPOUNDVALUE(196)</f>
        <v>1135</v>
      </c>
      <c r="M21" s="138">
        <v>3783533</v>
      </c>
      <c r="N21" s="88" t="s">
        <v>54</v>
      </c>
    </row>
    <row r="22" spans="1:14" ht="15.75" customHeight="1">
      <c r="A22" s="87" t="s">
        <v>134</v>
      </c>
      <c r="B22" s="136">
        <f>_xlfn.COMPOUNDVALUE(197)</f>
        <v>967</v>
      </c>
      <c r="C22" s="137">
        <v>2419259</v>
      </c>
      <c r="D22" s="136">
        <f>_xlfn.COMPOUNDVALUE(198)</f>
        <v>431</v>
      </c>
      <c r="E22" s="137">
        <v>154625</v>
      </c>
      <c r="F22" s="136">
        <f>_xlfn.COMPOUNDVALUE(199)</f>
        <v>1398</v>
      </c>
      <c r="G22" s="137">
        <v>2573884</v>
      </c>
      <c r="H22" s="136">
        <f>_xlfn.COMPOUNDVALUE(200)</f>
        <v>59</v>
      </c>
      <c r="I22" s="138">
        <v>185953</v>
      </c>
      <c r="J22" s="136">
        <v>53</v>
      </c>
      <c r="K22" s="138">
        <v>21557</v>
      </c>
      <c r="L22" s="136">
        <f>_xlfn.COMPOUNDVALUE(200)</f>
        <v>1473</v>
      </c>
      <c r="M22" s="138">
        <v>2409488</v>
      </c>
      <c r="N22" s="88" t="s">
        <v>55</v>
      </c>
    </row>
    <row r="23" spans="1:14" ht="15.75" customHeight="1">
      <c r="A23" s="87" t="s">
        <v>135</v>
      </c>
      <c r="B23" s="136">
        <f>_xlfn.COMPOUNDVALUE(201)</f>
        <v>782</v>
      </c>
      <c r="C23" s="137">
        <v>2506715</v>
      </c>
      <c r="D23" s="136">
        <f>_xlfn.COMPOUNDVALUE(202)</f>
        <v>316</v>
      </c>
      <c r="E23" s="137">
        <v>113789</v>
      </c>
      <c r="F23" s="136">
        <f>_xlfn.COMPOUNDVALUE(203)</f>
        <v>1098</v>
      </c>
      <c r="G23" s="137">
        <v>2620504</v>
      </c>
      <c r="H23" s="136">
        <f>_xlfn.COMPOUNDVALUE(204)</f>
        <v>59</v>
      </c>
      <c r="I23" s="138">
        <v>106320</v>
      </c>
      <c r="J23" s="136">
        <v>62</v>
      </c>
      <c r="K23" s="138">
        <v>3095</v>
      </c>
      <c r="L23" s="136">
        <f>_xlfn.COMPOUNDVALUE(204)</f>
        <v>1166</v>
      </c>
      <c r="M23" s="138">
        <v>2517279</v>
      </c>
      <c r="N23" s="88" t="s">
        <v>56</v>
      </c>
    </row>
    <row r="24" spans="1:14" ht="15.75" customHeight="1">
      <c r="A24" s="87" t="s">
        <v>136</v>
      </c>
      <c r="B24" s="136">
        <f>_xlfn.COMPOUNDVALUE(205)</f>
        <v>537</v>
      </c>
      <c r="C24" s="137">
        <v>2929028</v>
      </c>
      <c r="D24" s="136">
        <f>_xlfn.COMPOUNDVALUE(206)</f>
        <v>289</v>
      </c>
      <c r="E24" s="137">
        <v>99565</v>
      </c>
      <c r="F24" s="136">
        <f>_xlfn.COMPOUNDVALUE(207)</f>
        <v>826</v>
      </c>
      <c r="G24" s="137">
        <v>3028592</v>
      </c>
      <c r="H24" s="136">
        <f>_xlfn.COMPOUNDVALUE(208)</f>
        <v>30</v>
      </c>
      <c r="I24" s="138">
        <v>816607</v>
      </c>
      <c r="J24" s="136">
        <v>51</v>
      </c>
      <c r="K24" s="138">
        <v>883</v>
      </c>
      <c r="L24" s="136">
        <f>_xlfn.COMPOUNDVALUE(208)</f>
        <v>862</v>
      </c>
      <c r="M24" s="138">
        <v>2212868</v>
      </c>
      <c r="N24" s="88" t="s">
        <v>57</v>
      </c>
    </row>
    <row r="25" spans="1:14" ht="15.75" customHeight="1">
      <c r="A25" s="87" t="s">
        <v>137</v>
      </c>
      <c r="B25" s="136">
        <f>_xlfn.COMPOUNDVALUE(209)</f>
        <v>248</v>
      </c>
      <c r="C25" s="137">
        <v>474714</v>
      </c>
      <c r="D25" s="136">
        <f>_xlfn.COMPOUNDVALUE(210)</f>
        <v>136</v>
      </c>
      <c r="E25" s="137">
        <v>49196</v>
      </c>
      <c r="F25" s="136">
        <f>_xlfn.COMPOUNDVALUE(211)</f>
        <v>384</v>
      </c>
      <c r="G25" s="137">
        <v>523910</v>
      </c>
      <c r="H25" s="136">
        <f>_xlfn.COMPOUNDVALUE(212)</f>
        <v>18</v>
      </c>
      <c r="I25" s="138">
        <v>24651</v>
      </c>
      <c r="J25" s="136">
        <v>43</v>
      </c>
      <c r="K25" s="138">
        <v>2344</v>
      </c>
      <c r="L25" s="136">
        <f>_xlfn.COMPOUNDVALUE(212)</f>
        <v>406</v>
      </c>
      <c r="M25" s="138">
        <v>501602</v>
      </c>
      <c r="N25" s="88" t="s">
        <v>58</v>
      </c>
    </row>
    <row r="26" spans="1:14" ht="15.75" customHeight="1">
      <c r="A26" s="87" t="s">
        <v>138</v>
      </c>
      <c r="B26" s="136">
        <f>_xlfn.COMPOUNDVALUE(213)</f>
        <v>675</v>
      </c>
      <c r="C26" s="137">
        <v>3652298</v>
      </c>
      <c r="D26" s="136">
        <f>_xlfn.COMPOUNDVALUE(214)</f>
        <v>325</v>
      </c>
      <c r="E26" s="137">
        <v>117300</v>
      </c>
      <c r="F26" s="136">
        <f>_xlfn.COMPOUNDVALUE(215)</f>
        <v>1000</v>
      </c>
      <c r="G26" s="137">
        <v>3769598</v>
      </c>
      <c r="H26" s="136">
        <f>_xlfn.COMPOUNDVALUE(216)</f>
        <v>65</v>
      </c>
      <c r="I26" s="138">
        <v>162413</v>
      </c>
      <c r="J26" s="136">
        <v>47</v>
      </c>
      <c r="K26" s="138">
        <v>1179</v>
      </c>
      <c r="L26" s="136">
        <f>_xlfn.COMPOUNDVALUE(216)</f>
        <v>1067</v>
      </c>
      <c r="M26" s="138">
        <v>3608363</v>
      </c>
      <c r="N26" s="88" t="s">
        <v>59</v>
      </c>
    </row>
    <row r="27" spans="1:14" ht="15.75" customHeight="1">
      <c r="A27" s="87" t="s">
        <v>139</v>
      </c>
      <c r="B27" s="136">
        <f>_xlfn.COMPOUNDVALUE(217)</f>
        <v>269</v>
      </c>
      <c r="C27" s="137">
        <v>492631</v>
      </c>
      <c r="D27" s="136">
        <f>_xlfn.COMPOUNDVALUE(218)</f>
        <v>140</v>
      </c>
      <c r="E27" s="137">
        <v>55553</v>
      </c>
      <c r="F27" s="136">
        <f>_xlfn.COMPOUNDVALUE(219)</f>
        <v>409</v>
      </c>
      <c r="G27" s="137">
        <v>548184</v>
      </c>
      <c r="H27" s="136">
        <f>_xlfn.COMPOUNDVALUE(220)</f>
        <v>14</v>
      </c>
      <c r="I27" s="138">
        <v>56581</v>
      </c>
      <c r="J27" s="136">
        <v>21</v>
      </c>
      <c r="K27" s="138">
        <v>-2334</v>
      </c>
      <c r="L27" s="136">
        <f>_xlfn.COMPOUNDVALUE(220)</f>
        <v>423</v>
      </c>
      <c r="M27" s="138">
        <v>489269</v>
      </c>
      <c r="N27" s="88" t="s">
        <v>60</v>
      </c>
    </row>
    <row r="28" spans="1:14" ht="15.75" customHeight="1">
      <c r="A28" s="104" t="s">
        <v>154</v>
      </c>
      <c r="B28" s="139">
        <v>10691</v>
      </c>
      <c r="C28" s="140">
        <v>43169121</v>
      </c>
      <c r="D28" s="139">
        <v>5210</v>
      </c>
      <c r="E28" s="140">
        <v>1880606</v>
      </c>
      <c r="F28" s="139">
        <v>15901</v>
      </c>
      <c r="G28" s="140">
        <v>45049727</v>
      </c>
      <c r="H28" s="139">
        <v>620</v>
      </c>
      <c r="I28" s="141">
        <v>2208966</v>
      </c>
      <c r="J28" s="139">
        <v>805</v>
      </c>
      <c r="K28" s="141">
        <v>104350</v>
      </c>
      <c r="L28" s="139">
        <v>16614</v>
      </c>
      <c r="M28" s="141">
        <v>42945111</v>
      </c>
      <c r="N28" s="105" t="s">
        <v>62</v>
      </c>
    </row>
    <row r="29" spans="1:14" ht="15.75" customHeight="1">
      <c r="A29" s="106"/>
      <c r="B29" s="146"/>
      <c r="C29" s="145"/>
      <c r="D29" s="146"/>
      <c r="E29" s="145"/>
      <c r="F29" s="144"/>
      <c r="G29" s="145"/>
      <c r="H29" s="144"/>
      <c r="I29" s="145"/>
      <c r="J29" s="144"/>
      <c r="K29" s="145"/>
      <c r="L29" s="144"/>
      <c r="M29" s="145"/>
      <c r="N29" s="107"/>
    </row>
    <row r="30" spans="1:14" ht="15.75" customHeight="1">
      <c r="A30" s="84" t="s">
        <v>140</v>
      </c>
      <c r="B30" s="131">
        <f>_xlfn.COMPOUNDVALUE(221)</f>
        <v>3717</v>
      </c>
      <c r="C30" s="132">
        <v>14099665</v>
      </c>
      <c r="D30" s="131">
        <f>_xlfn.COMPOUNDVALUE(222)</f>
        <v>1689</v>
      </c>
      <c r="E30" s="132">
        <v>651197</v>
      </c>
      <c r="F30" s="131">
        <f>_xlfn.COMPOUNDVALUE(223)</f>
        <v>5406</v>
      </c>
      <c r="G30" s="132">
        <v>14750863</v>
      </c>
      <c r="H30" s="131">
        <f>_xlfn.COMPOUNDVALUE(224)</f>
        <v>176</v>
      </c>
      <c r="I30" s="133">
        <v>851259</v>
      </c>
      <c r="J30" s="131">
        <v>363</v>
      </c>
      <c r="K30" s="133">
        <v>58609</v>
      </c>
      <c r="L30" s="131">
        <f>_xlfn.COMPOUNDVALUE(224)</f>
        <v>5616</v>
      </c>
      <c r="M30" s="133">
        <v>13958213</v>
      </c>
      <c r="N30" s="85" t="s">
        <v>63</v>
      </c>
    </row>
    <row r="31" spans="1:14" ht="15.75" customHeight="1">
      <c r="A31" s="87" t="s">
        <v>141</v>
      </c>
      <c r="B31" s="136">
        <f>_xlfn.COMPOUNDVALUE(225)</f>
        <v>1625</v>
      </c>
      <c r="C31" s="137">
        <v>6545853</v>
      </c>
      <c r="D31" s="136">
        <f>_xlfn.COMPOUNDVALUE(226)</f>
        <v>627</v>
      </c>
      <c r="E31" s="137">
        <v>240203</v>
      </c>
      <c r="F31" s="136">
        <f>_xlfn.COMPOUNDVALUE(227)</f>
        <v>2252</v>
      </c>
      <c r="G31" s="137">
        <v>6786056</v>
      </c>
      <c r="H31" s="136">
        <f>_xlfn.COMPOUNDVALUE(228)</f>
        <v>79</v>
      </c>
      <c r="I31" s="138">
        <v>171258</v>
      </c>
      <c r="J31" s="136">
        <v>124</v>
      </c>
      <c r="K31" s="138">
        <v>29790</v>
      </c>
      <c r="L31" s="136">
        <f>_xlfn.COMPOUNDVALUE(228)</f>
        <v>2349</v>
      </c>
      <c r="M31" s="138">
        <v>6644588</v>
      </c>
      <c r="N31" s="88" t="s">
        <v>64</v>
      </c>
    </row>
    <row r="32" spans="1:14" ht="15.75" customHeight="1">
      <c r="A32" s="87" t="s">
        <v>142</v>
      </c>
      <c r="B32" s="136">
        <f>_xlfn.COMPOUNDVALUE(229)</f>
        <v>2001</v>
      </c>
      <c r="C32" s="137">
        <v>5942830</v>
      </c>
      <c r="D32" s="136">
        <f>_xlfn.COMPOUNDVALUE(230)</f>
        <v>877</v>
      </c>
      <c r="E32" s="137">
        <v>330788</v>
      </c>
      <c r="F32" s="136">
        <f>_xlfn.COMPOUNDVALUE(231)</f>
        <v>2878</v>
      </c>
      <c r="G32" s="137">
        <v>6273618</v>
      </c>
      <c r="H32" s="136">
        <f>_xlfn.COMPOUNDVALUE(232)</f>
        <v>85</v>
      </c>
      <c r="I32" s="138">
        <v>178897</v>
      </c>
      <c r="J32" s="136">
        <v>94</v>
      </c>
      <c r="K32" s="138">
        <v>7571</v>
      </c>
      <c r="L32" s="136">
        <f>_xlfn.COMPOUNDVALUE(232)</f>
        <v>2976</v>
      </c>
      <c r="M32" s="138">
        <v>6102292</v>
      </c>
      <c r="N32" s="88" t="s">
        <v>65</v>
      </c>
    </row>
    <row r="33" spans="1:14" ht="15.75" customHeight="1">
      <c r="A33" s="87" t="s">
        <v>143</v>
      </c>
      <c r="B33" s="136">
        <f>_xlfn.COMPOUNDVALUE(233)</f>
        <v>592</v>
      </c>
      <c r="C33" s="137">
        <v>1592934</v>
      </c>
      <c r="D33" s="136">
        <f>_xlfn.COMPOUNDVALUE(234)</f>
        <v>338</v>
      </c>
      <c r="E33" s="137">
        <v>121779</v>
      </c>
      <c r="F33" s="136">
        <f>_xlfn.COMPOUNDVALUE(235)</f>
        <v>930</v>
      </c>
      <c r="G33" s="137">
        <v>1714713</v>
      </c>
      <c r="H33" s="136">
        <f>_xlfn.COMPOUNDVALUE(236)</f>
        <v>39</v>
      </c>
      <c r="I33" s="138">
        <v>107190</v>
      </c>
      <c r="J33" s="136">
        <v>89</v>
      </c>
      <c r="K33" s="138">
        <v>-14394</v>
      </c>
      <c r="L33" s="136">
        <f>_xlfn.COMPOUNDVALUE(236)</f>
        <v>977</v>
      </c>
      <c r="M33" s="138">
        <v>1593128</v>
      </c>
      <c r="N33" s="88" t="s">
        <v>66</v>
      </c>
    </row>
    <row r="34" spans="1:14" ht="15.75" customHeight="1">
      <c r="A34" s="87" t="s">
        <v>144</v>
      </c>
      <c r="B34" s="136">
        <f>_xlfn.COMPOUNDVALUE(237)</f>
        <v>568</v>
      </c>
      <c r="C34" s="137">
        <v>1297422</v>
      </c>
      <c r="D34" s="136">
        <f>_xlfn.COMPOUNDVALUE(238)</f>
        <v>267</v>
      </c>
      <c r="E34" s="137">
        <v>106681</v>
      </c>
      <c r="F34" s="136">
        <f>_xlfn.COMPOUNDVALUE(239)</f>
        <v>835</v>
      </c>
      <c r="G34" s="137">
        <v>1404103</v>
      </c>
      <c r="H34" s="136">
        <f>_xlfn.COMPOUNDVALUE(240)</f>
        <v>35</v>
      </c>
      <c r="I34" s="138">
        <v>141870</v>
      </c>
      <c r="J34" s="136">
        <v>44</v>
      </c>
      <c r="K34" s="138">
        <v>2555</v>
      </c>
      <c r="L34" s="136">
        <f>_xlfn.COMPOUNDVALUE(240)</f>
        <v>870</v>
      </c>
      <c r="M34" s="138">
        <v>1264787</v>
      </c>
      <c r="N34" s="88" t="s">
        <v>67</v>
      </c>
    </row>
    <row r="35" spans="1:14" ht="15.75" customHeight="1">
      <c r="A35" s="87" t="s">
        <v>145</v>
      </c>
      <c r="B35" s="136">
        <f>_xlfn.COMPOUNDVALUE(241)</f>
        <v>736</v>
      </c>
      <c r="C35" s="137">
        <v>2239194</v>
      </c>
      <c r="D35" s="136">
        <f>_xlfn.COMPOUNDVALUE(242)</f>
        <v>313</v>
      </c>
      <c r="E35" s="137">
        <v>104350</v>
      </c>
      <c r="F35" s="136">
        <f>_xlfn.COMPOUNDVALUE(243)</f>
        <v>1049</v>
      </c>
      <c r="G35" s="137">
        <v>2343544</v>
      </c>
      <c r="H35" s="136">
        <f>_xlfn.COMPOUNDVALUE(244)</f>
        <v>75</v>
      </c>
      <c r="I35" s="138">
        <v>356436</v>
      </c>
      <c r="J35" s="136">
        <v>71</v>
      </c>
      <c r="K35" s="138">
        <v>-7245</v>
      </c>
      <c r="L35" s="136">
        <f>_xlfn.COMPOUNDVALUE(244)</f>
        <v>1132</v>
      </c>
      <c r="M35" s="138">
        <v>1979863</v>
      </c>
      <c r="N35" s="88" t="s">
        <v>68</v>
      </c>
    </row>
    <row r="36" spans="1:14" ht="15.75" customHeight="1">
      <c r="A36" s="104" t="s">
        <v>155</v>
      </c>
      <c r="B36" s="139">
        <v>9239</v>
      </c>
      <c r="C36" s="140">
        <v>31717899</v>
      </c>
      <c r="D36" s="139">
        <v>4111</v>
      </c>
      <c r="E36" s="140">
        <v>1554998</v>
      </c>
      <c r="F36" s="139">
        <v>13350</v>
      </c>
      <c r="G36" s="140">
        <v>33272897</v>
      </c>
      <c r="H36" s="139">
        <v>489</v>
      </c>
      <c r="I36" s="141">
        <v>1806910</v>
      </c>
      <c r="J36" s="139">
        <v>785</v>
      </c>
      <c r="K36" s="141">
        <v>76885</v>
      </c>
      <c r="L36" s="139">
        <v>13920</v>
      </c>
      <c r="M36" s="141">
        <v>31542872</v>
      </c>
      <c r="N36" s="105" t="s">
        <v>70</v>
      </c>
    </row>
    <row r="37" spans="1:14" ht="15.75" customHeight="1">
      <c r="A37" s="110"/>
      <c r="B37" s="146"/>
      <c r="C37" s="145"/>
      <c r="D37" s="146"/>
      <c r="E37" s="145"/>
      <c r="F37" s="144"/>
      <c r="G37" s="145"/>
      <c r="H37" s="144"/>
      <c r="I37" s="145"/>
      <c r="J37" s="144"/>
      <c r="K37" s="145"/>
      <c r="L37" s="144"/>
      <c r="M37" s="145"/>
      <c r="N37" s="107"/>
    </row>
    <row r="38" spans="1:14" ht="15.75" customHeight="1">
      <c r="A38" s="84" t="s">
        <v>156</v>
      </c>
      <c r="B38" s="131">
        <f>_xlfn.COMPOUNDVALUE(245)</f>
        <v>5954</v>
      </c>
      <c r="C38" s="132">
        <v>28219674</v>
      </c>
      <c r="D38" s="131">
        <f>_xlfn.COMPOUNDVALUE(246)</f>
        <v>2732</v>
      </c>
      <c r="E38" s="132">
        <v>981536</v>
      </c>
      <c r="F38" s="131">
        <f>_xlfn.COMPOUNDVALUE(247)</f>
        <v>8686</v>
      </c>
      <c r="G38" s="132">
        <v>29201209</v>
      </c>
      <c r="H38" s="131">
        <f>_xlfn.COMPOUNDVALUE(248)</f>
        <v>325</v>
      </c>
      <c r="I38" s="133">
        <v>1641699</v>
      </c>
      <c r="J38" s="131">
        <v>458</v>
      </c>
      <c r="K38" s="133">
        <v>49846</v>
      </c>
      <c r="L38" s="131">
        <f>_xlfn.COMPOUNDVALUE(248)</f>
        <v>9050</v>
      </c>
      <c r="M38" s="133">
        <v>27609356</v>
      </c>
      <c r="N38" s="85" t="s">
        <v>72</v>
      </c>
    </row>
    <row r="39" spans="1:14" ht="15.75" customHeight="1">
      <c r="A39" s="84" t="s">
        <v>146</v>
      </c>
      <c r="B39" s="131">
        <f>_xlfn.COMPOUNDVALUE(249)</f>
        <v>911</v>
      </c>
      <c r="C39" s="132">
        <v>2496123</v>
      </c>
      <c r="D39" s="131">
        <f>_xlfn.COMPOUNDVALUE(250)</f>
        <v>478</v>
      </c>
      <c r="E39" s="132">
        <v>168607</v>
      </c>
      <c r="F39" s="131">
        <f>_xlfn.COMPOUNDVALUE(251)</f>
        <v>1389</v>
      </c>
      <c r="G39" s="132">
        <v>2664730</v>
      </c>
      <c r="H39" s="131">
        <f>_xlfn.COMPOUNDVALUE(252)</f>
        <v>51</v>
      </c>
      <c r="I39" s="133">
        <v>70494</v>
      </c>
      <c r="J39" s="131">
        <v>69</v>
      </c>
      <c r="K39" s="133">
        <v>-853</v>
      </c>
      <c r="L39" s="131">
        <f>_xlfn.COMPOUNDVALUE(252)</f>
        <v>1447</v>
      </c>
      <c r="M39" s="133">
        <v>2593383</v>
      </c>
      <c r="N39" s="85" t="s">
        <v>73</v>
      </c>
    </row>
    <row r="40" spans="1:14" ht="15.75" customHeight="1">
      <c r="A40" s="84" t="s">
        <v>147</v>
      </c>
      <c r="B40" s="131">
        <f>_xlfn.COMPOUNDVALUE(253)</f>
        <v>1291</v>
      </c>
      <c r="C40" s="132">
        <v>3620999</v>
      </c>
      <c r="D40" s="131">
        <f>_xlfn.COMPOUNDVALUE(254)</f>
        <v>534</v>
      </c>
      <c r="E40" s="132">
        <v>196397</v>
      </c>
      <c r="F40" s="131">
        <f>_xlfn.COMPOUNDVALUE(255)</f>
        <v>1825</v>
      </c>
      <c r="G40" s="132">
        <v>3817396</v>
      </c>
      <c r="H40" s="131">
        <f>_xlfn.COMPOUNDVALUE(256)</f>
        <v>102</v>
      </c>
      <c r="I40" s="133">
        <v>215745</v>
      </c>
      <c r="J40" s="131">
        <v>70</v>
      </c>
      <c r="K40" s="133">
        <v>11546</v>
      </c>
      <c r="L40" s="131">
        <f>_xlfn.COMPOUNDVALUE(256)</f>
        <v>1933</v>
      </c>
      <c r="M40" s="133">
        <v>3613198</v>
      </c>
      <c r="N40" s="85" t="s">
        <v>74</v>
      </c>
    </row>
    <row r="41" spans="1:14" ht="15.75" customHeight="1">
      <c r="A41" s="84" t="s">
        <v>148</v>
      </c>
      <c r="B41" s="131">
        <f>_xlfn.COMPOUNDVALUE(257)</f>
        <v>1101</v>
      </c>
      <c r="C41" s="132">
        <v>2185637</v>
      </c>
      <c r="D41" s="131">
        <f>_xlfn.COMPOUNDVALUE(258)</f>
        <v>463</v>
      </c>
      <c r="E41" s="132">
        <v>171220</v>
      </c>
      <c r="F41" s="131">
        <f>_xlfn.COMPOUNDVALUE(259)</f>
        <v>1564</v>
      </c>
      <c r="G41" s="132">
        <v>2356857</v>
      </c>
      <c r="H41" s="131">
        <f>_xlfn.COMPOUNDVALUE(260)</f>
        <v>48</v>
      </c>
      <c r="I41" s="133">
        <v>72806</v>
      </c>
      <c r="J41" s="131">
        <v>111</v>
      </c>
      <c r="K41" s="133">
        <v>22517</v>
      </c>
      <c r="L41" s="131">
        <f>_xlfn.COMPOUNDVALUE(260)</f>
        <v>1627</v>
      </c>
      <c r="M41" s="133">
        <v>2306568</v>
      </c>
      <c r="N41" s="85" t="s">
        <v>75</v>
      </c>
    </row>
    <row r="42" spans="1:14" ht="15.75" customHeight="1">
      <c r="A42" s="87" t="s">
        <v>149</v>
      </c>
      <c r="B42" s="136">
        <f>_xlfn.COMPOUNDVALUE(261)</f>
        <v>666</v>
      </c>
      <c r="C42" s="137">
        <v>2383921</v>
      </c>
      <c r="D42" s="136">
        <f>_xlfn.COMPOUNDVALUE(262)</f>
        <v>311</v>
      </c>
      <c r="E42" s="137">
        <v>110416</v>
      </c>
      <c r="F42" s="136">
        <f>_xlfn.COMPOUNDVALUE(263)</f>
        <v>977</v>
      </c>
      <c r="G42" s="137">
        <v>2494337</v>
      </c>
      <c r="H42" s="136">
        <f>_xlfn.COMPOUNDVALUE(264)</f>
        <v>61</v>
      </c>
      <c r="I42" s="138">
        <v>145080</v>
      </c>
      <c r="J42" s="136">
        <v>44</v>
      </c>
      <c r="K42" s="138">
        <v>-9523</v>
      </c>
      <c r="L42" s="136">
        <f>_xlfn.COMPOUNDVALUE(264)</f>
        <v>1047</v>
      </c>
      <c r="M42" s="138">
        <v>2339734</v>
      </c>
      <c r="N42" s="88" t="s">
        <v>76</v>
      </c>
    </row>
    <row r="43" spans="1:14" ht="15.75" customHeight="1">
      <c r="A43" s="87" t="s">
        <v>150</v>
      </c>
      <c r="B43" s="136">
        <f>_xlfn.COMPOUNDVALUE(265)</f>
        <v>324</v>
      </c>
      <c r="C43" s="137">
        <v>855768</v>
      </c>
      <c r="D43" s="136">
        <f>_xlfn.COMPOUNDVALUE(266)</f>
        <v>192</v>
      </c>
      <c r="E43" s="137">
        <v>65350</v>
      </c>
      <c r="F43" s="136">
        <f>_xlfn.COMPOUNDVALUE(267)</f>
        <v>516</v>
      </c>
      <c r="G43" s="137">
        <v>921119</v>
      </c>
      <c r="H43" s="136">
        <f>_xlfn.COMPOUNDVALUE(268)</f>
        <v>22</v>
      </c>
      <c r="I43" s="138">
        <v>39242</v>
      </c>
      <c r="J43" s="136">
        <v>29</v>
      </c>
      <c r="K43" s="138">
        <v>3489</v>
      </c>
      <c r="L43" s="136">
        <f>_xlfn.COMPOUNDVALUE(268)</f>
        <v>539</v>
      </c>
      <c r="M43" s="138">
        <v>885365</v>
      </c>
      <c r="N43" s="88" t="s">
        <v>77</v>
      </c>
    </row>
    <row r="44" spans="1:14" ht="15.75" customHeight="1">
      <c r="A44" s="87" t="s">
        <v>157</v>
      </c>
      <c r="B44" s="136">
        <f>_xlfn.COMPOUNDVALUE(269)</f>
        <v>387</v>
      </c>
      <c r="C44" s="137">
        <v>833390</v>
      </c>
      <c r="D44" s="136">
        <f>_xlfn.COMPOUNDVALUE(270)</f>
        <v>170</v>
      </c>
      <c r="E44" s="137">
        <v>59632</v>
      </c>
      <c r="F44" s="136">
        <f>_xlfn.COMPOUNDVALUE(271)</f>
        <v>557</v>
      </c>
      <c r="G44" s="137">
        <v>893022</v>
      </c>
      <c r="H44" s="136">
        <f>_xlfn.COMPOUNDVALUE(272)</f>
        <v>20</v>
      </c>
      <c r="I44" s="138">
        <v>22388</v>
      </c>
      <c r="J44" s="136">
        <v>50</v>
      </c>
      <c r="K44" s="138">
        <v>-1348</v>
      </c>
      <c r="L44" s="136">
        <f>_xlfn.COMPOUNDVALUE(272)</f>
        <v>584</v>
      </c>
      <c r="M44" s="138">
        <v>869287</v>
      </c>
      <c r="N44" s="88" t="s">
        <v>79</v>
      </c>
    </row>
    <row r="45" spans="1:14" ht="15.75" customHeight="1">
      <c r="A45" s="87" t="s">
        <v>151</v>
      </c>
      <c r="B45" s="136">
        <f>_xlfn.COMPOUNDVALUE(273)</f>
        <v>799</v>
      </c>
      <c r="C45" s="137">
        <v>2280739</v>
      </c>
      <c r="D45" s="136">
        <f>_xlfn.COMPOUNDVALUE(274)</f>
        <v>399</v>
      </c>
      <c r="E45" s="137">
        <v>150576</v>
      </c>
      <c r="F45" s="136">
        <f>_xlfn.COMPOUNDVALUE(275)</f>
        <v>1198</v>
      </c>
      <c r="G45" s="137">
        <v>2431315</v>
      </c>
      <c r="H45" s="136">
        <f>_xlfn.COMPOUNDVALUE(276)</f>
        <v>66</v>
      </c>
      <c r="I45" s="138">
        <v>126845</v>
      </c>
      <c r="J45" s="136">
        <v>45</v>
      </c>
      <c r="K45" s="138">
        <v>5962</v>
      </c>
      <c r="L45" s="136">
        <f>_xlfn.COMPOUNDVALUE(276)</f>
        <v>1270</v>
      </c>
      <c r="M45" s="138">
        <v>2310431</v>
      </c>
      <c r="N45" s="88" t="s">
        <v>80</v>
      </c>
    </row>
    <row r="46" spans="1:14" ht="15.75" customHeight="1">
      <c r="A46" s="87" t="s">
        <v>158</v>
      </c>
      <c r="B46" s="136">
        <f>_xlfn.COMPOUNDVALUE(277)</f>
        <v>566</v>
      </c>
      <c r="C46" s="137">
        <v>2536651</v>
      </c>
      <c r="D46" s="136">
        <f>_xlfn.COMPOUNDVALUE(278)</f>
        <v>311</v>
      </c>
      <c r="E46" s="137">
        <v>110713</v>
      </c>
      <c r="F46" s="136">
        <f>_xlfn.COMPOUNDVALUE(279)</f>
        <v>877</v>
      </c>
      <c r="G46" s="137">
        <v>2647364</v>
      </c>
      <c r="H46" s="136">
        <f>_xlfn.COMPOUNDVALUE(280)</f>
        <v>43</v>
      </c>
      <c r="I46" s="138">
        <v>103695</v>
      </c>
      <c r="J46" s="136">
        <v>43</v>
      </c>
      <c r="K46" s="138">
        <v>-33960</v>
      </c>
      <c r="L46" s="136">
        <f>_xlfn.COMPOUNDVALUE(280)</f>
        <v>931</v>
      </c>
      <c r="M46" s="138">
        <v>2509710</v>
      </c>
      <c r="N46" s="88" t="s">
        <v>82</v>
      </c>
    </row>
    <row r="47" spans="1:14" ht="15.75" customHeight="1">
      <c r="A47" s="87" t="s">
        <v>159</v>
      </c>
      <c r="B47" s="136">
        <f>_xlfn.COMPOUNDVALUE(281)</f>
        <v>1430</v>
      </c>
      <c r="C47" s="137">
        <v>4946102</v>
      </c>
      <c r="D47" s="136">
        <f>_xlfn.COMPOUNDVALUE(282)</f>
        <v>772</v>
      </c>
      <c r="E47" s="137">
        <v>280938</v>
      </c>
      <c r="F47" s="136">
        <f>_xlfn.COMPOUNDVALUE(283)</f>
        <v>2202</v>
      </c>
      <c r="G47" s="137">
        <v>5227040</v>
      </c>
      <c r="H47" s="136">
        <f>_xlfn.COMPOUNDVALUE(284)</f>
        <v>81</v>
      </c>
      <c r="I47" s="138">
        <v>156930</v>
      </c>
      <c r="J47" s="136">
        <v>138</v>
      </c>
      <c r="K47" s="138">
        <v>21417</v>
      </c>
      <c r="L47" s="136">
        <f>_xlfn.COMPOUNDVALUE(284)</f>
        <v>2318</v>
      </c>
      <c r="M47" s="138">
        <v>5091527</v>
      </c>
      <c r="N47" s="88" t="s">
        <v>84</v>
      </c>
    </row>
    <row r="48" spans="1:14" ht="15.75" customHeight="1">
      <c r="A48" s="87" t="s">
        <v>152</v>
      </c>
      <c r="B48" s="136">
        <f>_xlfn.COMPOUNDVALUE(285)</f>
        <v>711</v>
      </c>
      <c r="C48" s="137">
        <v>2202538</v>
      </c>
      <c r="D48" s="136">
        <f>_xlfn.COMPOUNDVALUE(286)</f>
        <v>257</v>
      </c>
      <c r="E48" s="137">
        <v>99548</v>
      </c>
      <c r="F48" s="136">
        <f>_xlfn.COMPOUNDVALUE(287)</f>
        <v>968</v>
      </c>
      <c r="G48" s="137">
        <v>2302086</v>
      </c>
      <c r="H48" s="136">
        <f>_xlfn.COMPOUNDVALUE(288)</f>
        <v>52</v>
      </c>
      <c r="I48" s="138">
        <v>181747</v>
      </c>
      <c r="J48" s="136">
        <v>60</v>
      </c>
      <c r="K48" s="138">
        <v>18314</v>
      </c>
      <c r="L48" s="136">
        <f>_xlfn.COMPOUNDVALUE(288)</f>
        <v>1026</v>
      </c>
      <c r="M48" s="138">
        <v>2138654</v>
      </c>
      <c r="N48" s="88" t="s">
        <v>85</v>
      </c>
    </row>
    <row r="49" spans="1:14" ht="15.75" customHeight="1">
      <c r="A49" s="104" t="s">
        <v>160</v>
      </c>
      <c r="B49" s="139">
        <v>14140</v>
      </c>
      <c r="C49" s="140">
        <v>52561543</v>
      </c>
      <c r="D49" s="139">
        <v>6619</v>
      </c>
      <c r="E49" s="140">
        <v>2394933</v>
      </c>
      <c r="F49" s="139">
        <v>20759</v>
      </c>
      <c r="G49" s="140">
        <v>54956476</v>
      </c>
      <c r="H49" s="139">
        <v>871</v>
      </c>
      <c r="I49" s="141">
        <v>2776670</v>
      </c>
      <c r="J49" s="139">
        <v>1117</v>
      </c>
      <c r="K49" s="141">
        <v>87407</v>
      </c>
      <c r="L49" s="139">
        <v>21772</v>
      </c>
      <c r="M49" s="141">
        <v>52267213</v>
      </c>
      <c r="N49" s="105" t="s">
        <v>87</v>
      </c>
    </row>
    <row r="50" spans="1:14" ht="15.75" customHeight="1" thickBot="1">
      <c r="A50" s="108"/>
      <c r="B50" s="152"/>
      <c r="C50" s="153"/>
      <c r="D50" s="152"/>
      <c r="E50" s="153"/>
      <c r="F50" s="154"/>
      <c r="G50" s="153"/>
      <c r="H50" s="154"/>
      <c r="I50" s="153"/>
      <c r="J50" s="154"/>
      <c r="K50" s="153"/>
      <c r="L50" s="154"/>
      <c r="M50" s="153"/>
      <c r="N50" s="109"/>
    </row>
    <row r="51" spans="1:14" ht="15.75" customHeight="1" thickBot="1" thickTop="1">
      <c r="A51" s="90" t="s">
        <v>161</v>
      </c>
      <c r="B51" s="158">
        <v>49817</v>
      </c>
      <c r="C51" s="159">
        <v>183412568</v>
      </c>
      <c r="D51" s="158">
        <v>23256</v>
      </c>
      <c r="E51" s="159">
        <v>8522101</v>
      </c>
      <c r="F51" s="158">
        <v>73073</v>
      </c>
      <c r="G51" s="159">
        <v>191934669</v>
      </c>
      <c r="H51" s="158">
        <v>2915</v>
      </c>
      <c r="I51" s="160">
        <v>9857521</v>
      </c>
      <c r="J51" s="158">
        <v>3931</v>
      </c>
      <c r="K51" s="160">
        <v>372942</v>
      </c>
      <c r="L51" s="158">
        <v>76463</v>
      </c>
      <c r="M51" s="160">
        <v>182450090</v>
      </c>
      <c r="N51" s="91" t="s">
        <v>89</v>
      </c>
    </row>
    <row r="52" spans="1:14" s="157" customFormat="1" ht="3.75" customHeight="1">
      <c r="A52" s="92"/>
      <c r="B52" s="93"/>
      <c r="C52" s="93"/>
      <c r="D52" s="93"/>
      <c r="E52" s="93"/>
      <c r="F52" s="93"/>
      <c r="G52" s="93"/>
      <c r="H52" s="93"/>
      <c r="I52" s="93"/>
      <c r="J52" s="93"/>
      <c r="K52" s="93"/>
      <c r="L52" s="93"/>
      <c r="M52" s="93"/>
      <c r="N52" s="92"/>
    </row>
    <row r="53" spans="1:14" ht="13.5">
      <c r="A53" s="221" t="s">
        <v>103</v>
      </c>
      <c r="B53" s="221"/>
      <c r="C53" s="221"/>
      <c r="D53" s="221"/>
      <c r="E53" s="221"/>
      <c r="F53" s="221"/>
      <c r="G53" s="221"/>
      <c r="H53" s="221"/>
      <c r="I53" s="221"/>
      <c r="J53" s="99"/>
      <c r="K53" s="97"/>
      <c r="L53" s="72"/>
      <c r="M53" s="72"/>
      <c r="N53" s="72"/>
    </row>
  </sheetData>
  <sheetProtection/>
  <mergeCells count="11">
    <mergeCell ref="N3:N5"/>
    <mergeCell ref="B4:C4"/>
    <mergeCell ref="D4:E4"/>
    <mergeCell ref="F4:G4"/>
    <mergeCell ref="A53:I53"/>
    <mergeCell ref="A2:I2"/>
    <mergeCell ref="A3:A5"/>
    <mergeCell ref="B3:G3"/>
    <mergeCell ref="H3:I4"/>
    <mergeCell ref="J3:K4"/>
    <mergeCell ref="L3:M4"/>
  </mergeCells>
  <printOptions/>
  <pageMargins left="0.7874015748031497" right="0.6299212598425197" top="0.984251968503937" bottom="0.984251968503937" header="0.5118110236220472" footer="0.5118110236220472"/>
  <pageSetup horizontalDpi="600" verticalDpi="600" orientation="landscape" paperSize="9" scale="82" r:id="rId1"/>
  <headerFooter alignWithMargins="0">
    <oddFooter>&amp;R熊本国税局
消費税
（H25）</oddFooter>
  </headerFooter>
  <rowBreaks count="1" manualBreakCount="1">
    <brk id="37" max="255" man="1"/>
  </rowBreaks>
</worksheet>
</file>

<file path=xl/worksheets/sheet6.xml><?xml version="1.0" encoding="utf-8"?>
<worksheet xmlns="http://schemas.openxmlformats.org/spreadsheetml/2006/main" xmlns:r="http://schemas.openxmlformats.org/officeDocument/2006/relationships">
  <dimension ref="A1:R53"/>
  <sheetViews>
    <sheetView view="pageBreakPreview" zoomScaleSheetLayoutView="100" workbookViewId="0" topLeftCell="A1">
      <selection activeCell="A1" sqref="A1"/>
    </sheetView>
  </sheetViews>
  <sheetFormatPr defaultColWidth="9.00390625" defaultRowHeight="13.5"/>
  <cols>
    <col min="1" max="1" width="10.375" style="130" customWidth="1"/>
    <col min="2" max="2" width="10.625" style="130" customWidth="1"/>
    <col min="3" max="3" width="12.625" style="130" customWidth="1"/>
    <col min="4" max="4" width="10.625" style="130" customWidth="1"/>
    <col min="5" max="5" width="12.625" style="130" customWidth="1"/>
    <col min="6" max="6" width="10.625" style="130" customWidth="1"/>
    <col min="7" max="7" width="12.625" style="130" customWidth="1"/>
    <col min="8" max="8" width="10.625" style="130" customWidth="1"/>
    <col min="9" max="9" width="12.625" style="130" customWidth="1"/>
    <col min="10" max="10" width="10.625" style="130" customWidth="1"/>
    <col min="11" max="11" width="12.625" style="130" customWidth="1"/>
    <col min="12" max="12" width="10.625" style="130" customWidth="1"/>
    <col min="13" max="13" width="12.625" style="130" customWidth="1"/>
    <col min="14" max="17" width="10.625" style="130" customWidth="1"/>
    <col min="18" max="18" width="10.375" style="130" customWidth="1"/>
    <col min="19" max="16384" width="9.00390625" style="130" customWidth="1"/>
  </cols>
  <sheetData>
    <row r="1" spans="1:16" ht="13.5">
      <c r="A1" s="71" t="s">
        <v>90</v>
      </c>
      <c r="B1" s="71"/>
      <c r="C1" s="71"/>
      <c r="D1" s="71"/>
      <c r="E1" s="71"/>
      <c r="F1" s="71"/>
      <c r="G1" s="71"/>
      <c r="H1" s="71"/>
      <c r="I1" s="71"/>
      <c r="J1" s="71"/>
      <c r="K1" s="71"/>
      <c r="L1" s="72"/>
      <c r="M1" s="72"/>
      <c r="N1" s="72"/>
      <c r="O1" s="72"/>
      <c r="P1" s="72"/>
    </row>
    <row r="2" spans="1:16" ht="14.25" thickBot="1">
      <c r="A2" s="220" t="s">
        <v>93</v>
      </c>
      <c r="B2" s="220"/>
      <c r="C2" s="220"/>
      <c r="D2" s="220"/>
      <c r="E2" s="220"/>
      <c r="F2" s="220"/>
      <c r="G2" s="220"/>
      <c r="H2" s="220"/>
      <c r="I2" s="220"/>
      <c r="J2" s="97"/>
      <c r="K2" s="97"/>
      <c r="L2" s="72"/>
      <c r="M2" s="72"/>
      <c r="N2" s="72"/>
      <c r="O2" s="72"/>
      <c r="P2" s="72"/>
    </row>
    <row r="3" spans="1:18" ht="19.5" customHeight="1">
      <c r="A3" s="205" t="s">
        <v>27</v>
      </c>
      <c r="B3" s="208" t="s">
        <v>28</v>
      </c>
      <c r="C3" s="208"/>
      <c r="D3" s="208"/>
      <c r="E3" s="208"/>
      <c r="F3" s="208"/>
      <c r="G3" s="208"/>
      <c r="H3" s="208" t="s">
        <v>12</v>
      </c>
      <c r="I3" s="208"/>
      <c r="J3" s="232" t="s">
        <v>29</v>
      </c>
      <c r="K3" s="208"/>
      <c r="L3" s="208" t="s">
        <v>30</v>
      </c>
      <c r="M3" s="208"/>
      <c r="N3" s="223" t="s">
        <v>94</v>
      </c>
      <c r="O3" s="224"/>
      <c r="P3" s="224"/>
      <c r="Q3" s="224"/>
      <c r="R3" s="214" t="s">
        <v>92</v>
      </c>
    </row>
    <row r="4" spans="1:18" ht="17.25" customHeight="1">
      <c r="A4" s="206"/>
      <c r="B4" s="217" t="s">
        <v>15</v>
      </c>
      <c r="C4" s="217"/>
      <c r="D4" s="217" t="s">
        <v>32</v>
      </c>
      <c r="E4" s="217"/>
      <c r="F4" s="217" t="s">
        <v>33</v>
      </c>
      <c r="G4" s="217"/>
      <c r="H4" s="217"/>
      <c r="I4" s="217"/>
      <c r="J4" s="217"/>
      <c r="K4" s="217"/>
      <c r="L4" s="217"/>
      <c r="M4" s="217"/>
      <c r="N4" s="225" t="s">
        <v>95</v>
      </c>
      <c r="O4" s="227" t="s">
        <v>96</v>
      </c>
      <c r="P4" s="229" t="s">
        <v>97</v>
      </c>
      <c r="Q4" s="212" t="s">
        <v>98</v>
      </c>
      <c r="R4" s="215"/>
    </row>
    <row r="5" spans="1:18" ht="28.5" customHeight="1">
      <c r="A5" s="207"/>
      <c r="B5" s="73" t="s">
        <v>34</v>
      </c>
      <c r="C5" s="74" t="s">
        <v>35</v>
      </c>
      <c r="D5" s="73" t="s">
        <v>34</v>
      </c>
      <c r="E5" s="74" t="s">
        <v>35</v>
      </c>
      <c r="F5" s="73" t="s">
        <v>34</v>
      </c>
      <c r="G5" s="74" t="s">
        <v>36</v>
      </c>
      <c r="H5" s="73" t="s">
        <v>34</v>
      </c>
      <c r="I5" s="74" t="s">
        <v>37</v>
      </c>
      <c r="J5" s="73" t="s">
        <v>34</v>
      </c>
      <c r="K5" s="74" t="s">
        <v>38</v>
      </c>
      <c r="L5" s="73" t="s">
        <v>34</v>
      </c>
      <c r="M5" s="100" t="s">
        <v>99</v>
      </c>
      <c r="N5" s="226"/>
      <c r="O5" s="228"/>
      <c r="P5" s="230"/>
      <c r="Q5" s="231"/>
      <c r="R5" s="216"/>
    </row>
    <row r="6" spans="1:18" s="98" customFormat="1" ht="10.5">
      <c r="A6" s="78"/>
      <c r="B6" s="79" t="s">
        <v>4</v>
      </c>
      <c r="C6" s="80" t="s">
        <v>5</v>
      </c>
      <c r="D6" s="79" t="s">
        <v>4</v>
      </c>
      <c r="E6" s="80" t="s">
        <v>5</v>
      </c>
      <c r="F6" s="79" t="s">
        <v>4</v>
      </c>
      <c r="G6" s="80" t="s">
        <v>5</v>
      </c>
      <c r="H6" s="79" t="s">
        <v>4</v>
      </c>
      <c r="I6" s="80" t="s">
        <v>5</v>
      </c>
      <c r="J6" s="79" t="s">
        <v>4</v>
      </c>
      <c r="K6" s="80" t="s">
        <v>5</v>
      </c>
      <c r="L6" s="79" t="s">
        <v>4</v>
      </c>
      <c r="M6" s="80" t="s">
        <v>5</v>
      </c>
      <c r="N6" s="79" t="s">
        <v>4</v>
      </c>
      <c r="O6" s="101" t="s">
        <v>4</v>
      </c>
      <c r="P6" s="101" t="s">
        <v>4</v>
      </c>
      <c r="Q6" s="102" t="s">
        <v>4</v>
      </c>
      <c r="R6" s="82"/>
    </row>
    <row r="7" spans="1:18" ht="15.75" customHeight="1">
      <c r="A7" s="84" t="s">
        <v>40</v>
      </c>
      <c r="B7" s="131">
        <f>_xlfn.COMPOUNDVALUE(289)</f>
        <v>7620</v>
      </c>
      <c r="C7" s="132">
        <v>23462749</v>
      </c>
      <c r="D7" s="131">
        <f>_xlfn.COMPOUNDVALUE(290)</f>
        <v>6061</v>
      </c>
      <c r="E7" s="132">
        <v>1838055</v>
      </c>
      <c r="F7" s="131">
        <f>_xlfn.COMPOUNDVALUE(291)</f>
        <v>13681</v>
      </c>
      <c r="G7" s="132">
        <v>25300805</v>
      </c>
      <c r="H7" s="131">
        <f>_xlfn.COMPOUNDVALUE(292)</f>
        <v>511</v>
      </c>
      <c r="I7" s="133">
        <v>1184482</v>
      </c>
      <c r="J7" s="131">
        <v>851</v>
      </c>
      <c r="K7" s="133">
        <v>57117</v>
      </c>
      <c r="L7" s="131">
        <f>_xlfn.COMPOUNDVALUE(292)</f>
        <v>14396</v>
      </c>
      <c r="M7" s="133">
        <v>24173440</v>
      </c>
      <c r="N7" s="131">
        <v>14161</v>
      </c>
      <c r="O7" s="134">
        <v>485</v>
      </c>
      <c r="P7" s="134">
        <v>44</v>
      </c>
      <c r="Q7" s="135">
        <v>14690</v>
      </c>
      <c r="R7" s="85" t="s">
        <v>40</v>
      </c>
    </row>
    <row r="8" spans="1:18" ht="15.75" customHeight="1">
      <c r="A8" s="87" t="s">
        <v>41</v>
      </c>
      <c r="B8" s="136">
        <f>_xlfn.COMPOUNDVALUE(293)</f>
        <v>3512</v>
      </c>
      <c r="C8" s="137">
        <v>9119238</v>
      </c>
      <c r="D8" s="136">
        <f>_xlfn.COMPOUNDVALUE(294)</f>
        <v>2642</v>
      </c>
      <c r="E8" s="137">
        <v>803264</v>
      </c>
      <c r="F8" s="136">
        <f>_xlfn.COMPOUNDVALUE(295)</f>
        <v>6154</v>
      </c>
      <c r="G8" s="137">
        <v>9922502</v>
      </c>
      <c r="H8" s="136">
        <f>_xlfn.COMPOUNDVALUE(296)</f>
        <v>184</v>
      </c>
      <c r="I8" s="138">
        <v>370338</v>
      </c>
      <c r="J8" s="136">
        <v>352</v>
      </c>
      <c r="K8" s="138">
        <v>40772</v>
      </c>
      <c r="L8" s="136">
        <f>_xlfn.COMPOUNDVALUE(296)</f>
        <v>6399</v>
      </c>
      <c r="M8" s="138">
        <v>9592937</v>
      </c>
      <c r="N8" s="131">
        <v>6472</v>
      </c>
      <c r="O8" s="134">
        <v>171</v>
      </c>
      <c r="P8" s="134">
        <v>15</v>
      </c>
      <c r="Q8" s="135">
        <v>6658</v>
      </c>
      <c r="R8" s="85" t="s">
        <v>41</v>
      </c>
    </row>
    <row r="9" spans="1:18" ht="15.75" customHeight="1">
      <c r="A9" s="87" t="s">
        <v>125</v>
      </c>
      <c r="B9" s="136">
        <f>_xlfn.COMPOUNDVALUE(297)</f>
        <v>2108</v>
      </c>
      <c r="C9" s="137">
        <v>3903468</v>
      </c>
      <c r="D9" s="136">
        <f>_xlfn.COMPOUNDVALUE(298)</f>
        <v>2699</v>
      </c>
      <c r="E9" s="137">
        <v>744685</v>
      </c>
      <c r="F9" s="136">
        <f>_xlfn.COMPOUNDVALUE(299)</f>
        <v>4807</v>
      </c>
      <c r="G9" s="137">
        <v>4648153</v>
      </c>
      <c r="H9" s="136">
        <f>_xlfn.COMPOUNDVALUE(300)</f>
        <v>113</v>
      </c>
      <c r="I9" s="138">
        <v>159567</v>
      </c>
      <c r="J9" s="136">
        <v>218</v>
      </c>
      <c r="K9" s="138">
        <v>27223</v>
      </c>
      <c r="L9" s="136">
        <f>_xlfn.COMPOUNDVALUE(300)</f>
        <v>4958</v>
      </c>
      <c r="M9" s="138">
        <v>4515809</v>
      </c>
      <c r="N9" s="131">
        <v>4860</v>
      </c>
      <c r="O9" s="134">
        <v>91</v>
      </c>
      <c r="P9" s="134">
        <v>4</v>
      </c>
      <c r="Q9" s="135">
        <v>4955</v>
      </c>
      <c r="R9" s="85" t="s">
        <v>42</v>
      </c>
    </row>
    <row r="10" spans="1:18" ht="15.75" customHeight="1">
      <c r="A10" s="87" t="s">
        <v>126</v>
      </c>
      <c r="B10" s="136">
        <f>_xlfn.COMPOUNDVALUE(301)</f>
        <v>1055</v>
      </c>
      <c r="C10" s="137">
        <v>2339588</v>
      </c>
      <c r="D10" s="136">
        <f>_xlfn.COMPOUNDVALUE(302)</f>
        <v>1194</v>
      </c>
      <c r="E10" s="137">
        <v>312762</v>
      </c>
      <c r="F10" s="136">
        <f>_xlfn.COMPOUNDVALUE(303)</f>
        <v>2249</v>
      </c>
      <c r="G10" s="137">
        <v>2652350</v>
      </c>
      <c r="H10" s="136">
        <f>_xlfn.COMPOUNDVALUE(304)</f>
        <v>71</v>
      </c>
      <c r="I10" s="138">
        <v>70942</v>
      </c>
      <c r="J10" s="136">
        <v>83</v>
      </c>
      <c r="K10" s="138">
        <v>12839</v>
      </c>
      <c r="L10" s="136">
        <f>_xlfn.COMPOUNDVALUE(304)</f>
        <v>2344</v>
      </c>
      <c r="M10" s="138">
        <v>2594247</v>
      </c>
      <c r="N10" s="131">
        <v>2312</v>
      </c>
      <c r="O10" s="134">
        <v>50</v>
      </c>
      <c r="P10" s="134">
        <v>3</v>
      </c>
      <c r="Q10" s="135">
        <v>2365</v>
      </c>
      <c r="R10" s="85" t="s">
        <v>43</v>
      </c>
    </row>
    <row r="11" spans="1:18" ht="15.75" customHeight="1">
      <c r="A11" s="87" t="s">
        <v>127</v>
      </c>
      <c r="B11" s="136">
        <f>_xlfn.COMPOUNDVALUE(305)</f>
        <v>1568</v>
      </c>
      <c r="C11" s="137">
        <v>3437707</v>
      </c>
      <c r="D11" s="136">
        <f>_xlfn.COMPOUNDVALUE(306)</f>
        <v>1857</v>
      </c>
      <c r="E11" s="137">
        <v>495108</v>
      </c>
      <c r="F11" s="136">
        <f>_xlfn.COMPOUNDVALUE(307)</f>
        <v>3425</v>
      </c>
      <c r="G11" s="137">
        <v>3932814</v>
      </c>
      <c r="H11" s="136">
        <f>_xlfn.COMPOUNDVALUE(308)</f>
        <v>102</v>
      </c>
      <c r="I11" s="138">
        <v>258365</v>
      </c>
      <c r="J11" s="136">
        <v>159</v>
      </c>
      <c r="K11" s="138">
        <v>24098</v>
      </c>
      <c r="L11" s="136">
        <f>_xlfn.COMPOUNDVALUE(308)</f>
        <v>3551</v>
      </c>
      <c r="M11" s="138">
        <v>3698547</v>
      </c>
      <c r="N11" s="131">
        <v>3682</v>
      </c>
      <c r="O11" s="134">
        <v>62</v>
      </c>
      <c r="P11" s="134">
        <v>8</v>
      </c>
      <c r="Q11" s="135">
        <v>3752</v>
      </c>
      <c r="R11" s="85" t="s">
        <v>44</v>
      </c>
    </row>
    <row r="12" spans="1:18" ht="15.75" customHeight="1">
      <c r="A12" s="87" t="s">
        <v>128</v>
      </c>
      <c r="B12" s="136">
        <f>_xlfn.COMPOUNDVALUE(309)</f>
        <v>1569</v>
      </c>
      <c r="C12" s="137">
        <v>2498293</v>
      </c>
      <c r="D12" s="136">
        <f>_xlfn.COMPOUNDVALUE(310)</f>
        <v>1394</v>
      </c>
      <c r="E12" s="137">
        <v>394005</v>
      </c>
      <c r="F12" s="136">
        <f>_xlfn.COMPOUNDVALUE(311)</f>
        <v>2963</v>
      </c>
      <c r="G12" s="137">
        <v>2892297</v>
      </c>
      <c r="H12" s="136">
        <f>_xlfn.COMPOUNDVALUE(312)</f>
        <v>93</v>
      </c>
      <c r="I12" s="138">
        <v>192072</v>
      </c>
      <c r="J12" s="136">
        <v>119</v>
      </c>
      <c r="K12" s="138">
        <v>9813</v>
      </c>
      <c r="L12" s="136">
        <f>_xlfn.COMPOUNDVALUE(312)</f>
        <v>3082</v>
      </c>
      <c r="M12" s="138">
        <v>2710039</v>
      </c>
      <c r="N12" s="131">
        <v>3067</v>
      </c>
      <c r="O12" s="134">
        <v>73</v>
      </c>
      <c r="P12" s="134">
        <v>1</v>
      </c>
      <c r="Q12" s="135">
        <v>3141</v>
      </c>
      <c r="R12" s="85" t="s">
        <v>45</v>
      </c>
    </row>
    <row r="13" spans="1:18" ht="15.75" customHeight="1">
      <c r="A13" s="87" t="s">
        <v>129</v>
      </c>
      <c r="B13" s="136">
        <f>_xlfn.COMPOUNDVALUE(313)</f>
        <v>617</v>
      </c>
      <c r="C13" s="137">
        <v>944658</v>
      </c>
      <c r="D13" s="136">
        <f>_xlfn.COMPOUNDVALUE(314)</f>
        <v>711</v>
      </c>
      <c r="E13" s="137">
        <v>178234</v>
      </c>
      <c r="F13" s="136">
        <f>_xlfn.COMPOUNDVALUE(315)</f>
        <v>1328</v>
      </c>
      <c r="G13" s="137">
        <v>1122892</v>
      </c>
      <c r="H13" s="136">
        <f>_xlfn.COMPOUNDVALUE(316)</f>
        <v>45</v>
      </c>
      <c r="I13" s="138">
        <v>363057</v>
      </c>
      <c r="J13" s="136">
        <v>73</v>
      </c>
      <c r="K13" s="138">
        <v>9951</v>
      </c>
      <c r="L13" s="136">
        <f>_xlfn.COMPOUNDVALUE(316)</f>
        <v>1386</v>
      </c>
      <c r="M13" s="138">
        <v>769786</v>
      </c>
      <c r="N13" s="131">
        <v>1330</v>
      </c>
      <c r="O13" s="134">
        <v>31</v>
      </c>
      <c r="P13" s="134">
        <v>1</v>
      </c>
      <c r="Q13" s="135">
        <v>1362</v>
      </c>
      <c r="R13" s="85" t="s">
        <v>46</v>
      </c>
    </row>
    <row r="14" spans="1:18" ht="15.75" customHeight="1">
      <c r="A14" s="87" t="s">
        <v>130</v>
      </c>
      <c r="B14" s="136">
        <f>_xlfn.COMPOUNDVALUE(317)</f>
        <v>2014</v>
      </c>
      <c r="C14" s="137">
        <v>8506923</v>
      </c>
      <c r="D14" s="136">
        <f>_xlfn.COMPOUNDVALUE(318)</f>
        <v>1547</v>
      </c>
      <c r="E14" s="137">
        <v>417957</v>
      </c>
      <c r="F14" s="136">
        <f>_xlfn.COMPOUNDVALUE(319)</f>
        <v>3561</v>
      </c>
      <c r="G14" s="137">
        <v>8924880</v>
      </c>
      <c r="H14" s="136">
        <f>_xlfn.COMPOUNDVALUE(320)</f>
        <v>177</v>
      </c>
      <c r="I14" s="138">
        <v>326654</v>
      </c>
      <c r="J14" s="136">
        <v>149</v>
      </c>
      <c r="K14" s="138">
        <v>15784</v>
      </c>
      <c r="L14" s="136">
        <f>_xlfn.COMPOUNDVALUE(320)</f>
        <v>3794</v>
      </c>
      <c r="M14" s="138">
        <v>8614009</v>
      </c>
      <c r="N14" s="131">
        <v>3654</v>
      </c>
      <c r="O14" s="134">
        <v>96</v>
      </c>
      <c r="P14" s="134">
        <v>7</v>
      </c>
      <c r="Q14" s="135">
        <v>3757</v>
      </c>
      <c r="R14" s="85" t="s">
        <v>47</v>
      </c>
    </row>
    <row r="15" spans="1:18" ht="15.75" customHeight="1">
      <c r="A15" s="87" t="s">
        <v>131</v>
      </c>
      <c r="B15" s="136">
        <f>_xlfn.COMPOUNDVALUE(321)</f>
        <v>1178</v>
      </c>
      <c r="C15" s="137">
        <v>2280131</v>
      </c>
      <c r="D15" s="136">
        <f>_xlfn.COMPOUNDVALUE(322)</f>
        <v>1413</v>
      </c>
      <c r="E15" s="137">
        <v>345785</v>
      </c>
      <c r="F15" s="136">
        <f>_xlfn.COMPOUNDVALUE(323)</f>
        <v>2591</v>
      </c>
      <c r="G15" s="137">
        <v>2625916</v>
      </c>
      <c r="H15" s="136">
        <f>_xlfn.COMPOUNDVALUE(324)</f>
        <v>71</v>
      </c>
      <c r="I15" s="138">
        <v>214033</v>
      </c>
      <c r="J15" s="136">
        <v>127</v>
      </c>
      <c r="K15" s="138">
        <v>10312</v>
      </c>
      <c r="L15" s="136">
        <f>_xlfn.COMPOUNDVALUE(324)</f>
        <v>2703</v>
      </c>
      <c r="M15" s="138">
        <v>2422195</v>
      </c>
      <c r="N15" s="131">
        <v>2666</v>
      </c>
      <c r="O15" s="134">
        <v>48</v>
      </c>
      <c r="P15" s="134">
        <v>0</v>
      </c>
      <c r="Q15" s="135">
        <v>2714</v>
      </c>
      <c r="R15" s="85" t="s">
        <v>48</v>
      </c>
    </row>
    <row r="16" spans="1:18" ht="15.75" customHeight="1">
      <c r="A16" s="87" t="s">
        <v>132</v>
      </c>
      <c r="B16" s="136">
        <f>_xlfn.COMPOUNDVALUE(325)</f>
        <v>1014</v>
      </c>
      <c r="C16" s="137">
        <v>1598851</v>
      </c>
      <c r="D16" s="136">
        <f>_xlfn.COMPOUNDVALUE(326)</f>
        <v>950</v>
      </c>
      <c r="E16" s="137">
        <v>255128</v>
      </c>
      <c r="F16" s="136">
        <f>_xlfn.COMPOUNDVALUE(327)</f>
        <v>1964</v>
      </c>
      <c r="G16" s="137">
        <v>1853979</v>
      </c>
      <c r="H16" s="136">
        <f>_xlfn.COMPOUNDVALUE(328)</f>
        <v>78</v>
      </c>
      <c r="I16" s="138">
        <v>113569</v>
      </c>
      <c r="J16" s="136">
        <v>79</v>
      </c>
      <c r="K16" s="138">
        <v>12985</v>
      </c>
      <c r="L16" s="136">
        <f>_xlfn.COMPOUNDVALUE(328)</f>
        <v>2061</v>
      </c>
      <c r="M16" s="138">
        <v>1753396</v>
      </c>
      <c r="N16" s="131">
        <v>2070</v>
      </c>
      <c r="O16" s="134">
        <v>37</v>
      </c>
      <c r="P16" s="134">
        <v>1</v>
      </c>
      <c r="Q16" s="135">
        <v>2108</v>
      </c>
      <c r="R16" s="85" t="s">
        <v>49</v>
      </c>
    </row>
    <row r="17" spans="1:18" ht="15.75" customHeight="1">
      <c r="A17" s="104" t="s">
        <v>100</v>
      </c>
      <c r="B17" s="139">
        <v>22255</v>
      </c>
      <c r="C17" s="140">
        <v>58091606</v>
      </c>
      <c r="D17" s="139">
        <v>20468</v>
      </c>
      <c r="E17" s="140">
        <v>5784983</v>
      </c>
      <c r="F17" s="139">
        <v>42723</v>
      </c>
      <c r="G17" s="140">
        <v>63876588</v>
      </c>
      <c r="H17" s="139">
        <v>1445</v>
      </c>
      <c r="I17" s="141">
        <v>3253078</v>
      </c>
      <c r="J17" s="139">
        <v>2210</v>
      </c>
      <c r="K17" s="141">
        <v>220894</v>
      </c>
      <c r="L17" s="139">
        <v>44674</v>
      </c>
      <c r="M17" s="141">
        <v>60844403</v>
      </c>
      <c r="N17" s="139">
        <v>44274</v>
      </c>
      <c r="O17" s="142">
        <v>1144</v>
      </c>
      <c r="P17" s="142">
        <v>84</v>
      </c>
      <c r="Q17" s="143">
        <v>45502</v>
      </c>
      <c r="R17" s="105" t="s">
        <v>51</v>
      </c>
    </row>
    <row r="18" spans="1:18" ht="15.75" customHeight="1">
      <c r="A18" s="110"/>
      <c r="B18" s="144"/>
      <c r="C18" s="145"/>
      <c r="D18" s="146"/>
      <c r="E18" s="145"/>
      <c r="F18" s="144"/>
      <c r="G18" s="145"/>
      <c r="H18" s="144"/>
      <c r="I18" s="145"/>
      <c r="J18" s="144"/>
      <c r="K18" s="145"/>
      <c r="L18" s="144"/>
      <c r="M18" s="145"/>
      <c r="N18" s="147"/>
      <c r="O18" s="148"/>
      <c r="P18" s="148"/>
      <c r="Q18" s="149"/>
      <c r="R18" s="107" t="s">
        <v>101</v>
      </c>
    </row>
    <row r="19" spans="1:18" ht="15.75" customHeight="1">
      <c r="A19" s="84" t="s">
        <v>52</v>
      </c>
      <c r="B19" s="131">
        <f>_xlfn.COMPOUNDVALUE(329)</f>
        <v>6170</v>
      </c>
      <c r="C19" s="132">
        <v>21274069</v>
      </c>
      <c r="D19" s="131">
        <f>_xlfn.COMPOUNDVALUE(330)</f>
        <v>4118</v>
      </c>
      <c r="E19" s="132">
        <v>1332409</v>
      </c>
      <c r="F19" s="131">
        <f>_xlfn.COMPOUNDVALUE(331)</f>
        <v>10288</v>
      </c>
      <c r="G19" s="132">
        <v>22606478</v>
      </c>
      <c r="H19" s="131">
        <f>_xlfn.COMPOUNDVALUE(332)</f>
        <v>314</v>
      </c>
      <c r="I19" s="133">
        <v>520925</v>
      </c>
      <c r="J19" s="131">
        <v>640</v>
      </c>
      <c r="K19" s="133">
        <v>128088</v>
      </c>
      <c r="L19" s="131">
        <f>_xlfn.COMPOUNDVALUE(332)</f>
        <v>10792</v>
      </c>
      <c r="M19" s="133">
        <v>22213641</v>
      </c>
      <c r="N19" s="131">
        <v>10815</v>
      </c>
      <c r="O19" s="134">
        <v>210</v>
      </c>
      <c r="P19" s="134">
        <v>13</v>
      </c>
      <c r="Q19" s="135">
        <v>11038</v>
      </c>
      <c r="R19" s="85" t="s">
        <v>52</v>
      </c>
    </row>
    <row r="20" spans="1:18" ht="15.75" customHeight="1">
      <c r="A20" s="84" t="s">
        <v>53</v>
      </c>
      <c r="B20" s="131">
        <f>_xlfn.COMPOUNDVALUE(333)</f>
        <v>2219</v>
      </c>
      <c r="C20" s="132">
        <v>6355615</v>
      </c>
      <c r="D20" s="131">
        <f>_xlfn.COMPOUNDVALUE(334)</f>
        <v>1771</v>
      </c>
      <c r="E20" s="132">
        <v>506903</v>
      </c>
      <c r="F20" s="131">
        <f>_xlfn.COMPOUNDVALUE(335)</f>
        <v>3990</v>
      </c>
      <c r="G20" s="132">
        <v>6862518</v>
      </c>
      <c r="H20" s="131">
        <f>_xlfn.COMPOUNDVALUE(336)</f>
        <v>155</v>
      </c>
      <c r="I20" s="133">
        <v>356292</v>
      </c>
      <c r="J20" s="131">
        <v>144</v>
      </c>
      <c r="K20" s="133">
        <v>18012</v>
      </c>
      <c r="L20" s="131">
        <f>_xlfn.COMPOUNDVALUE(336)</f>
        <v>4189</v>
      </c>
      <c r="M20" s="133">
        <v>6524238</v>
      </c>
      <c r="N20" s="131">
        <v>4252</v>
      </c>
      <c r="O20" s="134">
        <v>146</v>
      </c>
      <c r="P20" s="134">
        <v>7</v>
      </c>
      <c r="Q20" s="135">
        <v>4405</v>
      </c>
      <c r="R20" s="85" t="s">
        <v>53</v>
      </c>
    </row>
    <row r="21" spans="1:18" ht="15.75" customHeight="1">
      <c r="A21" s="87" t="s">
        <v>133</v>
      </c>
      <c r="B21" s="136">
        <f>_xlfn.COMPOUNDVALUE(337)</f>
        <v>1054</v>
      </c>
      <c r="C21" s="137">
        <v>3772578</v>
      </c>
      <c r="D21" s="136">
        <f>_xlfn.COMPOUNDVALUE(338)</f>
        <v>751</v>
      </c>
      <c r="E21" s="137">
        <v>227909</v>
      </c>
      <c r="F21" s="136">
        <f>_xlfn.COMPOUNDVALUE(339)</f>
        <v>1805</v>
      </c>
      <c r="G21" s="137">
        <v>4000487</v>
      </c>
      <c r="H21" s="136">
        <f>_xlfn.COMPOUNDVALUE(340)</f>
        <v>41</v>
      </c>
      <c r="I21" s="138">
        <v>31569</v>
      </c>
      <c r="J21" s="136">
        <v>106</v>
      </c>
      <c r="K21" s="138">
        <v>1439</v>
      </c>
      <c r="L21" s="136">
        <f>_xlfn.COMPOUNDVALUE(340)</f>
        <v>1868</v>
      </c>
      <c r="M21" s="138">
        <v>3970357</v>
      </c>
      <c r="N21" s="131">
        <v>1852</v>
      </c>
      <c r="O21" s="134">
        <v>29</v>
      </c>
      <c r="P21" s="134">
        <v>3</v>
      </c>
      <c r="Q21" s="135">
        <v>1884</v>
      </c>
      <c r="R21" s="85" t="s">
        <v>54</v>
      </c>
    </row>
    <row r="22" spans="1:18" ht="15.75" customHeight="1">
      <c r="A22" s="87" t="s">
        <v>134</v>
      </c>
      <c r="B22" s="136">
        <f>_xlfn.COMPOUNDVALUE(341)</f>
        <v>1443</v>
      </c>
      <c r="C22" s="137">
        <v>2558689</v>
      </c>
      <c r="D22" s="136">
        <f>_xlfn.COMPOUNDVALUE(342)</f>
        <v>1214</v>
      </c>
      <c r="E22" s="137">
        <v>339394</v>
      </c>
      <c r="F22" s="136">
        <f>_xlfn.COMPOUNDVALUE(343)</f>
        <v>2657</v>
      </c>
      <c r="G22" s="137">
        <v>2898083</v>
      </c>
      <c r="H22" s="136">
        <f>_xlfn.COMPOUNDVALUE(344)</f>
        <v>80</v>
      </c>
      <c r="I22" s="138">
        <v>192394</v>
      </c>
      <c r="J22" s="136">
        <v>102</v>
      </c>
      <c r="K22" s="138">
        <v>25741</v>
      </c>
      <c r="L22" s="136">
        <f>_xlfn.COMPOUNDVALUE(344)</f>
        <v>2771</v>
      </c>
      <c r="M22" s="138">
        <v>2731429</v>
      </c>
      <c r="N22" s="131">
        <v>2744</v>
      </c>
      <c r="O22" s="134">
        <v>63</v>
      </c>
      <c r="P22" s="134">
        <v>6</v>
      </c>
      <c r="Q22" s="135">
        <v>2813</v>
      </c>
      <c r="R22" s="85" t="s">
        <v>55</v>
      </c>
    </row>
    <row r="23" spans="1:18" ht="15.75" customHeight="1">
      <c r="A23" s="87" t="s">
        <v>135</v>
      </c>
      <c r="B23" s="136">
        <f>_xlfn.COMPOUNDVALUE(345)</f>
        <v>1112</v>
      </c>
      <c r="C23" s="137">
        <v>2606920</v>
      </c>
      <c r="D23" s="136">
        <f>_xlfn.COMPOUNDVALUE(346)</f>
        <v>741</v>
      </c>
      <c r="E23" s="137">
        <v>209701</v>
      </c>
      <c r="F23" s="136">
        <f>_xlfn.COMPOUNDVALUE(347)</f>
        <v>1853</v>
      </c>
      <c r="G23" s="137">
        <v>2816621</v>
      </c>
      <c r="H23" s="136">
        <f>_xlfn.COMPOUNDVALUE(348)</f>
        <v>79</v>
      </c>
      <c r="I23" s="138">
        <v>110770</v>
      </c>
      <c r="J23" s="136">
        <v>93</v>
      </c>
      <c r="K23" s="138">
        <v>6410</v>
      </c>
      <c r="L23" s="136">
        <f>_xlfn.COMPOUNDVALUE(348)</f>
        <v>1952</v>
      </c>
      <c r="M23" s="138">
        <v>2712262</v>
      </c>
      <c r="N23" s="131">
        <v>1897</v>
      </c>
      <c r="O23" s="134">
        <v>51</v>
      </c>
      <c r="P23" s="134">
        <v>8</v>
      </c>
      <c r="Q23" s="135">
        <v>1956</v>
      </c>
      <c r="R23" s="85" t="s">
        <v>56</v>
      </c>
    </row>
    <row r="24" spans="1:18" ht="15.75" customHeight="1">
      <c r="A24" s="87" t="s">
        <v>136</v>
      </c>
      <c r="B24" s="136">
        <f>_xlfn.COMPOUNDVALUE(349)</f>
        <v>686</v>
      </c>
      <c r="C24" s="137">
        <v>2981370</v>
      </c>
      <c r="D24" s="136">
        <f>_xlfn.COMPOUNDVALUE(350)</f>
        <v>591</v>
      </c>
      <c r="E24" s="137">
        <v>169338</v>
      </c>
      <c r="F24" s="136">
        <f>_xlfn.COMPOUNDVALUE(351)</f>
        <v>1277</v>
      </c>
      <c r="G24" s="137">
        <v>3150707</v>
      </c>
      <c r="H24" s="136">
        <f>_xlfn.COMPOUNDVALUE(352)</f>
        <v>43</v>
      </c>
      <c r="I24" s="138">
        <v>818856</v>
      </c>
      <c r="J24" s="136">
        <v>75</v>
      </c>
      <c r="K24" s="138">
        <v>3227</v>
      </c>
      <c r="L24" s="136">
        <f>_xlfn.COMPOUNDVALUE(352)</f>
        <v>1330</v>
      </c>
      <c r="M24" s="138">
        <v>2335079</v>
      </c>
      <c r="N24" s="131">
        <v>1311</v>
      </c>
      <c r="O24" s="134">
        <v>34</v>
      </c>
      <c r="P24" s="134">
        <v>1</v>
      </c>
      <c r="Q24" s="135">
        <v>1346</v>
      </c>
      <c r="R24" s="85" t="s">
        <v>57</v>
      </c>
    </row>
    <row r="25" spans="1:18" ht="15.75" customHeight="1">
      <c r="A25" s="87" t="s">
        <v>137</v>
      </c>
      <c r="B25" s="136">
        <f>_xlfn.COMPOUNDVALUE(353)</f>
        <v>354</v>
      </c>
      <c r="C25" s="137">
        <v>504108</v>
      </c>
      <c r="D25" s="136">
        <f>_xlfn.COMPOUNDVALUE(354)</f>
        <v>395</v>
      </c>
      <c r="E25" s="137">
        <v>101120</v>
      </c>
      <c r="F25" s="136">
        <f>_xlfn.COMPOUNDVALUE(355)</f>
        <v>749</v>
      </c>
      <c r="G25" s="137">
        <v>605227</v>
      </c>
      <c r="H25" s="136">
        <f>_xlfn.COMPOUNDVALUE(356)</f>
        <v>27</v>
      </c>
      <c r="I25" s="138">
        <v>27573</v>
      </c>
      <c r="J25" s="136">
        <v>68</v>
      </c>
      <c r="K25" s="138">
        <v>3820</v>
      </c>
      <c r="L25" s="136">
        <f>_xlfn.COMPOUNDVALUE(356)</f>
        <v>785</v>
      </c>
      <c r="M25" s="138">
        <v>581475</v>
      </c>
      <c r="N25" s="131">
        <v>737</v>
      </c>
      <c r="O25" s="134">
        <v>21</v>
      </c>
      <c r="P25" s="134">
        <v>1</v>
      </c>
      <c r="Q25" s="135">
        <v>759</v>
      </c>
      <c r="R25" s="85" t="s">
        <v>58</v>
      </c>
    </row>
    <row r="26" spans="1:18" ht="15.75" customHeight="1">
      <c r="A26" s="87" t="s">
        <v>138</v>
      </c>
      <c r="B26" s="136">
        <f>_xlfn.COMPOUNDVALUE(357)</f>
        <v>966</v>
      </c>
      <c r="C26" s="137">
        <v>3750650</v>
      </c>
      <c r="D26" s="136">
        <f>_xlfn.COMPOUNDVALUE(358)</f>
        <v>775</v>
      </c>
      <c r="E26" s="137">
        <v>228571</v>
      </c>
      <c r="F26" s="136">
        <f>_xlfn.COMPOUNDVALUE(359)</f>
        <v>1741</v>
      </c>
      <c r="G26" s="137">
        <v>3979220</v>
      </c>
      <c r="H26" s="136">
        <f>_xlfn.COMPOUNDVALUE(360)</f>
        <v>104</v>
      </c>
      <c r="I26" s="138">
        <v>173801</v>
      </c>
      <c r="J26" s="136">
        <v>76</v>
      </c>
      <c r="K26" s="138">
        <v>4159</v>
      </c>
      <c r="L26" s="136">
        <f>_xlfn.COMPOUNDVALUE(360)</f>
        <v>1856</v>
      </c>
      <c r="M26" s="138">
        <v>3809578</v>
      </c>
      <c r="N26" s="131">
        <v>1802</v>
      </c>
      <c r="O26" s="134">
        <v>74</v>
      </c>
      <c r="P26" s="134">
        <v>8</v>
      </c>
      <c r="Q26" s="135">
        <v>1884</v>
      </c>
      <c r="R26" s="85" t="s">
        <v>59</v>
      </c>
    </row>
    <row r="27" spans="1:18" ht="15.75" customHeight="1">
      <c r="A27" s="87" t="s">
        <v>139</v>
      </c>
      <c r="B27" s="136">
        <f>_xlfn.COMPOUNDVALUE(361)</f>
        <v>374</v>
      </c>
      <c r="C27" s="137">
        <v>518771</v>
      </c>
      <c r="D27" s="136">
        <f>_xlfn.COMPOUNDVALUE(362)</f>
        <v>350</v>
      </c>
      <c r="E27" s="137">
        <v>101953</v>
      </c>
      <c r="F27" s="136">
        <f>_xlfn.COMPOUNDVALUE(363)</f>
        <v>724</v>
      </c>
      <c r="G27" s="137">
        <v>620725</v>
      </c>
      <c r="H27" s="136">
        <f>_xlfn.COMPOUNDVALUE(364)</f>
        <v>21</v>
      </c>
      <c r="I27" s="138">
        <v>57144</v>
      </c>
      <c r="J27" s="136">
        <v>55</v>
      </c>
      <c r="K27" s="138">
        <v>4041</v>
      </c>
      <c r="L27" s="136">
        <f>_xlfn.COMPOUNDVALUE(364)</f>
        <v>762</v>
      </c>
      <c r="M27" s="138">
        <v>567621</v>
      </c>
      <c r="N27" s="131">
        <v>743</v>
      </c>
      <c r="O27" s="134">
        <v>16</v>
      </c>
      <c r="P27" s="134">
        <v>0</v>
      </c>
      <c r="Q27" s="135">
        <v>759</v>
      </c>
      <c r="R27" s="85" t="s">
        <v>60</v>
      </c>
    </row>
    <row r="28" spans="1:18" ht="15.75" customHeight="1">
      <c r="A28" s="104" t="s">
        <v>61</v>
      </c>
      <c r="B28" s="139">
        <v>14378</v>
      </c>
      <c r="C28" s="140">
        <v>44322770</v>
      </c>
      <c r="D28" s="139">
        <v>10706</v>
      </c>
      <c r="E28" s="140">
        <v>3217297</v>
      </c>
      <c r="F28" s="139">
        <v>25084</v>
      </c>
      <c r="G28" s="140">
        <v>47540067</v>
      </c>
      <c r="H28" s="139">
        <v>864</v>
      </c>
      <c r="I28" s="141">
        <v>2289322</v>
      </c>
      <c r="J28" s="139">
        <v>1359</v>
      </c>
      <c r="K28" s="141">
        <v>194936</v>
      </c>
      <c r="L28" s="139">
        <v>26305</v>
      </c>
      <c r="M28" s="141">
        <v>45445680</v>
      </c>
      <c r="N28" s="139">
        <v>26153</v>
      </c>
      <c r="O28" s="142">
        <v>644</v>
      </c>
      <c r="P28" s="142">
        <v>47</v>
      </c>
      <c r="Q28" s="143">
        <v>26844</v>
      </c>
      <c r="R28" s="105" t="s">
        <v>62</v>
      </c>
    </row>
    <row r="29" spans="1:18" ht="15.75" customHeight="1">
      <c r="A29" s="110"/>
      <c r="B29" s="144"/>
      <c r="C29" s="145"/>
      <c r="D29" s="146"/>
      <c r="E29" s="145"/>
      <c r="F29" s="144"/>
      <c r="G29" s="145"/>
      <c r="H29" s="144"/>
      <c r="I29" s="145"/>
      <c r="J29" s="144"/>
      <c r="K29" s="145"/>
      <c r="L29" s="144"/>
      <c r="M29" s="145"/>
      <c r="N29" s="147"/>
      <c r="O29" s="148"/>
      <c r="P29" s="148"/>
      <c r="Q29" s="149"/>
      <c r="R29" s="107" t="s">
        <v>101</v>
      </c>
    </row>
    <row r="30" spans="1:18" ht="15.75" customHeight="1">
      <c r="A30" s="84" t="s">
        <v>140</v>
      </c>
      <c r="B30" s="131">
        <f>_xlfn.COMPOUNDVALUE(365)</f>
        <v>5077</v>
      </c>
      <c r="C30" s="132">
        <v>14557194</v>
      </c>
      <c r="D30" s="131">
        <f>_xlfn.COMPOUNDVALUE(366)</f>
        <v>4374</v>
      </c>
      <c r="E30" s="132">
        <v>1281799</v>
      </c>
      <c r="F30" s="131">
        <f>_xlfn.COMPOUNDVALUE(367)</f>
        <v>9451</v>
      </c>
      <c r="G30" s="132">
        <v>15838992</v>
      </c>
      <c r="H30" s="131">
        <f>_xlfn.COMPOUNDVALUE(368)</f>
        <v>269</v>
      </c>
      <c r="I30" s="133">
        <v>902596</v>
      </c>
      <c r="J30" s="131">
        <v>587</v>
      </c>
      <c r="K30" s="133">
        <v>81617</v>
      </c>
      <c r="L30" s="131">
        <f>_xlfn.COMPOUNDVALUE(368)</f>
        <v>9840</v>
      </c>
      <c r="M30" s="133">
        <v>15018013</v>
      </c>
      <c r="N30" s="131">
        <v>10474</v>
      </c>
      <c r="O30" s="134">
        <v>181</v>
      </c>
      <c r="P30" s="134">
        <v>24</v>
      </c>
      <c r="Q30" s="135">
        <v>10679</v>
      </c>
      <c r="R30" s="85" t="s">
        <v>63</v>
      </c>
    </row>
    <row r="31" spans="1:18" ht="15.75" customHeight="1">
      <c r="A31" s="87" t="s">
        <v>141</v>
      </c>
      <c r="B31" s="136">
        <f>_xlfn.COMPOUNDVALUE(369)</f>
        <v>2762</v>
      </c>
      <c r="C31" s="137">
        <v>6935574</v>
      </c>
      <c r="D31" s="136">
        <f>_xlfn.COMPOUNDVALUE(370)</f>
        <v>1739</v>
      </c>
      <c r="E31" s="137">
        <v>510480</v>
      </c>
      <c r="F31" s="136">
        <f>_xlfn.COMPOUNDVALUE(371)</f>
        <v>4501</v>
      </c>
      <c r="G31" s="137">
        <v>7446055</v>
      </c>
      <c r="H31" s="136">
        <f>_xlfn.COMPOUNDVALUE(372)</f>
        <v>193</v>
      </c>
      <c r="I31" s="138">
        <v>206703</v>
      </c>
      <c r="J31" s="136">
        <v>258</v>
      </c>
      <c r="K31" s="138">
        <v>46079</v>
      </c>
      <c r="L31" s="136">
        <f>_xlfn.COMPOUNDVALUE(372)</f>
        <v>4751</v>
      </c>
      <c r="M31" s="138">
        <v>7285430</v>
      </c>
      <c r="N31" s="131">
        <v>4752</v>
      </c>
      <c r="O31" s="134">
        <v>120</v>
      </c>
      <c r="P31" s="134">
        <v>9</v>
      </c>
      <c r="Q31" s="135">
        <v>4881</v>
      </c>
      <c r="R31" s="85" t="s">
        <v>64</v>
      </c>
    </row>
    <row r="32" spans="1:18" ht="15.75" customHeight="1">
      <c r="A32" s="87" t="s">
        <v>142</v>
      </c>
      <c r="B32" s="136">
        <f>_xlfn.COMPOUNDVALUE(373)</f>
        <v>3112</v>
      </c>
      <c r="C32" s="137">
        <v>6313605</v>
      </c>
      <c r="D32" s="136">
        <f>_xlfn.COMPOUNDVALUE(374)</f>
        <v>2155</v>
      </c>
      <c r="E32" s="137">
        <v>656509</v>
      </c>
      <c r="F32" s="136">
        <f>_xlfn.COMPOUNDVALUE(375)</f>
        <v>5267</v>
      </c>
      <c r="G32" s="137">
        <v>6970115</v>
      </c>
      <c r="H32" s="136">
        <f>_xlfn.COMPOUNDVALUE(376)</f>
        <v>167</v>
      </c>
      <c r="I32" s="138">
        <v>207023</v>
      </c>
      <c r="J32" s="136">
        <v>180</v>
      </c>
      <c r="K32" s="138">
        <v>17510</v>
      </c>
      <c r="L32" s="136">
        <f>_xlfn.COMPOUNDVALUE(376)</f>
        <v>5476</v>
      </c>
      <c r="M32" s="138">
        <v>6780602</v>
      </c>
      <c r="N32" s="131">
        <v>5424</v>
      </c>
      <c r="O32" s="134">
        <v>78</v>
      </c>
      <c r="P32" s="134">
        <v>11</v>
      </c>
      <c r="Q32" s="135">
        <v>5513</v>
      </c>
      <c r="R32" s="85" t="s">
        <v>65</v>
      </c>
    </row>
    <row r="33" spans="1:18" ht="15.75" customHeight="1">
      <c r="A33" s="87" t="s">
        <v>143</v>
      </c>
      <c r="B33" s="136">
        <f>_xlfn.COMPOUNDVALUE(377)</f>
        <v>887</v>
      </c>
      <c r="C33" s="137">
        <v>1696785</v>
      </c>
      <c r="D33" s="136">
        <f>_xlfn.COMPOUNDVALUE(378)</f>
        <v>981</v>
      </c>
      <c r="E33" s="137">
        <v>263094</v>
      </c>
      <c r="F33" s="136">
        <f>_xlfn.COMPOUNDVALUE(379)</f>
        <v>1868</v>
      </c>
      <c r="G33" s="137">
        <v>1959879</v>
      </c>
      <c r="H33" s="136">
        <f>_xlfn.COMPOUNDVALUE(380)</f>
        <v>84</v>
      </c>
      <c r="I33" s="138">
        <v>120240</v>
      </c>
      <c r="J33" s="136">
        <v>118</v>
      </c>
      <c r="K33" s="138">
        <v>-10369</v>
      </c>
      <c r="L33" s="136">
        <f>_xlfn.COMPOUNDVALUE(380)</f>
        <v>1973</v>
      </c>
      <c r="M33" s="138">
        <v>1829270</v>
      </c>
      <c r="N33" s="131">
        <v>1931</v>
      </c>
      <c r="O33" s="134">
        <v>54</v>
      </c>
      <c r="P33" s="134">
        <v>0</v>
      </c>
      <c r="Q33" s="135">
        <v>1985</v>
      </c>
      <c r="R33" s="85" t="s">
        <v>66</v>
      </c>
    </row>
    <row r="34" spans="1:18" ht="15.75" customHeight="1">
      <c r="A34" s="87" t="s">
        <v>144</v>
      </c>
      <c r="B34" s="136">
        <f>_xlfn.COMPOUNDVALUE(381)</f>
        <v>1115</v>
      </c>
      <c r="C34" s="137">
        <v>1459603</v>
      </c>
      <c r="D34" s="136">
        <f>_xlfn.COMPOUNDVALUE(382)</f>
        <v>896</v>
      </c>
      <c r="E34" s="137">
        <v>250851</v>
      </c>
      <c r="F34" s="136">
        <f>_xlfn.COMPOUNDVALUE(383)</f>
        <v>2011</v>
      </c>
      <c r="G34" s="137">
        <v>1710454</v>
      </c>
      <c r="H34" s="136">
        <f>_xlfn.COMPOUNDVALUE(384)</f>
        <v>111</v>
      </c>
      <c r="I34" s="138">
        <v>172312</v>
      </c>
      <c r="J34" s="136">
        <v>98</v>
      </c>
      <c r="K34" s="138">
        <v>11212</v>
      </c>
      <c r="L34" s="136">
        <f>_xlfn.COMPOUNDVALUE(384)</f>
        <v>2137</v>
      </c>
      <c r="M34" s="138">
        <v>1549354</v>
      </c>
      <c r="N34" s="131">
        <v>2153</v>
      </c>
      <c r="O34" s="134">
        <v>51</v>
      </c>
      <c r="P34" s="134">
        <v>3</v>
      </c>
      <c r="Q34" s="135">
        <v>2207</v>
      </c>
      <c r="R34" s="85" t="s">
        <v>67</v>
      </c>
    </row>
    <row r="35" spans="1:18" ht="15.75" customHeight="1">
      <c r="A35" s="87" t="s">
        <v>145</v>
      </c>
      <c r="B35" s="136">
        <f>_xlfn.COMPOUNDVALUE(385)</f>
        <v>1283</v>
      </c>
      <c r="C35" s="137">
        <v>2415267</v>
      </c>
      <c r="D35" s="136">
        <f>_xlfn.COMPOUNDVALUE(386)</f>
        <v>1703</v>
      </c>
      <c r="E35" s="137">
        <v>405754</v>
      </c>
      <c r="F35" s="136">
        <f>_xlfn.COMPOUNDVALUE(387)</f>
        <v>2986</v>
      </c>
      <c r="G35" s="137">
        <v>2821021</v>
      </c>
      <c r="H35" s="136">
        <f>_xlfn.COMPOUNDVALUE(388)</f>
        <v>128</v>
      </c>
      <c r="I35" s="138">
        <v>380176</v>
      </c>
      <c r="J35" s="136">
        <v>157</v>
      </c>
      <c r="K35" s="138">
        <v>-1989</v>
      </c>
      <c r="L35" s="136">
        <f>_xlfn.COMPOUNDVALUE(388)</f>
        <v>3155</v>
      </c>
      <c r="M35" s="138">
        <v>2438856</v>
      </c>
      <c r="N35" s="131">
        <v>3267</v>
      </c>
      <c r="O35" s="134">
        <v>86</v>
      </c>
      <c r="P35" s="134">
        <v>7</v>
      </c>
      <c r="Q35" s="135">
        <v>3360</v>
      </c>
      <c r="R35" s="85" t="s">
        <v>68</v>
      </c>
    </row>
    <row r="36" spans="1:18" ht="15.75" customHeight="1">
      <c r="A36" s="104" t="s">
        <v>69</v>
      </c>
      <c r="B36" s="139">
        <v>14236</v>
      </c>
      <c r="C36" s="140">
        <v>33378028</v>
      </c>
      <c r="D36" s="139">
        <v>11848</v>
      </c>
      <c r="E36" s="140">
        <v>3368487</v>
      </c>
      <c r="F36" s="139">
        <v>26084</v>
      </c>
      <c r="G36" s="140">
        <v>36746515</v>
      </c>
      <c r="H36" s="139">
        <v>952</v>
      </c>
      <c r="I36" s="141">
        <v>1989051</v>
      </c>
      <c r="J36" s="139">
        <v>1398</v>
      </c>
      <c r="K36" s="141">
        <v>144062</v>
      </c>
      <c r="L36" s="139">
        <v>27332</v>
      </c>
      <c r="M36" s="141">
        <v>34901526</v>
      </c>
      <c r="N36" s="139">
        <v>28001</v>
      </c>
      <c r="O36" s="142">
        <v>570</v>
      </c>
      <c r="P36" s="142">
        <v>54</v>
      </c>
      <c r="Q36" s="143">
        <v>28625</v>
      </c>
      <c r="R36" s="105" t="s">
        <v>70</v>
      </c>
    </row>
    <row r="37" spans="1:18" ht="15.75" customHeight="1">
      <c r="A37" s="110"/>
      <c r="B37" s="146"/>
      <c r="C37" s="145"/>
      <c r="D37" s="146"/>
      <c r="E37" s="145"/>
      <c r="F37" s="144"/>
      <c r="G37" s="145"/>
      <c r="H37" s="144"/>
      <c r="I37" s="145"/>
      <c r="J37" s="144"/>
      <c r="K37" s="145"/>
      <c r="L37" s="144"/>
      <c r="M37" s="145"/>
      <c r="N37" s="147"/>
      <c r="O37" s="148"/>
      <c r="P37" s="148"/>
      <c r="Q37" s="149"/>
      <c r="R37" s="107" t="s">
        <v>101</v>
      </c>
    </row>
    <row r="38" spans="1:18" ht="15.75" customHeight="1">
      <c r="A38" s="84" t="s">
        <v>71</v>
      </c>
      <c r="B38" s="131">
        <f>_xlfn.COMPOUNDVALUE(389)</f>
        <v>7783</v>
      </c>
      <c r="C38" s="132">
        <v>28868111</v>
      </c>
      <c r="D38" s="131">
        <f>_xlfn.COMPOUNDVALUE(390)</f>
        <v>5090</v>
      </c>
      <c r="E38" s="132">
        <v>1605700</v>
      </c>
      <c r="F38" s="131">
        <f>_xlfn.COMPOUNDVALUE(391)</f>
        <v>12873</v>
      </c>
      <c r="G38" s="132">
        <v>30473811</v>
      </c>
      <c r="H38" s="131">
        <f>_xlfn.COMPOUNDVALUE(392)</f>
        <v>421</v>
      </c>
      <c r="I38" s="133">
        <v>1682809</v>
      </c>
      <c r="J38" s="131">
        <v>777</v>
      </c>
      <c r="K38" s="133">
        <v>86997</v>
      </c>
      <c r="L38" s="131">
        <f>_xlfn.COMPOUNDVALUE(392)</f>
        <v>13498</v>
      </c>
      <c r="M38" s="133">
        <v>28877999</v>
      </c>
      <c r="N38" s="131">
        <v>13501</v>
      </c>
      <c r="O38" s="134">
        <v>317</v>
      </c>
      <c r="P38" s="134">
        <v>55</v>
      </c>
      <c r="Q38" s="135">
        <v>13873</v>
      </c>
      <c r="R38" s="85" t="s">
        <v>72</v>
      </c>
    </row>
    <row r="39" spans="1:18" ht="15.75" customHeight="1">
      <c r="A39" s="84" t="s">
        <v>146</v>
      </c>
      <c r="B39" s="131">
        <f>_xlfn.COMPOUNDVALUE(393)</f>
        <v>1298</v>
      </c>
      <c r="C39" s="132">
        <v>2603060</v>
      </c>
      <c r="D39" s="131">
        <f>_xlfn.COMPOUNDVALUE(394)</f>
        <v>1030</v>
      </c>
      <c r="E39" s="132">
        <v>291115</v>
      </c>
      <c r="F39" s="131">
        <f>_xlfn.COMPOUNDVALUE(395)</f>
        <v>2328</v>
      </c>
      <c r="G39" s="132">
        <v>2894175</v>
      </c>
      <c r="H39" s="131">
        <f>_xlfn.COMPOUNDVALUE(396)</f>
        <v>86</v>
      </c>
      <c r="I39" s="133">
        <v>80152</v>
      </c>
      <c r="J39" s="131">
        <v>102</v>
      </c>
      <c r="K39" s="133">
        <v>2850</v>
      </c>
      <c r="L39" s="131">
        <f>_xlfn.COMPOUNDVALUE(396)</f>
        <v>2435</v>
      </c>
      <c r="M39" s="133">
        <v>2816872</v>
      </c>
      <c r="N39" s="131">
        <v>2415</v>
      </c>
      <c r="O39" s="134">
        <v>77</v>
      </c>
      <c r="P39" s="134">
        <v>4</v>
      </c>
      <c r="Q39" s="135">
        <v>2496</v>
      </c>
      <c r="R39" s="85" t="s">
        <v>73</v>
      </c>
    </row>
    <row r="40" spans="1:18" ht="15.75" customHeight="1">
      <c r="A40" s="84" t="s">
        <v>147</v>
      </c>
      <c r="B40" s="131">
        <f>_xlfn.COMPOUNDVALUE(397)</f>
        <v>2157</v>
      </c>
      <c r="C40" s="132">
        <v>3873015</v>
      </c>
      <c r="D40" s="131">
        <f>_xlfn.COMPOUNDVALUE(398)</f>
        <v>1536</v>
      </c>
      <c r="E40" s="132">
        <v>426632</v>
      </c>
      <c r="F40" s="131">
        <f>_xlfn.COMPOUNDVALUE(399)</f>
        <v>3693</v>
      </c>
      <c r="G40" s="132">
        <v>4299647</v>
      </c>
      <c r="H40" s="131">
        <f>_xlfn.COMPOUNDVALUE(400)</f>
        <v>190</v>
      </c>
      <c r="I40" s="133">
        <v>249047</v>
      </c>
      <c r="J40" s="131">
        <v>115</v>
      </c>
      <c r="K40" s="133">
        <v>17469</v>
      </c>
      <c r="L40" s="131">
        <f>_xlfn.COMPOUNDVALUE(400)</f>
        <v>3908</v>
      </c>
      <c r="M40" s="133">
        <v>4068069</v>
      </c>
      <c r="N40" s="131">
        <v>3918</v>
      </c>
      <c r="O40" s="134">
        <v>95</v>
      </c>
      <c r="P40" s="134">
        <v>4</v>
      </c>
      <c r="Q40" s="135">
        <v>4017</v>
      </c>
      <c r="R40" s="85" t="s">
        <v>74</v>
      </c>
    </row>
    <row r="41" spans="1:18" ht="15.75" customHeight="1">
      <c r="A41" s="84" t="s">
        <v>148</v>
      </c>
      <c r="B41" s="131">
        <f>_xlfn.COMPOUNDVALUE(401)</f>
        <v>1684</v>
      </c>
      <c r="C41" s="132">
        <v>2317608</v>
      </c>
      <c r="D41" s="131">
        <f>_xlfn.COMPOUNDVALUE(402)</f>
        <v>1036</v>
      </c>
      <c r="E41" s="132">
        <v>290971</v>
      </c>
      <c r="F41" s="131">
        <f>_xlfn.COMPOUNDVALUE(403)</f>
        <v>2720</v>
      </c>
      <c r="G41" s="132">
        <v>2608580</v>
      </c>
      <c r="H41" s="131">
        <f>_xlfn.COMPOUNDVALUE(404)</f>
        <v>83</v>
      </c>
      <c r="I41" s="133">
        <v>79368</v>
      </c>
      <c r="J41" s="131">
        <v>168</v>
      </c>
      <c r="K41" s="133">
        <v>26425</v>
      </c>
      <c r="L41" s="131">
        <f>_xlfn.COMPOUNDVALUE(404)</f>
        <v>2849</v>
      </c>
      <c r="M41" s="133">
        <v>2555637</v>
      </c>
      <c r="N41" s="131">
        <v>2842</v>
      </c>
      <c r="O41" s="134">
        <v>62</v>
      </c>
      <c r="P41" s="134">
        <v>5</v>
      </c>
      <c r="Q41" s="135">
        <v>2909</v>
      </c>
      <c r="R41" s="85" t="s">
        <v>75</v>
      </c>
    </row>
    <row r="42" spans="1:18" ht="15.75" customHeight="1">
      <c r="A42" s="87" t="s">
        <v>149</v>
      </c>
      <c r="B42" s="136">
        <f>_xlfn.COMPOUNDVALUE(405)</f>
        <v>1282</v>
      </c>
      <c r="C42" s="137">
        <v>2578301</v>
      </c>
      <c r="D42" s="136">
        <f>_xlfn.COMPOUNDVALUE(406)</f>
        <v>812</v>
      </c>
      <c r="E42" s="137">
        <v>218788</v>
      </c>
      <c r="F42" s="136">
        <f>_xlfn.COMPOUNDVALUE(407)</f>
        <v>2094</v>
      </c>
      <c r="G42" s="137">
        <v>2797089</v>
      </c>
      <c r="H42" s="136">
        <f>_xlfn.COMPOUNDVALUE(408)</f>
        <v>163</v>
      </c>
      <c r="I42" s="138">
        <v>169302</v>
      </c>
      <c r="J42" s="136">
        <v>135</v>
      </c>
      <c r="K42" s="138">
        <v>-1998</v>
      </c>
      <c r="L42" s="136">
        <f>_xlfn.COMPOUNDVALUE(408)</f>
        <v>2278</v>
      </c>
      <c r="M42" s="138">
        <v>2625789</v>
      </c>
      <c r="N42" s="131">
        <v>2136</v>
      </c>
      <c r="O42" s="134">
        <v>87</v>
      </c>
      <c r="P42" s="134">
        <v>4</v>
      </c>
      <c r="Q42" s="135">
        <v>2227</v>
      </c>
      <c r="R42" s="85" t="s">
        <v>76</v>
      </c>
    </row>
    <row r="43" spans="1:18" ht="15.75" customHeight="1">
      <c r="A43" s="87" t="s">
        <v>150</v>
      </c>
      <c r="B43" s="136">
        <f>_xlfn.COMPOUNDVALUE(409)</f>
        <v>541</v>
      </c>
      <c r="C43" s="137">
        <v>928436</v>
      </c>
      <c r="D43" s="136">
        <f>_xlfn.COMPOUNDVALUE(410)</f>
        <v>603</v>
      </c>
      <c r="E43" s="137">
        <v>153883</v>
      </c>
      <c r="F43" s="136">
        <f>_xlfn.COMPOUNDVALUE(411)</f>
        <v>1144</v>
      </c>
      <c r="G43" s="137">
        <v>1082319</v>
      </c>
      <c r="H43" s="136">
        <f>_xlfn.COMPOUNDVALUE(412)</f>
        <v>43</v>
      </c>
      <c r="I43" s="138">
        <v>65524</v>
      </c>
      <c r="J43" s="136">
        <v>54</v>
      </c>
      <c r="K43" s="138">
        <v>4457</v>
      </c>
      <c r="L43" s="136">
        <f>_xlfn.COMPOUNDVALUE(412)</f>
        <v>1195</v>
      </c>
      <c r="M43" s="138">
        <v>1021252</v>
      </c>
      <c r="N43" s="136">
        <v>1193</v>
      </c>
      <c r="O43" s="150">
        <v>23</v>
      </c>
      <c r="P43" s="150">
        <v>2</v>
      </c>
      <c r="Q43" s="151">
        <v>1218</v>
      </c>
      <c r="R43" s="88" t="s">
        <v>77</v>
      </c>
    </row>
    <row r="44" spans="1:18" ht="15.75" customHeight="1">
      <c r="A44" s="87" t="s">
        <v>78</v>
      </c>
      <c r="B44" s="136">
        <f>_xlfn.COMPOUNDVALUE(413)</f>
        <v>640</v>
      </c>
      <c r="C44" s="137">
        <v>905913</v>
      </c>
      <c r="D44" s="136">
        <f>_xlfn.COMPOUNDVALUE(414)</f>
        <v>575</v>
      </c>
      <c r="E44" s="137">
        <v>149543</v>
      </c>
      <c r="F44" s="136">
        <f>_xlfn.COMPOUNDVALUE(415)</f>
        <v>1215</v>
      </c>
      <c r="G44" s="137">
        <v>1055456</v>
      </c>
      <c r="H44" s="136">
        <f>_xlfn.COMPOUNDVALUE(416)</f>
        <v>40</v>
      </c>
      <c r="I44" s="138">
        <v>24636</v>
      </c>
      <c r="J44" s="136">
        <v>70</v>
      </c>
      <c r="K44" s="138">
        <v>183</v>
      </c>
      <c r="L44" s="136">
        <f>_xlfn.COMPOUNDVALUE(416)</f>
        <v>1265</v>
      </c>
      <c r="M44" s="138">
        <v>1031003</v>
      </c>
      <c r="N44" s="136">
        <v>1209</v>
      </c>
      <c r="O44" s="150">
        <v>27</v>
      </c>
      <c r="P44" s="150">
        <v>6</v>
      </c>
      <c r="Q44" s="151">
        <v>1242</v>
      </c>
      <c r="R44" s="88" t="s">
        <v>79</v>
      </c>
    </row>
    <row r="45" spans="1:18" ht="15.75" customHeight="1">
      <c r="A45" s="87" t="s">
        <v>151</v>
      </c>
      <c r="B45" s="136">
        <f>_xlfn.COMPOUNDVALUE(417)</f>
        <v>1262</v>
      </c>
      <c r="C45" s="137">
        <v>2419721</v>
      </c>
      <c r="D45" s="136">
        <f>_xlfn.COMPOUNDVALUE(418)</f>
        <v>1412</v>
      </c>
      <c r="E45" s="137">
        <v>372670</v>
      </c>
      <c r="F45" s="136">
        <f>_xlfn.COMPOUNDVALUE(419)</f>
        <v>2674</v>
      </c>
      <c r="G45" s="137">
        <v>2792391</v>
      </c>
      <c r="H45" s="136">
        <f>_xlfn.COMPOUNDVALUE(420)</f>
        <v>95</v>
      </c>
      <c r="I45" s="138">
        <v>155184</v>
      </c>
      <c r="J45" s="136">
        <v>149</v>
      </c>
      <c r="K45" s="138">
        <v>11284</v>
      </c>
      <c r="L45" s="136">
        <f>_xlfn.COMPOUNDVALUE(420)</f>
        <v>2788</v>
      </c>
      <c r="M45" s="138">
        <v>2648491</v>
      </c>
      <c r="N45" s="136">
        <v>2766</v>
      </c>
      <c r="O45" s="150">
        <v>64</v>
      </c>
      <c r="P45" s="150">
        <v>5</v>
      </c>
      <c r="Q45" s="151">
        <v>2835</v>
      </c>
      <c r="R45" s="88" t="s">
        <v>80</v>
      </c>
    </row>
    <row r="46" spans="1:18" ht="15.75" customHeight="1">
      <c r="A46" s="87" t="s">
        <v>81</v>
      </c>
      <c r="B46" s="136">
        <f>_xlfn.COMPOUNDVALUE(421)</f>
        <v>837</v>
      </c>
      <c r="C46" s="137">
        <v>2606739</v>
      </c>
      <c r="D46" s="136">
        <f>_xlfn.COMPOUNDVALUE(422)</f>
        <v>633</v>
      </c>
      <c r="E46" s="137">
        <v>186220</v>
      </c>
      <c r="F46" s="136">
        <f>_xlfn.COMPOUNDVALUE(423)</f>
        <v>1470</v>
      </c>
      <c r="G46" s="137">
        <v>2792959</v>
      </c>
      <c r="H46" s="136">
        <f>_xlfn.COMPOUNDVALUE(424)</f>
        <v>66</v>
      </c>
      <c r="I46" s="138">
        <v>110993</v>
      </c>
      <c r="J46" s="136">
        <v>82</v>
      </c>
      <c r="K46" s="138">
        <v>-30475</v>
      </c>
      <c r="L46" s="136">
        <f>_xlfn.COMPOUNDVALUE(424)</f>
        <v>1557</v>
      </c>
      <c r="M46" s="138">
        <v>2651491</v>
      </c>
      <c r="N46" s="136">
        <v>1494</v>
      </c>
      <c r="O46" s="150">
        <v>35</v>
      </c>
      <c r="P46" s="150">
        <v>5</v>
      </c>
      <c r="Q46" s="151">
        <v>1534</v>
      </c>
      <c r="R46" s="88" t="s">
        <v>82</v>
      </c>
    </row>
    <row r="47" spans="1:18" ht="15.75" customHeight="1">
      <c r="A47" s="87" t="s">
        <v>83</v>
      </c>
      <c r="B47" s="136">
        <f>_xlfn.COMPOUNDVALUE(425)</f>
        <v>2050</v>
      </c>
      <c r="C47" s="137">
        <v>5141333</v>
      </c>
      <c r="D47" s="136">
        <f>_xlfn.COMPOUNDVALUE(426)</f>
        <v>1663</v>
      </c>
      <c r="E47" s="137">
        <v>495362</v>
      </c>
      <c r="F47" s="136">
        <f>_xlfn.COMPOUNDVALUE(427)</f>
        <v>3713</v>
      </c>
      <c r="G47" s="137">
        <v>5636695</v>
      </c>
      <c r="H47" s="136">
        <f>_xlfn.COMPOUNDVALUE(428)</f>
        <v>128</v>
      </c>
      <c r="I47" s="138">
        <v>171356</v>
      </c>
      <c r="J47" s="136">
        <v>235</v>
      </c>
      <c r="K47" s="138">
        <v>33172</v>
      </c>
      <c r="L47" s="136">
        <f>_xlfn.COMPOUNDVALUE(428)</f>
        <v>3907</v>
      </c>
      <c r="M47" s="138">
        <v>5498511</v>
      </c>
      <c r="N47" s="136">
        <v>3894</v>
      </c>
      <c r="O47" s="150">
        <v>110</v>
      </c>
      <c r="P47" s="150">
        <v>11</v>
      </c>
      <c r="Q47" s="151">
        <v>4015</v>
      </c>
      <c r="R47" s="88" t="s">
        <v>84</v>
      </c>
    </row>
    <row r="48" spans="1:18" ht="15.75" customHeight="1">
      <c r="A48" s="87" t="s">
        <v>152</v>
      </c>
      <c r="B48" s="136">
        <f>_xlfn.COMPOUNDVALUE(429)</f>
        <v>1216</v>
      </c>
      <c r="C48" s="137">
        <v>2360785</v>
      </c>
      <c r="D48" s="136">
        <f>_xlfn.COMPOUNDVALUE(430)</f>
        <v>1074</v>
      </c>
      <c r="E48" s="137">
        <v>289490</v>
      </c>
      <c r="F48" s="136">
        <f>_xlfn.COMPOUNDVALUE(431)</f>
        <v>2290</v>
      </c>
      <c r="G48" s="137">
        <v>2650275</v>
      </c>
      <c r="H48" s="136">
        <f>_xlfn.COMPOUNDVALUE(432)</f>
        <v>104</v>
      </c>
      <c r="I48" s="138">
        <v>199591</v>
      </c>
      <c r="J48" s="136">
        <v>97</v>
      </c>
      <c r="K48" s="138">
        <v>21183</v>
      </c>
      <c r="L48" s="136">
        <f>_xlfn.COMPOUNDVALUE(432)</f>
        <v>2415</v>
      </c>
      <c r="M48" s="138">
        <v>2471867</v>
      </c>
      <c r="N48" s="136">
        <v>2415</v>
      </c>
      <c r="O48" s="150">
        <v>65</v>
      </c>
      <c r="P48" s="150">
        <v>4</v>
      </c>
      <c r="Q48" s="151">
        <v>2484</v>
      </c>
      <c r="R48" s="88" t="s">
        <v>85</v>
      </c>
    </row>
    <row r="49" spans="1:18" s="86" customFormat="1" ht="15.75" customHeight="1">
      <c r="A49" s="104" t="s">
        <v>86</v>
      </c>
      <c r="B49" s="139">
        <v>20750</v>
      </c>
      <c r="C49" s="140">
        <v>54603022</v>
      </c>
      <c r="D49" s="139">
        <v>15464</v>
      </c>
      <c r="E49" s="140">
        <v>4480374</v>
      </c>
      <c r="F49" s="139">
        <v>36214</v>
      </c>
      <c r="G49" s="140">
        <v>59083396</v>
      </c>
      <c r="H49" s="139">
        <v>1419</v>
      </c>
      <c r="I49" s="141">
        <v>2987963</v>
      </c>
      <c r="J49" s="139">
        <v>1984</v>
      </c>
      <c r="K49" s="141">
        <v>171548</v>
      </c>
      <c r="L49" s="139">
        <v>38095</v>
      </c>
      <c r="M49" s="141">
        <v>56266980</v>
      </c>
      <c r="N49" s="139">
        <v>37783</v>
      </c>
      <c r="O49" s="142">
        <v>962</v>
      </c>
      <c r="P49" s="142">
        <v>105</v>
      </c>
      <c r="Q49" s="143">
        <v>38850</v>
      </c>
      <c r="R49" s="105" t="s">
        <v>87</v>
      </c>
    </row>
    <row r="50" spans="1:18" s="157" customFormat="1" ht="15.75" customHeight="1" thickBot="1">
      <c r="A50" s="108"/>
      <c r="B50" s="152"/>
      <c r="C50" s="153"/>
      <c r="D50" s="152"/>
      <c r="E50" s="153"/>
      <c r="F50" s="154"/>
      <c r="G50" s="153"/>
      <c r="H50" s="154"/>
      <c r="I50" s="153"/>
      <c r="J50" s="154"/>
      <c r="K50" s="153"/>
      <c r="L50" s="154"/>
      <c r="M50" s="153"/>
      <c r="N50" s="154"/>
      <c r="O50" s="155"/>
      <c r="P50" s="155"/>
      <c r="Q50" s="156"/>
      <c r="R50" s="109"/>
    </row>
    <row r="51" spans="1:18" ht="15.75" customHeight="1" thickBot="1" thickTop="1">
      <c r="A51" s="90" t="s">
        <v>89</v>
      </c>
      <c r="B51" s="158">
        <v>71619</v>
      </c>
      <c r="C51" s="159">
        <v>190395426</v>
      </c>
      <c r="D51" s="158">
        <v>58486</v>
      </c>
      <c r="E51" s="159">
        <v>16851140</v>
      </c>
      <c r="F51" s="158">
        <v>130105</v>
      </c>
      <c r="G51" s="159">
        <v>207246565</v>
      </c>
      <c r="H51" s="158">
        <v>4680</v>
      </c>
      <c r="I51" s="160">
        <v>10519414</v>
      </c>
      <c r="J51" s="158">
        <v>6951</v>
      </c>
      <c r="K51" s="160">
        <v>731438</v>
      </c>
      <c r="L51" s="158">
        <v>136406</v>
      </c>
      <c r="M51" s="160">
        <v>197458590</v>
      </c>
      <c r="N51" s="161">
        <v>136211</v>
      </c>
      <c r="O51" s="162">
        <v>3320</v>
      </c>
      <c r="P51" s="162">
        <v>290</v>
      </c>
      <c r="Q51" s="163">
        <v>139821</v>
      </c>
      <c r="R51" s="103" t="s">
        <v>89</v>
      </c>
    </row>
    <row r="52" spans="1:18" s="157" customFormat="1" ht="3.75" customHeight="1">
      <c r="A52" s="92"/>
      <c r="B52" s="93"/>
      <c r="C52" s="93"/>
      <c r="D52" s="93"/>
      <c r="E52" s="93"/>
      <c r="F52" s="93"/>
      <c r="G52" s="93"/>
      <c r="H52" s="93"/>
      <c r="I52" s="93"/>
      <c r="J52" s="93"/>
      <c r="K52" s="93"/>
      <c r="L52" s="93"/>
      <c r="M52" s="93"/>
      <c r="N52" s="93"/>
      <c r="O52" s="93"/>
      <c r="P52" s="93"/>
      <c r="Q52" s="93"/>
      <c r="R52" s="92"/>
    </row>
    <row r="53" spans="1:9" ht="13.5">
      <c r="A53" s="222" t="s">
        <v>104</v>
      </c>
      <c r="B53" s="222"/>
      <c r="C53" s="222"/>
      <c r="D53" s="222"/>
      <c r="E53" s="222"/>
      <c r="F53" s="222"/>
      <c r="G53" s="222"/>
      <c r="H53" s="222"/>
      <c r="I53" s="222"/>
    </row>
  </sheetData>
  <sheetProtection/>
  <mergeCells count="16">
    <mergeCell ref="A2:I2"/>
    <mergeCell ref="A3:A5"/>
    <mergeCell ref="B3:G3"/>
    <mergeCell ref="H3:I4"/>
    <mergeCell ref="J3:K4"/>
    <mergeCell ref="L3:M4"/>
    <mergeCell ref="A53:I53"/>
    <mergeCell ref="N3:Q3"/>
    <mergeCell ref="R3:R5"/>
    <mergeCell ref="B4:C4"/>
    <mergeCell ref="D4:E4"/>
    <mergeCell ref="F4:G4"/>
    <mergeCell ref="N4:N5"/>
    <mergeCell ref="O4:O5"/>
    <mergeCell ref="P4:P5"/>
    <mergeCell ref="Q4:Q5"/>
  </mergeCells>
  <printOptions/>
  <pageMargins left="0.7874015748031497" right="0.6299212598425197" top="0.984251968503937" bottom="0.984251968503937" header="0.5118110236220472" footer="0.5118110236220472"/>
  <pageSetup horizontalDpi="600" verticalDpi="600" orientation="landscape" paperSize="9" scale="65" r:id="rId1"/>
  <headerFooter alignWithMargins="0">
    <oddFooter>&amp;R熊本国税局
消費税
（H25）</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2015-06-05T06:43:00Z</cp:lastPrinted>
  <dcterms:created xsi:type="dcterms:W3CDTF">2003-07-09T01:05:10Z</dcterms:created>
  <dcterms:modified xsi:type="dcterms:W3CDTF">2015-06-05T06:43:47Z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