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600" tabRatio="829" activeTab="0"/>
  </bookViews>
  <sheets>
    <sheet name="(1)　課税状況" sheetId="1" r:id="rId1"/>
    <sheet name="(2)　課税状況の累年比較" sheetId="2" r:id="rId2"/>
    <sheet name="(3)　課税事業者等届出件数" sheetId="3" r:id="rId3"/>
    <sheet name="(4)税務署別(個人事業者）" sheetId="4" r:id="rId4"/>
    <sheet name="(4)税務署別（法人）" sheetId="5" r:id="rId5"/>
    <sheet name="(4)税務署別（合計）" sheetId="6" r:id="rId6"/>
  </sheets>
  <definedNames>
    <definedName name="_xlfn.COMPOUNDVALUE" hidden="1">#NAME?</definedName>
    <definedName name="_xlnm.Print_Area" localSheetId="3">'(4)税務署別(個人事業者）'!$A$1:$N$83</definedName>
    <definedName name="_xlnm.Print_Area" localSheetId="5">'(4)税務署別（合計）'!$A$1:$R$83</definedName>
    <definedName name="_xlnm.Print_Titles" localSheetId="3">'(4)税務署別(個人事業者）'!$3:$6</definedName>
    <definedName name="_xlnm.Print_Titles" localSheetId="5">'(4)税務署別（合計）'!$3:$6</definedName>
    <definedName name="_xlnm.Print_Titles" localSheetId="4">'(4)税務署別（法人）'!$3:$6</definedName>
  </definedNames>
  <calcPr fullCalcOnLoad="1" iterate="1" iterateCount="1" iterateDelta="0"/>
</workbook>
</file>

<file path=xl/sharedStrings.xml><?xml version="1.0" encoding="utf-8"?>
<sst xmlns="http://schemas.openxmlformats.org/spreadsheetml/2006/main" count="623" uniqueCount="169">
  <si>
    <t>７　消　費　税</t>
  </si>
  <si>
    <t>区　　　分</t>
  </si>
  <si>
    <t>件　　　数</t>
  </si>
  <si>
    <t>税　　　額</t>
  </si>
  <si>
    <t>件</t>
  </si>
  <si>
    <t>千円</t>
  </si>
  <si>
    <t>差引計</t>
  </si>
  <si>
    <t>加算税</t>
  </si>
  <si>
    <t>課税事業者届出書</t>
  </si>
  <si>
    <t>課税事業者選択届出書</t>
  </si>
  <si>
    <t>新設法人に該当する旨の届出書</t>
  </si>
  <si>
    <t>（注）納税義務者でなくなった旨の届出書又は課税事業者選択不適用届出書を提出した者は含まない。</t>
  </si>
  <si>
    <t>納税申告計</t>
  </si>
  <si>
    <t>還付申告及び処理</t>
  </si>
  <si>
    <t>実</t>
  </si>
  <si>
    <t>個　人　事　業　者</t>
  </si>
  <si>
    <t>一般申告及び処理</t>
  </si>
  <si>
    <t>法　　　　　　　人</t>
  </si>
  <si>
    <t>合　　　　　　　計</t>
  </si>
  <si>
    <t>件　　数</t>
  </si>
  <si>
    <t>税　　額</t>
  </si>
  <si>
    <t>(3)　課税事業者等届出件数</t>
  </si>
  <si>
    <t>千円</t>
  </si>
  <si>
    <t>件</t>
  </si>
  <si>
    <t>(2)　課税状況の累年比較</t>
  </si>
  <si>
    <t>合計</t>
  </si>
  <si>
    <t>　イ　個人事業者</t>
  </si>
  <si>
    <t>税務署名</t>
  </si>
  <si>
    <t>納　　　税　　　申　　　告　　　及　　　び　　　処　　　理</t>
  </si>
  <si>
    <t>既往年分の
申告及び処理</t>
  </si>
  <si>
    <t>合　　　　　　計</t>
  </si>
  <si>
    <t>税務署名</t>
  </si>
  <si>
    <t>簡易申告及び処理</t>
  </si>
  <si>
    <t>小　　　　　　計</t>
  </si>
  <si>
    <t>件　数</t>
  </si>
  <si>
    <t>税額</t>
  </si>
  <si>
    <t>税　額　①</t>
  </si>
  <si>
    <t>税　額　②</t>
  </si>
  <si>
    <t>税　額　③</t>
  </si>
  <si>
    <t>税　　　額
(①－②＋③)</t>
  </si>
  <si>
    <t>水戸</t>
  </si>
  <si>
    <t>日立</t>
  </si>
  <si>
    <t>土浦</t>
  </si>
  <si>
    <t>古河</t>
  </si>
  <si>
    <t>下館</t>
  </si>
  <si>
    <t>竜ケ崎</t>
  </si>
  <si>
    <t>竜ケ崎</t>
  </si>
  <si>
    <t>太田</t>
  </si>
  <si>
    <t>潮来</t>
  </si>
  <si>
    <t>茨城県計</t>
  </si>
  <si>
    <t>茨城県計</t>
  </si>
  <si>
    <t>宇都宮</t>
  </si>
  <si>
    <t>足利</t>
  </si>
  <si>
    <t>栃木</t>
  </si>
  <si>
    <t>佐野</t>
  </si>
  <si>
    <t>鹿沼</t>
  </si>
  <si>
    <t>真岡</t>
  </si>
  <si>
    <t>大田原</t>
  </si>
  <si>
    <t>氏家</t>
  </si>
  <si>
    <t>栃木県計</t>
  </si>
  <si>
    <t>栃木県計</t>
  </si>
  <si>
    <t>前橋</t>
  </si>
  <si>
    <t>高崎</t>
  </si>
  <si>
    <t>桐生</t>
  </si>
  <si>
    <t>伊勢崎</t>
  </si>
  <si>
    <t>沼田</t>
  </si>
  <si>
    <t>館林</t>
  </si>
  <si>
    <t>藤岡</t>
  </si>
  <si>
    <t>富岡</t>
  </si>
  <si>
    <t>中之条</t>
  </si>
  <si>
    <t>群馬県計</t>
  </si>
  <si>
    <t>群馬県計</t>
  </si>
  <si>
    <t>川越</t>
  </si>
  <si>
    <t>熊谷</t>
  </si>
  <si>
    <t>川口</t>
  </si>
  <si>
    <t>西川口</t>
  </si>
  <si>
    <t>浦和</t>
  </si>
  <si>
    <t>大宮</t>
  </si>
  <si>
    <t>行田</t>
  </si>
  <si>
    <t>秩父</t>
  </si>
  <si>
    <t>所沢</t>
  </si>
  <si>
    <t>本庄</t>
  </si>
  <si>
    <t>東松山</t>
  </si>
  <si>
    <t>春日部</t>
  </si>
  <si>
    <t>上尾</t>
  </si>
  <si>
    <t>越谷</t>
  </si>
  <si>
    <t>朝霞</t>
  </si>
  <si>
    <t>埼玉県計</t>
  </si>
  <si>
    <t>埼玉県計</t>
  </si>
  <si>
    <t>新潟</t>
  </si>
  <si>
    <t>新津</t>
  </si>
  <si>
    <t>巻</t>
  </si>
  <si>
    <t>長岡</t>
  </si>
  <si>
    <t>三条</t>
  </si>
  <si>
    <t>柏崎</t>
  </si>
  <si>
    <t>新発田</t>
  </si>
  <si>
    <t>小千谷</t>
  </si>
  <si>
    <t>十日町</t>
  </si>
  <si>
    <t>村上</t>
  </si>
  <si>
    <t>糸魚川</t>
  </si>
  <si>
    <t>高田</t>
  </si>
  <si>
    <t>佐渡</t>
  </si>
  <si>
    <t>佐渡</t>
  </si>
  <si>
    <t>新潟県計</t>
  </si>
  <si>
    <t>新潟県計</t>
  </si>
  <si>
    <t>長野</t>
  </si>
  <si>
    <t>松本</t>
  </si>
  <si>
    <t>上田</t>
  </si>
  <si>
    <t>飯田</t>
  </si>
  <si>
    <t>諏訪</t>
  </si>
  <si>
    <t>伊那</t>
  </si>
  <si>
    <t>信濃中野</t>
  </si>
  <si>
    <t>大町</t>
  </si>
  <si>
    <t>佐久</t>
  </si>
  <si>
    <t>木曽</t>
  </si>
  <si>
    <t>長野県計</t>
  </si>
  <si>
    <t>長野県計</t>
  </si>
  <si>
    <t>総　計</t>
  </si>
  <si>
    <t>総　計</t>
  </si>
  <si>
    <t>　ロ　法　　　人</t>
  </si>
  <si>
    <t>税務署名</t>
  </si>
  <si>
    <t>　ハ　個人事業者と法人の合計</t>
  </si>
  <si>
    <t>課　税　事　業　者　等　届　出　件　数</t>
  </si>
  <si>
    <t>課税事業者
届出</t>
  </si>
  <si>
    <t>課税事業者
選択届出</t>
  </si>
  <si>
    <t>新設法人に
該当する旨
の届出</t>
  </si>
  <si>
    <t>合　　　計</t>
  </si>
  <si>
    <t>件 数</t>
  </si>
  <si>
    <t>税 額</t>
  </si>
  <si>
    <t>税　　額
(①－②＋③)</t>
  </si>
  <si>
    <t>茨城県計</t>
  </si>
  <si>
    <t/>
  </si>
  <si>
    <t>平成25年度</t>
  </si>
  <si>
    <t>調査対象等：</t>
  </si>
  <si>
    <t>(1)　課税状況</t>
  </si>
  <si>
    <t>個　人　事　業　者</t>
  </si>
  <si>
    <t>法　　　　　人</t>
  </si>
  <si>
    <t>合　　　　　計</t>
  </si>
  <si>
    <t>現年分</t>
  </si>
  <si>
    <t>一般申告及び処理</t>
  </si>
  <si>
    <t>簡易申告及び処理</t>
  </si>
  <si>
    <t>納税申告計</t>
  </si>
  <si>
    <t>還付申告及び処理</t>
  </si>
  <si>
    <t>既往年分</t>
  </si>
  <si>
    <t>申告及び処理による
増差税額のあるもの</t>
  </si>
  <si>
    <t>申告及び処理による
減差税額のあるもの</t>
  </si>
  <si>
    <t>茨城県計</t>
  </si>
  <si>
    <t>栃木県計</t>
  </si>
  <si>
    <t>群馬県計</t>
  </si>
  <si>
    <t>埼玉県計</t>
  </si>
  <si>
    <t>佐渡</t>
  </si>
  <si>
    <t>新潟県計</t>
  </si>
  <si>
    <t>長野県計</t>
  </si>
  <si>
    <t>総　計</t>
  </si>
  <si>
    <t>（注）１　税関分は含まない。</t>
  </si>
  <si>
    <t>平成26年度</t>
  </si>
  <si>
    <t>（注）この表は「(1)　課税状況」の現年分及び既往年分を税務署別に示したものである（加算税を除く。）。</t>
  </si>
  <si>
    <t>（注）この表は「(1)　課税状況」の現年分及び既往年分並びに「(3)　課税事業者等届出件数」を税務署別に示したものである（加算税を除く。）。</t>
  </si>
  <si>
    <t>平成27年度</t>
  </si>
  <si>
    <t>実件</t>
  </si>
  <si>
    <t>(4)　税務署別課税状況等</t>
  </si>
  <si>
    <t>(4)　税務署別課税状況等（続）</t>
  </si>
  <si>
    <t>　　　２　「件数」欄の「実」は、実件数を示す。</t>
  </si>
  <si>
    <t>平成28年度</t>
  </si>
  <si>
    <t>平成29年度</t>
  </si>
  <si>
    <t>調査対象等：平成29年度末（平成30年３月31日現在）の届出件数を示している。</t>
  </si>
  <si>
    <t>　「現年分」は、平成29年４月１日から平成30年３月31日までに終了した課税期間について、平成30年６月30日現在の申告（国・地方公共団体等については平成30年９月30日までの申告を含む。）及び処理（更正、決定等）による課税事績を「申告書及び決議書」に基づいて作成した。</t>
  </si>
  <si>
    <t>　「既往年分」は、平成29年３月31日以前に終了した課税期間について、平成29年７月１日から平成30年６月30日までの間の申告（平成29年７月１日から同年９月30日までの間の国・地方公共団体等に係る申告を除く。）及び処理（更正、決定等）による課税事績を「申告書及び決議書」に基づいて作成した。</t>
  </si>
  <si>
    <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</si>
</sst>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48">
    <font>
      <sz val="11"/>
      <name val="ＭＳ Ｐゴシック"/>
      <family val="3"/>
    </font>
    <font>
      <sz val="11"/>
      <color indexed="8"/>
      <name val="ＭＳ Ｐゴシック"/>
      <family val="3"/>
    </font>
    <font>
      <sz val="6"/>
      <name val="ＭＳ Ｐゴシック"/>
      <family val="3"/>
    </font>
    <font>
      <sz val="9"/>
      <name val="ＭＳ 明朝"/>
      <family val="1"/>
    </font>
    <font>
      <sz val="13"/>
      <name val="ＭＳ 明朝"/>
      <family val="1"/>
    </font>
    <font>
      <sz val="9"/>
      <name val="ＭＳ ゴシック"/>
      <family val="3"/>
    </font>
    <font>
      <sz val="8"/>
      <name val="ＭＳ 明朝"/>
      <family val="1"/>
    </font>
    <font>
      <sz val="8"/>
      <name val="ＭＳ Ｐゴシック"/>
      <family val="3"/>
    </font>
    <font>
      <sz val="11"/>
      <name val="ＭＳ ゴシック"/>
      <family val="3"/>
    </font>
    <font>
      <u val="single"/>
      <sz val="16.5"/>
      <color indexed="12"/>
      <name val="ＭＳ Ｐゴシック"/>
      <family val="3"/>
    </font>
    <font>
      <b/>
      <sz val="9"/>
      <name val="ＭＳ 明朝"/>
      <family val="1"/>
    </font>
    <font>
      <b/>
      <sz val="11"/>
      <name val="ＭＳ ゴシック"/>
      <family val="3"/>
    </font>
    <font>
      <sz val="8.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5"/>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27"/>
        <bgColor indexed="64"/>
      </patternFill>
    </fill>
  </fills>
  <borders count="1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border>
    <border>
      <left/>
      <right style="thin"/>
      <top style="thin"/>
      <bottom/>
    </border>
    <border>
      <left/>
      <right style="medium"/>
      <top style="thin"/>
      <bottom/>
    </border>
    <border>
      <left style="thin"/>
      <right style="hair"/>
      <top style="thin"/>
      <bottom/>
    </border>
    <border>
      <left style="medium"/>
      <right style="thin"/>
      <top style="medium"/>
      <bottom/>
    </border>
    <border>
      <left style="thin"/>
      <right style="thin"/>
      <top style="medium"/>
      <bottom/>
    </border>
    <border>
      <left style="thin"/>
      <right/>
      <top style="medium"/>
      <bottom/>
    </border>
    <border>
      <left style="hair"/>
      <right style="medium"/>
      <top style="thin"/>
      <bottom/>
    </border>
    <border>
      <left style="thin"/>
      <right style="hair"/>
      <top/>
      <bottom/>
    </border>
    <border>
      <left style="thin"/>
      <right style="hair"/>
      <top/>
      <bottom style="medium"/>
    </border>
    <border>
      <left style="hair"/>
      <right style="thin"/>
      <top style="thin"/>
      <bottom style="hair">
        <color indexed="55"/>
      </bottom>
    </border>
    <border>
      <left style="hair"/>
      <right style="medium"/>
      <top style="thin"/>
      <bottom style="hair">
        <color indexed="55"/>
      </bottom>
    </border>
    <border>
      <left style="hair"/>
      <right style="thin"/>
      <top style="hair">
        <color indexed="55"/>
      </top>
      <bottom style="hair">
        <color indexed="55"/>
      </bottom>
    </border>
    <border>
      <left style="hair"/>
      <right style="thin"/>
      <top style="hair">
        <color indexed="55"/>
      </top>
      <bottom style="thin"/>
    </border>
    <border>
      <left style="thin"/>
      <right style="hair"/>
      <top style="thin"/>
      <bottom style="thin"/>
    </border>
    <border>
      <left style="thin"/>
      <right style="hair"/>
      <top style="thin"/>
      <bottom style="hair">
        <color indexed="55"/>
      </bottom>
    </border>
    <border>
      <left style="thin"/>
      <right style="hair"/>
      <top style="hair">
        <color indexed="55"/>
      </top>
      <bottom style="thin"/>
    </border>
    <border>
      <left style="hair"/>
      <right style="medium"/>
      <top style="hair">
        <color indexed="55"/>
      </top>
      <bottom style="thin"/>
    </border>
    <border>
      <left style="hair"/>
      <right style="thin"/>
      <top style="hair">
        <color indexed="55"/>
      </top>
      <bottom style="medium"/>
    </border>
    <border>
      <left style="thin"/>
      <right style="hair"/>
      <top style="hair">
        <color indexed="55"/>
      </top>
      <bottom style="medium"/>
    </border>
    <border>
      <left style="hair"/>
      <right style="medium"/>
      <top style="hair">
        <color indexed="55"/>
      </top>
      <bottom style="medium"/>
    </border>
    <border>
      <left style="hair"/>
      <right style="hair"/>
      <top style="thin"/>
      <bottom/>
    </border>
    <border>
      <left style="hair"/>
      <right style="thin"/>
      <top/>
      <bottom style="hair">
        <color indexed="55"/>
      </bottom>
    </border>
    <border>
      <left style="hair"/>
      <right style="medium"/>
      <top/>
      <bottom style="hair">
        <color indexed="55"/>
      </bottom>
    </border>
    <border>
      <left style="medium"/>
      <right/>
      <top style="thin"/>
      <bottom/>
    </border>
    <border>
      <left style="thin"/>
      <right style="hair"/>
      <top/>
      <bottom style="hair">
        <color indexed="55"/>
      </bottom>
    </border>
    <border>
      <left style="medium"/>
      <right style="thin"/>
      <top style="thin"/>
      <bottom/>
    </border>
    <border>
      <left style="thin"/>
      <right style="thin"/>
      <top style="thin"/>
      <bottom/>
    </border>
    <border>
      <left style="thin"/>
      <right/>
      <top style="thin"/>
      <bottom/>
    </border>
    <border>
      <left style="thin"/>
      <right style="medium"/>
      <top style="thin"/>
      <bottom/>
    </border>
    <border>
      <left style="thin"/>
      <right style="medium"/>
      <top style="medium"/>
      <bottom/>
    </border>
    <border>
      <left style="thin"/>
      <right style="hair"/>
      <top style="hair"/>
      <bottom style="thin"/>
    </border>
    <border>
      <left style="hair"/>
      <right style="thin"/>
      <top style="hair"/>
      <bottom style="thin"/>
    </border>
    <border>
      <left style="hair"/>
      <right/>
      <top style="hair"/>
      <bottom style="thin"/>
    </border>
    <border>
      <left style="hair"/>
      <right/>
      <top style="thin"/>
      <bottom/>
    </border>
    <border>
      <left style="medium"/>
      <right/>
      <top/>
      <bottom style="hair">
        <color indexed="55"/>
      </bottom>
    </border>
    <border>
      <left style="thin"/>
      <right style="medium"/>
      <top/>
      <bottom style="hair">
        <color indexed="55"/>
      </bottom>
    </border>
    <border>
      <left style="medium"/>
      <right/>
      <top style="hair">
        <color indexed="55"/>
      </top>
      <bottom style="hair">
        <color indexed="55"/>
      </bottom>
    </border>
    <border>
      <left style="thin"/>
      <right style="medium"/>
      <top style="hair">
        <color indexed="55"/>
      </top>
      <bottom style="hair">
        <color indexed="55"/>
      </bottom>
    </border>
    <border>
      <left style="medium"/>
      <right/>
      <top style="hair">
        <color indexed="55"/>
      </top>
      <bottom style="thin">
        <color indexed="55"/>
      </bottom>
    </border>
    <border>
      <left style="thin"/>
      <right style="medium"/>
      <top style="hair">
        <color indexed="55"/>
      </top>
      <bottom style="thin">
        <color indexed="55"/>
      </bottom>
    </border>
    <border>
      <left style="medium"/>
      <right/>
      <top style="thin">
        <color indexed="55"/>
      </top>
      <bottom style="thin">
        <color indexed="55"/>
      </bottom>
    </border>
    <border>
      <left style="thin"/>
      <right style="medium"/>
      <top style="thin">
        <color indexed="55"/>
      </top>
      <bottom style="thin">
        <color indexed="55"/>
      </bottom>
    </border>
    <border>
      <left style="thin"/>
      <right style="medium"/>
      <top style="thin">
        <color indexed="55"/>
      </top>
      <bottom style="hair">
        <color indexed="55"/>
      </bottom>
    </border>
    <border>
      <left style="medium"/>
      <right/>
      <top/>
      <bottom style="double"/>
    </border>
    <border>
      <left style="thin"/>
      <right style="medium"/>
      <top/>
      <bottom style="double"/>
    </border>
    <border>
      <left style="medium"/>
      <right/>
      <top/>
      <bottom style="medium"/>
    </border>
    <border>
      <left style="thin"/>
      <right style="medium"/>
      <top/>
      <bottom style="medium"/>
    </border>
    <border>
      <left style="thin"/>
      <right style="medium"/>
      <top style="thin">
        <color indexed="23"/>
      </top>
      <bottom style="thin">
        <color indexed="23"/>
      </bottom>
    </border>
    <border>
      <left style="thin"/>
      <right style="medium"/>
      <top style="thin">
        <color indexed="23"/>
      </top>
      <bottom/>
    </border>
    <border>
      <left style="thin"/>
      <right style="medium"/>
      <top style="double"/>
      <bottom style="medium"/>
    </border>
    <border>
      <left style="hair"/>
      <right style="hair"/>
      <top/>
      <bottom style="hair">
        <color indexed="55"/>
      </bottom>
    </border>
    <border>
      <left style="hair"/>
      <right style="hair"/>
      <top style="hair">
        <color indexed="55"/>
      </top>
      <bottom style="hair">
        <color indexed="55"/>
      </bottom>
    </border>
    <border>
      <left style="hair"/>
      <right style="medium"/>
      <top style="hair">
        <color indexed="55"/>
      </top>
      <bottom style="hair">
        <color indexed="55"/>
      </bottom>
    </border>
    <border>
      <left style="hair"/>
      <right style="hair"/>
      <top style="hair">
        <color indexed="55"/>
      </top>
      <bottom/>
    </border>
    <border>
      <left style="hair"/>
      <right style="thin"/>
      <top style="hair">
        <color indexed="55"/>
      </top>
      <bottom/>
    </border>
    <border>
      <left style="hair"/>
      <right style="medium"/>
      <top style="hair">
        <color indexed="55"/>
      </top>
      <bottom/>
    </border>
    <border>
      <left style="hair"/>
      <right style="hair"/>
      <top style="thin"/>
      <bottom style="hair">
        <color indexed="55"/>
      </bottom>
    </border>
    <border>
      <left style="hair"/>
      <right style="hair"/>
      <top style="thin"/>
      <bottom style="thin"/>
    </border>
    <border>
      <left style="hair"/>
      <right style="thin"/>
      <top style="thin"/>
      <bottom style="thin"/>
    </border>
    <border>
      <left style="hair"/>
      <right style="medium"/>
      <top style="thin"/>
      <bottom style="thin"/>
    </border>
    <border>
      <left style="hair"/>
      <right style="hair"/>
      <top/>
      <bottom style="medium"/>
    </border>
    <border>
      <left style="hair"/>
      <right style="thin"/>
      <top/>
      <bottom style="medium"/>
    </border>
    <border>
      <left style="hair"/>
      <right style="medium"/>
      <top/>
      <bottom style="medium"/>
    </border>
    <border>
      <left style="hair"/>
      <right/>
      <top/>
      <bottom style="hair">
        <color indexed="55"/>
      </bottom>
    </border>
    <border>
      <left style="thin"/>
      <right style="hair"/>
      <top style="hair">
        <color indexed="55"/>
      </top>
      <bottom style="hair">
        <color indexed="55"/>
      </bottom>
    </border>
    <border>
      <left style="hair"/>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hair"/>
      <right/>
      <top style="hair">
        <color indexed="55"/>
      </top>
      <bottom style="thin">
        <color indexed="55"/>
      </bottom>
    </border>
    <border>
      <left style="thin"/>
      <right/>
      <top style="thin">
        <color indexed="55"/>
      </top>
      <bottom style="hair"/>
    </border>
    <border>
      <left style="hair"/>
      <right style="thin"/>
      <top style="thin">
        <color indexed="55"/>
      </top>
      <bottom style="hair"/>
    </border>
    <border>
      <left style="thin"/>
      <right style="hair"/>
      <top style="thin">
        <color indexed="55"/>
      </top>
      <bottom style="hair"/>
    </border>
    <border>
      <left style="thin"/>
      <right/>
      <top style="thin">
        <color indexed="55"/>
      </top>
      <bottom style="double"/>
    </border>
    <border>
      <left style="hair"/>
      <right style="thin"/>
      <top style="thin">
        <color indexed="55"/>
      </top>
      <bottom style="double"/>
    </border>
    <border>
      <left style="thin"/>
      <right style="hair"/>
      <top style="thin">
        <color indexed="55"/>
      </top>
      <bottom style="double"/>
    </border>
    <border>
      <left style="hair"/>
      <right/>
      <top/>
      <bottom style="medium"/>
    </border>
    <border>
      <left style="hair"/>
      <right style="hair"/>
      <top style="hair">
        <color indexed="55"/>
      </top>
      <bottom style="thin">
        <color indexed="55"/>
      </bottom>
    </border>
    <border>
      <left style="thin"/>
      <right style="hair"/>
      <top style="thin">
        <color indexed="55"/>
      </top>
      <bottom style="thin">
        <color indexed="55"/>
      </bottom>
    </border>
    <border>
      <left style="hair"/>
      <right style="hair"/>
      <top style="thin">
        <color indexed="55"/>
      </top>
      <bottom style="thin">
        <color indexed="55"/>
      </bottom>
    </border>
    <border>
      <left style="hair"/>
      <right/>
      <top style="thin">
        <color indexed="55"/>
      </top>
      <bottom style="thin">
        <color indexed="55"/>
      </bottom>
    </border>
    <border>
      <left style="thin"/>
      <right style="hair"/>
      <top style="thin">
        <color indexed="55"/>
      </top>
      <bottom/>
    </border>
    <border>
      <left style="hair"/>
      <right style="hair"/>
      <top style="thin">
        <color indexed="55"/>
      </top>
      <bottom/>
    </border>
    <border>
      <left style="hair"/>
      <right/>
      <top style="thin">
        <color indexed="55"/>
      </top>
      <bottom/>
    </border>
    <border>
      <left style="thin"/>
      <right style="hair"/>
      <top style="double"/>
      <bottom style="medium"/>
    </border>
    <border>
      <left style="hair"/>
      <right style="hair"/>
      <top style="double"/>
      <bottom style="medium"/>
    </border>
    <border>
      <left style="hair"/>
      <right/>
      <top style="double"/>
      <bottom style="medium"/>
    </border>
    <border>
      <left style="medium"/>
      <right style="thin"/>
      <top/>
      <bottom style="medium"/>
    </border>
    <border>
      <left style="thin"/>
      <right style="thin"/>
      <top/>
      <bottom style="medium"/>
    </border>
    <border>
      <left style="thin"/>
      <right/>
      <top/>
      <bottom style="medium"/>
    </border>
    <border>
      <left/>
      <right/>
      <top style="medium"/>
      <bottom/>
    </border>
    <border>
      <left style="medium"/>
      <right/>
      <top style="medium"/>
      <bottom/>
    </border>
    <border>
      <left/>
      <right style="thin"/>
      <top style="medium"/>
      <bottom/>
    </border>
    <border>
      <left style="medium"/>
      <right/>
      <top/>
      <bottom/>
    </border>
    <border>
      <left/>
      <right style="thin"/>
      <top/>
      <bottom/>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style="medium"/>
      <right style="hair"/>
      <top/>
      <bottom/>
    </border>
    <border>
      <left style="medium"/>
      <right style="hair"/>
      <top/>
      <bottom style="thin"/>
    </border>
    <border>
      <left style="medium"/>
      <right style="hair"/>
      <top style="thin"/>
      <bottom style="hair"/>
    </border>
    <border>
      <left style="medium"/>
      <right style="hair"/>
      <top style="hair"/>
      <bottom style="hair"/>
    </border>
    <border>
      <left style="medium"/>
      <right/>
      <top style="thin"/>
      <bottom style="thin"/>
    </border>
    <border>
      <left/>
      <right style="thin"/>
      <top style="thin"/>
      <bottom style="thin"/>
    </border>
    <border>
      <left/>
      <right style="thin"/>
      <top/>
      <bottom style="medium"/>
    </border>
    <border>
      <left style="thin"/>
      <right style="thin"/>
      <top style="medium"/>
      <bottom style="thin"/>
    </border>
    <border>
      <left/>
      <right style="medium"/>
      <top style="medium"/>
      <bottom/>
    </border>
    <border>
      <left style="medium"/>
      <right style="hair"/>
      <top style="hair"/>
      <bottom style="medium"/>
    </border>
    <border>
      <left style="medium"/>
      <right style="hair"/>
      <top style="thin"/>
      <bottom/>
    </border>
    <border>
      <left style="medium"/>
      <right/>
      <top/>
      <bottom style="thin"/>
    </border>
    <border>
      <left style="thin"/>
      <right style="thin"/>
      <top style="medium"/>
      <bottom style="hair"/>
    </border>
    <border>
      <left style="thin"/>
      <right style="hair"/>
      <top style="medium"/>
      <bottom style="hair"/>
    </border>
    <border>
      <left style="hair"/>
      <right/>
      <top style="medium"/>
      <bottom style="hair"/>
    </border>
    <border>
      <left style="thin"/>
      <right style="hair"/>
      <top style="hair"/>
      <bottom style="hair"/>
    </border>
    <border>
      <left style="hair"/>
      <right/>
      <top style="hair"/>
      <bottom style="hair"/>
    </border>
    <border>
      <left style="thin"/>
      <right style="medium"/>
      <top/>
      <bottom/>
    </border>
    <border>
      <left style="thin"/>
      <right style="medium"/>
      <top/>
      <bottom style="thin"/>
    </border>
    <border>
      <left style="thin"/>
      <right style="thin"/>
      <top style="hair"/>
      <bottom style="hair"/>
    </border>
    <border>
      <left style="hair"/>
      <right style="thin"/>
      <top style="hair"/>
      <bottom style="hair"/>
    </border>
    <border>
      <left/>
      <right/>
      <top/>
      <bottom style="medium"/>
    </border>
    <border>
      <left style="thin"/>
      <right/>
      <top style="medium"/>
      <bottom style="hair"/>
    </border>
    <border>
      <left/>
      <right/>
      <top style="medium"/>
      <bottom style="hair"/>
    </border>
    <border>
      <left style="thin"/>
      <right style="hair"/>
      <top style="hair"/>
      <bottom/>
    </border>
    <border>
      <left style="thin"/>
      <right style="hair"/>
      <top/>
      <bottom style="thin"/>
    </border>
    <border>
      <left style="hair"/>
      <right style="hair"/>
      <top style="hair"/>
      <bottom/>
    </border>
    <border>
      <left style="hair"/>
      <right style="hair"/>
      <top/>
      <bottom style="thin"/>
    </border>
    <border>
      <left style="hair"/>
      <right style="hair"/>
      <top style="hair"/>
      <bottom style="hair"/>
    </border>
    <border>
      <left style="hair"/>
      <right style="hair"/>
      <top style="hair"/>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30" fillId="0" borderId="0">
      <alignment vertical="center"/>
      <protection/>
    </xf>
    <xf numFmtId="0" fontId="46" fillId="32" borderId="0" applyNumberFormat="0" applyBorder="0" applyAlignment="0" applyProtection="0"/>
  </cellStyleXfs>
  <cellXfs count="218">
    <xf numFmtId="0" fontId="0" fillId="0" borderId="0" xfId="0" applyAlignment="1">
      <alignment/>
    </xf>
    <xf numFmtId="0" fontId="3" fillId="0" borderId="0" xfId="0" applyFont="1" applyAlignment="1">
      <alignment horizontal="left" vertical="top"/>
    </xf>
    <xf numFmtId="3" fontId="3" fillId="0" borderId="0" xfId="0" applyNumberFormat="1" applyFont="1" applyAlignment="1">
      <alignment horizontal="left" vertical="top"/>
    </xf>
    <xf numFmtId="0" fontId="5" fillId="0" borderId="0" xfId="0" applyFont="1" applyAlignment="1">
      <alignment horizontal="left" vertical="top"/>
    </xf>
    <xf numFmtId="0" fontId="3" fillId="0" borderId="0" xfId="0" applyFont="1" applyAlignment="1">
      <alignment horizontal="left" vertical="center"/>
    </xf>
    <xf numFmtId="3" fontId="3" fillId="0" borderId="0" xfId="0" applyNumberFormat="1" applyFont="1" applyAlignment="1">
      <alignment horizontal="lef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left"/>
    </xf>
    <xf numFmtId="0" fontId="3" fillId="0" borderId="14" xfId="0" applyFont="1" applyBorder="1" applyAlignment="1">
      <alignment horizontal="distributed" vertical="center"/>
    </xf>
    <xf numFmtId="0" fontId="3" fillId="0" borderId="15" xfId="0" applyFont="1" applyBorder="1" applyAlignment="1">
      <alignment horizontal="distributed"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right" vertical="center"/>
    </xf>
    <xf numFmtId="0" fontId="5" fillId="0" borderId="18" xfId="0" applyFont="1" applyBorder="1" applyAlignment="1">
      <alignment horizontal="right" vertical="center"/>
    </xf>
    <xf numFmtId="0" fontId="3" fillId="0" borderId="19" xfId="0" applyFont="1" applyBorder="1" applyAlignment="1">
      <alignment horizontal="right" vertical="center"/>
    </xf>
    <xf numFmtId="3" fontId="3" fillId="0" borderId="18" xfId="0" applyNumberFormat="1" applyFont="1" applyBorder="1" applyAlignment="1">
      <alignment horizontal="right" vertical="center"/>
    </xf>
    <xf numFmtId="3" fontId="3" fillId="0" borderId="19" xfId="0" applyNumberFormat="1" applyFont="1" applyBorder="1" applyAlignment="1">
      <alignment horizontal="right" vertical="center"/>
    </xf>
    <xf numFmtId="3" fontId="3" fillId="33" borderId="20" xfId="0" applyNumberFormat="1" applyFont="1" applyFill="1" applyBorder="1" applyAlignment="1">
      <alignment horizontal="right" vertical="center"/>
    </xf>
    <xf numFmtId="3" fontId="3" fillId="33" borderId="21" xfId="0" applyNumberFormat="1" applyFont="1" applyFill="1" applyBorder="1" applyAlignment="1">
      <alignment horizontal="right" vertical="center"/>
    </xf>
    <xf numFmtId="0" fontId="3" fillId="0" borderId="20" xfId="0" applyFont="1" applyBorder="1" applyAlignment="1">
      <alignment horizontal="distributed" vertical="center"/>
    </xf>
    <xf numFmtId="0" fontId="3" fillId="0" borderId="22" xfId="0" applyFont="1" applyBorder="1" applyAlignment="1">
      <alignment horizontal="distributed" vertical="center"/>
    </xf>
    <xf numFmtId="0" fontId="5" fillId="0" borderId="22" xfId="0" applyFont="1" applyBorder="1" applyAlignment="1">
      <alignment horizontal="distributed" vertical="center"/>
    </xf>
    <xf numFmtId="0" fontId="3" fillId="0" borderId="23" xfId="0" applyFont="1" applyBorder="1" applyAlignment="1">
      <alignment horizontal="distributed" vertical="center"/>
    </xf>
    <xf numFmtId="0" fontId="5" fillId="0" borderId="24" xfId="0" applyFont="1" applyBorder="1" applyAlignment="1">
      <alignment horizontal="right" vertical="center"/>
    </xf>
    <xf numFmtId="3" fontId="3" fillId="34" borderId="25" xfId="0" applyNumberFormat="1" applyFont="1" applyFill="1" applyBorder="1" applyAlignment="1">
      <alignment horizontal="right" vertical="center"/>
    </xf>
    <xf numFmtId="3" fontId="3" fillId="34" borderId="26" xfId="0" applyNumberFormat="1" applyFont="1" applyFill="1" applyBorder="1" applyAlignment="1">
      <alignment horizontal="right" vertical="center"/>
    </xf>
    <xf numFmtId="3" fontId="3" fillId="33" borderId="23" xfId="0" applyNumberFormat="1" applyFont="1" applyFill="1" applyBorder="1" applyAlignment="1">
      <alignment horizontal="right" vertical="center"/>
    </xf>
    <xf numFmtId="3" fontId="3" fillId="33" borderId="27" xfId="0" applyNumberFormat="1" applyFont="1" applyFill="1" applyBorder="1" applyAlignment="1">
      <alignment horizontal="right" vertical="center"/>
    </xf>
    <xf numFmtId="0" fontId="3" fillId="0" borderId="28" xfId="0" applyFont="1" applyBorder="1" applyAlignment="1">
      <alignment horizontal="distributed" vertical="center"/>
    </xf>
    <xf numFmtId="3" fontId="3" fillId="34" borderId="29" xfId="0" applyNumberFormat="1" applyFont="1" applyFill="1" applyBorder="1" applyAlignment="1">
      <alignment horizontal="right" vertical="center"/>
    </xf>
    <xf numFmtId="3" fontId="3" fillId="33" borderId="28" xfId="0" applyNumberFormat="1" applyFont="1" applyFill="1" applyBorder="1" applyAlignment="1">
      <alignment horizontal="right" vertical="center"/>
    </xf>
    <xf numFmtId="3" fontId="3" fillId="33" borderId="30" xfId="0" applyNumberFormat="1" applyFont="1" applyFill="1" applyBorder="1" applyAlignment="1">
      <alignment horizontal="right" vertical="center"/>
    </xf>
    <xf numFmtId="0" fontId="6" fillId="33" borderId="10" xfId="0" applyFont="1" applyFill="1" applyBorder="1" applyAlignment="1">
      <alignment horizontal="right" vertical="top"/>
    </xf>
    <xf numFmtId="0" fontId="6" fillId="34" borderId="31" xfId="0" applyFont="1" applyFill="1" applyBorder="1" applyAlignment="1">
      <alignment horizontal="right" vertical="top"/>
    </xf>
    <xf numFmtId="3" fontId="3" fillId="0" borderId="13" xfId="0" applyNumberFormat="1" applyFont="1" applyBorder="1" applyAlignment="1">
      <alignment horizontal="center" vertical="center"/>
    </xf>
    <xf numFmtId="0" fontId="3" fillId="0" borderId="18" xfId="0" applyFont="1" applyBorder="1" applyAlignment="1">
      <alignment horizontal="center" vertical="center"/>
    </xf>
    <xf numFmtId="3" fontId="3" fillId="0" borderId="18" xfId="0" applyNumberFormat="1" applyFont="1" applyBorder="1" applyAlignment="1">
      <alignment horizontal="center" vertical="center"/>
    </xf>
    <xf numFmtId="0" fontId="3" fillId="0" borderId="32" xfId="0" applyFont="1" applyBorder="1" applyAlignment="1">
      <alignment horizontal="distributed" vertical="center"/>
    </xf>
    <xf numFmtId="3" fontId="3" fillId="33" borderId="32" xfId="0" applyNumberFormat="1" applyFont="1" applyFill="1" applyBorder="1" applyAlignment="1">
      <alignment horizontal="right" vertical="center"/>
    </xf>
    <xf numFmtId="3" fontId="3" fillId="33" borderId="33" xfId="0" applyNumberFormat="1" applyFont="1" applyFill="1" applyBorder="1" applyAlignment="1">
      <alignment horizontal="right" vertical="center"/>
    </xf>
    <xf numFmtId="0" fontId="6" fillId="0" borderId="34" xfId="0" applyFont="1" applyFill="1" applyBorder="1" applyAlignment="1">
      <alignment horizontal="center" vertical="center"/>
    </xf>
    <xf numFmtId="0" fontId="6" fillId="0" borderId="13" xfId="0" applyFont="1" applyFill="1" applyBorder="1" applyAlignment="1">
      <alignment horizontal="right" vertical="top"/>
    </xf>
    <xf numFmtId="0" fontId="6" fillId="33" borderId="17" xfId="0" applyFont="1" applyFill="1" applyBorder="1" applyAlignment="1">
      <alignment horizontal="right" vertical="top"/>
    </xf>
    <xf numFmtId="0" fontId="6" fillId="0" borderId="10" xfId="0" applyFont="1" applyFill="1" applyBorder="1" applyAlignment="1">
      <alignment horizontal="center" vertical="center"/>
    </xf>
    <xf numFmtId="3" fontId="3" fillId="34" borderId="35" xfId="0" applyNumberFormat="1" applyFont="1" applyFill="1" applyBorder="1" applyAlignment="1">
      <alignment horizontal="right" vertical="center"/>
    </xf>
    <xf numFmtId="0" fontId="3" fillId="0" borderId="34" xfId="0" applyFont="1" applyBorder="1" applyAlignment="1">
      <alignment horizontal="center" vertical="center"/>
    </xf>
    <xf numFmtId="0" fontId="6" fillId="34" borderId="13" xfId="0" applyFont="1" applyFill="1" applyBorder="1" applyAlignment="1">
      <alignment horizontal="right"/>
    </xf>
    <xf numFmtId="0" fontId="6" fillId="33" borderId="10" xfId="0" applyFont="1" applyFill="1" applyBorder="1" applyAlignment="1">
      <alignment horizontal="right"/>
    </xf>
    <xf numFmtId="0" fontId="6" fillId="33" borderId="17" xfId="0" applyFont="1" applyFill="1" applyBorder="1" applyAlignment="1">
      <alignment horizontal="right"/>
    </xf>
    <xf numFmtId="0" fontId="6" fillId="34" borderId="36" xfId="0" applyFont="1" applyFill="1" applyBorder="1" applyAlignment="1">
      <alignment horizontal="right"/>
    </xf>
    <xf numFmtId="0" fontId="6" fillId="34" borderId="37" xfId="0" applyFont="1" applyFill="1" applyBorder="1" applyAlignment="1">
      <alignment horizontal="right"/>
    </xf>
    <xf numFmtId="0" fontId="6" fillId="34" borderId="38" xfId="0" applyFont="1" applyFill="1" applyBorder="1" applyAlignment="1">
      <alignment horizontal="right"/>
    </xf>
    <xf numFmtId="0" fontId="6" fillId="34" borderId="39" xfId="0" applyFont="1" applyFill="1" applyBorder="1" applyAlignment="1">
      <alignment horizontal="right"/>
    </xf>
    <xf numFmtId="0" fontId="4" fillId="0" borderId="0" xfId="0" applyFont="1" applyAlignment="1">
      <alignment horizontal="center" vertical="top"/>
    </xf>
    <xf numFmtId="0" fontId="3" fillId="0" borderId="20" xfId="0" applyFont="1" applyBorder="1" applyAlignment="1">
      <alignment horizontal="distributed" vertical="center" wrapText="1"/>
    </xf>
    <xf numFmtId="0" fontId="3" fillId="0" borderId="22" xfId="0" applyFont="1" applyBorder="1" applyAlignment="1">
      <alignment horizontal="distributed" vertical="center" wrapText="1"/>
    </xf>
    <xf numFmtId="0" fontId="3" fillId="0" borderId="0" xfId="0" applyFont="1" applyBorder="1" applyAlignment="1">
      <alignment horizontal="left" vertical="top"/>
    </xf>
    <xf numFmtId="0" fontId="0" fillId="0" borderId="0" xfId="0" applyFont="1" applyAlignment="1">
      <alignment/>
    </xf>
    <xf numFmtId="0" fontId="3" fillId="0" borderId="0" xfId="0" applyFont="1" applyAlignment="1" quotePrefix="1">
      <alignment horizontal="left" vertical="top"/>
    </xf>
    <xf numFmtId="0" fontId="3" fillId="0" borderId="40" xfId="0" applyFont="1" applyBorder="1" applyAlignment="1">
      <alignment horizontal="distributed" vertical="center" indent="1"/>
    </xf>
    <xf numFmtId="0" fontId="3" fillId="0" borderId="0" xfId="60" applyFont="1" applyAlignment="1">
      <alignment horizontal="left" vertical="center"/>
      <protection/>
    </xf>
    <xf numFmtId="0" fontId="3" fillId="0" borderId="0" xfId="60" applyFont="1" applyAlignment="1">
      <alignment horizontal="left" vertical="top"/>
      <protection/>
    </xf>
    <xf numFmtId="0" fontId="0" fillId="0" borderId="0" xfId="60" applyFont="1">
      <alignment/>
      <protection/>
    </xf>
    <xf numFmtId="0" fontId="3" fillId="0" borderId="41" xfId="60" applyFont="1" applyBorder="1" applyAlignment="1">
      <alignment horizontal="center" vertical="center"/>
      <protection/>
    </xf>
    <xf numFmtId="0" fontId="3" fillId="0" borderId="42" xfId="60" applyFont="1" applyBorder="1" applyAlignment="1">
      <alignment horizontal="distributed" vertical="center" indent="1"/>
      <protection/>
    </xf>
    <xf numFmtId="0" fontId="3" fillId="0" borderId="42" xfId="60" applyFont="1" applyBorder="1" applyAlignment="1">
      <alignment horizontal="center" vertical="center"/>
      <protection/>
    </xf>
    <xf numFmtId="0" fontId="3" fillId="0" borderId="43" xfId="60" applyFont="1" applyBorder="1" applyAlignment="1">
      <alignment horizontal="center" vertical="center"/>
      <protection/>
    </xf>
    <xf numFmtId="0" fontId="3" fillId="0" borderId="43" xfId="60" applyFont="1" applyBorder="1" applyAlignment="1">
      <alignment horizontal="centerContinuous" vertical="center" wrapText="1"/>
      <protection/>
    </xf>
    <xf numFmtId="0" fontId="0" fillId="0" borderId="0" xfId="60" applyFont="1" applyAlignment="1">
      <alignment horizontal="center"/>
      <protection/>
    </xf>
    <xf numFmtId="0" fontId="6" fillId="35" borderId="34" xfId="60" applyFont="1" applyFill="1" applyBorder="1" applyAlignment="1">
      <alignment horizontal="distributed" vertical="top"/>
      <protection/>
    </xf>
    <xf numFmtId="0" fontId="6" fillId="34" borderId="13" xfId="60" applyFont="1" applyFill="1" applyBorder="1" applyAlignment="1">
      <alignment horizontal="right" vertical="top"/>
      <protection/>
    </xf>
    <xf numFmtId="0" fontId="6" fillId="33" borderId="10" xfId="60" applyFont="1" applyFill="1" applyBorder="1" applyAlignment="1">
      <alignment horizontal="right" vertical="top"/>
      <protection/>
    </xf>
    <xf numFmtId="0" fontId="6" fillId="33" borderId="44" xfId="60" applyFont="1" applyFill="1" applyBorder="1" applyAlignment="1">
      <alignment horizontal="right" vertical="top"/>
      <protection/>
    </xf>
    <xf numFmtId="0" fontId="6" fillId="35" borderId="39" xfId="60" applyFont="1" applyFill="1" applyBorder="1" applyAlignment="1">
      <alignment horizontal="distributed" vertical="top"/>
      <protection/>
    </xf>
    <xf numFmtId="0" fontId="7" fillId="0" borderId="0" xfId="60" applyFont="1" applyAlignment="1">
      <alignment horizontal="right" vertical="top"/>
      <protection/>
    </xf>
    <xf numFmtId="0" fontId="3" fillId="36" borderId="45" xfId="60" applyFont="1" applyFill="1" applyBorder="1" applyAlignment="1">
      <alignment horizontal="distributed" vertical="center"/>
      <protection/>
    </xf>
    <xf numFmtId="0" fontId="3" fillId="36" borderId="46" xfId="60" applyFont="1" applyFill="1" applyBorder="1" applyAlignment="1">
      <alignment horizontal="distributed" vertical="center"/>
      <protection/>
    </xf>
    <xf numFmtId="0" fontId="8" fillId="0" borderId="0" xfId="60" applyFont="1">
      <alignment/>
      <protection/>
    </xf>
    <xf numFmtId="0" fontId="3" fillId="36" borderId="47" xfId="60" applyFont="1" applyFill="1" applyBorder="1" applyAlignment="1">
      <alignment horizontal="distributed" vertical="center"/>
      <protection/>
    </xf>
    <xf numFmtId="0" fontId="3" fillId="36" borderId="48" xfId="60" applyFont="1" applyFill="1" applyBorder="1" applyAlignment="1">
      <alignment horizontal="distributed" vertical="center"/>
      <protection/>
    </xf>
    <xf numFmtId="0" fontId="5" fillId="36" borderId="49" xfId="60" applyFont="1" applyFill="1" applyBorder="1" applyAlignment="1">
      <alignment horizontal="distributed" vertical="center"/>
      <protection/>
    </xf>
    <xf numFmtId="0" fontId="5" fillId="36" borderId="50" xfId="60" applyFont="1" applyFill="1" applyBorder="1" applyAlignment="1">
      <alignment horizontal="distributed" vertical="center"/>
      <protection/>
    </xf>
    <xf numFmtId="0" fontId="10" fillId="0" borderId="51" xfId="60" applyFont="1" applyFill="1" applyBorder="1" applyAlignment="1">
      <alignment horizontal="distributed" vertical="center"/>
      <protection/>
    </xf>
    <xf numFmtId="0" fontId="10" fillId="0" borderId="52" xfId="60" applyFont="1" applyFill="1" applyBorder="1" applyAlignment="1">
      <alignment horizontal="center" vertical="center"/>
      <protection/>
    </xf>
    <xf numFmtId="0" fontId="3" fillId="36" borderId="53" xfId="60" applyFont="1" applyFill="1" applyBorder="1" applyAlignment="1">
      <alignment horizontal="distributed" vertical="center"/>
      <protection/>
    </xf>
    <xf numFmtId="0" fontId="10" fillId="0" borderId="54" xfId="60" applyFont="1" applyFill="1" applyBorder="1" applyAlignment="1">
      <alignment horizontal="distributed" vertical="center"/>
      <protection/>
    </xf>
    <xf numFmtId="0" fontId="10" fillId="0" borderId="55" xfId="60" applyFont="1" applyFill="1" applyBorder="1" applyAlignment="1">
      <alignment horizontal="center" vertical="center"/>
      <protection/>
    </xf>
    <xf numFmtId="0" fontId="11" fillId="0" borderId="0" xfId="60" applyFont="1">
      <alignment/>
      <protection/>
    </xf>
    <xf numFmtId="0" fontId="5" fillId="0" borderId="56" xfId="60" applyFont="1" applyBorder="1" applyAlignment="1">
      <alignment horizontal="center" vertical="center"/>
      <protection/>
    </xf>
    <xf numFmtId="0" fontId="5" fillId="0" borderId="57" xfId="60" applyFont="1" applyBorder="1" applyAlignment="1">
      <alignment horizontal="center" vertical="center"/>
      <protection/>
    </xf>
    <xf numFmtId="0" fontId="3" fillId="0" borderId="0" xfId="60" applyFont="1" applyBorder="1" applyAlignment="1">
      <alignment horizontal="left" vertical="center"/>
      <protection/>
    </xf>
    <xf numFmtId="0" fontId="0" fillId="0" borderId="0" xfId="60" applyFont="1" applyBorder="1">
      <alignment/>
      <protection/>
    </xf>
    <xf numFmtId="0" fontId="7" fillId="0" borderId="0" xfId="60" applyFont="1" applyAlignment="1">
      <alignment vertical="top"/>
      <protection/>
    </xf>
    <xf numFmtId="0" fontId="3" fillId="0" borderId="42" xfId="60" applyFont="1" applyBorder="1" applyAlignment="1">
      <alignment horizontal="center" vertical="center" wrapText="1"/>
      <protection/>
    </xf>
    <xf numFmtId="0" fontId="6" fillId="34" borderId="31" xfId="60" applyFont="1" applyFill="1" applyBorder="1" applyAlignment="1">
      <alignment horizontal="right" vertical="top"/>
      <protection/>
    </xf>
    <xf numFmtId="0" fontId="6" fillId="34" borderId="44" xfId="60" applyFont="1" applyFill="1" applyBorder="1" applyAlignment="1">
      <alignment horizontal="right" vertical="top"/>
      <protection/>
    </xf>
    <xf numFmtId="0" fontId="10" fillId="0" borderId="58" xfId="60" applyFont="1" applyFill="1" applyBorder="1" applyAlignment="1">
      <alignment horizontal="center" vertical="center"/>
      <protection/>
    </xf>
    <xf numFmtId="0" fontId="10" fillId="0" borderId="59" xfId="60" applyFont="1" applyFill="1" applyBorder="1" applyAlignment="1">
      <alignment horizontal="center" vertical="center"/>
      <protection/>
    </xf>
    <xf numFmtId="0" fontId="5" fillId="0" borderId="60" xfId="60" applyFont="1" applyBorder="1" applyAlignment="1">
      <alignment horizontal="center" vertical="center"/>
      <protection/>
    </xf>
    <xf numFmtId="3" fontId="3" fillId="34" borderId="61" xfId="0" applyNumberFormat="1" applyFont="1" applyFill="1" applyBorder="1" applyAlignment="1">
      <alignment horizontal="right" vertical="center"/>
    </xf>
    <xf numFmtId="3" fontId="3" fillId="34" borderId="62" xfId="0" applyNumberFormat="1" applyFont="1" applyFill="1" applyBorder="1" applyAlignment="1">
      <alignment horizontal="right" vertical="center"/>
    </xf>
    <xf numFmtId="3" fontId="3" fillId="33" borderId="22" xfId="0" applyNumberFormat="1" applyFont="1" applyFill="1" applyBorder="1" applyAlignment="1">
      <alignment horizontal="right" vertical="center"/>
    </xf>
    <xf numFmtId="3" fontId="3" fillId="33" borderId="63" xfId="0" applyNumberFormat="1" applyFont="1" applyFill="1" applyBorder="1" applyAlignment="1">
      <alignment horizontal="right" vertical="center"/>
    </xf>
    <xf numFmtId="3" fontId="5" fillId="34" borderId="62" xfId="0" applyNumberFormat="1" applyFont="1" applyFill="1" applyBorder="1" applyAlignment="1">
      <alignment horizontal="right" vertical="center"/>
    </xf>
    <xf numFmtId="3" fontId="5" fillId="33" borderId="22" xfId="0" applyNumberFormat="1" applyFont="1" applyFill="1" applyBorder="1" applyAlignment="1">
      <alignment horizontal="right" vertical="center"/>
    </xf>
    <xf numFmtId="3" fontId="5" fillId="33" borderId="63" xfId="0" applyNumberFormat="1" applyFont="1" applyFill="1" applyBorder="1" applyAlignment="1">
      <alignment horizontal="right" vertical="center"/>
    </xf>
    <xf numFmtId="3" fontId="3" fillId="34" borderId="64" xfId="0" applyNumberFormat="1" applyFont="1" applyFill="1" applyBorder="1" applyAlignment="1">
      <alignment horizontal="right" vertical="center"/>
    </xf>
    <xf numFmtId="3" fontId="3" fillId="33" borderId="65" xfId="0" applyNumberFormat="1" applyFont="1" applyFill="1" applyBorder="1" applyAlignment="1">
      <alignment horizontal="right" vertical="center"/>
    </xf>
    <xf numFmtId="3" fontId="3" fillId="33" borderId="66" xfId="0" applyNumberFormat="1" applyFont="1" applyFill="1" applyBorder="1" applyAlignment="1">
      <alignment horizontal="right" vertical="center"/>
    </xf>
    <xf numFmtId="3" fontId="3" fillId="34" borderId="67" xfId="0" applyNumberFormat="1" applyFont="1" applyFill="1" applyBorder="1" applyAlignment="1">
      <alignment horizontal="right" vertical="center"/>
    </xf>
    <xf numFmtId="3" fontId="3" fillId="34" borderId="67" xfId="0" applyNumberFormat="1" applyFont="1" applyFill="1" applyBorder="1" applyAlignment="1">
      <alignment vertical="center"/>
    </xf>
    <xf numFmtId="3" fontId="3" fillId="34" borderId="62" xfId="0" applyNumberFormat="1" applyFont="1" applyFill="1" applyBorder="1" applyAlignment="1">
      <alignment vertical="center"/>
    </xf>
    <xf numFmtId="3" fontId="5" fillId="34" borderId="68" xfId="0" applyNumberFormat="1" applyFont="1" applyFill="1" applyBorder="1" applyAlignment="1">
      <alignment horizontal="right" vertical="center"/>
    </xf>
    <xf numFmtId="3" fontId="5" fillId="33" borderId="69" xfId="0" applyNumberFormat="1" applyFont="1" applyFill="1" applyBorder="1" applyAlignment="1">
      <alignment horizontal="right" vertical="center"/>
    </xf>
    <xf numFmtId="3" fontId="5" fillId="33" borderId="70" xfId="0" applyNumberFormat="1" applyFont="1" applyFill="1" applyBorder="1" applyAlignment="1">
      <alignment horizontal="right" vertical="center"/>
    </xf>
    <xf numFmtId="3" fontId="3" fillId="34" borderId="71" xfId="0" applyNumberFormat="1" applyFont="1" applyFill="1" applyBorder="1" applyAlignment="1">
      <alignment horizontal="right" vertical="center"/>
    </xf>
    <xf numFmtId="3" fontId="3" fillId="33" borderId="72" xfId="0" applyNumberFormat="1" applyFont="1" applyFill="1" applyBorder="1" applyAlignment="1">
      <alignment horizontal="right" vertical="center"/>
    </xf>
    <xf numFmtId="3" fontId="3" fillId="33" borderId="73" xfId="0" applyNumberFormat="1" applyFont="1" applyFill="1" applyBorder="1" applyAlignment="1">
      <alignment horizontal="right" vertical="center"/>
    </xf>
    <xf numFmtId="176" fontId="3" fillId="34" borderId="35" xfId="60" applyNumberFormat="1" applyFont="1" applyFill="1" applyBorder="1" applyAlignment="1">
      <alignment horizontal="right" vertical="center"/>
      <protection/>
    </xf>
    <xf numFmtId="176" fontId="3" fillId="33" borderId="32" xfId="60" applyNumberFormat="1" applyFont="1" applyFill="1" applyBorder="1" applyAlignment="1">
      <alignment horizontal="right" vertical="center"/>
      <protection/>
    </xf>
    <xf numFmtId="176" fontId="3" fillId="33" borderId="74" xfId="60" applyNumberFormat="1" applyFont="1" applyFill="1" applyBorder="1" applyAlignment="1">
      <alignment horizontal="right" vertical="center"/>
      <protection/>
    </xf>
    <xf numFmtId="176" fontId="3" fillId="34" borderId="75" xfId="60" applyNumberFormat="1" applyFont="1" applyFill="1" applyBorder="1" applyAlignment="1">
      <alignment horizontal="right" vertical="center"/>
      <protection/>
    </xf>
    <xf numFmtId="176" fontId="3" fillId="33" borderId="22" xfId="60" applyNumberFormat="1" applyFont="1" applyFill="1" applyBorder="1" applyAlignment="1">
      <alignment horizontal="right" vertical="center"/>
      <protection/>
    </xf>
    <xf numFmtId="176" fontId="3" fillId="33" borderId="76" xfId="60" applyNumberFormat="1" applyFont="1" applyFill="1" applyBorder="1" applyAlignment="1">
      <alignment horizontal="right" vertical="center"/>
      <protection/>
    </xf>
    <xf numFmtId="176" fontId="5" fillId="34" borderId="77" xfId="60" applyNumberFormat="1" applyFont="1" applyFill="1" applyBorder="1" applyAlignment="1">
      <alignment horizontal="right" vertical="center"/>
      <protection/>
    </xf>
    <xf numFmtId="176" fontId="5" fillId="33" borderId="78" xfId="60" applyNumberFormat="1" applyFont="1" applyFill="1" applyBorder="1" applyAlignment="1">
      <alignment horizontal="right" vertical="center"/>
      <protection/>
    </xf>
    <xf numFmtId="176" fontId="5" fillId="33" borderId="79" xfId="60" applyNumberFormat="1" applyFont="1" applyFill="1" applyBorder="1" applyAlignment="1">
      <alignment horizontal="right" vertical="center"/>
      <protection/>
    </xf>
    <xf numFmtId="176" fontId="10" fillId="0" borderId="80" xfId="60" applyNumberFormat="1" applyFont="1" applyFill="1" applyBorder="1" applyAlignment="1">
      <alignment horizontal="right" vertical="center"/>
      <protection/>
    </xf>
    <xf numFmtId="176" fontId="10" fillId="0" borderId="81" xfId="60" applyNumberFormat="1" applyFont="1" applyFill="1" applyBorder="1" applyAlignment="1">
      <alignment horizontal="right" vertical="center"/>
      <protection/>
    </xf>
    <xf numFmtId="176" fontId="10" fillId="0" borderId="82" xfId="60" applyNumberFormat="1" applyFont="1" applyFill="1" applyBorder="1" applyAlignment="1">
      <alignment horizontal="right" vertical="center"/>
      <protection/>
    </xf>
    <xf numFmtId="176" fontId="3" fillId="0" borderId="83" xfId="60" applyNumberFormat="1" applyFont="1" applyFill="1" applyBorder="1" applyAlignment="1">
      <alignment horizontal="right" vertical="center"/>
      <protection/>
    </xf>
    <xf numFmtId="176" fontId="3" fillId="0" borderId="84" xfId="60" applyNumberFormat="1" applyFont="1" applyFill="1" applyBorder="1" applyAlignment="1">
      <alignment horizontal="right" vertical="center"/>
      <protection/>
    </xf>
    <xf numFmtId="176" fontId="3" fillId="0" borderId="85" xfId="60" applyNumberFormat="1" applyFont="1" applyFill="1" applyBorder="1" applyAlignment="1">
      <alignment horizontal="right" vertical="center"/>
      <protection/>
    </xf>
    <xf numFmtId="176" fontId="5" fillId="34" borderId="19" xfId="60" applyNumberFormat="1" applyFont="1" applyFill="1" applyBorder="1" applyAlignment="1">
      <alignment horizontal="right" vertical="center"/>
      <protection/>
    </xf>
    <xf numFmtId="176" fontId="5" fillId="33" borderId="72" xfId="60" applyNumberFormat="1" applyFont="1" applyFill="1" applyBorder="1" applyAlignment="1">
      <alignment horizontal="right" vertical="center"/>
      <protection/>
    </xf>
    <xf numFmtId="176" fontId="5" fillId="33" borderId="86" xfId="60" applyNumberFormat="1" applyFont="1" applyFill="1" applyBorder="1" applyAlignment="1">
      <alignment horizontal="right" vertical="center"/>
      <protection/>
    </xf>
    <xf numFmtId="176" fontId="3" fillId="34" borderId="61" xfId="60" applyNumberFormat="1" applyFont="1" applyFill="1" applyBorder="1" applyAlignment="1">
      <alignment horizontal="right" vertical="center"/>
      <protection/>
    </xf>
    <xf numFmtId="176" fontId="3" fillId="34" borderId="74" xfId="60" applyNumberFormat="1" applyFont="1" applyFill="1" applyBorder="1" applyAlignment="1">
      <alignment horizontal="right" vertical="center"/>
      <protection/>
    </xf>
    <xf numFmtId="176" fontId="5" fillId="34" borderId="87" xfId="60" applyNumberFormat="1" applyFont="1" applyFill="1" applyBorder="1" applyAlignment="1">
      <alignment horizontal="right" vertical="center"/>
      <protection/>
    </xf>
    <xf numFmtId="176" fontId="5" fillId="34" borderId="79" xfId="60" applyNumberFormat="1" applyFont="1" applyFill="1" applyBorder="1" applyAlignment="1">
      <alignment horizontal="right" vertical="center"/>
      <protection/>
    </xf>
    <xf numFmtId="176" fontId="3" fillId="0" borderId="88" xfId="60" applyNumberFormat="1" applyFont="1" applyFill="1" applyBorder="1" applyAlignment="1">
      <alignment horizontal="right" vertical="center"/>
      <protection/>
    </xf>
    <xf numFmtId="176" fontId="3" fillId="0" borderId="89" xfId="60" applyNumberFormat="1" applyFont="1" applyFill="1" applyBorder="1" applyAlignment="1">
      <alignment horizontal="right" vertical="center"/>
      <protection/>
    </xf>
    <xf numFmtId="176" fontId="3" fillId="0" borderId="90" xfId="60" applyNumberFormat="1" applyFont="1" applyFill="1" applyBorder="1" applyAlignment="1">
      <alignment horizontal="right" vertical="center"/>
      <protection/>
    </xf>
    <xf numFmtId="176" fontId="3" fillId="0" borderId="91" xfId="60" applyNumberFormat="1" applyFont="1" applyFill="1" applyBorder="1" applyAlignment="1">
      <alignment horizontal="right" vertical="center"/>
      <protection/>
    </xf>
    <xf numFmtId="176" fontId="3" fillId="0" borderId="92" xfId="60" applyNumberFormat="1" applyFont="1" applyFill="1" applyBorder="1" applyAlignment="1">
      <alignment horizontal="right" vertical="center"/>
      <protection/>
    </xf>
    <xf numFmtId="176" fontId="3" fillId="0" borderId="93" xfId="60" applyNumberFormat="1" applyFont="1" applyFill="1" applyBorder="1" applyAlignment="1">
      <alignment horizontal="right" vertical="center"/>
      <protection/>
    </xf>
    <xf numFmtId="176" fontId="5" fillId="34" borderId="94" xfId="60" applyNumberFormat="1" applyFont="1" applyFill="1" applyBorder="1" applyAlignment="1">
      <alignment horizontal="right" vertical="center"/>
      <protection/>
    </xf>
    <xf numFmtId="176" fontId="5" fillId="34" borderId="95" xfId="60" applyNumberFormat="1" applyFont="1" applyFill="1" applyBorder="1" applyAlignment="1">
      <alignment horizontal="right" vertical="center"/>
      <protection/>
    </xf>
    <xf numFmtId="176" fontId="5" fillId="34" borderId="96" xfId="60" applyNumberFormat="1" applyFont="1" applyFill="1" applyBorder="1" applyAlignment="1">
      <alignment horizontal="right" vertical="center"/>
      <protection/>
    </xf>
    <xf numFmtId="176" fontId="5" fillId="33" borderId="72" xfId="60" applyNumberFormat="1" applyFont="1" applyFill="1" applyBorder="1" applyAlignment="1">
      <alignment horizontal="right" vertical="center" shrinkToFit="1"/>
      <protection/>
    </xf>
    <xf numFmtId="3" fontId="3" fillId="34" borderId="97" xfId="0" applyNumberFormat="1" applyFont="1" applyFill="1" applyBorder="1" applyAlignment="1">
      <alignment vertical="center"/>
    </xf>
    <xf numFmtId="3" fontId="3" fillId="34" borderId="98" xfId="0" applyNumberFormat="1" applyFont="1" applyFill="1" applyBorder="1" applyAlignment="1">
      <alignment vertical="center"/>
    </xf>
    <xf numFmtId="3" fontId="3" fillId="34" borderId="99" xfId="0" applyNumberFormat="1" applyFont="1" applyFill="1" applyBorder="1" applyAlignment="1">
      <alignment vertical="center"/>
    </xf>
    <xf numFmtId="3" fontId="3" fillId="34" borderId="57" xfId="0" applyNumberFormat="1" applyFont="1" applyFill="1" applyBorder="1" applyAlignment="1">
      <alignment vertical="center"/>
    </xf>
    <xf numFmtId="0" fontId="3" fillId="0" borderId="100" xfId="0" applyFont="1" applyBorder="1" applyAlignment="1">
      <alignment horizontal="right" vertical="top" wrapText="1"/>
    </xf>
    <xf numFmtId="0" fontId="4" fillId="0" borderId="0" xfId="0" applyFont="1" applyAlignment="1">
      <alignment horizontal="center" vertical="top"/>
    </xf>
    <xf numFmtId="0" fontId="3" fillId="0" borderId="0" xfId="0" applyFont="1" applyAlignment="1">
      <alignment horizontal="left" vertical="top"/>
    </xf>
    <xf numFmtId="0" fontId="3" fillId="0" borderId="101" xfId="0" applyFont="1" applyBorder="1" applyAlignment="1">
      <alignment horizontal="center" vertical="center"/>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3" xfId="0" applyFont="1" applyBorder="1" applyAlignment="1">
      <alignment horizontal="center" vertical="center"/>
    </xf>
    <xf numFmtId="0" fontId="3" fillId="0" borderId="31" xfId="0" applyFont="1" applyBorder="1" applyAlignment="1">
      <alignment horizontal="center" vertical="center"/>
    </xf>
    <xf numFmtId="0" fontId="3" fillId="0" borderId="0" xfId="0" applyFont="1" applyAlignment="1">
      <alignment horizontal="left" vertical="top" wrapText="1"/>
    </xf>
    <xf numFmtId="0" fontId="3" fillId="0" borderId="109" xfId="0" applyFont="1" applyBorder="1" applyAlignment="1">
      <alignment horizontal="distributed" vertical="center" wrapText="1"/>
    </xf>
    <xf numFmtId="0" fontId="3" fillId="0" borderId="109" xfId="0" applyFont="1" applyBorder="1" applyAlignment="1">
      <alignment horizontal="distributed" vertical="center"/>
    </xf>
    <xf numFmtId="0" fontId="3" fillId="0" borderId="110" xfId="0" applyFont="1" applyBorder="1" applyAlignment="1">
      <alignment horizontal="distributed" vertical="center"/>
    </xf>
    <xf numFmtId="0" fontId="3" fillId="0" borderId="111" xfId="0" applyFont="1" applyBorder="1" applyAlignment="1">
      <alignment horizontal="distributed" vertical="center" wrapText="1"/>
    </xf>
    <xf numFmtId="0" fontId="3" fillId="0" borderId="112" xfId="0" applyFont="1" applyBorder="1" applyAlignment="1">
      <alignment horizontal="distributed" vertical="center"/>
    </xf>
    <xf numFmtId="0" fontId="5" fillId="0" borderId="113" xfId="0" applyFont="1" applyBorder="1" applyAlignment="1">
      <alignment horizontal="distributed" vertical="center"/>
    </xf>
    <xf numFmtId="0" fontId="5" fillId="0" borderId="114" xfId="0" applyFont="1" applyBorder="1" applyAlignment="1">
      <alignment horizontal="distributed" vertical="center"/>
    </xf>
    <xf numFmtId="0" fontId="3" fillId="0" borderId="56" xfId="0" applyFont="1" applyBorder="1" applyAlignment="1">
      <alignment horizontal="distributed" vertical="center"/>
    </xf>
    <xf numFmtId="0" fontId="3" fillId="0" borderId="115" xfId="0" applyFont="1" applyBorder="1" applyAlignment="1">
      <alignment horizontal="distributed" vertical="center"/>
    </xf>
    <xf numFmtId="0" fontId="3" fillId="0" borderId="100" xfId="0" applyFont="1" applyBorder="1" applyAlignment="1">
      <alignment horizontal="justify" vertical="top" wrapText="1"/>
    </xf>
    <xf numFmtId="0" fontId="3" fillId="0" borderId="116" xfId="0" applyFont="1" applyBorder="1" applyAlignment="1">
      <alignment horizontal="center" vertical="center"/>
    </xf>
    <xf numFmtId="0" fontId="3" fillId="0" borderId="100" xfId="0" applyFont="1" applyBorder="1" applyAlignment="1">
      <alignment horizontal="center" vertical="center"/>
    </xf>
    <xf numFmtId="0" fontId="3" fillId="0" borderId="117" xfId="0" applyFont="1" applyBorder="1" applyAlignment="1">
      <alignment horizontal="center" vertical="center"/>
    </xf>
    <xf numFmtId="0" fontId="3" fillId="0" borderId="111" xfId="0" applyFont="1" applyBorder="1" applyAlignment="1">
      <alignment horizontal="center" vertical="center"/>
    </xf>
    <xf numFmtId="0" fontId="3" fillId="0" borderId="11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9" xfId="0" applyFont="1" applyBorder="1" applyAlignment="1">
      <alignment horizontal="center" vertical="center"/>
    </xf>
    <xf numFmtId="0" fontId="3" fillId="0" borderId="100" xfId="0" applyFont="1" applyBorder="1" applyAlignment="1">
      <alignment horizontal="left" vertical="center"/>
    </xf>
    <xf numFmtId="0" fontId="3" fillId="0" borderId="0" xfId="0" applyFont="1" applyAlignment="1">
      <alignment horizontal="left" vertical="center"/>
    </xf>
    <xf numFmtId="0" fontId="3" fillId="0" borderId="0" xfId="60" applyFont="1" applyAlignment="1">
      <alignment horizontal="left" vertical="center"/>
      <protection/>
    </xf>
    <xf numFmtId="0" fontId="3" fillId="0" borderId="101" xfId="60" applyFont="1" applyBorder="1" applyAlignment="1">
      <alignment horizontal="distributed" vertical="center"/>
      <protection/>
    </xf>
    <xf numFmtId="0" fontId="3" fillId="0" borderId="103" xfId="60" applyFont="1" applyBorder="1" applyAlignment="1">
      <alignment horizontal="distributed" vertical="center"/>
      <protection/>
    </xf>
    <xf numFmtId="0" fontId="3" fillId="0" borderId="120" xfId="60" applyFont="1" applyBorder="1" applyAlignment="1">
      <alignment horizontal="distributed" vertical="center"/>
      <protection/>
    </xf>
    <xf numFmtId="0" fontId="3" fillId="0" borderId="121" xfId="60" applyFont="1" applyBorder="1" applyAlignment="1">
      <alignment horizontal="center" vertical="center"/>
      <protection/>
    </xf>
    <xf numFmtId="0" fontId="3" fillId="0" borderId="122" xfId="60" applyFont="1" applyBorder="1" applyAlignment="1">
      <alignment horizontal="center" vertical="center"/>
      <protection/>
    </xf>
    <xf numFmtId="0" fontId="3" fillId="0" borderId="123" xfId="60" applyFont="1" applyBorder="1" applyAlignment="1">
      <alignment horizontal="center" vertical="center"/>
      <protection/>
    </xf>
    <xf numFmtId="0" fontId="3" fillId="0" borderId="124" xfId="60" applyFont="1" applyBorder="1" applyAlignment="1">
      <alignment horizontal="center" vertical="center"/>
      <protection/>
    </xf>
    <xf numFmtId="0" fontId="3" fillId="0" borderId="125" xfId="60" applyFont="1" applyBorder="1" applyAlignment="1">
      <alignment horizontal="center" vertical="center"/>
      <protection/>
    </xf>
    <xf numFmtId="0" fontId="3" fillId="0" borderId="122" xfId="60" applyFont="1" applyBorder="1" applyAlignment="1">
      <alignment horizontal="center" vertical="center" wrapText="1"/>
      <protection/>
    </xf>
    <xf numFmtId="0" fontId="3" fillId="0" borderId="40" xfId="60" applyFont="1" applyBorder="1" applyAlignment="1">
      <alignment horizontal="distributed" vertical="center" wrapText="1"/>
      <protection/>
    </xf>
    <xf numFmtId="0" fontId="3" fillId="0" borderId="126" xfId="60" applyFont="1" applyBorder="1" applyAlignment="1">
      <alignment horizontal="distributed" vertical="center" wrapText="1"/>
      <protection/>
    </xf>
    <xf numFmtId="0" fontId="3" fillId="0" borderId="127" xfId="60" applyFont="1" applyBorder="1" applyAlignment="1">
      <alignment horizontal="distributed" vertical="center" wrapText="1"/>
      <protection/>
    </xf>
    <xf numFmtId="0" fontId="3" fillId="0" borderId="128" xfId="60" applyFont="1" applyBorder="1" applyAlignment="1">
      <alignment horizontal="center" vertical="center"/>
      <protection/>
    </xf>
    <xf numFmtId="0" fontId="3" fillId="0" borderId="129" xfId="60" applyFont="1" applyBorder="1" applyAlignment="1">
      <alignment horizontal="center" vertical="center"/>
      <protection/>
    </xf>
    <xf numFmtId="0" fontId="3" fillId="0" borderId="100" xfId="60" applyFont="1" applyBorder="1" applyAlignment="1">
      <alignment horizontal="left" vertical="center"/>
      <protection/>
    </xf>
    <xf numFmtId="0" fontId="3" fillId="0" borderId="130" xfId="60" applyFont="1" applyBorder="1" applyAlignment="1">
      <alignment horizontal="left" vertical="center"/>
      <protection/>
    </xf>
    <xf numFmtId="0" fontId="3" fillId="0" borderId="121" xfId="60" applyFont="1" applyBorder="1" applyAlignment="1">
      <alignment horizontal="center" vertical="center" wrapText="1"/>
      <protection/>
    </xf>
    <xf numFmtId="0" fontId="3" fillId="0" borderId="131" xfId="60" applyFont="1" applyBorder="1" applyAlignment="1">
      <alignment horizontal="center" vertical="center"/>
      <protection/>
    </xf>
    <xf numFmtId="0" fontId="3" fillId="0" borderId="132" xfId="60" applyFont="1" applyBorder="1" applyAlignment="1">
      <alignment horizontal="center" vertical="center"/>
      <protection/>
    </xf>
    <xf numFmtId="0" fontId="12" fillId="0" borderId="133" xfId="60" applyFont="1" applyBorder="1" applyAlignment="1">
      <alignment horizontal="distributed" vertical="center" wrapText="1"/>
      <protection/>
    </xf>
    <xf numFmtId="0" fontId="47" fillId="0" borderId="134" xfId="61" applyFont="1" applyBorder="1" applyAlignment="1">
      <alignment horizontal="distributed" vertical="center"/>
      <protection/>
    </xf>
    <xf numFmtId="0" fontId="12" fillId="0" borderId="135" xfId="60" applyFont="1" applyBorder="1" applyAlignment="1">
      <alignment horizontal="distributed" vertical="center" wrapText="1"/>
      <protection/>
    </xf>
    <xf numFmtId="0" fontId="12" fillId="0" borderId="136" xfId="60" applyFont="1" applyBorder="1" applyAlignment="1">
      <alignment horizontal="distributed" vertical="center"/>
      <protection/>
    </xf>
    <xf numFmtId="0" fontId="12" fillId="0" borderId="137" xfId="60" applyFont="1" applyBorder="1" applyAlignment="1">
      <alignment horizontal="distributed" vertical="center" wrapText="1"/>
      <protection/>
    </xf>
    <xf numFmtId="0" fontId="12" fillId="0" borderId="138" xfId="60" applyFont="1" applyBorder="1" applyAlignment="1">
      <alignment horizontal="distributed" vertical="center" wrapText="1"/>
      <protection/>
    </xf>
    <xf numFmtId="0" fontId="3" fillId="0" borderId="43" xfId="60" applyFont="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18"/>
  <sheetViews>
    <sheetView showGridLines="0" tabSelected="1" workbookViewId="0" topLeftCell="A1">
      <selection activeCell="A1" sqref="A1:K1"/>
    </sheetView>
  </sheetViews>
  <sheetFormatPr defaultColWidth="5.875" defaultRowHeight="13.5"/>
  <cols>
    <col min="1" max="1" width="10.625" style="1" customWidth="1"/>
    <col min="2" max="2" width="16.00390625" style="1" customWidth="1"/>
    <col min="3" max="3" width="3.00390625" style="1" customWidth="1"/>
    <col min="4" max="4" width="6.75390625" style="1" customWidth="1"/>
    <col min="5" max="5" width="9.75390625" style="1" customWidth="1"/>
    <col min="6" max="6" width="3.00390625" style="1" customWidth="1"/>
    <col min="7" max="7" width="6.75390625" style="1" customWidth="1"/>
    <col min="8" max="8" width="11.375" style="1" bestFit="1" customWidth="1"/>
    <col min="9" max="9" width="3.00390625" style="1" customWidth="1"/>
    <col min="10" max="10" width="6.75390625" style="1" customWidth="1"/>
    <col min="11" max="11" width="11.375" style="1" bestFit="1" customWidth="1"/>
    <col min="12" max="16384" width="5.875" style="1" customWidth="1"/>
  </cols>
  <sheetData>
    <row r="1" spans="1:11" ht="15">
      <c r="A1" s="158" t="s">
        <v>0</v>
      </c>
      <c r="B1" s="158"/>
      <c r="C1" s="158"/>
      <c r="D1" s="158"/>
      <c r="E1" s="158"/>
      <c r="F1" s="158"/>
      <c r="G1" s="158"/>
      <c r="H1" s="158"/>
      <c r="I1" s="158"/>
      <c r="J1" s="158"/>
      <c r="K1" s="158"/>
    </row>
    <row r="2" spans="1:11" ht="15">
      <c r="A2" s="56"/>
      <c r="B2" s="56"/>
      <c r="C2" s="56"/>
      <c r="D2" s="56"/>
      <c r="E2" s="56"/>
      <c r="F2" s="56"/>
      <c r="G2" s="56"/>
      <c r="H2" s="56"/>
      <c r="I2" s="56"/>
      <c r="J2" s="56"/>
      <c r="K2" s="56"/>
    </row>
    <row r="3" spans="1:11" ht="12" thickBot="1">
      <c r="A3" s="159" t="s">
        <v>134</v>
      </c>
      <c r="B3" s="159"/>
      <c r="C3" s="159"/>
      <c r="D3" s="159"/>
      <c r="E3" s="159"/>
      <c r="F3" s="159"/>
      <c r="G3" s="159"/>
      <c r="H3" s="159"/>
      <c r="I3" s="159"/>
      <c r="J3" s="159"/>
      <c r="K3" s="159"/>
    </row>
    <row r="4" spans="1:11" ht="24" customHeight="1">
      <c r="A4" s="160" t="s">
        <v>1</v>
      </c>
      <c r="B4" s="161"/>
      <c r="C4" s="164" t="s">
        <v>135</v>
      </c>
      <c r="D4" s="165"/>
      <c r="E4" s="166"/>
      <c r="F4" s="164" t="s">
        <v>136</v>
      </c>
      <c r="G4" s="165"/>
      <c r="H4" s="166"/>
      <c r="I4" s="164" t="s">
        <v>137</v>
      </c>
      <c r="J4" s="165"/>
      <c r="K4" s="167"/>
    </row>
    <row r="5" spans="1:11" ht="24" customHeight="1">
      <c r="A5" s="162"/>
      <c r="B5" s="163"/>
      <c r="C5" s="168" t="s">
        <v>2</v>
      </c>
      <c r="D5" s="169"/>
      <c r="E5" s="6" t="s">
        <v>3</v>
      </c>
      <c r="F5" s="168" t="s">
        <v>2</v>
      </c>
      <c r="G5" s="169"/>
      <c r="H5" s="6" t="s">
        <v>3</v>
      </c>
      <c r="I5" s="168" t="s">
        <v>2</v>
      </c>
      <c r="J5" s="169"/>
      <c r="K5" s="14" t="s">
        <v>3</v>
      </c>
    </row>
    <row r="6" spans="1:11" ht="12" customHeight="1">
      <c r="A6" s="43"/>
      <c r="B6" s="46"/>
      <c r="C6" s="44"/>
      <c r="D6" s="36" t="s">
        <v>23</v>
      </c>
      <c r="E6" s="35" t="s">
        <v>22</v>
      </c>
      <c r="F6" s="44"/>
      <c r="G6" s="36" t="s">
        <v>23</v>
      </c>
      <c r="H6" s="35" t="s">
        <v>22</v>
      </c>
      <c r="I6" s="44"/>
      <c r="J6" s="36" t="s">
        <v>23</v>
      </c>
      <c r="K6" s="45" t="s">
        <v>22</v>
      </c>
    </row>
    <row r="7" spans="1:11" ht="30" customHeight="1">
      <c r="A7" s="171" t="s">
        <v>138</v>
      </c>
      <c r="B7" s="40" t="s">
        <v>139</v>
      </c>
      <c r="C7" s="15"/>
      <c r="D7" s="102">
        <v>58313</v>
      </c>
      <c r="E7" s="41">
        <v>37204345</v>
      </c>
      <c r="F7" s="18"/>
      <c r="G7" s="102">
        <v>168375</v>
      </c>
      <c r="H7" s="41">
        <v>1186300250</v>
      </c>
      <c r="I7" s="18"/>
      <c r="J7" s="102">
        <v>226688</v>
      </c>
      <c r="K7" s="42">
        <v>1223504595</v>
      </c>
    </row>
    <row r="8" spans="1:11" ht="30" customHeight="1">
      <c r="A8" s="172"/>
      <c r="B8" s="23" t="s">
        <v>140</v>
      </c>
      <c r="C8" s="15"/>
      <c r="D8" s="103">
        <v>95255</v>
      </c>
      <c r="E8" s="104">
        <v>39451794</v>
      </c>
      <c r="F8" s="18"/>
      <c r="G8" s="103">
        <v>75210</v>
      </c>
      <c r="H8" s="104">
        <v>44191763</v>
      </c>
      <c r="I8" s="18"/>
      <c r="J8" s="103">
        <v>170465</v>
      </c>
      <c r="K8" s="105">
        <v>83643556</v>
      </c>
    </row>
    <row r="9" spans="1:11" s="3" customFormat="1" ht="30" customHeight="1">
      <c r="A9" s="172"/>
      <c r="B9" s="24" t="s">
        <v>141</v>
      </c>
      <c r="C9" s="16"/>
      <c r="D9" s="106">
        <v>153568</v>
      </c>
      <c r="E9" s="107">
        <v>76656139</v>
      </c>
      <c r="F9" s="16"/>
      <c r="G9" s="106">
        <v>243585</v>
      </c>
      <c r="H9" s="107">
        <v>1230492013</v>
      </c>
      <c r="I9" s="16"/>
      <c r="J9" s="106">
        <v>397153</v>
      </c>
      <c r="K9" s="108">
        <v>1307148151</v>
      </c>
    </row>
    <row r="10" spans="1:11" ht="30" customHeight="1">
      <c r="A10" s="173"/>
      <c r="B10" s="25" t="s">
        <v>142</v>
      </c>
      <c r="C10" s="15"/>
      <c r="D10" s="109">
        <v>4369</v>
      </c>
      <c r="E10" s="110">
        <v>4190860</v>
      </c>
      <c r="F10" s="15"/>
      <c r="G10" s="109">
        <v>12754</v>
      </c>
      <c r="H10" s="110">
        <v>121565302</v>
      </c>
      <c r="I10" s="15"/>
      <c r="J10" s="109">
        <v>17123</v>
      </c>
      <c r="K10" s="111">
        <v>125756161</v>
      </c>
    </row>
    <row r="11" spans="1:11" ht="30" customHeight="1">
      <c r="A11" s="174" t="s">
        <v>143</v>
      </c>
      <c r="B11" s="57" t="s">
        <v>144</v>
      </c>
      <c r="C11" s="9"/>
      <c r="D11" s="112">
        <v>13273</v>
      </c>
      <c r="E11" s="20">
        <v>3532228</v>
      </c>
      <c r="F11" s="37"/>
      <c r="G11" s="113">
        <v>13504</v>
      </c>
      <c r="H11" s="20">
        <v>4642236</v>
      </c>
      <c r="I11" s="37"/>
      <c r="J11" s="113">
        <v>26777</v>
      </c>
      <c r="K11" s="21">
        <v>8174464</v>
      </c>
    </row>
    <row r="12" spans="1:11" ht="30" customHeight="1">
      <c r="A12" s="175"/>
      <c r="B12" s="58" t="s">
        <v>145</v>
      </c>
      <c r="C12" s="38"/>
      <c r="D12" s="103">
        <v>1363</v>
      </c>
      <c r="E12" s="104">
        <v>422623</v>
      </c>
      <c r="F12" s="39"/>
      <c r="G12" s="114">
        <v>1728</v>
      </c>
      <c r="H12" s="104">
        <v>2049508</v>
      </c>
      <c r="I12" s="39"/>
      <c r="J12" s="114">
        <v>3091</v>
      </c>
      <c r="K12" s="105">
        <v>2472131</v>
      </c>
    </row>
    <row r="13" spans="1:11" s="3" customFormat="1" ht="30" customHeight="1">
      <c r="A13" s="176" t="s">
        <v>6</v>
      </c>
      <c r="B13" s="177"/>
      <c r="C13" s="26" t="s">
        <v>14</v>
      </c>
      <c r="D13" s="115">
        <v>165710</v>
      </c>
      <c r="E13" s="116">
        <v>75574884</v>
      </c>
      <c r="F13" s="26" t="s">
        <v>14</v>
      </c>
      <c r="G13" s="115">
        <v>258027</v>
      </c>
      <c r="H13" s="116">
        <v>1111519438</v>
      </c>
      <c r="I13" s="26" t="s">
        <v>14</v>
      </c>
      <c r="J13" s="115">
        <v>423737</v>
      </c>
      <c r="K13" s="117">
        <v>1187094322</v>
      </c>
    </row>
    <row r="14" spans="1:11" ht="30" customHeight="1" thickBot="1">
      <c r="A14" s="178" t="s">
        <v>7</v>
      </c>
      <c r="B14" s="179"/>
      <c r="C14" s="17"/>
      <c r="D14" s="118">
        <v>13557</v>
      </c>
      <c r="E14" s="119">
        <v>694411</v>
      </c>
      <c r="F14" s="19"/>
      <c r="G14" s="118">
        <v>10325</v>
      </c>
      <c r="H14" s="119">
        <v>930106</v>
      </c>
      <c r="I14" s="19"/>
      <c r="J14" s="118">
        <v>23882</v>
      </c>
      <c r="K14" s="120">
        <v>1624517</v>
      </c>
    </row>
    <row r="15" spans="1:11" s="4" customFormat="1" ht="37.5" customHeight="1">
      <c r="A15" s="157" t="s">
        <v>133</v>
      </c>
      <c r="B15" s="180" t="s">
        <v>166</v>
      </c>
      <c r="C15" s="180"/>
      <c r="D15" s="180"/>
      <c r="E15" s="180"/>
      <c r="F15" s="180"/>
      <c r="G15" s="180"/>
      <c r="H15" s="180"/>
      <c r="I15" s="180"/>
      <c r="J15" s="180"/>
      <c r="K15" s="180"/>
    </row>
    <row r="16" spans="2:11" ht="45" customHeight="1">
      <c r="B16" s="170" t="s">
        <v>167</v>
      </c>
      <c r="C16" s="170"/>
      <c r="D16" s="170"/>
      <c r="E16" s="170"/>
      <c r="F16" s="170"/>
      <c r="G16" s="170"/>
      <c r="H16" s="170"/>
      <c r="I16" s="170"/>
      <c r="J16" s="170"/>
      <c r="K16" s="170"/>
    </row>
    <row r="17" ht="14.25" customHeight="1">
      <c r="A17" s="1" t="s">
        <v>154</v>
      </c>
    </row>
    <row r="18" ht="11.25">
      <c r="A18" s="61" t="s">
        <v>162</v>
      </c>
    </row>
  </sheetData>
  <sheetProtection/>
  <mergeCells count="15">
    <mergeCell ref="B16:K16"/>
    <mergeCell ref="A7:A10"/>
    <mergeCell ref="A11:A12"/>
    <mergeCell ref="A13:B13"/>
    <mergeCell ref="A14:B14"/>
    <mergeCell ref="B15:K15"/>
    <mergeCell ref="A1:K1"/>
    <mergeCell ref="A3:K3"/>
    <mergeCell ref="A4:B5"/>
    <mergeCell ref="C4:E4"/>
    <mergeCell ref="F4:H4"/>
    <mergeCell ref="I4:K4"/>
    <mergeCell ref="C5:D5"/>
    <mergeCell ref="F5:G5"/>
    <mergeCell ref="I5:J5"/>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&amp;R関東信越国税局
消費税
(H29)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showGridLines="0" workbookViewId="0" topLeftCell="A1">
      <selection activeCell="A1" sqref="A1"/>
    </sheetView>
  </sheetViews>
  <sheetFormatPr defaultColWidth="9.00390625" defaultRowHeight="13.5"/>
  <cols>
    <col min="1" max="1" width="10.625" style="60" customWidth="1"/>
    <col min="2" max="2" width="15.625" style="60" customWidth="1"/>
    <col min="3" max="3" width="8.625" style="60" customWidth="1"/>
    <col min="4" max="4" width="10.625" style="60" customWidth="1"/>
    <col min="5" max="5" width="8.625" style="60" customWidth="1"/>
    <col min="6" max="6" width="12.875" style="60" bestFit="1" customWidth="1"/>
    <col min="7" max="7" width="8.625" style="60" customWidth="1"/>
    <col min="8" max="8" width="12.875" style="60" bestFit="1" customWidth="1"/>
    <col min="9" max="16384" width="9.00390625" style="60" customWidth="1"/>
  </cols>
  <sheetData>
    <row r="1" s="1" customFormat="1" ht="12" thickBot="1">
      <c r="A1" s="1" t="s">
        <v>24</v>
      </c>
    </row>
    <row r="2" spans="1:8" s="1" customFormat="1" ht="15" customHeight="1">
      <c r="A2" s="160" t="s">
        <v>1</v>
      </c>
      <c r="B2" s="161"/>
      <c r="C2" s="181" t="s">
        <v>15</v>
      </c>
      <c r="D2" s="181"/>
      <c r="E2" s="181" t="s">
        <v>17</v>
      </c>
      <c r="F2" s="181"/>
      <c r="G2" s="182" t="s">
        <v>18</v>
      </c>
      <c r="H2" s="183"/>
    </row>
    <row r="3" spans="1:8" s="1" customFormat="1" ht="15" customHeight="1">
      <c r="A3" s="162"/>
      <c r="B3" s="163"/>
      <c r="C3" s="9" t="s">
        <v>19</v>
      </c>
      <c r="D3" s="6" t="s">
        <v>20</v>
      </c>
      <c r="E3" s="9" t="s">
        <v>19</v>
      </c>
      <c r="F3" s="7" t="s">
        <v>20</v>
      </c>
      <c r="G3" s="9" t="s">
        <v>19</v>
      </c>
      <c r="H3" s="8" t="s">
        <v>20</v>
      </c>
    </row>
    <row r="4" spans="1:8" s="10" customFormat="1" ht="15" customHeight="1">
      <c r="A4" s="48"/>
      <c r="B4" s="6"/>
      <c r="C4" s="49" t="s">
        <v>4</v>
      </c>
      <c r="D4" s="50" t="s">
        <v>5</v>
      </c>
      <c r="E4" s="49" t="s">
        <v>4</v>
      </c>
      <c r="F4" s="50" t="s">
        <v>5</v>
      </c>
      <c r="G4" s="49" t="s">
        <v>4</v>
      </c>
      <c r="H4" s="51" t="s">
        <v>5</v>
      </c>
    </row>
    <row r="5" spans="1:8" s="59" customFormat="1" ht="30" customHeight="1">
      <c r="A5" s="186" t="s">
        <v>132</v>
      </c>
      <c r="B5" s="40" t="s">
        <v>12</v>
      </c>
      <c r="C5" s="47">
        <v>153291</v>
      </c>
      <c r="D5" s="41">
        <v>47590119</v>
      </c>
      <c r="E5" s="47">
        <v>242311</v>
      </c>
      <c r="F5" s="41">
        <v>717440265</v>
      </c>
      <c r="G5" s="47">
        <v>395602</v>
      </c>
      <c r="H5" s="42">
        <v>765030384</v>
      </c>
    </row>
    <row r="6" spans="1:8" s="59" customFormat="1" ht="30" customHeight="1">
      <c r="A6" s="187"/>
      <c r="B6" s="25" t="s">
        <v>13</v>
      </c>
      <c r="C6" s="28">
        <v>3643</v>
      </c>
      <c r="D6" s="29">
        <v>1892722</v>
      </c>
      <c r="E6" s="28">
        <v>10077</v>
      </c>
      <c r="F6" s="29">
        <v>55777195</v>
      </c>
      <c r="G6" s="28">
        <v>13720</v>
      </c>
      <c r="H6" s="30">
        <v>57669916</v>
      </c>
    </row>
    <row r="7" spans="1:8" s="59" customFormat="1" ht="30" customHeight="1">
      <c r="A7" s="188" t="s">
        <v>155</v>
      </c>
      <c r="B7" s="22" t="s">
        <v>12</v>
      </c>
      <c r="C7" s="27">
        <v>154187</v>
      </c>
      <c r="D7" s="20">
        <v>67693042</v>
      </c>
      <c r="E7" s="27">
        <v>242140</v>
      </c>
      <c r="F7" s="20">
        <v>999181483</v>
      </c>
      <c r="G7" s="27">
        <v>396327</v>
      </c>
      <c r="H7" s="21">
        <v>1066874525</v>
      </c>
    </row>
    <row r="8" spans="1:8" s="59" customFormat="1" ht="30" customHeight="1">
      <c r="A8" s="187"/>
      <c r="B8" s="25" t="s">
        <v>13</v>
      </c>
      <c r="C8" s="28">
        <v>4254</v>
      </c>
      <c r="D8" s="29">
        <v>3058020</v>
      </c>
      <c r="E8" s="28">
        <v>11233</v>
      </c>
      <c r="F8" s="29">
        <v>103538286</v>
      </c>
      <c r="G8" s="28">
        <v>15487</v>
      </c>
      <c r="H8" s="30">
        <v>106596306</v>
      </c>
    </row>
    <row r="9" spans="1:8" s="59" customFormat="1" ht="30" customHeight="1">
      <c r="A9" s="188" t="s">
        <v>158</v>
      </c>
      <c r="B9" s="22" t="s">
        <v>12</v>
      </c>
      <c r="C9" s="27">
        <v>154529</v>
      </c>
      <c r="D9" s="20">
        <v>75918257</v>
      </c>
      <c r="E9" s="27">
        <v>242241</v>
      </c>
      <c r="F9" s="20">
        <v>1166067551</v>
      </c>
      <c r="G9" s="27">
        <v>396770</v>
      </c>
      <c r="H9" s="21">
        <v>1241985808</v>
      </c>
    </row>
    <row r="10" spans="1:8" s="59" customFormat="1" ht="30" customHeight="1">
      <c r="A10" s="187"/>
      <c r="B10" s="25" t="s">
        <v>13</v>
      </c>
      <c r="C10" s="28">
        <v>4709</v>
      </c>
      <c r="D10" s="29">
        <v>4572063</v>
      </c>
      <c r="E10" s="28">
        <v>12005</v>
      </c>
      <c r="F10" s="29">
        <v>112561541</v>
      </c>
      <c r="G10" s="28">
        <v>16714</v>
      </c>
      <c r="H10" s="30">
        <v>117133604</v>
      </c>
    </row>
    <row r="11" spans="1:8" s="59" customFormat="1" ht="30" customHeight="1">
      <c r="A11" s="188" t="s">
        <v>163</v>
      </c>
      <c r="B11" s="22" t="s">
        <v>12</v>
      </c>
      <c r="C11" s="27">
        <v>154450</v>
      </c>
      <c r="D11" s="20">
        <v>77182048</v>
      </c>
      <c r="E11" s="27">
        <v>243657</v>
      </c>
      <c r="F11" s="20">
        <v>1208310076</v>
      </c>
      <c r="G11" s="27">
        <v>398107</v>
      </c>
      <c r="H11" s="21">
        <v>1285492124</v>
      </c>
    </row>
    <row r="12" spans="1:8" s="59" customFormat="1" ht="30" customHeight="1">
      <c r="A12" s="187"/>
      <c r="B12" s="25" t="s">
        <v>13</v>
      </c>
      <c r="C12" s="28">
        <v>4344</v>
      </c>
      <c r="D12" s="29">
        <v>4121597</v>
      </c>
      <c r="E12" s="28">
        <v>12468</v>
      </c>
      <c r="F12" s="29">
        <v>114118668</v>
      </c>
      <c r="G12" s="28">
        <v>16812</v>
      </c>
      <c r="H12" s="30">
        <v>118240265</v>
      </c>
    </row>
    <row r="13" spans="1:8" s="1" customFormat="1" ht="30" customHeight="1">
      <c r="A13" s="184" t="s">
        <v>164</v>
      </c>
      <c r="B13" s="22" t="s">
        <v>12</v>
      </c>
      <c r="C13" s="27">
        <v>153568</v>
      </c>
      <c r="D13" s="20">
        <v>76656139</v>
      </c>
      <c r="E13" s="27">
        <v>243585</v>
      </c>
      <c r="F13" s="20">
        <v>1230492013</v>
      </c>
      <c r="G13" s="27">
        <v>397153</v>
      </c>
      <c r="H13" s="21">
        <v>1307148151</v>
      </c>
    </row>
    <row r="14" spans="1:8" s="1" customFormat="1" ht="30" customHeight="1" thickBot="1">
      <c r="A14" s="185"/>
      <c r="B14" s="31" t="s">
        <v>13</v>
      </c>
      <c r="C14" s="32">
        <v>4369</v>
      </c>
      <c r="D14" s="33">
        <v>4190860</v>
      </c>
      <c r="E14" s="32">
        <v>12754</v>
      </c>
      <c r="F14" s="33">
        <v>121565302</v>
      </c>
      <c r="G14" s="32">
        <v>17123</v>
      </c>
      <c r="H14" s="34">
        <v>125756161</v>
      </c>
    </row>
    <row r="15" spans="5:7" s="1" customFormat="1" ht="11.25">
      <c r="E15" s="2"/>
      <c r="G15" s="2"/>
    </row>
    <row r="16" spans="5:7" s="1" customFormat="1" ht="11.25">
      <c r="E16" s="2"/>
      <c r="G16" s="2"/>
    </row>
    <row r="17" spans="5:7" s="1" customFormat="1" ht="11.25">
      <c r="E17" s="2"/>
      <c r="G17" s="2"/>
    </row>
    <row r="18" spans="5:7" s="1" customFormat="1" ht="11.25">
      <c r="E18" s="2"/>
      <c r="G18" s="2"/>
    </row>
    <row r="19" spans="5:7" s="1" customFormat="1" ht="11.25">
      <c r="E19" s="2"/>
      <c r="G19" s="2"/>
    </row>
    <row r="20" spans="5:7" s="1" customFormat="1" ht="11.25">
      <c r="E20" s="2"/>
      <c r="G20" s="2"/>
    </row>
    <row r="21" spans="5:7" s="1" customFormat="1" ht="11.25">
      <c r="E21" s="2"/>
      <c r="G21" s="2"/>
    </row>
    <row r="22" spans="5:7" s="1" customFormat="1" ht="11.25">
      <c r="E22" s="2"/>
      <c r="G22" s="2"/>
    </row>
  </sheetData>
  <sheetProtection/>
  <mergeCells count="9">
    <mergeCell ref="E2:F2"/>
    <mergeCell ref="G2:H2"/>
    <mergeCell ref="A2:B3"/>
    <mergeCell ref="A13:A14"/>
    <mergeCell ref="A5:A6"/>
    <mergeCell ref="A11:A12"/>
    <mergeCell ref="C2:D2"/>
    <mergeCell ref="A9:A10"/>
    <mergeCell ref="A7:A8"/>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&amp;R関東信越国税局
消費税
(H29)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6"/>
  <sheetViews>
    <sheetView showGridLines="0" workbookViewId="0" topLeftCell="A1">
      <selection activeCell="A1" sqref="A1"/>
    </sheetView>
  </sheetViews>
  <sheetFormatPr defaultColWidth="9.00390625" defaultRowHeight="13.5"/>
  <cols>
    <col min="1" max="2" width="18.625" style="60" customWidth="1"/>
    <col min="3" max="3" width="23.625" style="60" customWidth="1"/>
    <col min="4" max="4" width="18.625" style="60" customWidth="1"/>
    <col min="5" max="16384" width="9.00390625" style="60" customWidth="1"/>
  </cols>
  <sheetData>
    <row r="1" s="1" customFormat="1" ht="20.25" customHeight="1" thickBot="1">
      <c r="A1" s="1" t="s">
        <v>21</v>
      </c>
    </row>
    <row r="2" spans="1:4" s="4" customFormat="1" ht="19.5" customHeight="1">
      <c r="A2" s="11" t="s">
        <v>8</v>
      </c>
      <c r="B2" s="12" t="s">
        <v>9</v>
      </c>
      <c r="C2" s="13" t="s">
        <v>10</v>
      </c>
      <c r="D2" s="62" t="s">
        <v>25</v>
      </c>
    </row>
    <row r="3" spans="1:4" s="10" customFormat="1" ht="15" customHeight="1">
      <c r="A3" s="52" t="s">
        <v>4</v>
      </c>
      <c r="B3" s="53" t="s">
        <v>4</v>
      </c>
      <c r="C3" s="54" t="s">
        <v>4</v>
      </c>
      <c r="D3" s="55" t="s">
        <v>4</v>
      </c>
    </row>
    <row r="4" spans="1:9" s="4" customFormat="1" ht="30" customHeight="1" thickBot="1">
      <c r="A4" s="153">
        <v>420200</v>
      </c>
      <c r="B4" s="154">
        <v>12461</v>
      </c>
      <c r="C4" s="155">
        <v>1097</v>
      </c>
      <c r="D4" s="156">
        <v>433758</v>
      </c>
      <c r="E4" s="5"/>
      <c r="G4" s="5"/>
      <c r="I4" s="5"/>
    </row>
    <row r="5" spans="1:4" s="4" customFormat="1" ht="15" customHeight="1">
      <c r="A5" s="189" t="s">
        <v>165</v>
      </c>
      <c r="B5" s="189"/>
      <c r="C5" s="189"/>
      <c r="D5" s="189"/>
    </row>
    <row r="6" spans="1:4" s="4" customFormat="1" ht="15" customHeight="1">
      <c r="A6" s="190" t="s">
        <v>11</v>
      </c>
      <c r="B6" s="190"/>
      <c r="C6" s="190"/>
      <c r="D6" s="190"/>
    </row>
  </sheetData>
  <sheetProtection/>
  <mergeCells count="2">
    <mergeCell ref="A5:D5"/>
    <mergeCell ref="A6:D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&amp;R関東信越国税局
消費税
(H29)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O97"/>
  <sheetViews>
    <sheetView workbookViewId="0" topLeftCell="A1">
      <selection activeCell="A1" sqref="A1"/>
    </sheetView>
  </sheetViews>
  <sheetFormatPr defaultColWidth="9.00390625" defaultRowHeight="13.5"/>
  <cols>
    <col min="1" max="1" width="11.375" style="65" customWidth="1"/>
    <col min="2" max="2" width="10.625" style="65" customWidth="1"/>
    <col min="3" max="3" width="12.625" style="65" customWidth="1"/>
    <col min="4" max="4" width="10.625" style="65" customWidth="1"/>
    <col min="5" max="5" width="12.625" style="65" customWidth="1"/>
    <col min="6" max="6" width="10.625" style="65" customWidth="1"/>
    <col min="7" max="7" width="12.625" style="65" customWidth="1"/>
    <col min="8" max="8" width="10.625" style="65" customWidth="1"/>
    <col min="9" max="9" width="12.625" style="65" customWidth="1"/>
    <col min="10" max="10" width="10.625" style="65" customWidth="1"/>
    <col min="11" max="11" width="12.625" style="65" customWidth="1"/>
    <col min="12" max="12" width="10.625" style="65" customWidth="1"/>
    <col min="13" max="13" width="12.625" style="65" customWidth="1"/>
    <col min="14" max="14" width="11.375" style="65" customWidth="1"/>
    <col min="15" max="16384" width="9.00390625" style="65" customWidth="1"/>
  </cols>
  <sheetData>
    <row r="1" spans="1:14" ht="13.5">
      <c r="A1" s="63" t="s">
        <v>160</v>
      </c>
      <c r="B1" s="63"/>
      <c r="C1" s="63"/>
      <c r="D1" s="63"/>
      <c r="E1" s="63"/>
      <c r="F1" s="63"/>
      <c r="G1" s="63"/>
      <c r="H1" s="64"/>
      <c r="I1" s="64"/>
      <c r="J1" s="64"/>
      <c r="K1" s="64"/>
      <c r="L1" s="64"/>
      <c r="M1" s="64"/>
      <c r="N1" s="64"/>
    </row>
    <row r="2" spans="1:14" ht="14.25" thickBot="1">
      <c r="A2" s="191" t="s">
        <v>26</v>
      </c>
      <c r="B2" s="191"/>
      <c r="C2" s="191"/>
      <c r="D2" s="191"/>
      <c r="E2" s="191"/>
      <c r="F2" s="191"/>
      <c r="G2" s="191"/>
      <c r="H2" s="64"/>
      <c r="I2" s="64"/>
      <c r="J2" s="64"/>
      <c r="K2" s="64"/>
      <c r="L2" s="64"/>
      <c r="M2" s="64"/>
      <c r="N2" s="64"/>
    </row>
    <row r="3" spans="1:14" ht="19.5" customHeight="1">
      <c r="A3" s="192" t="s">
        <v>27</v>
      </c>
      <c r="B3" s="195" t="s">
        <v>28</v>
      </c>
      <c r="C3" s="195"/>
      <c r="D3" s="195"/>
      <c r="E3" s="195"/>
      <c r="F3" s="195"/>
      <c r="G3" s="195"/>
      <c r="H3" s="196" t="s">
        <v>13</v>
      </c>
      <c r="I3" s="197"/>
      <c r="J3" s="200" t="s">
        <v>29</v>
      </c>
      <c r="K3" s="197"/>
      <c r="L3" s="196" t="s">
        <v>30</v>
      </c>
      <c r="M3" s="197"/>
      <c r="N3" s="201" t="s">
        <v>31</v>
      </c>
    </row>
    <row r="4" spans="1:14" ht="17.25" customHeight="1">
      <c r="A4" s="193"/>
      <c r="B4" s="204" t="s">
        <v>16</v>
      </c>
      <c r="C4" s="204"/>
      <c r="D4" s="198" t="s">
        <v>32</v>
      </c>
      <c r="E4" s="205"/>
      <c r="F4" s="198" t="s">
        <v>33</v>
      </c>
      <c r="G4" s="205"/>
      <c r="H4" s="198"/>
      <c r="I4" s="199"/>
      <c r="J4" s="198"/>
      <c r="K4" s="199"/>
      <c r="L4" s="198"/>
      <c r="M4" s="199"/>
      <c r="N4" s="202"/>
    </row>
    <row r="5" spans="1:14" s="71" customFormat="1" ht="28.5" customHeight="1">
      <c r="A5" s="194"/>
      <c r="B5" s="66" t="s">
        <v>34</v>
      </c>
      <c r="C5" s="67" t="s">
        <v>35</v>
      </c>
      <c r="D5" s="66" t="s">
        <v>34</v>
      </c>
      <c r="E5" s="67" t="s">
        <v>35</v>
      </c>
      <c r="F5" s="66" t="s">
        <v>34</v>
      </c>
      <c r="G5" s="68" t="s">
        <v>36</v>
      </c>
      <c r="H5" s="66" t="s">
        <v>34</v>
      </c>
      <c r="I5" s="69" t="s">
        <v>37</v>
      </c>
      <c r="J5" s="66" t="s">
        <v>34</v>
      </c>
      <c r="K5" s="69" t="s">
        <v>38</v>
      </c>
      <c r="L5" s="66" t="s">
        <v>34</v>
      </c>
      <c r="M5" s="70" t="s">
        <v>39</v>
      </c>
      <c r="N5" s="203"/>
    </row>
    <row r="6" spans="1:14" s="77" customFormat="1" ht="10.5">
      <c r="A6" s="72"/>
      <c r="B6" s="73" t="s">
        <v>4</v>
      </c>
      <c r="C6" s="74" t="s">
        <v>5</v>
      </c>
      <c r="D6" s="73" t="s">
        <v>4</v>
      </c>
      <c r="E6" s="74" t="s">
        <v>5</v>
      </c>
      <c r="F6" s="73" t="s">
        <v>4</v>
      </c>
      <c r="G6" s="74" t="s">
        <v>5</v>
      </c>
      <c r="H6" s="73" t="s">
        <v>4</v>
      </c>
      <c r="I6" s="75" t="s">
        <v>5</v>
      </c>
      <c r="J6" s="73" t="s">
        <v>4</v>
      </c>
      <c r="K6" s="75" t="s">
        <v>5</v>
      </c>
      <c r="L6" s="73" t="s">
        <v>159</v>
      </c>
      <c r="M6" s="75" t="s">
        <v>5</v>
      </c>
      <c r="N6" s="76"/>
    </row>
    <row r="7" spans="1:14" s="80" customFormat="1" ht="15.75" customHeight="1">
      <c r="A7" s="78" t="s">
        <v>40</v>
      </c>
      <c r="B7" s="121">
        <f>_xlfn.COMPOUNDVALUE(1)</f>
        <v>1952</v>
      </c>
      <c r="C7" s="122">
        <v>1330560</v>
      </c>
      <c r="D7" s="121">
        <f>_xlfn.COMPOUNDVALUE(2)</f>
        <v>2546</v>
      </c>
      <c r="E7" s="122">
        <v>1103761</v>
      </c>
      <c r="F7" s="121">
        <f>_xlfn.COMPOUNDVALUE(3)</f>
        <v>4498</v>
      </c>
      <c r="G7" s="122">
        <v>2434320</v>
      </c>
      <c r="H7" s="121">
        <f>_xlfn.COMPOUNDVALUE(4)</f>
        <v>121</v>
      </c>
      <c r="I7" s="123">
        <v>105799</v>
      </c>
      <c r="J7" s="121">
        <v>324</v>
      </c>
      <c r="K7" s="123">
        <v>103040</v>
      </c>
      <c r="L7" s="121">
        <v>4773</v>
      </c>
      <c r="M7" s="123">
        <v>2431561</v>
      </c>
      <c r="N7" s="79" t="s">
        <v>40</v>
      </c>
    </row>
    <row r="8" spans="1:14" s="80" customFormat="1" ht="15.75" customHeight="1">
      <c r="A8" s="81" t="s">
        <v>41</v>
      </c>
      <c r="B8" s="124">
        <f>_xlfn.COMPOUNDVALUE(5)</f>
        <v>791</v>
      </c>
      <c r="C8" s="125">
        <v>529027</v>
      </c>
      <c r="D8" s="124">
        <f>_xlfn.COMPOUNDVALUE(6)</f>
        <v>1062</v>
      </c>
      <c r="E8" s="125">
        <v>456798</v>
      </c>
      <c r="F8" s="124">
        <f>_xlfn.COMPOUNDVALUE(7)</f>
        <v>1853</v>
      </c>
      <c r="G8" s="125">
        <v>985825</v>
      </c>
      <c r="H8" s="124">
        <f>_xlfn.COMPOUNDVALUE(8)</f>
        <v>55</v>
      </c>
      <c r="I8" s="126">
        <v>90607</v>
      </c>
      <c r="J8" s="124">
        <v>241</v>
      </c>
      <c r="K8" s="126">
        <v>45798</v>
      </c>
      <c r="L8" s="124">
        <v>1994</v>
      </c>
      <c r="M8" s="126">
        <v>941016</v>
      </c>
      <c r="N8" s="82" t="s">
        <v>41</v>
      </c>
    </row>
    <row r="9" spans="1:14" s="80" customFormat="1" ht="15.75" customHeight="1">
      <c r="A9" s="81" t="s">
        <v>42</v>
      </c>
      <c r="B9" s="124">
        <f>_xlfn.COMPOUNDVALUE(9)</f>
        <v>1865</v>
      </c>
      <c r="C9" s="125">
        <v>1242702</v>
      </c>
      <c r="D9" s="124">
        <f>_xlfn.COMPOUNDVALUE(10)</f>
        <v>2384</v>
      </c>
      <c r="E9" s="125">
        <v>1011447</v>
      </c>
      <c r="F9" s="124">
        <f>_xlfn.COMPOUNDVALUE(11)</f>
        <v>4249</v>
      </c>
      <c r="G9" s="125">
        <v>2254148</v>
      </c>
      <c r="H9" s="124">
        <f>_xlfn.COMPOUNDVALUE(12)</f>
        <v>158</v>
      </c>
      <c r="I9" s="126">
        <v>171345</v>
      </c>
      <c r="J9" s="124">
        <v>511</v>
      </c>
      <c r="K9" s="126">
        <v>112187</v>
      </c>
      <c r="L9" s="124">
        <v>4722</v>
      </c>
      <c r="M9" s="126">
        <v>2194991</v>
      </c>
      <c r="N9" s="82" t="s">
        <v>42</v>
      </c>
    </row>
    <row r="10" spans="1:14" s="80" customFormat="1" ht="15.75" customHeight="1">
      <c r="A10" s="81" t="s">
        <v>43</v>
      </c>
      <c r="B10" s="124">
        <f>_xlfn.COMPOUNDVALUE(13)</f>
        <v>942</v>
      </c>
      <c r="C10" s="125">
        <v>643165</v>
      </c>
      <c r="D10" s="124">
        <f>_xlfn.COMPOUNDVALUE(14)</f>
        <v>2010</v>
      </c>
      <c r="E10" s="125">
        <v>769362</v>
      </c>
      <c r="F10" s="124">
        <f>_xlfn.COMPOUNDVALUE(15)</f>
        <v>2952</v>
      </c>
      <c r="G10" s="125">
        <v>1412527</v>
      </c>
      <c r="H10" s="124">
        <f>_xlfn.COMPOUNDVALUE(16)</f>
        <v>66</v>
      </c>
      <c r="I10" s="126">
        <v>37844</v>
      </c>
      <c r="J10" s="124">
        <v>186</v>
      </c>
      <c r="K10" s="126">
        <v>29811</v>
      </c>
      <c r="L10" s="124">
        <v>3119</v>
      </c>
      <c r="M10" s="126">
        <v>1404495</v>
      </c>
      <c r="N10" s="82" t="s">
        <v>43</v>
      </c>
    </row>
    <row r="11" spans="1:14" s="80" customFormat="1" ht="15.75" customHeight="1">
      <c r="A11" s="81" t="s">
        <v>44</v>
      </c>
      <c r="B11" s="124">
        <f>_xlfn.COMPOUNDVALUE(17)</f>
        <v>1435</v>
      </c>
      <c r="C11" s="125">
        <v>1147300</v>
      </c>
      <c r="D11" s="124">
        <f>_xlfn.COMPOUNDVALUE(18)</f>
        <v>2436</v>
      </c>
      <c r="E11" s="125">
        <v>1005834</v>
      </c>
      <c r="F11" s="124">
        <f>_xlfn.COMPOUNDVALUE(19)</f>
        <v>3871</v>
      </c>
      <c r="G11" s="125">
        <v>2153134</v>
      </c>
      <c r="H11" s="124">
        <f>_xlfn.COMPOUNDVALUE(20)</f>
        <v>91</v>
      </c>
      <c r="I11" s="126">
        <v>54568</v>
      </c>
      <c r="J11" s="124">
        <v>235</v>
      </c>
      <c r="K11" s="126">
        <v>65746</v>
      </c>
      <c r="L11" s="124">
        <v>4112</v>
      </c>
      <c r="M11" s="126">
        <v>2164312</v>
      </c>
      <c r="N11" s="82" t="s">
        <v>44</v>
      </c>
    </row>
    <row r="12" spans="1:14" s="80" customFormat="1" ht="15.75" customHeight="1">
      <c r="A12" s="81" t="s">
        <v>45</v>
      </c>
      <c r="B12" s="124">
        <f>_xlfn.COMPOUNDVALUE(21)</f>
        <v>1318</v>
      </c>
      <c r="C12" s="125">
        <v>1366192</v>
      </c>
      <c r="D12" s="124">
        <f>_xlfn.COMPOUNDVALUE(22)</f>
        <v>1749</v>
      </c>
      <c r="E12" s="125">
        <v>737531</v>
      </c>
      <c r="F12" s="124">
        <f>_xlfn.COMPOUNDVALUE(23)</f>
        <v>3067</v>
      </c>
      <c r="G12" s="125">
        <v>2103723</v>
      </c>
      <c r="H12" s="124">
        <f>_xlfn.COMPOUNDVALUE(24)</f>
        <v>128</v>
      </c>
      <c r="I12" s="126">
        <v>106449</v>
      </c>
      <c r="J12" s="124">
        <v>292</v>
      </c>
      <c r="K12" s="126">
        <v>64034</v>
      </c>
      <c r="L12" s="124">
        <v>3370</v>
      </c>
      <c r="M12" s="126">
        <v>2061307</v>
      </c>
      <c r="N12" s="82" t="s">
        <v>46</v>
      </c>
    </row>
    <row r="13" spans="1:14" s="80" customFormat="1" ht="15.75" customHeight="1">
      <c r="A13" s="81" t="s">
        <v>47</v>
      </c>
      <c r="B13" s="124">
        <f>_xlfn.COMPOUNDVALUE(25)</f>
        <v>1273</v>
      </c>
      <c r="C13" s="125">
        <v>716837</v>
      </c>
      <c r="D13" s="124">
        <f>_xlfn.COMPOUNDVALUE(26)</f>
        <v>1664</v>
      </c>
      <c r="E13" s="125">
        <v>674399</v>
      </c>
      <c r="F13" s="124">
        <f>_xlfn.COMPOUNDVALUE(27)</f>
        <v>2937</v>
      </c>
      <c r="G13" s="125">
        <v>1391236</v>
      </c>
      <c r="H13" s="124">
        <f>_xlfn.COMPOUNDVALUE(28)</f>
        <v>70</v>
      </c>
      <c r="I13" s="126">
        <v>58249</v>
      </c>
      <c r="J13" s="124">
        <v>242</v>
      </c>
      <c r="K13" s="126">
        <v>50522</v>
      </c>
      <c r="L13" s="124">
        <v>3146</v>
      </c>
      <c r="M13" s="126">
        <v>1383509</v>
      </c>
      <c r="N13" s="82" t="s">
        <v>47</v>
      </c>
    </row>
    <row r="14" spans="1:14" s="80" customFormat="1" ht="15.75" customHeight="1">
      <c r="A14" s="81" t="s">
        <v>48</v>
      </c>
      <c r="B14" s="124">
        <f>_xlfn.COMPOUNDVALUE(29)</f>
        <v>1692</v>
      </c>
      <c r="C14" s="125">
        <v>1437469</v>
      </c>
      <c r="D14" s="124">
        <f>_xlfn.COMPOUNDVALUE(30)</f>
        <v>3045</v>
      </c>
      <c r="E14" s="125">
        <v>1315999</v>
      </c>
      <c r="F14" s="124">
        <f>_xlfn.COMPOUNDVALUE(31)</f>
        <v>4737</v>
      </c>
      <c r="G14" s="125">
        <v>2753467</v>
      </c>
      <c r="H14" s="124">
        <f>_xlfn.COMPOUNDVALUE(32)</f>
        <v>79</v>
      </c>
      <c r="I14" s="126">
        <v>69524</v>
      </c>
      <c r="J14" s="124">
        <v>291</v>
      </c>
      <c r="K14" s="126">
        <v>77472</v>
      </c>
      <c r="L14" s="124">
        <v>4988</v>
      </c>
      <c r="M14" s="126">
        <v>2761416</v>
      </c>
      <c r="N14" s="82" t="s">
        <v>48</v>
      </c>
    </row>
    <row r="15" spans="1:14" s="80" customFormat="1" ht="15.75" customHeight="1">
      <c r="A15" s="83" t="s">
        <v>49</v>
      </c>
      <c r="B15" s="127">
        <v>11268</v>
      </c>
      <c r="C15" s="128">
        <v>8413251</v>
      </c>
      <c r="D15" s="127">
        <v>16896</v>
      </c>
      <c r="E15" s="128">
        <v>7075129</v>
      </c>
      <c r="F15" s="127">
        <v>28164</v>
      </c>
      <c r="G15" s="128">
        <v>15488380</v>
      </c>
      <c r="H15" s="127">
        <v>768</v>
      </c>
      <c r="I15" s="129">
        <v>694385</v>
      </c>
      <c r="J15" s="127">
        <v>2322</v>
      </c>
      <c r="K15" s="129">
        <v>548610</v>
      </c>
      <c r="L15" s="127">
        <v>30224</v>
      </c>
      <c r="M15" s="129">
        <v>15342606</v>
      </c>
      <c r="N15" s="84" t="s">
        <v>50</v>
      </c>
    </row>
    <row r="16" spans="1:14" s="80" customFormat="1" ht="15.75" customHeight="1">
      <c r="A16" s="85"/>
      <c r="B16" s="130"/>
      <c r="C16" s="131"/>
      <c r="D16" s="130"/>
      <c r="E16" s="131"/>
      <c r="F16" s="132"/>
      <c r="G16" s="131"/>
      <c r="H16" s="132"/>
      <c r="I16" s="131"/>
      <c r="J16" s="132"/>
      <c r="K16" s="131"/>
      <c r="L16" s="132"/>
      <c r="M16" s="131"/>
      <c r="N16" s="86"/>
    </row>
    <row r="17" spans="1:14" s="80" customFormat="1" ht="15.75" customHeight="1">
      <c r="A17" s="78" t="s">
        <v>51</v>
      </c>
      <c r="B17" s="121">
        <f>_xlfn.COMPOUNDVALUE(33)</f>
        <v>1456</v>
      </c>
      <c r="C17" s="122">
        <v>978785</v>
      </c>
      <c r="D17" s="121">
        <f>_xlfn.COMPOUNDVALUE(34)</f>
        <v>2349</v>
      </c>
      <c r="E17" s="122">
        <v>990936</v>
      </c>
      <c r="F17" s="121">
        <f>_xlfn.COMPOUNDVALUE(35)</f>
        <v>3805</v>
      </c>
      <c r="G17" s="122">
        <v>1969722</v>
      </c>
      <c r="H17" s="121">
        <f>_xlfn.COMPOUNDVALUE(36)</f>
        <v>117</v>
      </c>
      <c r="I17" s="123">
        <v>141461</v>
      </c>
      <c r="J17" s="121">
        <v>379</v>
      </c>
      <c r="K17" s="123">
        <v>81337</v>
      </c>
      <c r="L17" s="121">
        <v>4089</v>
      </c>
      <c r="M17" s="123">
        <v>1909598</v>
      </c>
      <c r="N17" s="87" t="s">
        <v>51</v>
      </c>
    </row>
    <row r="18" spans="1:14" s="80" customFormat="1" ht="15.75" customHeight="1">
      <c r="A18" s="81" t="s">
        <v>52</v>
      </c>
      <c r="B18" s="124">
        <f>_xlfn.COMPOUNDVALUE(37)</f>
        <v>467</v>
      </c>
      <c r="C18" s="125">
        <v>305786</v>
      </c>
      <c r="D18" s="124">
        <f>_xlfn.COMPOUNDVALUE(38)</f>
        <v>748</v>
      </c>
      <c r="E18" s="125">
        <v>287141</v>
      </c>
      <c r="F18" s="124">
        <f>_xlfn.COMPOUNDVALUE(39)</f>
        <v>1215</v>
      </c>
      <c r="G18" s="125">
        <v>592927</v>
      </c>
      <c r="H18" s="124">
        <f>_xlfn.COMPOUNDVALUE(40)</f>
        <v>29</v>
      </c>
      <c r="I18" s="126">
        <v>21042</v>
      </c>
      <c r="J18" s="124">
        <v>107</v>
      </c>
      <c r="K18" s="126">
        <v>24642</v>
      </c>
      <c r="L18" s="124">
        <v>1292</v>
      </c>
      <c r="M18" s="126">
        <v>596527</v>
      </c>
      <c r="N18" s="82" t="s">
        <v>52</v>
      </c>
    </row>
    <row r="19" spans="1:14" s="80" customFormat="1" ht="15.75" customHeight="1">
      <c r="A19" s="81" t="s">
        <v>53</v>
      </c>
      <c r="B19" s="124">
        <f>_xlfn.COMPOUNDVALUE(41)</f>
        <v>1354</v>
      </c>
      <c r="C19" s="125">
        <v>774228</v>
      </c>
      <c r="D19" s="124">
        <f>_xlfn.COMPOUNDVALUE(42)</f>
        <v>2351</v>
      </c>
      <c r="E19" s="125">
        <v>907488</v>
      </c>
      <c r="F19" s="124">
        <f>_xlfn.COMPOUNDVALUE(43)</f>
        <v>3705</v>
      </c>
      <c r="G19" s="125">
        <v>1681717</v>
      </c>
      <c r="H19" s="124">
        <f>_xlfn.COMPOUNDVALUE(44)</f>
        <v>134</v>
      </c>
      <c r="I19" s="126">
        <v>74022</v>
      </c>
      <c r="J19" s="124">
        <v>289</v>
      </c>
      <c r="K19" s="126">
        <v>69265</v>
      </c>
      <c r="L19" s="124">
        <v>4028</v>
      </c>
      <c r="M19" s="126">
        <v>1676959</v>
      </c>
      <c r="N19" s="82" t="s">
        <v>53</v>
      </c>
    </row>
    <row r="20" spans="1:14" s="80" customFormat="1" ht="15.75" customHeight="1">
      <c r="A20" s="81" t="s">
        <v>54</v>
      </c>
      <c r="B20" s="124">
        <f>_xlfn.COMPOUNDVALUE(45)</f>
        <v>438</v>
      </c>
      <c r="C20" s="125">
        <v>209648</v>
      </c>
      <c r="D20" s="124">
        <f>_xlfn.COMPOUNDVALUE(46)</f>
        <v>667</v>
      </c>
      <c r="E20" s="125">
        <v>266097</v>
      </c>
      <c r="F20" s="124">
        <f>_xlfn.COMPOUNDVALUE(47)</f>
        <v>1105</v>
      </c>
      <c r="G20" s="125">
        <v>475745</v>
      </c>
      <c r="H20" s="124">
        <f>_xlfn.COMPOUNDVALUE(48)</f>
        <v>44</v>
      </c>
      <c r="I20" s="126">
        <v>33481</v>
      </c>
      <c r="J20" s="124">
        <v>132</v>
      </c>
      <c r="K20" s="126">
        <v>38678</v>
      </c>
      <c r="L20" s="124">
        <v>1210</v>
      </c>
      <c r="M20" s="126">
        <v>480941</v>
      </c>
      <c r="N20" s="82" t="s">
        <v>54</v>
      </c>
    </row>
    <row r="21" spans="1:14" s="80" customFormat="1" ht="15.75" customHeight="1">
      <c r="A21" s="81" t="s">
        <v>55</v>
      </c>
      <c r="B21" s="124">
        <f>_xlfn.COMPOUNDVALUE(49)</f>
        <v>541</v>
      </c>
      <c r="C21" s="125">
        <v>291256</v>
      </c>
      <c r="D21" s="124">
        <f>_xlfn.COMPOUNDVALUE(50)</f>
        <v>1042</v>
      </c>
      <c r="E21" s="125">
        <v>404283</v>
      </c>
      <c r="F21" s="124">
        <f>_xlfn.COMPOUNDVALUE(51)</f>
        <v>1583</v>
      </c>
      <c r="G21" s="125">
        <v>695540</v>
      </c>
      <c r="H21" s="124">
        <f>_xlfn.COMPOUNDVALUE(52)</f>
        <v>59</v>
      </c>
      <c r="I21" s="126">
        <v>40167</v>
      </c>
      <c r="J21" s="124">
        <v>115</v>
      </c>
      <c r="K21" s="126">
        <v>28980</v>
      </c>
      <c r="L21" s="124">
        <v>1692</v>
      </c>
      <c r="M21" s="126">
        <v>684353</v>
      </c>
      <c r="N21" s="82" t="s">
        <v>55</v>
      </c>
    </row>
    <row r="22" spans="1:14" s="80" customFormat="1" ht="15.75" customHeight="1">
      <c r="A22" s="81" t="s">
        <v>56</v>
      </c>
      <c r="B22" s="124">
        <f>_xlfn.COMPOUNDVALUE(53)</f>
        <v>504</v>
      </c>
      <c r="C22" s="125">
        <v>290264</v>
      </c>
      <c r="D22" s="124">
        <f>_xlfn.COMPOUNDVALUE(54)</f>
        <v>1092</v>
      </c>
      <c r="E22" s="125">
        <v>419454</v>
      </c>
      <c r="F22" s="124">
        <f>_xlfn.COMPOUNDVALUE(55)</f>
        <v>1596</v>
      </c>
      <c r="G22" s="125">
        <v>709718</v>
      </c>
      <c r="H22" s="124">
        <f>_xlfn.COMPOUNDVALUE(56)</f>
        <v>44</v>
      </c>
      <c r="I22" s="126">
        <v>26501</v>
      </c>
      <c r="J22" s="124">
        <v>93</v>
      </c>
      <c r="K22" s="126">
        <v>17350</v>
      </c>
      <c r="L22" s="124">
        <v>1703</v>
      </c>
      <c r="M22" s="126">
        <v>700567</v>
      </c>
      <c r="N22" s="82" t="s">
        <v>56</v>
      </c>
    </row>
    <row r="23" spans="1:14" s="80" customFormat="1" ht="15.75" customHeight="1">
      <c r="A23" s="81" t="s">
        <v>57</v>
      </c>
      <c r="B23" s="124">
        <f>_xlfn.COMPOUNDVALUE(57)</f>
        <v>952</v>
      </c>
      <c r="C23" s="125">
        <v>605235</v>
      </c>
      <c r="D23" s="124">
        <f>_xlfn.COMPOUNDVALUE(58)</f>
        <v>1528</v>
      </c>
      <c r="E23" s="125">
        <v>599145</v>
      </c>
      <c r="F23" s="124">
        <f>_xlfn.COMPOUNDVALUE(59)</f>
        <v>2480</v>
      </c>
      <c r="G23" s="125">
        <v>1204380</v>
      </c>
      <c r="H23" s="124">
        <f>_xlfn.COMPOUNDVALUE(60)</f>
        <v>66</v>
      </c>
      <c r="I23" s="126">
        <v>85450</v>
      </c>
      <c r="J23" s="124">
        <v>329</v>
      </c>
      <c r="K23" s="126">
        <v>67561</v>
      </c>
      <c r="L23" s="124">
        <v>2688</v>
      </c>
      <c r="M23" s="126">
        <v>1186491</v>
      </c>
      <c r="N23" s="82" t="s">
        <v>57</v>
      </c>
    </row>
    <row r="24" spans="1:14" s="80" customFormat="1" ht="15.75" customHeight="1">
      <c r="A24" s="81" t="s">
        <v>58</v>
      </c>
      <c r="B24" s="124">
        <f>_xlfn.COMPOUNDVALUE(61)</f>
        <v>539</v>
      </c>
      <c r="C24" s="125">
        <v>310870</v>
      </c>
      <c r="D24" s="124">
        <f>_xlfn.COMPOUNDVALUE(62)</f>
        <v>997</v>
      </c>
      <c r="E24" s="125">
        <v>371327</v>
      </c>
      <c r="F24" s="124">
        <f>_xlfn.COMPOUNDVALUE(63)</f>
        <v>1536</v>
      </c>
      <c r="G24" s="125">
        <v>682197</v>
      </c>
      <c r="H24" s="124">
        <f>_xlfn.COMPOUNDVALUE(64)</f>
        <v>37</v>
      </c>
      <c r="I24" s="126">
        <v>47972</v>
      </c>
      <c r="J24" s="124">
        <v>123</v>
      </c>
      <c r="K24" s="126">
        <v>31005</v>
      </c>
      <c r="L24" s="124">
        <v>1627</v>
      </c>
      <c r="M24" s="126">
        <v>665230</v>
      </c>
      <c r="N24" s="82" t="s">
        <v>58</v>
      </c>
    </row>
    <row r="25" spans="1:14" s="80" customFormat="1" ht="15.75" customHeight="1">
      <c r="A25" s="83" t="s">
        <v>59</v>
      </c>
      <c r="B25" s="127">
        <v>6251</v>
      </c>
      <c r="C25" s="128">
        <v>3766073</v>
      </c>
      <c r="D25" s="127">
        <v>10774</v>
      </c>
      <c r="E25" s="128">
        <v>4245871</v>
      </c>
      <c r="F25" s="127">
        <v>17025</v>
      </c>
      <c r="G25" s="128">
        <v>8011943</v>
      </c>
      <c r="H25" s="127">
        <v>530</v>
      </c>
      <c r="I25" s="129">
        <v>470096</v>
      </c>
      <c r="J25" s="127">
        <v>1567</v>
      </c>
      <c r="K25" s="129">
        <v>358818</v>
      </c>
      <c r="L25" s="127">
        <v>18329</v>
      </c>
      <c r="M25" s="129">
        <v>7900666</v>
      </c>
      <c r="N25" s="84" t="s">
        <v>60</v>
      </c>
    </row>
    <row r="26" spans="1:14" s="80" customFormat="1" ht="15.75" customHeight="1">
      <c r="A26" s="85"/>
      <c r="B26" s="130"/>
      <c r="C26" s="131"/>
      <c r="D26" s="130"/>
      <c r="E26" s="131"/>
      <c r="F26" s="132"/>
      <c r="G26" s="131"/>
      <c r="H26" s="132"/>
      <c r="I26" s="131"/>
      <c r="J26" s="132"/>
      <c r="K26" s="131"/>
      <c r="L26" s="132"/>
      <c r="M26" s="131"/>
      <c r="N26" s="86"/>
    </row>
    <row r="27" spans="1:14" s="80" customFormat="1" ht="15.75" customHeight="1">
      <c r="A27" s="78" t="s">
        <v>61</v>
      </c>
      <c r="B27" s="121">
        <f>_xlfn.COMPOUNDVALUE(65)</f>
        <v>1263</v>
      </c>
      <c r="C27" s="122">
        <v>708637</v>
      </c>
      <c r="D27" s="121">
        <f>_xlfn.COMPOUNDVALUE(66)</f>
        <v>1597</v>
      </c>
      <c r="E27" s="122">
        <v>643962</v>
      </c>
      <c r="F27" s="121">
        <f>_xlfn.COMPOUNDVALUE(67)</f>
        <v>2860</v>
      </c>
      <c r="G27" s="122">
        <v>1352599</v>
      </c>
      <c r="H27" s="121">
        <f>_xlfn.COMPOUNDVALUE(68)</f>
        <v>93</v>
      </c>
      <c r="I27" s="123">
        <v>55178</v>
      </c>
      <c r="J27" s="121">
        <v>272</v>
      </c>
      <c r="K27" s="123">
        <v>31522</v>
      </c>
      <c r="L27" s="121">
        <v>3076</v>
      </c>
      <c r="M27" s="123">
        <v>1328943</v>
      </c>
      <c r="N27" s="87" t="s">
        <v>61</v>
      </c>
    </row>
    <row r="28" spans="1:14" s="80" customFormat="1" ht="15.75" customHeight="1">
      <c r="A28" s="78" t="s">
        <v>62</v>
      </c>
      <c r="B28" s="121">
        <f>_xlfn.COMPOUNDVALUE(69)</f>
        <v>1682</v>
      </c>
      <c r="C28" s="122">
        <v>1065568</v>
      </c>
      <c r="D28" s="121">
        <f>_xlfn.COMPOUNDVALUE(70)</f>
        <v>2457</v>
      </c>
      <c r="E28" s="122">
        <v>984054</v>
      </c>
      <c r="F28" s="121">
        <f>_xlfn.COMPOUNDVALUE(71)</f>
        <v>4139</v>
      </c>
      <c r="G28" s="122">
        <v>2049622</v>
      </c>
      <c r="H28" s="121">
        <f>_xlfn.COMPOUNDVALUE(72)</f>
        <v>129</v>
      </c>
      <c r="I28" s="123">
        <v>92077</v>
      </c>
      <c r="J28" s="121">
        <v>339</v>
      </c>
      <c r="K28" s="123">
        <v>33804</v>
      </c>
      <c r="L28" s="121">
        <v>4408</v>
      </c>
      <c r="M28" s="123">
        <v>1991348</v>
      </c>
      <c r="N28" s="79" t="s">
        <v>62</v>
      </c>
    </row>
    <row r="29" spans="1:14" s="80" customFormat="1" ht="15.75" customHeight="1">
      <c r="A29" s="81" t="s">
        <v>63</v>
      </c>
      <c r="B29" s="124">
        <f>_xlfn.COMPOUNDVALUE(73)</f>
        <v>726</v>
      </c>
      <c r="C29" s="125">
        <v>396848</v>
      </c>
      <c r="D29" s="124">
        <f>_xlfn.COMPOUNDVALUE(74)</f>
        <v>1052</v>
      </c>
      <c r="E29" s="125">
        <v>408391</v>
      </c>
      <c r="F29" s="124">
        <f>_xlfn.COMPOUNDVALUE(75)</f>
        <v>1778</v>
      </c>
      <c r="G29" s="125">
        <v>805238</v>
      </c>
      <c r="H29" s="124">
        <f>_xlfn.COMPOUNDVALUE(76)</f>
        <v>40</v>
      </c>
      <c r="I29" s="126">
        <v>17761</v>
      </c>
      <c r="J29" s="124">
        <v>99</v>
      </c>
      <c r="K29" s="126">
        <v>14503</v>
      </c>
      <c r="L29" s="124">
        <v>1874</v>
      </c>
      <c r="M29" s="126">
        <v>801980</v>
      </c>
      <c r="N29" s="82" t="s">
        <v>63</v>
      </c>
    </row>
    <row r="30" spans="1:14" s="80" customFormat="1" ht="15.75" customHeight="1">
      <c r="A30" s="81" t="s">
        <v>64</v>
      </c>
      <c r="B30" s="124">
        <f>_xlfn.COMPOUNDVALUE(77)</f>
        <v>822</v>
      </c>
      <c r="C30" s="125">
        <v>487890</v>
      </c>
      <c r="D30" s="124">
        <f>_xlfn.COMPOUNDVALUE(78)</f>
        <v>1198</v>
      </c>
      <c r="E30" s="125">
        <v>477798</v>
      </c>
      <c r="F30" s="124">
        <f>_xlfn.COMPOUNDVALUE(79)</f>
        <v>2020</v>
      </c>
      <c r="G30" s="125">
        <v>965687</v>
      </c>
      <c r="H30" s="124">
        <f>_xlfn.COMPOUNDVALUE(80)</f>
        <v>66</v>
      </c>
      <c r="I30" s="126">
        <v>67472</v>
      </c>
      <c r="J30" s="124">
        <v>115</v>
      </c>
      <c r="K30" s="126">
        <v>23584</v>
      </c>
      <c r="L30" s="124">
        <v>2154</v>
      </c>
      <c r="M30" s="126">
        <v>921799</v>
      </c>
      <c r="N30" s="82" t="s">
        <v>64</v>
      </c>
    </row>
    <row r="31" spans="1:14" s="80" customFormat="1" ht="15.75" customHeight="1">
      <c r="A31" s="81" t="s">
        <v>65</v>
      </c>
      <c r="B31" s="124">
        <f>_xlfn.COMPOUNDVALUE(81)</f>
        <v>526</v>
      </c>
      <c r="C31" s="125">
        <v>391147</v>
      </c>
      <c r="D31" s="124">
        <f>_xlfn.COMPOUNDVALUE(82)</f>
        <v>928</v>
      </c>
      <c r="E31" s="125">
        <v>331844</v>
      </c>
      <c r="F31" s="124">
        <f>_xlfn.COMPOUNDVALUE(83)</f>
        <v>1454</v>
      </c>
      <c r="G31" s="125">
        <v>722992</v>
      </c>
      <c r="H31" s="124">
        <f>_xlfn.COMPOUNDVALUE(84)</f>
        <v>25</v>
      </c>
      <c r="I31" s="126">
        <v>6375</v>
      </c>
      <c r="J31" s="124">
        <v>128</v>
      </c>
      <c r="K31" s="126">
        <v>38928</v>
      </c>
      <c r="L31" s="124">
        <v>1580</v>
      </c>
      <c r="M31" s="126">
        <v>755544</v>
      </c>
      <c r="N31" s="82" t="s">
        <v>65</v>
      </c>
    </row>
    <row r="32" spans="1:14" s="80" customFormat="1" ht="15.75" customHeight="1">
      <c r="A32" s="81" t="s">
        <v>66</v>
      </c>
      <c r="B32" s="124">
        <f>_xlfn.COMPOUNDVALUE(85)</f>
        <v>1345</v>
      </c>
      <c r="C32" s="125">
        <v>792345</v>
      </c>
      <c r="D32" s="124">
        <f>_xlfn.COMPOUNDVALUE(86)</f>
        <v>2184</v>
      </c>
      <c r="E32" s="125">
        <v>874531</v>
      </c>
      <c r="F32" s="124">
        <f>_xlfn.COMPOUNDVALUE(87)</f>
        <v>3529</v>
      </c>
      <c r="G32" s="125">
        <v>1666876</v>
      </c>
      <c r="H32" s="124">
        <f>_xlfn.COMPOUNDVALUE(88)</f>
        <v>109</v>
      </c>
      <c r="I32" s="126">
        <v>127832</v>
      </c>
      <c r="J32" s="124">
        <v>310</v>
      </c>
      <c r="K32" s="126">
        <v>48603</v>
      </c>
      <c r="L32" s="124">
        <v>3815</v>
      </c>
      <c r="M32" s="126">
        <v>1587647</v>
      </c>
      <c r="N32" s="82" t="s">
        <v>66</v>
      </c>
    </row>
    <row r="33" spans="1:14" s="80" customFormat="1" ht="15.75" customHeight="1">
      <c r="A33" s="81" t="s">
        <v>67</v>
      </c>
      <c r="B33" s="124">
        <f>_xlfn.COMPOUNDVALUE(89)</f>
        <v>221</v>
      </c>
      <c r="C33" s="125">
        <v>124949</v>
      </c>
      <c r="D33" s="124">
        <f>_xlfn.COMPOUNDVALUE(90)</f>
        <v>331</v>
      </c>
      <c r="E33" s="125">
        <v>123063</v>
      </c>
      <c r="F33" s="124">
        <f>_xlfn.COMPOUNDVALUE(91)</f>
        <v>552</v>
      </c>
      <c r="G33" s="125">
        <v>248012</v>
      </c>
      <c r="H33" s="124">
        <f>_xlfn.COMPOUNDVALUE(92)</f>
        <v>17</v>
      </c>
      <c r="I33" s="126">
        <v>10336</v>
      </c>
      <c r="J33" s="124">
        <v>53</v>
      </c>
      <c r="K33" s="126">
        <v>13209</v>
      </c>
      <c r="L33" s="124">
        <v>605</v>
      </c>
      <c r="M33" s="126">
        <v>250885</v>
      </c>
      <c r="N33" s="82" t="s">
        <v>67</v>
      </c>
    </row>
    <row r="34" spans="1:14" s="80" customFormat="1" ht="15.75" customHeight="1">
      <c r="A34" s="81" t="s">
        <v>68</v>
      </c>
      <c r="B34" s="124">
        <f>_xlfn.COMPOUNDVALUE(93)</f>
        <v>334</v>
      </c>
      <c r="C34" s="125">
        <v>168471</v>
      </c>
      <c r="D34" s="124">
        <f>_xlfn.COMPOUNDVALUE(94)</f>
        <v>637</v>
      </c>
      <c r="E34" s="125">
        <v>223481</v>
      </c>
      <c r="F34" s="124">
        <f>_xlfn.COMPOUNDVALUE(95)</f>
        <v>971</v>
      </c>
      <c r="G34" s="125">
        <v>391952</v>
      </c>
      <c r="H34" s="124">
        <f>_xlfn.COMPOUNDVALUE(96)</f>
        <v>17</v>
      </c>
      <c r="I34" s="126">
        <v>6529</v>
      </c>
      <c r="J34" s="124">
        <v>84</v>
      </c>
      <c r="K34" s="126">
        <v>-3495</v>
      </c>
      <c r="L34" s="124">
        <v>1016</v>
      </c>
      <c r="M34" s="126">
        <v>381928</v>
      </c>
      <c r="N34" s="82" t="s">
        <v>68</v>
      </c>
    </row>
    <row r="35" spans="1:14" s="80" customFormat="1" ht="15.75" customHeight="1">
      <c r="A35" s="81" t="s">
        <v>69</v>
      </c>
      <c r="B35" s="124">
        <f>_xlfn.COMPOUNDVALUE(97)</f>
        <v>396</v>
      </c>
      <c r="C35" s="125">
        <v>290904</v>
      </c>
      <c r="D35" s="124">
        <f>_xlfn.COMPOUNDVALUE(98)</f>
        <v>593</v>
      </c>
      <c r="E35" s="125">
        <v>229446</v>
      </c>
      <c r="F35" s="124">
        <f>_xlfn.COMPOUNDVALUE(99)</f>
        <v>989</v>
      </c>
      <c r="G35" s="125">
        <v>520350</v>
      </c>
      <c r="H35" s="124">
        <f>_xlfn.COMPOUNDVALUE(100)</f>
        <v>21</v>
      </c>
      <c r="I35" s="126">
        <v>8205</v>
      </c>
      <c r="J35" s="124">
        <v>51</v>
      </c>
      <c r="K35" s="126">
        <v>21464</v>
      </c>
      <c r="L35" s="124">
        <v>1038</v>
      </c>
      <c r="M35" s="126">
        <v>533609</v>
      </c>
      <c r="N35" s="82" t="s">
        <v>69</v>
      </c>
    </row>
    <row r="36" spans="1:14" s="80" customFormat="1" ht="15.75" customHeight="1">
      <c r="A36" s="83" t="s">
        <v>70</v>
      </c>
      <c r="B36" s="127">
        <v>7315</v>
      </c>
      <c r="C36" s="128">
        <v>4426757</v>
      </c>
      <c r="D36" s="127">
        <v>10977</v>
      </c>
      <c r="E36" s="128">
        <v>4296570</v>
      </c>
      <c r="F36" s="127">
        <v>18292</v>
      </c>
      <c r="G36" s="128">
        <v>8723327</v>
      </c>
      <c r="H36" s="127">
        <v>517</v>
      </c>
      <c r="I36" s="129">
        <v>391766</v>
      </c>
      <c r="J36" s="127">
        <v>1451</v>
      </c>
      <c r="K36" s="129">
        <v>222122</v>
      </c>
      <c r="L36" s="127">
        <v>19566</v>
      </c>
      <c r="M36" s="129">
        <v>8553683</v>
      </c>
      <c r="N36" s="84" t="s">
        <v>71</v>
      </c>
    </row>
    <row r="37" spans="1:14" s="80" customFormat="1" ht="15.75" customHeight="1">
      <c r="A37" s="85"/>
      <c r="B37" s="130"/>
      <c r="C37" s="131"/>
      <c r="D37" s="130"/>
      <c r="E37" s="131"/>
      <c r="F37" s="132"/>
      <c r="G37" s="131"/>
      <c r="H37" s="132"/>
      <c r="I37" s="131"/>
      <c r="J37" s="132"/>
      <c r="K37" s="131"/>
      <c r="L37" s="132"/>
      <c r="M37" s="131"/>
      <c r="N37" s="86"/>
    </row>
    <row r="38" spans="1:14" s="80" customFormat="1" ht="15.75" customHeight="1">
      <c r="A38" s="78" t="s">
        <v>72</v>
      </c>
      <c r="B38" s="121">
        <f>_xlfn.COMPOUNDVALUE(101)</f>
        <v>2188</v>
      </c>
      <c r="C38" s="122">
        <v>1328532</v>
      </c>
      <c r="D38" s="121">
        <f>_xlfn.COMPOUNDVALUE(102)</f>
        <v>3649</v>
      </c>
      <c r="E38" s="122">
        <v>1622649</v>
      </c>
      <c r="F38" s="121">
        <f>_xlfn.COMPOUNDVALUE(103)</f>
        <v>5837</v>
      </c>
      <c r="G38" s="122">
        <v>2951181</v>
      </c>
      <c r="H38" s="121">
        <f>_xlfn.COMPOUNDVALUE(104)</f>
        <v>171</v>
      </c>
      <c r="I38" s="123">
        <v>176269</v>
      </c>
      <c r="J38" s="121">
        <v>555</v>
      </c>
      <c r="K38" s="123">
        <v>89044</v>
      </c>
      <c r="L38" s="121">
        <v>6357</v>
      </c>
      <c r="M38" s="123">
        <v>2863956</v>
      </c>
      <c r="N38" s="87" t="s">
        <v>72</v>
      </c>
    </row>
    <row r="39" spans="1:14" s="80" customFormat="1" ht="15.75" customHeight="1">
      <c r="A39" s="78" t="s">
        <v>73</v>
      </c>
      <c r="B39" s="121">
        <f>_xlfn.COMPOUNDVALUE(105)</f>
        <v>1054</v>
      </c>
      <c r="C39" s="122">
        <v>660946</v>
      </c>
      <c r="D39" s="121">
        <f>_xlfn.COMPOUNDVALUE(106)</f>
        <v>1994</v>
      </c>
      <c r="E39" s="122">
        <v>786252</v>
      </c>
      <c r="F39" s="121">
        <f>_xlfn.COMPOUNDVALUE(107)</f>
        <v>3048</v>
      </c>
      <c r="G39" s="122">
        <v>1447198</v>
      </c>
      <c r="H39" s="121">
        <f>_xlfn.COMPOUNDVALUE(108)</f>
        <v>95</v>
      </c>
      <c r="I39" s="123">
        <v>85604</v>
      </c>
      <c r="J39" s="121">
        <v>268</v>
      </c>
      <c r="K39" s="123">
        <v>36181</v>
      </c>
      <c r="L39" s="121">
        <v>3258</v>
      </c>
      <c r="M39" s="123">
        <v>1397775</v>
      </c>
      <c r="N39" s="79" t="s">
        <v>73</v>
      </c>
    </row>
    <row r="40" spans="1:14" s="80" customFormat="1" ht="15.75" customHeight="1">
      <c r="A40" s="78" t="s">
        <v>74</v>
      </c>
      <c r="B40" s="121">
        <f>_xlfn.COMPOUNDVALUE(109)</f>
        <v>1896</v>
      </c>
      <c r="C40" s="122">
        <v>1221403</v>
      </c>
      <c r="D40" s="121">
        <f>_xlfn.COMPOUNDVALUE(110)</f>
        <v>3261</v>
      </c>
      <c r="E40" s="122">
        <v>1478816</v>
      </c>
      <c r="F40" s="121">
        <f>_xlfn.COMPOUNDVALUE(111)</f>
        <v>5157</v>
      </c>
      <c r="G40" s="122">
        <v>2700219</v>
      </c>
      <c r="H40" s="121">
        <f>_xlfn.COMPOUNDVALUE(112)</f>
        <v>152</v>
      </c>
      <c r="I40" s="123">
        <v>209748</v>
      </c>
      <c r="J40" s="121">
        <v>762</v>
      </c>
      <c r="K40" s="123">
        <v>227444</v>
      </c>
      <c r="L40" s="121">
        <v>5827</v>
      </c>
      <c r="M40" s="123">
        <v>2717914</v>
      </c>
      <c r="N40" s="79" t="s">
        <v>74</v>
      </c>
    </row>
    <row r="41" spans="1:14" s="80" customFormat="1" ht="15.75" customHeight="1">
      <c r="A41" s="78" t="s">
        <v>75</v>
      </c>
      <c r="B41" s="121">
        <f>_xlfn.COMPOUNDVALUE(113)</f>
        <v>987</v>
      </c>
      <c r="C41" s="122">
        <v>671700</v>
      </c>
      <c r="D41" s="121">
        <f>_xlfn.COMPOUNDVALUE(114)</f>
        <v>1466</v>
      </c>
      <c r="E41" s="122">
        <v>716313</v>
      </c>
      <c r="F41" s="121">
        <f>_xlfn.COMPOUNDVALUE(115)</f>
        <v>2453</v>
      </c>
      <c r="G41" s="122">
        <v>1388013</v>
      </c>
      <c r="H41" s="121">
        <f>_xlfn.COMPOUNDVALUE(116)</f>
        <v>71</v>
      </c>
      <c r="I41" s="123">
        <v>100551</v>
      </c>
      <c r="J41" s="121">
        <v>400</v>
      </c>
      <c r="K41" s="123">
        <v>73686</v>
      </c>
      <c r="L41" s="121">
        <v>2800</v>
      </c>
      <c r="M41" s="123">
        <v>1361148</v>
      </c>
      <c r="N41" s="79" t="s">
        <v>75</v>
      </c>
    </row>
    <row r="42" spans="1:14" s="80" customFormat="1" ht="15.75" customHeight="1">
      <c r="A42" s="78" t="s">
        <v>76</v>
      </c>
      <c r="B42" s="121">
        <f>_xlfn.COMPOUNDVALUE(117)</f>
        <v>1469</v>
      </c>
      <c r="C42" s="122">
        <v>1268992</v>
      </c>
      <c r="D42" s="121">
        <f>_xlfn.COMPOUNDVALUE(118)</f>
        <v>2649</v>
      </c>
      <c r="E42" s="122">
        <v>1418436</v>
      </c>
      <c r="F42" s="121">
        <f>_xlfn.COMPOUNDVALUE(119)</f>
        <v>4118</v>
      </c>
      <c r="G42" s="122">
        <v>2687428</v>
      </c>
      <c r="H42" s="121">
        <f>_xlfn.COMPOUNDVALUE(120)</f>
        <v>125</v>
      </c>
      <c r="I42" s="123">
        <v>208029</v>
      </c>
      <c r="J42" s="121">
        <v>507</v>
      </c>
      <c r="K42" s="123">
        <v>114567</v>
      </c>
      <c r="L42" s="121">
        <v>4490</v>
      </c>
      <c r="M42" s="123">
        <v>2593965</v>
      </c>
      <c r="N42" s="79" t="s">
        <v>76</v>
      </c>
    </row>
    <row r="43" spans="1:14" s="80" customFormat="1" ht="15.75" customHeight="1">
      <c r="A43" s="78" t="s">
        <v>77</v>
      </c>
      <c r="B43" s="121">
        <f>_xlfn.COMPOUNDVALUE(121)</f>
        <v>1201</v>
      </c>
      <c r="C43" s="122">
        <v>933049</v>
      </c>
      <c r="D43" s="121">
        <f>_xlfn.COMPOUNDVALUE(122)</f>
        <v>2035</v>
      </c>
      <c r="E43" s="122">
        <v>1062563</v>
      </c>
      <c r="F43" s="121">
        <f>_xlfn.COMPOUNDVALUE(123)</f>
        <v>3236</v>
      </c>
      <c r="G43" s="122">
        <v>1995612</v>
      </c>
      <c r="H43" s="121">
        <f>_xlfn.COMPOUNDVALUE(124)</f>
        <v>109</v>
      </c>
      <c r="I43" s="123">
        <v>203401</v>
      </c>
      <c r="J43" s="121">
        <v>343</v>
      </c>
      <c r="K43" s="123">
        <v>34403</v>
      </c>
      <c r="L43" s="121">
        <v>3540</v>
      </c>
      <c r="M43" s="123">
        <v>1826614</v>
      </c>
      <c r="N43" s="79" t="s">
        <v>77</v>
      </c>
    </row>
    <row r="44" spans="1:14" s="80" customFormat="1" ht="15.75" customHeight="1">
      <c r="A44" s="78" t="s">
        <v>78</v>
      </c>
      <c r="B44" s="121">
        <f>_xlfn.COMPOUNDVALUE(125)</f>
        <v>673</v>
      </c>
      <c r="C44" s="122">
        <v>364032</v>
      </c>
      <c r="D44" s="121">
        <f>_xlfn.COMPOUNDVALUE(126)</f>
        <v>1223</v>
      </c>
      <c r="E44" s="122">
        <v>459166</v>
      </c>
      <c r="F44" s="121">
        <f>_xlfn.COMPOUNDVALUE(127)</f>
        <v>1896</v>
      </c>
      <c r="G44" s="122">
        <v>823198</v>
      </c>
      <c r="H44" s="121">
        <f>_xlfn.COMPOUNDVALUE(128)</f>
        <v>42</v>
      </c>
      <c r="I44" s="123">
        <v>32828</v>
      </c>
      <c r="J44" s="121">
        <v>171</v>
      </c>
      <c r="K44" s="123">
        <v>31371</v>
      </c>
      <c r="L44" s="121">
        <v>2044</v>
      </c>
      <c r="M44" s="123">
        <v>821741</v>
      </c>
      <c r="N44" s="79" t="s">
        <v>78</v>
      </c>
    </row>
    <row r="45" spans="1:14" s="80" customFormat="1" ht="15.75" customHeight="1">
      <c r="A45" s="78" t="s">
        <v>79</v>
      </c>
      <c r="B45" s="121">
        <f>_xlfn.COMPOUNDVALUE(129)</f>
        <v>342</v>
      </c>
      <c r="C45" s="122">
        <v>214707</v>
      </c>
      <c r="D45" s="121">
        <f>_xlfn.COMPOUNDVALUE(130)</f>
        <v>596</v>
      </c>
      <c r="E45" s="122">
        <v>215907</v>
      </c>
      <c r="F45" s="121">
        <f>_xlfn.COMPOUNDVALUE(131)</f>
        <v>938</v>
      </c>
      <c r="G45" s="122">
        <v>430614</v>
      </c>
      <c r="H45" s="121">
        <f>_xlfn.COMPOUNDVALUE(132)</f>
        <v>15</v>
      </c>
      <c r="I45" s="123">
        <v>8753</v>
      </c>
      <c r="J45" s="121">
        <v>93</v>
      </c>
      <c r="K45" s="123">
        <v>11077</v>
      </c>
      <c r="L45" s="121">
        <v>984</v>
      </c>
      <c r="M45" s="123">
        <v>432938</v>
      </c>
      <c r="N45" s="79" t="s">
        <v>79</v>
      </c>
    </row>
    <row r="46" spans="1:14" s="80" customFormat="1" ht="15.75" customHeight="1">
      <c r="A46" s="81" t="s">
        <v>80</v>
      </c>
      <c r="B46" s="124">
        <f>_xlfn.COMPOUNDVALUE(133)</f>
        <v>1659</v>
      </c>
      <c r="C46" s="125">
        <v>1145793</v>
      </c>
      <c r="D46" s="124">
        <f>_xlfn.COMPOUNDVALUE(134)</f>
        <v>3032</v>
      </c>
      <c r="E46" s="125">
        <v>1341069</v>
      </c>
      <c r="F46" s="124">
        <f>_xlfn.COMPOUNDVALUE(135)</f>
        <v>4691</v>
      </c>
      <c r="G46" s="125">
        <v>2486861</v>
      </c>
      <c r="H46" s="124">
        <f>_xlfn.COMPOUNDVALUE(136)</f>
        <v>132</v>
      </c>
      <c r="I46" s="126">
        <v>154569</v>
      </c>
      <c r="J46" s="124">
        <v>483</v>
      </c>
      <c r="K46" s="126">
        <v>94575</v>
      </c>
      <c r="L46" s="124">
        <v>5096</v>
      </c>
      <c r="M46" s="126">
        <v>2426867</v>
      </c>
      <c r="N46" s="82" t="s">
        <v>80</v>
      </c>
    </row>
    <row r="47" spans="1:14" s="80" customFormat="1" ht="15.75" customHeight="1">
      <c r="A47" s="81" t="s">
        <v>81</v>
      </c>
      <c r="B47" s="124">
        <f>_xlfn.COMPOUNDVALUE(137)</f>
        <v>486</v>
      </c>
      <c r="C47" s="125">
        <v>267478</v>
      </c>
      <c r="D47" s="124">
        <f>_xlfn.COMPOUNDVALUE(138)</f>
        <v>773</v>
      </c>
      <c r="E47" s="125">
        <v>296782</v>
      </c>
      <c r="F47" s="124">
        <f>_xlfn.COMPOUNDVALUE(139)</f>
        <v>1259</v>
      </c>
      <c r="G47" s="125">
        <v>564260</v>
      </c>
      <c r="H47" s="124">
        <f>_xlfn.COMPOUNDVALUE(140)</f>
        <v>45</v>
      </c>
      <c r="I47" s="126">
        <v>46234</v>
      </c>
      <c r="J47" s="124">
        <v>126</v>
      </c>
      <c r="K47" s="126">
        <v>62878</v>
      </c>
      <c r="L47" s="124">
        <v>1371</v>
      </c>
      <c r="M47" s="126">
        <v>580904</v>
      </c>
      <c r="N47" s="82" t="s">
        <v>81</v>
      </c>
    </row>
    <row r="48" spans="1:14" s="80" customFormat="1" ht="15.75" customHeight="1">
      <c r="A48" s="81" t="s">
        <v>82</v>
      </c>
      <c r="B48" s="124">
        <f>_xlfn.COMPOUNDVALUE(141)</f>
        <v>557</v>
      </c>
      <c r="C48" s="125">
        <v>303555</v>
      </c>
      <c r="D48" s="124">
        <f>_xlfn.COMPOUNDVALUE(142)</f>
        <v>934</v>
      </c>
      <c r="E48" s="125">
        <v>352129</v>
      </c>
      <c r="F48" s="124">
        <f>_xlfn.COMPOUNDVALUE(143)</f>
        <v>1491</v>
      </c>
      <c r="G48" s="125">
        <v>655684</v>
      </c>
      <c r="H48" s="124">
        <f>_xlfn.COMPOUNDVALUE(144)</f>
        <v>51</v>
      </c>
      <c r="I48" s="126">
        <v>19514</v>
      </c>
      <c r="J48" s="124">
        <v>150</v>
      </c>
      <c r="K48" s="126">
        <v>29344</v>
      </c>
      <c r="L48" s="124">
        <v>1617</v>
      </c>
      <c r="M48" s="126">
        <v>665514</v>
      </c>
      <c r="N48" s="82" t="s">
        <v>82</v>
      </c>
    </row>
    <row r="49" spans="1:14" s="80" customFormat="1" ht="15.75" customHeight="1">
      <c r="A49" s="81" t="s">
        <v>83</v>
      </c>
      <c r="B49" s="124">
        <f>_xlfn.COMPOUNDVALUE(145)</f>
        <v>1814</v>
      </c>
      <c r="C49" s="125">
        <v>992345</v>
      </c>
      <c r="D49" s="124">
        <f>_xlfn.COMPOUNDVALUE(146)</f>
        <v>3185</v>
      </c>
      <c r="E49" s="125">
        <v>1350777</v>
      </c>
      <c r="F49" s="124">
        <f>_xlfn.COMPOUNDVALUE(147)</f>
        <v>4999</v>
      </c>
      <c r="G49" s="125">
        <v>2343122</v>
      </c>
      <c r="H49" s="124">
        <f>_xlfn.COMPOUNDVALUE(148)</f>
        <v>134</v>
      </c>
      <c r="I49" s="126">
        <v>200228</v>
      </c>
      <c r="J49" s="124">
        <v>440</v>
      </c>
      <c r="K49" s="126">
        <v>88613</v>
      </c>
      <c r="L49" s="124">
        <v>5374</v>
      </c>
      <c r="M49" s="126">
        <v>2231507</v>
      </c>
      <c r="N49" s="82" t="s">
        <v>83</v>
      </c>
    </row>
    <row r="50" spans="1:14" s="80" customFormat="1" ht="15.75" customHeight="1">
      <c r="A50" s="81" t="s">
        <v>84</v>
      </c>
      <c r="B50" s="124">
        <f>_xlfn.COMPOUNDVALUE(149)</f>
        <v>1168</v>
      </c>
      <c r="C50" s="125">
        <v>594128</v>
      </c>
      <c r="D50" s="124">
        <f>_xlfn.COMPOUNDVALUE(150)</f>
        <v>1918</v>
      </c>
      <c r="E50" s="125">
        <v>803755</v>
      </c>
      <c r="F50" s="124">
        <f>_xlfn.COMPOUNDVALUE(151)</f>
        <v>3086</v>
      </c>
      <c r="G50" s="125">
        <v>1397883</v>
      </c>
      <c r="H50" s="124">
        <f>_xlfn.COMPOUNDVALUE(152)</f>
        <v>63</v>
      </c>
      <c r="I50" s="126">
        <v>43151</v>
      </c>
      <c r="J50" s="124">
        <v>423</v>
      </c>
      <c r="K50" s="126">
        <v>86782</v>
      </c>
      <c r="L50" s="124">
        <v>3363</v>
      </c>
      <c r="M50" s="126">
        <v>1441514</v>
      </c>
      <c r="N50" s="82" t="s">
        <v>84</v>
      </c>
    </row>
    <row r="51" spans="1:14" s="80" customFormat="1" ht="15.75" customHeight="1">
      <c r="A51" s="81" t="s">
        <v>85</v>
      </c>
      <c r="B51" s="124">
        <f>_xlfn.COMPOUNDVALUE(153)</f>
        <v>1888</v>
      </c>
      <c r="C51" s="125">
        <v>1080082</v>
      </c>
      <c r="D51" s="124">
        <f>_xlfn.COMPOUNDVALUE(154)</f>
        <v>3144</v>
      </c>
      <c r="E51" s="125">
        <v>1413210</v>
      </c>
      <c r="F51" s="124">
        <f>_xlfn.COMPOUNDVALUE(155)</f>
        <v>5032</v>
      </c>
      <c r="G51" s="125">
        <v>2493292</v>
      </c>
      <c r="H51" s="124">
        <f>_xlfn.COMPOUNDVALUE(156)</f>
        <v>159</v>
      </c>
      <c r="I51" s="126">
        <v>259188</v>
      </c>
      <c r="J51" s="124">
        <v>625</v>
      </c>
      <c r="K51" s="126">
        <v>158403</v>
      </c>
      <c r="L51" s="124">
        <v>5643</v>
      </c>
      <c r="M51" s="126">
        <v>2392507</v>
      </c>
      <c r="N51" s="82" t="s">
        <v>85</v>
      </c>
    </row>
    <row r="52" spans="1:14" s="80" customFormat="1" ht="15.75" customHeight="1">
      <c r="A52" s="81" t="s">
        <v>86</v>
      </c>
      <c r="B52" s="124">
        <f>_xlfn.COMPOUNDVALUE(157)</f>
        <v>1097</v>
      </c>
      <c r="C52" s="125">
        <v>777280</v>
      </c>
      <c r="D52" s="124">
        <f>_xlfn.COMPOUNDVALUE(158)</f>
        <v>2038</v>
      </c>
      <c r="E52" s="125">
        <v>982733</v>
      </c>
      <c r="F52" s="124">
        <f>_xlfn.COMPOUNDVALUE(159)</f>
        <v>3135</v>
      </c>
      <c r="G52" s="125">
        <v>1760013</v>
      </c>
      <c r="H52" s="124">
        <f>_xlfn.COMPOUNDVALUE(160)</f>
        <v>115</v>
      </c>
      <c r="I52" s="126">
        <v>267567</v>
      </c>
      <c r="J52" s="124">
        <v>389</v>
      </c>
      <c r="K52" s="126">
        <v>91431</v>
      </c>
      <c r="L52" s="124">
        <v>3446</v>
      </c>
      <c r="M52" s="126">
        <v>1583877</v>
      </c>
      <c r="N52" s="82" t="s">
        <v>86</v>
      </c>
    </row>
    <row r="53" spans="1:14" s="80" customFormat="1" ht="15.75" customHeight="1">
      <c r="A53" s="83" t="s">
        <v>87</v>
      </c>
      <c r="B53" s="127">
        <v>18479</v>
      </c>
      <c r="C53" s="128">
        <v>11824022</v>
      </c>
      <c r="D53" s="127">
        <v>31897</v>
      </c>
      <c r="E53" s="128">
        <v>14300554</v>
      </c>
      <c r="F53" s="127">
        <v>50376</v>
      </c>
      <c r="G53" s="128">
        <v>26124576</v>
      </c>
      <c r="H53" s="127">
        <v>1479</v>
      </c>
      <c r="I53" s="129">
        <v>2015635</v>
      </c>
      <c r="J53" s="127">
        <v>5735</v>
      </c>
      <c r="K53" s="129">
        <v>1229798</v>
      </c>
      <c r="L53" s="127">
        <v>55210</v>
      </c>
      <c r="M53" s="129">
        <v>25338739</v>
      </c>
      <c r="N53" s="84" t="s">
        <v>88</v>
      </c>
    </row>
    <row r="54" spans="1:14" s="80" customFormat="1" ht="15.75" customHeight="1">
      <c r="A54" s="85"/>
      <c r="B54" s="130"/>
      <c r="C54" s="131"/>
      <c r="D54" s="130"/>
      <c r="E54" s="131"/>
      <c r="F54" s="132"/>
      <c r="G54" s="131"/>
      <c r="H54" s="132"/>
      <c r="I54" s="131"/>
      <c r="J54" s="132"/>
      <c r="K54" s="131"/>
      <c r="L54" s="132"/>
      <c r="M54" s="131"/>
      <c r="N54" s="86"/>
    </row>
    <row r="55" spans="1:14" s="80" customFormat="1" ht="15.75" customHeight="1">
      <c r="A55" s="78" t="s">
        <v>89</v>
      </c>
      <c r="B55" s="121">
        <f>_xlfn.COMPOUNDVALUE(161)</f>
        <v>1964</v>
      </c>
      <c r="C55" s="122">
        <v>1263402</v>
      </c>
      <c r="D55" s="121">
        <f>_xlfn.COMPOUNDVALUE(162)</f>
        <v>3371</v>
      </c>
      <c r="E55" s="122">
        <v>1394771</v>
      </c>
      <c r="F55" s="121">
        <f>_xlfn.COMPOUNDVALUE(163)</f>
        <v>5335</v>
      </c>
      <c r="G55" s="122">
        <v>2658173</v>
      </c>
      <c r="H55" s="121">
        <f>_xlfn.COMPOUNDVALUE(164)</f>
        <v>166</v>
      </c>
      <c r="I55" s="123">
        <v>135941</v>
      </c>
      <c r="J55" s="121">
        <v>587</v>
      </c>
      <c r="K55" s="123">
        <v>215362</v>
      </c>
      <c r="L55" s="121">
        <v>5879</v>
      </c>
      <c r="M55" s="123">
        <v>2737593</v>
      </c>
      <c r="N55" s="87" t="s">
        <v>89</v>
      </c>
    </row>
    <row r="56" spans="1:14" s="80" customFormat="1" ht="15.75" customHeight="1">
      <c r="A56" s="78" t="s">
        <v>90</v>
      </c>
      <c r="B56" s="121">
        <f>_xlfn.COMPOUNDVALUE(165)</f>
        <v>411</v>
      </c>
      <c r="C56" s="122">
        <v>248681</v>
      </c>
      <c r="D56" s="121">
        <f>_xlfn.COMPOUNDVALUE(166)</f>
        <v>668</v>
      </c>
      <c r="E56" s="122">
        <v>248498</v>
      </c>
      <c r="F56" s="121">
        <f>_xlfn.COMPOUNDVALUE(167)</f>
        <v>1079</v>
      </c>
      <c r="G56" s="122">
        <v>497178</v>
      </c>
      <c r="H56" s="121">
        <f>_xlfn.COMPOUNDVALUE(168)</f>
        <v>25</v>
      </c>
      <c r="I56" s="123">
        <v>19810</v>
      </c>
      <c r="J56" s="121">
        <v>106</v>
      </c>
      <c r="K56" s="123">
        <v>17532</v>
      </c>
      <c r="L56" s="121">
        <v>1134</v>
      </c>
      <c r="M56" s="123">
        <v>494900</v>
      </c>
      <c r="N56" s="79" t="s">
        <v>90</v>
      </c>
    </row>
    <row r="57" spans="1:14" s="80" customFormat="1" ht="15.75" customHeight="1">
      <c r="A57" s="78" t="s">
        <v>91</v>
      </c>
      <c r="B57" s="121">
        <f>_xlfn.COMPOUNDVALUE(169)</f>
        <v>631</v>
      </c>
      <c r="C57" s="122">
        <v>358286</v>
      </c>
      <c r="D57" s="121">
        <f>_xlfn.COMPOUNDVALUE(170)</f>
        <v>1070</v>
      </c>
      <c r="E57" s="122">
        <v>379493</v>
      </c>
      <c r="F57" s="121">
        <f>_xlfn.COMPOUNDVALUE(171)</f>
        <v>1701</v>
      </c>
      <c r="G57" s="122">
        <v>737779</v>
      </c>
      <c r="H57" s="121">
        <f>_xlfn.COMPOUNDVALUE(172)</f>
        <v>35</v>
      </c>
      <c r="I57" s="123">
        <v>12411</v>
      </c>
      <c r="J57" s="121">
        <v>72</v>
      </c>
      <c r="K57" s="123">
        <v>12878</v>
      </c>
      <c r="L57" s="121">
        <v>1766</v>
      </c>
      <c r="M57" s="123">
        <v>738246</v>
      </c>
      <c r="N57" s="79" t="s">
        <v>91</v>
      </c>
    </row>
    <row r="58" spans="1:14" s="80" customFormat="1" ht="15.75" customHeight="1">
      <c r="A58" s="78" t="s">
        <v>92</v>
      </c>
      <c r="B58" s="121">
        <f>_xlfn.COMPOUNDVALUE(173)</f>
        <v>718</v>
      </c>
      <c r="C58" s="122">
        <v>414377</v>
      </c>
      <c r="D58" s="121">
        <f>_xlfn.COMPOUNDVALUE(174)</f>
        <v>1155</v>
      </c>
      <c r="E58" s="122">
        <v>433466</v>
      </c>
      <c r="F58" s="121">
        <f>_xlfn.COMPOUNDVALUE(175)</f>
        <v>1873</v>
      </c>
      <c r="G58" s="122">
        <v>847843</v>
      </c>
      <c r="H58" s="121">
        <f>_xlfn.COMPOUNDVALUE(176)</f>
        <v>50</v>
      </c>
      <c r="I58" s="123">
        <v>25257</v>
      </c>
      <c r="J58" s="121">
        <v>167</v>
      </c>
      <c r="K58" s="123">
        <v>20791</v>
      </c>
      <c r="L58" s="121">
        <v>1965</v>
      </c>
      <c r="M58" s="123">
        <v>843377</v>
      </c>
      <c r="N58" s="79" t="s">
        <v>92</v>
      </c>
    </row>
    <row r="59" spans="1:14" s="80" customFormat="1" ht="15.75" customHeight="1">
      <c r="A59" s="78" t="s">
        <v>93</v>
      </c>
      <c r="B59" s="121">
        <f>_xlfn.COMPOUNDVALUE(177)</f>
        <v>672</v>
      </c>
      <c r="C59" s="122">
        <v>375010</v>
      </c>
      <c r="D59" s="121">
        <f>_xlfn.COMPOUNDVALUE(178)</f>
        <v>1091</v>
      </c>
      <c r="E59" s="122">
        <v>401542</v>
      </c>
      <c r="F59" s="121">
        <f>_xlfn.COMPOUNDVALUE(179)</f>
        <v>1763</v>
      </c>
      <c r="G59" s="122">
        <v>776552</v>
      </c>
      <c r="H59" s="121">
        <f>_xlfn.COMPOUNDVALUE(180)</f>
        <v>42</v>
      </c>
      <c r="I59" s="123">
        <v>10154</v>
      </c>
      <c r="J59" s="121">
        <v>85</v>
      </c>
      <c r="K59" s="123">
        <v>10980</v>
      </c>
      <c r="L59" s="121">
        <v>1826</v>
      </c>
      <c r="M59" s="123">
        <v>777377</v>
      </c>
      <c r="N59" s="79" t="s">
        <v>93</v>
      </c>
    </row>
    <row r="60" spans="1:14" s="80" customFormat="1" ht="15.75" customHeight="1">
      <c r="A60" s="78" t="s">
        <v>94</v>
      </c>
      <c r="B60" s="121">
        <f>_xlfn.COMPOUNDVALUE(181)</f>
        <v>206</v>
      </c>
      <c r="C60" s="122">
        <v>125781</v>
      </c>
      <c r="D60" s="121">
        <f>_xlfn.COMPOUNDVALUE(182)</f>
        <v>394</v>
      </c>
      <c r="E60" s="122">
        <v>149841</v>
      </c>
      <c r="F60" s="121">
        <f>_xlfn.COMPOUNDVALUE(183)</f>
        <v>600</v>
      </c>
      <c r="G60" s="122">
        <v>275622</v>
      </c>
      <c r="H60" s="121">
        <f>_xlfn.COMPOUNDVALUE(184)</f>
        <v>15</v>
      </c>
      <c r="I60" s="123">
        <v>5201</v>
      </c>
      <c r="J60" s="121">
        <v>64</v>
      </c>
      <c r="K60" s="123">
        <v>4686</v>
      </c>
      <c r="L60" s="121">
        <v>625</v>
      </c>
      <c r="M60" s="123">
        <v>275107</v>
      </c>
      <c r="N60" s="79" t="s">
        <v>94</v>
      </c>
    </row>
    <row r="61" spans="1:14" s="80" customFormat="1" ht="15.75" customHeight="1">
      <c r="A61" s="81" t="s">
        <v>95</v>
      </c>
      <c r="B61" s="124">
        <f>_xlfn.COMPOUNDVALUE(185)</f>
        <v>649</v>
      </c>
      <c r="C61" s="125">
        <v>423673</v>
      </c>
      <c r="D61" s="124">
        <f>_xlfn.COMPOUNDVALUE(186)</f>
        <v>1173</v>
      </c>
      <c r="E61" s="125">
        <v>442626</v>
      </c>
      <c r="F61" s="124">
        <f>_xlfn.COMPOUNDVALUE(187)</f>
        <v>1822</v>
      </c>
      <c r="G61" s="125">
        <v>866299</v>
      </c>
      <c r="H61" s="124">
        <f>_xlfn.COMPOUNDVALUE(188)</f>
        <v>45</v>
      </c>
      <c r="I61" s="126">
        <v>18332</v>
      </c>
      <c r="J61" s="124">
        <v>91</v>
      </c>
      <c r="K61" s="126">
        <v>18238</v>
      </c>
      <c r="L61" s="124">
        <v>1900</v>
      </c>
      <c r="M61" s="126">
        <v>866205</v>
      </c>
      <c r="N61" s="82" t="s">
        <v>95</v>
      </c>
    </row>
    <row r="62" spans="1:14" s="80" customFormat="1" ht="15.75" customHeight="1">
      <c r="A62" s="81" t="s">
        <v>96</v>
      </c>
      <c r="B62" s="124">
        <f>_xlfn.COMPOUNDVALUE(189)</f>
        <v>578</v>
      </c>
      <c r="C62" s="125">
        <v>323812</v>
      </c>
      <c r="D62" s="124">
        <f>_xlfn.COMPOUNDVALUE(190)</f>
        <v>1007</v>
      </c>
      <c r="E62" s="125">
        <v>382200</v>
      </c>
      <c r="F62" s="124">
        <f>_xlfn.COMPOUNDVALUE(191)</f>
        <v>1585</v>
      </c>
      <c r="G62" s="125">
        <v>706012</v>
      </c>
      <c r="H62" s="124">
        <f>_xlfn.COMPOUNDVALUE(192)</f>
        <v>29</v>
      </c>
      <c r="I62" s="126">
        <v>20279</v>
      </c>
      <c r="J62" s="124">
        <v>128</v>
      </c>
      <c r="K62" s="126">
        <v>18771</v>
      </c>
      <c r="L62" s="124">
        <v>1658</v>
      </c>
      <c r="M62" s="126">
        <v>704504</v>
      </c>
      <c r="N62" s="82" t="s">
        <v>96</v>
      </c>
    </row>
    <row r="63" spans="1:14" s="80" customFormat="1" ht="15.75" customHeight="1">
      <c r="A63" s="81" t="s">
        <v>97</v>
      </c>
      <c r="B63" s="124">
        <f>_xlfn.COMPOUNDVALUE(193)</f>
        <v>260</v>
      </c>
      <c r="C63" s="125">
        <v>175134</v>
      </c>
      <c r="D63" s="124">
        <f>_xlfn.COMPOUNDVALUE(194)</f>
        <v>498</v>
      </c>
      <c r="E63" s="125">
        <v>183052</v>
      </c>
      <c r="F63" s="124">
        <f>_xlfn.COMPOUNDVALUE(195)</f>
        <v>758</v>
      </c>
      <c r="G63" s="125">
        <v>358185</v>
      </c>
      <c r="H63" s="124">
        <f>_xlfn.COMPOUNDVALUE(196)</f>
        <v>17</v>
      </c>
      <c r="I63" s="126">
        <v>4925</v>
      </c>
      <c r="J63" s="124">
        <v>71</v>
      </c>
      <c r="K63" s="126">
        <v>11836</v>
      </c>
      <c r="L63" s="124">
        <v>794</v>
      </c>
      <c r="M63" s="126">
        <v>365096</v>
      </c>
      <c r="N63" s="82" t="s">
        <v>97</v>
      </c>
    </row>
    <row r="64" spans="1:14" s="80" customFormat="1" ht="15.75" customHeight="1">
      <c r="A64" s="81" t="s">
        <v>98</v>
      </c>
      <c r="B64" s="124">
        <f>_xlfn.COMPOUNDVALUE(197)</f>
        <v>259</v>
      </c>
      <c r="C64" s="125">
        <v>150507</v>
      </c>
      <c r="D64" s="124">
        <f>_xlfn.COMPOUNDVALUE(198)</f>
        <v>439</v>
      </c>
      <c r="E64" s="125">
        <v>152085</v>
      </c>
      <c r="F64" s="124">
        <f>_xlfn.COMPOUNDVALUE(199)</f>
        <v>698</v>
      </c>
      <c r="G64" s="125">
        <v>302591</v>
      </c>
      <c r="H64" s="124">
        <f>_xlfn.COMPOUNDVALUE(200)</f>
        <v>14</v>
      </c>
      <c r="I64" s="126">
        <v>1446</v>
      </c>
      <c r="J64" s="124">
        <v>100</v>
      </c>
      <c r="K64" s="126">
        <v>6387</v>
      </c>
      <c r="L64" s="124">
        <v>725</v>
      </c>
      <c r="M64" s="126">
        <v>307532</v>
      </c>
      <c r="N64" s="82" t="s">
        <v>98</v>
      </c>
    </row>
    <row r="65" spans="1:14" s="80" customFormat="1" ht="15.75" customHeight="1">
      <c r="A65" s="81" t="s">
        <v>99</v>
      </c>
      <c r="B65" s="124">
        <f>_xlfn.COMPOUNDVALUE(201)</f>
        <v>135</v>
      </c>
      <c r="C65" s="125">
        <v>105165</v>
      </c>
      <c r="D65" s="124">
        <f>_xlfn.COMPOUNDVALUE(202)</f>
        <v>242</v>
      </c>
      <c r="E65" s="125">
        <v>96179</v>
      </c>
      <c r="F65" s="124">
        <f>_xlfn.COMPOUNDVALUE(203)</f>
        <v>377</v>
      </c>
      <c r="G65" s="125">
        <v>201344</v>
      </c>
      <c r="H65" s="124">
        <f>_xlfn.COMPOUNDVALUE(204)</f>
        <v>12</v>
      </c>
      <c r="I65" s="126">
        <v>12923</v>
      </c>
      <c r="J65" s="124">
        <v>38</v>
      </c>
      <c r="K65" s="126">
        <v>2400</v>
      </c>
      <c r="L65" s="124">
        <v>395</v>
      </c>
      <c r="M65" s="126">
        <v>190821</v>
      </c>
      <c r="N65" s="82" t="s">
        <v>99</v>
      </c>
    </row>
    <row r="66" spans="1:14" s="80" customFormat="1" ht="15.75" customHeight="1">
      <c r="A66" s="81" t="s">
        <v>100</v>
      </c>
      <c r="B66" s="124">
        <f>_xlfn.COMPOUNDVALUE(205)</f>
        <v>677</v>
      </c>
      <c r="C66" s="125">
        <v>362626</v>
      </c>
      <c r="D66" s="124">
        <f>_xlfn.COMPOUNDVALUE(206)</f>
        <v>1111</v>
      </c>
      <c r="E66" s="125">
        <v>428385</v>
      </c>
      <c r="F66" s="124">
        <f>_xlfn.COMPOUNDVALUE(207)</f>
        <v>1788</v>
      </c>
      <c r="G66" s="125">
        <v>791011</v>
      </c>
      <c r="H66" s="124">
        <f>_xlfn.COMPOUNDVALUE(208)</f>
        <v>42</v>
      </c>
      <c r="I66" s="126">
        <v>22505</v>
      </c>
      <c r="J66" s="124">
        <v>174</v>
      </c>
      <c r="K66" s="126">
        <v>17554</v>
      </c>
      <c r="L66" s="124">
        <v>1889</v>
      </c>
      <c r="M66" s="126">
        <v>786060</v>
      </c>
      <c r="N66" s="82" t="s">
        <v>100</v>
      </c>
    </row>
    <row r="67" spans="1:14" s="80" customFormat="1" ht="15.75" customHeight="1">
      <c r="A67" s="81" t="s">
        <v>101</v>
      </c>
      <c r="B67" s="124">
        <f>_xlfn.COMPOUNDVALUE(209)</f>
        <v>211</v>
      </c>
      <c r="C67" s="125">
        <v>101441</v>
      </c>
      <c r="D67" s="124">
        <f>_xlfn.COMPOUNDVALUE(210)</f>
        <v>360</v>
      </c>
      <c r="E67" s="125">
        <v>127435</v>
      </c>
      <c r="F67" s="124">
        <f>_xlfn.COMPOUNDVALUE(211)</f>
        <v>571</v>
      </c>
      <c r="G67" s="125">
        <v>228876</v>
      </c>
      <c r="H67" s="124">
        <f>_xlfn.COMPOUNDVALUE(212)</f>
        <v>18</v>
      </c>
      <c r="I67" s="126">
        <v>3176</v>
      </c>
      <c r="J67" s="124">
        <v>54</v>
      </c>
      <c r="K67" s="126">
        <v>6896</v>
      </c>
      <c r="L67" s="124">
        <v>602</v>
      </c>
      <c r="M67" s="126">
        <v>232596</v>
      </c>
      <c r="N67" s="82" t="s">
        <v>102</v>
      </c>
    </row>
    <row r="68" spans="1:14" s="80" customFormat="1" ht="15.75" customHeight="1">
      <c r="A68" s="83" t="s">
        <v>103</v>
      </c>
      <c r="B68" s="127">
        <v>7371</v>
      </c>
      <c r="C68" s="128">
        <v>4427895</v>
      </c>
      <c r="D68" s="127">
        <v>12579</v>
      </c>
      <c r="E68" s="128">
        <v>4819571</v>
      </c>
      <c r="F68" s="127">
        <v>19950</v>
      </c>
      <c r="G68" s="128">
        <v>9247466</v>
      </c>
      <c r="H68" s="127">
        <v>510</v>
      </c>
      <c r="I68" s="129">
        <v>292362</v>
      </c>
      <c r="J68" s="127">
        <v>1737</v>
      </c>
      <c r="K68" s="129">
        <v>364312</v>
      </c>
      <c r="L68" s="127">
        <v>21158</v>
      </c>
      <c r="M68" s="129">
        <v>9319416</v>
      </c>
      <c r="N68" s="84" t="s">
        <v>104</v>
      </c>
    </row>
    <row r="69" spans="1:14" s="80" customFormat="1" ht="15.75" customHeight="1">
      <c r="A69" s="85"/>
      <c r="B69" s="130"/>
      <c r="C69" s="131"/>
      <c r="D69" s="130"/>
      <c r="E69" s="131"/>
      <c r="F69" s="132"/>
      <c r="G69" s="131"/>
      <c r="H69" s="132"/>
      <c r="I69" s="131"/>
      <c r="J69" s="132"/>
      <c r="K69" s="131"/>
      <c r="L69" s="132"/>
      <c r="M69" s="131"/>
      <c r="N69" s="86"/>
    </row>
    <row r="70" spans="1:14" s="80" customFormat="1" ht="15.75" customHeight="1">
      <c r="A70" s="78" t="s">
        <v>105</v>
      </c>
      <c r="B70" s="121">
        <f>_xlfn.COMPOUNDVALUE(213)</f>
        <v>1426</v>
      </c>
      <c r="C70" s="122">
        <v>768405</v>
      </c>
      <c r="D70" s="121">
        <f>_xlfn.COMPOUNDVALUE(214)</f>
        <v>2110</v>
      </c>
      <c r="E70" s="122">
        <v>837176</v>
      </c>
      <c r="F70" s="121">
        <f>_xlfn.COMPOUNDVALUE(215)</f>
        <v>3536</v>
      </c>
      <c r="G70" s="122">
        <v>1605581</v>
      </c>
      <c r="H70" s="121">
        <f>_xlfn.COMPOUNDVALUE(216)</f>
        <v>94</v>
      </c>
      <c r="I70" s="123">
        <v>42297</v>
      </c>
      <c r="J70" s="121">
        <v>612</v>
      </c>
      <c r="K70" s="123">
        <v>116766</v>
      </c>
      <c r="L70" s="121">
        <v>3868</v>
      </c>
      <c r="M70" s="123">
        <v>1680051</v>
      </c>
      <c r="N70" s="87" t="s">
        <v>105</v>
      </c>
    </row>
    <row r="71" spans="1:14" s="80" customFormat="1" ht="15.75" customHeight="1">
      <c r="A71" s="78" t="s">
        <v>106</v>
      </c>
      <c r="B71" s="121">
        <f>_xlfn.COMPOUNDVALUE(217)</f>
        <v>1488</v>
      </c>
      <c r="C71" s="122">
        <v>848157</v>
      </c>
      <c r="D71" s="121">
        <f>_xlfn.COMPOUNDVALUE(218)</f>
        <v>2437</v>
      </c>
      <c r="E71" s="122">
        <v>966600</v>
      </c>
      <c r="F71" s="121">
        <f>_xlfn.COMPOUNDVALUE(219)</f>
        <v>3925</v>
      </c>
      <c r="G71" s="122">
        <v>1814757</v>
      </c>
      <c r="H71" s="121">
        <f>_xlfn.COMPOUNDVALUE(220)</f>
        <v>109</v>
      </c>
      <c r="I71" s="123">
        <v>77261</v>
      </c>
      <c r="J71" s="121">
        <v>335</v>
      </c>
      <c r="K71" s="123">
        <v>82285</v>
      </c>
      <c r="L71" s="121">
        <v>4252</v>
      </c>
      <c r="M71" s="123">
        <v>1819781</v>
      </c>
      <c r="N71" s="79" t="s">
        <v>106</v>
      </c>
    </row>
    <row r="72" spans="1:14" s="80" customFormat="1" ht="15.75" customHeight="1">
      <c r="A72" s="78" t="s">
        <v>107</v>
      </c>
      <c r="B72" s="121">
        <f>_xlfn.COMPOUNDVALUE(221)</f>
        <v>888</v>
      </c>
      <c r="C72" s="122">
        <v>509353</v>
      </c>
      <c r="D72" s="121">
        <f>_xlfn.COMPOUNDVALUE(222)</f>
        <v>1265</v>
      </c>
      <c r="E72" s="122">
        <v>504002</v>
      </c>
      <c r="F72" s="121">
        <f>_xlfn.COMPOUNDVALUE(223)</f>
        <v>2153</v>
      </c>
      <c r="G72" s="122">
        <v>1013355</v>
      </c>
      <c r="H72" s="121">
        <f>_xlfn.COMPOUNDVALUE(224)</f>
        <v>68</v>
      </c>
      <c r="I72" s="123">
        <v>35266</v>
      </c>
      <c r="J72" s="121">
        <v>242</v>
      </c>
      <c r="K72" s="123">
        <v>61786</v>
      </c>
      <c r="L72" s="121">
        <v>2319</v>
      </c>
      <c r="M72" s="123">
        <v>1039875</v>
      </c>
      <c r="N72" s="79" t="s">
        <v>107</v>
      </c>
    </row>
    <row r="73" spans="1:14" s="80" customFormat="1" ht="15.75" customHeight="1">
      <c r="A73" s="81" t="s">
        <v>108</v>
      </c>
      <c r="B73" s="124">
        <f>_xlfn.COMPOUNDVALUE(225)</f>
        <v>646</v>
      </c>
      <c r="C73" s="125">
        <v>385850</v>
      </c>
      <c r="D73" s="124">
        <f>_xlfn.COMPOUNDVALUE(226)</f>
        <v>953</v>
      </c>
      <c r="E73" s="125">
        <v>335372</v>
      </c>
      <c r="F73" s="124">
        <f>_xlfn.COMPOUNDVALUE(227)</f>
        <v>1599</v>
      </c>
      <c r="G73" s="125">
        <v>721222</v>
      </c>
      <c r="H73" s="124">
        <f>_xlfn.COMPOUNDVALUE(228)</f>
        <v>49</v>
      </c>
      <c r="I73" s="126">
        <v>23205</v>
      </c>
      <c r="J73" s="124">
        <v>78</v>
      </c>
      <c r="K73" s="126">
        <v>11229</v>
      </c>
      <c r="L73" s="124">
        <v>1694</v>
      </c>
      <c r="M73" s="126">
        <v>709246</v>
      </c>
      <c r="N73" s="82" t="s">
        <v>108</v>
      </c>
    </row>
    <row r="74" spans="1:14" s="80" customFormat="1" ht="15.75" customHeight="1">
      <c r="A74" s="81" t="s">
        <v>109</v>
      </c>
      <c r="B74" s="124">
        <f>_xlfn.COMPOUNDVALUE(229)</f>
        <v>723</v>
      </c>
      <c r="C74" s="125">
        <v>418898</v>
      </c>
      <c r="D74" s="124">
        <f>_xlfn.COMPOUNDVALUE(230)</f>
        <v>1057</v>
      </c>
      <c r="E74" s="125">
        <v>407846</v>
      </c>
      <c r="F74" s="124">
        <f>_xlfn.COMPOUNDVALUE(231)</f>
        <v>1780</v>
      </c>
      <c r="G74" s="125">
        <v>826745</v>
      </c>
      <c r="H74" s="124">
        <f>_xlfn.COMPOUNDVALUE(232)</f>
        <v>69</v>
      </c>
      <c r="I74" s="126">
        <v>60669</v>
      </c>
      <c r="J74" s="124">
        <v>145</v>
      </c>
      <c r="K74" s="126">
        <v>26560</v>
      </c>
      <c r="L74" s="124">
        <v>1929</v>
      </c>
      <c r="M74" s="126">
        <v>792635</v>
      </c>
      <c r="N74" s="82" t="s">
        <v>109</v>
      </c>
    </row>
    <row r="75" spans="1:14" s="80" customFormat="1" ht="15.75" customHeight="1">
      <c r="A75" s="81" t="s">
        <v>110</v>
      </c>
      <c r="B75" s="124">
        <f>_xlfn.COMPOUNDVALUE(233)</f>
        <v>536</v>
      </c>
      <c r="C75" s="125">
        <v>276621</v>
      </c>
      <c r="D75" s="124">
        <f>_xlfn.COMPOUNDVALUE(234)</f>
        <v>942</v>
      </c>
      <c r="E75" s="125">
        <v>368808</v>
      </c>
      <c r="F75" s="124">
        <f>_xlfn.COMPOUNDVALUE(235)</f>
        <v>1478</v>
      </c>
      <c r="G75" s="125">
        <v>645428</v>
      </c>
      <c r="H75" s="124">
        <f>_xlfn.COMPOUNDVALUE(236)</f>
        <v>29</v>
      </c>
      <c r="I75" s="126">
        <v>31576</v>
      </c>
      <c r="J75" s="124">
        <v>102</v>
      </c>
      <c r="K75" s="126">
        <v>17017</v>
      </c>
      <c r="L75" s="124">
        <v>1557</v>
      </c>
      <c r="M75" s="126">
        <v>630869</v>
      </c>
      <c r="N75" s="82" t="s">
        <v>110</v>
      </c>
    </row>
    <row r="76" spans="1:14" s="80" customFormat="1" ht="15.75" customHeight="1">
      <c r="A76" s="81" t="s">
        <v>111</v>
      </c>
      <c r="B76" s="124">
        <f>_xlfn.COMPOUNDVALUE(237)</f>
        <v>424</v>
      </c>
      <c r="C76" s="125">
        <v>202249</v>
      </c>
      <c r="D76" s="124">
        <f>_xlfn.COMPOUNDVALUE(238)</f>
        <v>884</v>
      </c>
      <c r="E76" s="125">
        <v>304397</v>
      </c>
      <c r="F76" s="124">
        <f>_xlfn.COMPOUNDVALUE(239)</f>
        <v>1308</v>
      </c>
      <c r="G76" s="125">
        <v>506646</v>
      </c>
      <c r="H76" s="124">
        <f>_xlfn.COMPOUNDVALUE(240)</f>
        <v>31</v>
      </c>
      <c r="I76" s="126">
        <v>14461</v>
      </c>
      <c r="J76" s="124">
        <v>100</v>
      </c>
      <c r="K76" s="126">
        <v>18913</v>
      </c>
      <c r="L76" s="124">
        <v>1389</v>
      </c>
      <c r="M76" s="126">
        <v>511099</v>
      </c>
      <c r="N76" s="82" t="s">
        <v>111</v>
      </c>
    </row>
    <row r="77" spans="1:14" s="80" customFormat="1" ht="15.75" customHeight="1">
      <c r="A77" s="81" t="s">
        <v>112</v>
      </c>
      <c r="B77" s="124">
        <f>_xlfn.COMPOUNDVALUE(241)</f>
        <v>264</v>
      </c>
      <c r="C77" s="125">
        <v>131188</v>
      </c>
      <c r="D77" s="124">
        <f>_xlfn.COMPOUNDVALUE(242)</f>
        <v>368</v>
      </c>
      <c r="E77" s="125">
        <v>136036</v>
      </c>
      <c r="F77" s="124">
        <f>_xlfn.COMPOUNDVALUE(243)</f>
        <v>632</v>
      </c>
      <c r="G77" s="125">
        <v>267224</v>
      </c>
      <c r="H77" s="124">
        <f>_xlfn.COMPOUNDVALUE(244)</f>
        <v>26</v>
      </c>
      <c r="I77" s="126">
        <v>9327</v>
      </c>
      <c r="J77" s="124">
        <v>60</v>
      </c>
      <c r="K77" s="126">
        <v>10425</v>
      </c>
      <c r="L77" s="124">
        <v>683</v>
      </c>
      <c r="M77" s="126">
        <v>268322</v>
      </c>
      <c r="N77" s="82" t="s">
        <v>112</v>
      </c>
    </row>
    <row r="78" spans="1:14" s="80" customFormat="1" ht="15.75" customHeight="1">
      <c r="A78" s="81" t="s">
        <v>113</v>
      </c>
      <c r="B78" s="124">
        <f>_xlfn.COMPOUNDVALUE(245)</f>
        <v>1091</v>
      </c>
      <c r="C78" s="125">
        <v>742154</v>
      </c>
      <c r="D78" s="124">
        <f>_xlfn.COMPOUNDVALUE(246)</f>
        <v>1928</v>
      </c>
      <c r="E78" s="125">
        <v>788957</v>
      </c>
      <c r="F78" s="124">
        <f>_xlfn.COMPOUNDVALUE(247)</f>
        <v>3019</v>
      </c>
      <c r="G78" s="125">
        <v>1531111</v>
      </c>
      <c r="H78" s="124">
        <f>_xlfn.COMPOUNDVALUE(248)</f>
        <v>81</v>
      </c>
      <c r="I78" s="126">
        <v>32006</v>
      </c>
      <c r="J78" s="124">
        <v>138</v>
      </c>
      <c r="K78" s="126">
        <v>39939</v>
      </c>
      <c r="L78" s="124">
        <v>3188</v>
      </c>
      <c r="M78" s="126">
        <v>1539044</v>
      </c>
      <c r="N78" s="82" t="s">
        <v>113</v>
      </c>
    </row>
    <row r="79" spans="1:14" s="80" customFormat="1" ht="15.75" customHeight="1">
      <c r="A79" s="81" t="s">
        <v>114</v>
      </c>
      <c r="B79" s="124">
        <f>_xlfn.COMPOUNDVALUE(249)</f>
        <v>143</v>
      </c>
      <c r="C79" s="125">
        <v>63473</v>
      </c>
      <c r="D79" s="124">
        <f>_xlfn.COMPOUNDVALUE(250)</f>
        <v>188</v>
      </c>
      <c r="E79" s="125">
        <v>64906</v>
      </c>
      <c r="F79" s="124">
        <f>_xlfn.COMPOUNDVALUE(251)</f>
        <v>331</v>
      </c>
      <c r="G79" s="125">
        <v>128379</v>
      </c>
      <c r="H79" s="124">
        <f>_xlfn.COMPOUNDVALUE(252)</f>
        <v>9</v>
      </c>
      <c r="I79" s="126">
        <v>549</v>
      </c>
      <c r="J79" s="124">
        <v>12</v>
      </c>
      <c r="K79" s="126">
        <v>1024</v>
      </c>
      <c r="L79" s="124">
        <v>344</v>
      </c>
      <c r="M79" s="126">
        <v>128854</v>
      </c>
      <c r="N79" s="82" t="s">
        <v>114</v>
      </c>
    </row>
    <row r="80" spans="1:14" s="80" customFormat="1" ht="15.75" customHeight="1">
      <c r="A80" s="83" t="s">
        <v>115</v>
      </c>
      <c r="B80" s="127">
        <v>7629</v>
      </c>
      <c r="C80" s="128">
        <v>4346349</v>
      </c>
      <c r="D80" s="127">
        <v>12132</v>
      </c>
      <c r="E80" s="128">
        <v>4714098</v>
      </c>
      <c r="F80" s="127">
        <v>19761</v>
      </c>
      <c r="G80" s="128">
        <v>9060447</v>
      </c>
      <c r="H80" s="127">
        <v>565</v>
      </c>
      <c r="I80" s="129">
        <v>326617</v>
      </c>
      <c r="J80" s="127">
        <v>1824</v>
      </c>
      <c r="K80" s="129">
        <v>385945</v>
      </c>
      <c r="L80" s="127">
        <v>21223</v>
      </c>
      <c r="M80" s="129">
        <v>9119775</v>
      </c>
      <c r="N80" s="84" t="s">
        <v>116</v>
      </c>
    </row>
    <row r="81" spans="1:15" s="80" customFormat="1" ht="15.75" customHeight="1" thickBot="1">
      <c r="A81" s="88"/>
      <c r="B81" s="133"/>
      <c r="C81" s="134"/>
      <c r="D81" s="133"/>
      <c r="E81" s="134"/>
      <c r="F81" s="135"/>
      <c r="G81" s="134"/>
      <c r="H81" s="135"/>
      <c r="I81" s="134"/>
      <c r="J81" s="135"/>
      <c r="K81" s="134"/>
      <c r="L81" s="135"/>
      <c r="M81" s="134"/>
      <c r="N81" s="89"/>
      <c r="O81" s="90"/>
    </row>
    <row r="82" spans="1:14" s="80" customFormat="1" ht="15.75" customHeight="1" thickBot="1" thickTop="1">
      <c r="A82" s="91" t="s">
        <v>117</v>
      </c>
      <c r="B82" s="136">
        <v>58313</v>
      </c>
      <c r="C82" s="137">
        <v>37204345</v>
      </c>
      <c r="D82" s="136">
        <v>95255</v>
      </c>
      <c r="E82" s="137">
        <v>39451794</v>
      </c>
      <c r="F82" s="136">
        <v>153568</v>
      </c>
      <c r="G82" s="137">
        <v>76656139</v>
      </c>
      <c r="H82" s="136">
        <v>4369</v>
      </c>
      <c r="I82" s="138">
        <v>4190860</v>
      </c>
      <c r="J82" s="136">
        <v>14636</v>
      </c>
      <c r="K82" s="138">
        <v>3109605</v>
      </c>
      <c r="L82" s="136">
        <v>165710</v>
      </c>
      <c r="M82" s="138">
        <v>75574884</v>
      </c>
      <c r="N82" s="92" t="s">
        <v>118</v>
      </c>
    </row>
    <row r="83" spans="1:14" ht="13.5">
      <c r="A83" s="206" t="s">
        <v>156</v>
      </c>
      <c r="B83" s="206"/>
      <c r="C83" s="206"/>
      <c r="D83" s="206"/>
      <c r="E83" s="206"/>
      <c r="F83" s="206"/>
      <c r="G83" s="206"/>
      <c r="H83" s="206"/>
      <c r="I83" s="206"/>
      <c r="J83" s="93"/>
      <c r="K83" s="93"/>
      <c r="L83" s="64"/>
      <c r="M83" s="64"/>
      <c r="N83" s="64"/>
    </row>
    <row r="85" spans="2:10" ht="13.5">
      <c r="B85" s="94"/>
      <c r="C85" s="94"/>
      <c r="D85" s="94"/>
      <c r="E85" s="94"/>
      <c r="F85" s="94"/>
      <c r="G85" s="94"/>
      <c r="H85" s="94"/>
      <c r="J85" s="94"/>
    </row>
    <row r="86" spans="2:10" ht="13.5">
      <c r="B86" s="94"/>
      <c r="C86" s="94"/>
      <c r="D86" s="94"/>
      <c r="E86" s="94"/>
      <c r="F86" s="94"/>
      <c r="G86" s="94"/>
      <c r="H86" s="94"/>
      <c r="J86" s="94"/>
    </row>
    <row r="87" spans="2:10" ht="13.5">
      <c r="B87" s="94"/>
      <c r="C87" s="94"/>
      <c r="D87" s="94"/>
      <c r="E87" s="94"/>
      <c r="F87" s="94"/>
      <c r="G87" s="94"/>
      <c r="H87" s="94"/>
      <c r="J87" s="94"/>
    </row>
    <row r="88" spans="2:10" ht="13.5">
      <c r="B88" s="94"/>
      <c r="C88" s="94"/>
      <c r="D88" s="94"/>
      <c r="E88" s="94"/>
      <c r="F88" s="94"/>
      <c r="G88" s="94"/>
      <c r="H88" s="94"/>
      <c r="J88" s="94"/>
    </row>
    <row r="89" spans="2:10" ht="13.5">
      <c r="B89" s="94"/>
      <c r="C89" s="94"/>
      <c r="D89" s="94"/>
      <c r="E89" s="94"/>
      <c r="F89" s="94"/>
      <c r="G89" s="94"/>
      <c r="H89" s="94"/>
      <c r="J89" s="94"/>
    </row>
    <row r="90" spans="2:10" ht="13.5">
      <c r="B90" s="94"/>
      <c r="C90" s="94"/>
      <c r="D90" s="94"/>
      <c r="E90" s="94"/>
      <c r="F90" s="94"/>
      <c r="G90" s="94"/>
      <c r="H90" s="94"/>
      <c r="J90" s="94"/>
    </row>
    <row r="91" spans="2:10" ht="13.5">
      <c r="B91" s="94"/>
      <c r="C91" s="94"/>
      <c r="D91" s="94"/>
      <c r="E91" s="94"/>
      <c r="F91" s="94"/>
      <c r="G91" s="94"/>
      <c r="H91" s="94"/>
      <c r="J91" s="94"/>
    </row>
    <row r="92" spans="2:10" ht="13.5">
      <c r="B92" s="94"/>
      <c r="C92" s="94"/>
      <c r="D92" s="94"/>
      <c r="E92" s="94"/>
      <c r="F92" s="94"/>
      <c r="G92" s="94"/>
      <c r="H92" s="94"/>
      <c r="J92" s="94"/>
    </row>
    <row r="93" spans="2:10" ht="13.5">
      <c r="B93" s="94"/>
      <c r="C93" s="94"/>
      <c r="D93" s="94"/>
      <c r="E93" s="94"/>
      <c r="F93" s="94"/>
      <c r="G93" s="94"/>
      <c r="H93" s="94"/>
      <c r="J93" s="94"/>
    </row>
    <row r="94" spans="2:10" ht="13.5">
      <c r="B94" s="94"/>
      <c r="C94" s="94"/>
      <c r="D94" s="94"/>
      <c r="E94" s="94"/>
      <c r="F94" s="94"/>
      <c r="G94" s="94"/>
      <c r="H94" s="94"/>
      <c r="J94" s="94"/>
    </row>
    <row r="95" spans="2:10" ht="13.5">
      <c r="B95" s="94"/>
      <c r="C95" s="94"/>
      <c r="D95" s="94"/>
      <c r="E95" s="94"/>
      <c r="F95" s="94"/>
      <c r="G95" s="94"/>
      <c r="H95" s="94"/>
      <c r="J95" s="94"/>
    </row>
    <row r="96" spans="2:10" ht="13.5">
      <c r="B96" s="94"/>
      <c r="C96" s="94"/>
      <c r="D96" s="94"/>
      <c r="E96" s="94"/>
      <c r="F96" s="94"/>
      <c r="G96" s="94"/>
      <c r="H96" s="94"/>
      <c r="J96" s="94"/>
    </row>
    <row r="97" spans="2:10" ht="13.5">
      <c r="B97" s="94"/>
      <c r="C97" s="94"/>
      <c r="D97" s="94"/>
      <c r="E97" s="94"/>
      <c r="F97" s="94"/>
      <c r="G97" s="94"/>
      <c r="H97" s="94"/>
      <c r="J97" s="94"/>
    </row>
  </sheetData>
  <sheetProtection/>
  <mergeCells count="11">
    <mergeCell ref="A83:I83"/>
    <mergeCell ref="L3:M4"/>
    <mergeCell ref="A2:G2"/>
    <mergeCell ref="A3:A5"/>
    <mergeCell ref="B3:G3"/>
    <mergeCell ref="H3:I4"/>
    <mergeCell ref="J3:K4"/>
    <mergeCell ref="N3:N5"/>
    <mergeCell ref="B4:C4"/>
    <mergeCell ref="D4:E4"/>
    <mergeCell ref="F4:G4"/>
  </mergeCells>
  <printOptions horizontalCentered="1"/>
  <pageMargins left="0.7874015748031497" right="0.7874015748031497" top="0.984251968503937" bottom="0.984251968503937" header="0.5118110236220472" footer="0.5118110236220472"/>
  <pageSetup fitToHeight="0" fitToWidth="1" horizontalDpi="600" verticalDpi="600" orientation="portrait" paperSize="9" scale="53" r:id="rId1"/>
  <headerFooter alignWithMargins="0">
    <oddFooter>&amp;R関東信越国税局
消費税
(H29)</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83"/>
  <sheetViews>
    <sheetView workbookViewId="0" topLeftCell="A1">
      <selection activeCell="A1" sqref="A1"/>
    </sheetView>
  </sheetViews>
  <sheetFormatPr defaultColWidth="9.00390625" defaultRowHeight="13.5"/>
  <cols>
    <col min="1" max="1" width="11.125" style="65" customWidth="1"/>
    <col min="2" max="2" width="10.625" style="65" customWidth="1"/>
    <col min="3" max="3" width="12.625" style="65" customWidth="1"/>
    <col min="4" max="4" width="10.625" style="65" customWidth="1"/>
    <col min="5" max="5" width="12.625" style="65" customWidth="1"/>
    <col min="6" max="6" width="10.625" style="65" customWidth="1"/>
    <col min="7" max="7" width="12.625" style="65" customWidth="1"/>
    <col min="8" max="8" width="10.625" style="65" customWidth="1"/>
    <col min="9" max="9" width="12.625" style="65" customWidth="1"/>
    <col min="10" max="10" width="10.625" style="65" customWidth="1"/>
    <col min="11" max="11" width="12.625" style="65" customWidth="1"/>
    <col min="12" max="12" width="10.625" style="65" customWidth="1"/>
    <col min="13" max="13" width="12.625" style="65" customWidth="1"/>
    <col min="14" max="14" width="11.375" style="65" customWidth="1"/>
    <col min="15" max="16384" width="9.00390625" style="65" customWidth="1"/>
  </cols>
  <sheetData>
    <row r="1" spans="1:13" ht="13.5">
      <c r="A1" s="63" t="s">
        <v>161</v>
      </c>
      <c r="B1" s="63"/>
      <c r="C1" s="63"/>
      <c r="D1" s="63"/>
      <c r="E1" s="63"/>
      <c r="F1" s="63"/>
      <c r="G1" s="63"/>
      <c r="H1" s="63"/>
      <c r="I1" s="63"/>
      <c r="J1" s="63"/>
      <c r="K1" s="63"/>
      <c r="L1" s="64"/>
      <c r="M1" s="64"/>
    </row>
    <row r="2" spans="1:13" ht="14.25" thickBot="1">
      <c r="A2" s="207" t="s">
        <v>119</v>
      </c>
      <c r="B2" s="207"/>
      <c r="C2" s="207"/>
      <c r="D2" s="207"/>
      <c r="E2" s="207"/>
      <c r="F2" s="207"/>
      <c r="G2" s="207"/>
      <c r="H2" s="207"/>
      <c r="I2" s="207"/>
      <c r="J2" s="93"/>
      <c r="K2" s="93"/>
      <c r="L2" s="64"/>
      <c r="M2" s="64"/>
    </row>
    <row r="3" spans="1:14" ht="19.5" customHeight="1">
      <c r="A3" s="192" t="s">
        <v>27</v>
      </c>
      <c r="B3" s="195" t="s">
        <v>28</v>
      </c>
      <c r="C3" s="195"/>
      <c r="D3" s="195"/>
      <c r="E3" s="195"/>
      <c r="F3" s="195"/>
      <c r="G3" s="195"/>
      <c r="H3" s="196" t="s">
        <v>13</v>
      </c>
      <c r="I3" s="197"/>
      <c r="J3" s="200" t="s">
        <v>29</v>
      </c>
      <c r="K3" s="197"/>
      <c r="L3" s="196" t="s">
        <v>30</v>
      </c>
      <c r="M3" s="197"/>
      <c r="N3" s="201" t="s">
        <v>120</v>
      </c>
    </row>
    <row r="4" spans="1:14" ht="17.25" customHeight="1">
      <c r="A4" s="193"/>
      <c r="B4" s="198" t="s">
        <v>16</v>
      </c>
      <c r="C4" s="205"/>
      <c r="D4" s="198" t="s">
        <v>32</v>
      </c>
      <c r="E4" s="205"/>
      <c r="F4" s="198" t="s">
        <v>33</v>
      </c>
      <c r="G4" s="205"/>
      <c r="H4" s="198"/>
      <c r="I4" s="199"/>
      <c r="J4" s="198"/>
      <c r="K4" s="199"/>
      <c r="L4" s="198"/>
      <c r="M4" s="199"/>
      <c r="N4" s="202"/>
    </row>
    <row r="5" spans="1:14" ht="28.5" customHeight="1">
      <c r="A5" s="194"/>
      <c r="B5" s="66" t="s">
        <v>34</v>
      </c>
      <c r="C5" s="67" t="s">
        <v>35</v>
      </c>
      <c r="D5" s="66" t="s">
        <v>34</v>
      </c>
      <c r="E5" s="67" t="s">
        <v>35</v>
      </c>
      <c r="F5" s="66" t="s">
        <v>34</v>
      </c>
      <c r="G5" s="68" t="s">
        <v>36</v>
      </c>
      <c r="H5" s="66" t="s">
        <v>34</v>
      </c>
      <c r="I5" s="69" t="s">
        <v>37</v>
      </c>
      <c r="J5" s="66" t="s">
        <v>34</v>
      </c>
      <c r="K5" s="69" t="s">
        <v>38</v>
      </c>
      <c r="L5" s="66" t="s">
        <v>34</v>
      </c>
      <c r="M5" s="70" t="s">
        <v>39</v>
      </c>
      <c r="N5" s="203"/>
    </row>
    <row r="6" spans="1:14" s="95" customFormat="1" ht="10.5">
      <c r="A6" s="72"/>
      <c r="B6" s="73" t="s">
        <v>4</v>
      </c>
      <c r="C6" s="74" t="s">
        <v>5</v>
      </c>
      <c r="D6" s="73" t="s">
        <v>4</v>
      </c>
      <c r="E6" s="74" t="s">
        <v>5</v>
      </c>
      <c r="F6" s="73" t="s">
        <v>4</v>
      </c>
      <c r="G6" s="74" t="s">
        <v>5</v>
      </c>
      <c r="H6" s="73" t="s">
        <v>4</v>
      </c>
      <c r="I6" s="75" t="s">
        <v>5</v>
      </c>
      <c r="J6" s="73" t="s">
        <v>4</v>
      </c>
      <c r="K6" s="75" t="s">
        <v>5</v>
      </c>
      <c r="L6" s="73" t="s">
        <v>159</v>
      </c>
      <c r="M6" s="75" t="s">
        <v>5</v>
      </c>
      <c r="N6" s="76"/>
    </row>
    <row r="7" spans="1:14" ht="15.75" customHeight="1">
      <c r="A7" s="78" t="s">
        <v>40</v>
      </c>
      <c r="B7" s="121">
        <f>_xlfn.COMPOUNDVALUE(253)</f>
        <v>4576</v>
      </c>
      <c r="C7" s="122">
        <v>39902179</v>
      </c>
      <c r="D7" s="121">
        <f>_xlfn.COMPOUNDVALUE(254)</f>
        <v>1802</v>
      </c>
      <c r="E7" s="122">
        <v>1191568</v>
      </c>
      <c r="F7" s="121">
        <f>_xlfn.COMPOUNDVALUE(255)</f>
        <v>6378</v>
      </c>
      <c r="G7" s="122">
        <v>41093747</v>
      </c>
      <c r="H7" s="121">
        <f>_xlfn.COMPOUNDVALUE(256)</f>
        <v>281</v>
      </c>
      <c r="I7" s="123">
        <v>2175364</v>
      </c>
      <c r="J7" s="121">
        <v>427</v>
      </c>
      <c r="K7" s="123">
        <v>89182</v>
      </c>
      <c r="L7" s="121">
        <v>6728</v>
      </c>
      <c r="M7" s="123">
        <v>39007564</v>
      </c>
      <c r="N7" s="79" t="s">
        <v>40</v>
      </c>
    </row>
    <row r="8" spans="1:14" ht="15.75" customHeight="1">
      <c r="A8" s="81" t="s">
        <v>41</v>
      </c>
      <c r="B8" s="124">
        <f>_xlfn.COMPOUNDVALUE(257)</f>
        <v>1756</v>
      </c>
      <c r="C8" s="125">
        <v>21118965</v>
      </c>
      <c r="D8" s="124">
        <f>_xlfn.COMPOUNDVALUE(258)</f>
        <v>772</v>
      </c>
      <c r="E8" s="125">
        <v>451435</v>
      </c>
      <c r="F8" s="124">
        <f>_xlfn.COMPOUNDVALUE(259)</f>
        <v>2528</v>
      </c>
      <c r="G8" s="125">
        <v>21570401</v>
      </c>
      <c r="H8" s="124">
        <f>_xlfn.COMPOUNDVALUE(260)</f>
        <v>67</v>
      </c>
      <c r="I8" s="126">
        <v>1806616</v>
      </c>
      <c r="J8" s="124">
        <v>164</v>
      </c>
      <c r="K8" s="126">
        <v>20697</v>
      </c>
      <c r="L8" s="124">
        <v>2632</v>
      </c>
      <c r="M8" s="126">
        <v>19784482</v>
      </c>
      <c r="N8" s="82" t="s">
        <v>41</v>
      </c>
    </row>
    <row r="9" spans="1:14" ht="15.75" customHeight="1">
      <c r="A9" s="81" t="s">
        <v>42</v>
      </c>
      <c r="B9" s="124">
        <f>_xlfn.COMPOUNDVALUE(261)</f>
        <v>4533</v>
      </c>
      <c r="C9" s="125">
        <v>34406092</v>
      </c>
      <c r="D9" s="124">
        <f>_xlfn.COMPOUNDVALUE(262)</f>
        <v>1873</v>
      </c>
      <c r="E9" s="125">
        <v>1112247</v>
      </c>
      <c r="F9" s="124">
        <f>_xlfn.COMPOUNDVALUE(263)</f>
        <v>6406</v>
      </c>
      <c r="G9" s="125">
        <v>35518340</v>
      </c>
      <c r="H9" s="124">
        <f>_xlfn.COMPOUNDVALUE(264)</f>
        <v>411</v>
      </c>
      <c r="I9" s="126">
        <v>2328006</v>
      </c>
      <c r="J9" s="124">
        <v>346</v>
      </c>
      <c r="K9" s="126">
        <v>31895</v>
      </c>
      <c r="L9" s="124">
        <v>6876</v>
      </c>
      <c r="M9" s="126">
        <v>33222229</v>
      </c>
      <c r="N9" s="82" t="s">
        <v>42</v>
      </c>
    </row>
    <row r="10" spans="1:14" ht="15.75" customHeight="1">
      <c r="A10" s="81" t="s">
        <v>43</v>
      </c>
      <c r="B10" s="124">
        <f>_xlfn.COMPOUNDVALUE(265)</f>
        <v>2424</v>
      </c>
      <c r="C10" s="125">
        <v>13383042</v>
      </c>
      <c r="D10" s="124">
        <f>_xlfn.COMPOUNDVALUE(266)</f>
        <v>1090</v>
      </c>
      <c r="E10" s="125">
        <v>670462</v>
      </c>
      <c r="F10" s="124">
        <f>_xlfn.COMPOUNDVALUE(267)</f>
        <v>3514</v>
      </c>
      <c r="G10" s="125">
        <v>14053504</v>
      </c>
      <c r="H10" s="124">
        <f>_xlfn.COMPOUNDVALUE(268)</f>
        <v>242</v>
      </c>
      <c r="I10" s="126">
        <v>794711</v>
      </c>
      <c r="J10" s="124">
        <v>186</v>
      </c>
      <c r="K10" s="126">
        <v>-26299</v>
      </c>
      <c r="L10" s="124">
        <v>3785</v>
      </c>
      <c r="M10" s="126">
        <v>13232495</v>
      </c>
      <c r="N10" s="82" t="s">
        <v>43</v>
      </c>
    </row>
    <row r="11" spans="1:14" ht="15.75" customHeight="1">
      <c r="A11" s="81" t="s">
        <v>44</v>
      </c>
      <c r="B11" s="124">
        <f>_xlfn.COMPOUNDVALUE(269)</f>
        <v>3433</v>
      </c>
      <c r="C11" s="125">
        <v>18414831</v>
      </c>
      <c r="D11" s="124">
        <f>_xlfn.COMPOUNDVALUE(270)</f>
        <v>1454</v>
      </c>
      <c r="E11" s="125">
        <v>846702</v>
      </c>
      <c r="F11" s="124">
        <f>_xlfn.COMPOUNDVALUE(271)</f>
        <v>4887</v>
      </c>
      <c r="G11" s="125">
        <v>19261533</v>
      </c>
      <c r="H11" s="124">
        <f>_xlfn.COMPOUNDVALUE(272)</f>
        <v>276</v>
      </c>
      <c r="I11" s="126">
        <v>1097387</v>
      </c>
      <c r="J11" s="124">
        <v>257</v>
      </c>
      <c r="K11" s="126">
        <v>-11764</v>
      </c>
      <c r="L11" s="124">
        <v>5205</v>
      </c>
      <c r="M11" s="126">
        <v>18152383</v>
      </c>
      <c r="N11" s="82" t="s">
        <v>44</v>
      </c>
    </row>
    <row r="12" spans="1:14" ht="15.75" customHeight="1">
      <c r="A12" s="81" t="s">
        <v>46</v>
      </c>
      <c r="B12" s="124">
        <f>_xlfn.COMPOUNDVALUE(273)</f>
        <v>2897</v>
      </c>
      <c r="C12" s="125">
        <v>12258989</v>
      </c>
      <c r="D12" s="124">
        <f>_xlfn.COMPOUNDVALUE(274)</f>
        <v>1385</v>
      </c>
      <c r="E12" s="125">
        <v>829133</v>
      </c>
      <c r="F12" s="124">
        <f>_xlfn.COMPOUNDVALUE(275)</f>
        <v>4282</v>
      </c>
      <c r="G12" s="125">
        <v>13088122</v>
      </c>
      <c r="H12" s="124">
        <f>_xlfn.COMPOUNDVALUE(276)</f>
        <v>252</v>
      </c>
      <c r="I12" s="126">
        <v>1625117</v>
      </c>
      <c r="J12" s="124">
        <v>244</v>
      </c>
      <c r="K12" s="126">
        <v>42946</v>
      </c>
      <c r="L12" s="124">
        <v>4570</v>
      </c>
      <c r="M12" s="126">
        <v>11505951</v>
      </c>
      <c r="N12" s="82" t="s">
        <v>46</v>
      </c>
    </row>
    <row r="13" spans="1:14" ht="15.75" customHeight="1">
      <c r="A13" s="81" t="s">
        <v>47</v>
      </c>
      <c r="B13" s="124">
        <f>_xlfn.COMPOUNDVALUE(277)</f>
        <v>2382</v>
      </c>
      <c r="C13" s="125">
        <v>17442998</v>
      </c>
      <c r="D13" s="124">
        <f>_xlfn.COMPOUNDVALUE(278)</f>
        <v>974</v>
      </c>
      <c r="E13" s="125">
        <v>590947</v>
      </c>
      <c r="F13" s="124">
        <f>_xlfn.COMPOUNDVALUE(279)</f>
        <v>3356</v>
      </c>
      <c r="G13" s="125">
        <v>18033945</v>
      </c>
      <c r="H13" s="124">
        <f>_xlfn.COMPOUNDVALUE(280)</f>
        <v>109</v>
      </c>
      <c r="I13" s="126">
        <v>1791824</v>
      </c>
      <c r="J13" s="124">
        <v>190</v>
      </c>
      <c r="K13" s="126">
        <v>13954</v>
      </c>
      <c r="L13" s="124">
        <v>3500</v>
      </c>
      <c r="M13" s="126">
        <v>16256074</v>
      </c>
      <c r="N13" s="82" t="s">
        <v>47</v>
      </c>
    </row>
    <row r="14" spans="1:14" ht="15.75" customHeight="1">
      <c r="A14" s="81" t="s">
        <v>48</v>
      </c>
      <c r="B14" s="124">
        <f>_xlfn.COMPOUNDVALUE(281)</f>
        <v>2641</v>
      </c>
      <c r="C14" s="125">
        <v>16922803</v>
      </c>
      <c r="D14" s="124">
        <f>_xlfn.COMPOUNDVALUE(282)</f>
        <v>832</v>
      </c>
      <c r="E14" s="125">
        <v>560150</v>
      </c>
      <c r="F14" s="124">
        <f>_xlfn.COMPOUNDVALUE(283)</f>
        <v>3473</v>
      </c>
      <c r="G14" s="125">
        <v>17482953</v>
      </c>
      <c r="H14" s="124">
        <f>_xlfn.COMPOUNDVALUE(284)</f>
        <v>169</v>
      </c>
      <c r="I14" s="126">
        <v>978109</v>
      </c>
      <c r="J14" s="124">
        <v>290</v>
      </c>
      <c r="K14" s="126">
        <v>55429</v>
      </c>
      <c r="L14" s="124">
        <v>3659</v>
      </c>
      <c r="M14" s="126">
        <v>16560273</v>
      </c>
      <c r="N14" s="82" t="s">
        <v>48</v>
      </c>
    </row>
    <row r="15" spans="1:14" ht="15.75" customHeight="1">
      <c r="A15" s="83" t="s">
        <v>146</v>
      </c>
      <c r="B15" s="127">
        <v>24642</v>
      </c>
      <c r="C15" s="128">
        <v>173849900</v>
      </c>
      <c r="D15" s="127">
        <v>10182</v>
      </c>
      <c r="E15" s="128">
        <v>6252644</v>
      </c>
      <c r="F15" s="127">
        <v>34824</v>
      </c>
      <c r="G15" s="128">
        <v>180102544</v>
      </c>
      <c r="H15" s="127">
        <v>1807</v>
      </c>
      <c r="I15" s="129">
        <v>12597134</v>
      </c>
      <c r="J15" s="127">
        <v>2104</v>
      </c>
      <c r="K15" s="129">
        <v>216041</v>
      </c>
      <c r="L15" s="127">
        <v>36955</v>
      </c>
      <c r="M15" s="129">
        <v>167721451</v>
      </c>
      <c r="N15" s="84" t="s">
        <v>50</v>
      </c>
    </row>
    <row r="16" spans="1:14" ht="15.75" customHeight="1">
      <c r="A16" s="85"/>
      <c r="B16" s="130"/>
      <c r="C16" s="131"/>
      <c r="D16" s="130"/>
      <c r="E16" s="131"/>
      <c r="F16" s="132"/>
      <c r="G16" s="131"/>
      <c r="H16" s="132"/>
      <c r="I16" s="131"/>
      <c r="J16" s="132"/>
      <c r="K16" s="131"/>
      <c r="L16" s="132"/>
      <c r="M16" s="131"/>
      <c r="N16" s="86"/>
    </row>
    <row r="17" spans="1:14" ht="15.75" customHeight="1">
      <c r="A17" s="78" t="s">
        <v>51</v>
      </c>
      <c r="B17" s="121">
        <f>_xlfn.COMPOUNDVALUE(285)</f>
        <v>5765</v>
      </c>
      <c r="C17" s="122">
        <v>45664184</v>
      </c>
      <c r="D17" s="121">
        <f>_xlfn.COMPOUNDVALUE(286)</f>
        <v>2681</v>
      </c>
      <c r="E17" s="122">
        <v>1578266</v>
      </c>
      <c r="F17" s="121">
        <f>_xlfn.COMPOUNDVALUE(287)</f>
        <v>8446</v>
      </c>
      <c r="G17" s="122">
        <v>47242450</v>
      </c>
      <c r="H17" s="121">
        <f>_xlfn.COMPOUNDVALUE(288)</f>
        <v>295</v>
      </c>
      <c r="I17" s="123">
        <v>1827254</v>
      </c>
      <c r="J17" s="121">
        <v>433</v>
      </c>
      <c r="K17" s="123">
        <v>108071</v>
      </c>
      <c r="L17" s="121">
        <v>8778</v>
      </c>
      <c r="M17" s="123">
        <v>45523267</v>
      </c>
      <c r="N17" s="87" t="s">
        <v>51</v>
      </c>
    </row>
    <row r="18" spans="1:14" ht="15.75" customHeight="1">
      <c r="A18" s="81" t="s">
        <v>52</v>
      </c>
      <c r="B18" s="124">
        <f>_xlfn.COMPOUNDVALUE(289)</f>
        <v>1649</v>
      </c>
      <c r="C18" s="125">
        <v>9641711</v>
      </c>
      <c r="D18" s="124">
        <f>_xlfn.COMPOUNDVALUE(290)</f>
        <v>827</v>
      </c>
      <c r="E18" s="125">
        <v>447604</v>
      </c>
      <c r="F18" s="124">
        <f>_xlfn.COMPOUNDVALUE(291)</f>
        <v>2476</v>
      </c>
      <c r="G18" s="125">
        <v>10089315</v>
      </c>
      <c r="H18" s="124">
        <f>_xlfn.COMPOUNDVALUE(292)</f>
        <v>114</v>
      </c>
      <c r="I18" s="126">
        <v>503327</v>
      </c>
      <c r="J18" s="124">
        <v>123</v>
      </c>
      <c r="K18" s="126">
        <v>6564</v>
      </c>
      <c r="L18" s="124">
        <v>2605</v>
      </c>
      <c r="M18" s="126">
        <v>9592551</v>
      </c>
      <c r="N18" s="82" t="s">
        <v>52</v>
      </c>
    </row>
    <row r="19" spans="1:14" ht="15.75" customHeight="1">
      <c r="A19" s="81" t="s">
        <v>53</v>
      </c>
      <c r="B19" s="124">
        <f>_xlfn.COMPOUNDVALUE(293)</f>
        <v>3948</v>
      </c>
      <c r="C19" s="125">
        <v>24436157</v>
      </c>
      <c r="D19" s="124">
        <f>_xlfn.COMPOUNDVALUE(294)</f>
        <v>1883</v>
      </c>
      <c r="E19" s="125">
        <v>1107310</v>
      </c>
      <c r="F19" s="124">
        <f>_xlfn.COMPOUNDVALUE(295)</f>
        <v>5831</v>
      </c>
      <c r="G19" s="125">
        <v>25543466</v>
      </c>
      <c r="H19" s="124">
        <f>_xlfn.COMPOUNDVALUE(296)</f>
        <v>277</v>
      </c>
      <c r="I19" s="126">
        <v>2317744</v>
      </c>
      <c r="J19" s="124">
        <v>351</v>
      </c>
      <c r="K19" s="126">
        <v>55787</v>
      </c>
      <c r="L19" s="124">
        <v>6153</v>
      </c>
      <c r="M19" s="126">
        <v>23281510</v>
      </c>
      <c r="N19" s="82" t="s">
        <v>53</v>
      </c>
    </row>
    <row r="20" spans="1:14" ht="15.75" customHeight="1">
      <c r="A20" s="81" t="s">
        <v>54</v>
      </c>
      <c r="B20" s="124">
        <f>_xlfn.COMPOUNDVALUE(297)</f>
        <v>1230</v>
      </c>
      <c r="C20" s="125">
        <v>6415167</v>
      </c>
      <c r="D20" s="124">
        <f>_xlfn.COMPOUNDVALUE(298)</f>
        <v>566</v>
      </c>
      <c r="E20" s="125">
        <v>316897</v>
      </c>
      <c r="F20" s="124">
        <f>_xlfn.COMPOUNDVALUE(299)</f>
        <v>1796</v>
      </c>
      <c r="G20" s="125">
        <v>6732064</v>
      </c>
      <c r="H20" s="124">
        <f>_xlfn.COMPOUNDVALUE(300)</f>
        <v>72</v>
      </c>
      <c r="I20" s="126">
        <v>734500</v>
      </c>
      <c r="J20" s="124">
        <v>155</v>
      </c>
      <c r="K20" s="126">
        <v>14301</v>
      </c>
      <c r="L20" s="124">
        <v>1875</v>
      </c>
      <c r="M20" s="126">
        <v>6011865</v>
      </c>
      <c r="N20" s="82" t="s">
        <v>54</v>
      </c>
    </row>
    <row r="21" spans="1:14" ht="15.75" customHeight="1">
      <c r="A21" s="81" t="s">
        <v>55</v>
      </c>
      <c r="B21" s="124">
        <f>_xlfn.COMPOUNDVALUE(301)</f>
        <v>2053</v>
      </c>
      <c r="C21" s="125">
        <v>10198169</v>
      </c>
      <c r="D21" s="124">
        <f>_xlfn.COMPOUNDVALUE(302)</f>
        <v>1042</v>
      </c>
      <c r="E21" s="125">
        <v>560158</v>
      </c>
      <c r="F21" s="124">
        <f>_xlfn.COMPOUNDVALUE(303)</f>
        <v>3095</v>
      </c>
      <c r="G21" s="125">
        <v>10758327</v>
      </c>
      <c r="H21" s="124">
        <f>_xlfn.COMPOUNDVALUE(304)</f>
        <v>100</v>
      </c>
      <c r="I21" s="126">
        <v>1071376</v>
      </c>
      <c r="J21" s="124">
        <v>208</v>
      </c>
      <c r="K21" s="126">
        <v>43030</v>
      </c>
      <c r="L21" s="124">
        <v>3204</v>
      </c>
      <c r="M21" s="126">
        <v>9729981</v>
      </c>
      <c r="N21" s="82" t="s">
        <v>55</v>
      </c>
    </row>
    <row r="22" spans="1:14" ht="15.75" customHeight="1">
      <c r="A22" s="81" t="s">
        <v>56</v>
      </c>
      <c r="B22" s="124">
        <f>_xlfn.COMPOUNDVALUE(305)</f>
        <v>1153</v>
      </c>
      <c r="C22" s="125">
        <v>10066483</v>
      </c>
      <c r="D22" s="124">
        <f>_xlfn.COMPOUNDVALUE(306)</f>
        <v>585</v>
      </c>
      <c r="E22" s="125">
        <v>327454</v>
      </c>
      <c r="F22" s="124">
        <f>_xlfn.COMPOUNDVALUE(307)</f>
        <v>1738</v>
      </c>
      <c r="G22" s="125">
        <v>10393937</v>
      </c>
      <c r="H22" s="124">
        <f>_xlfn.COMPOUNDVALUE(308)</f>
        <v>76</v>
      </c>
      <c r="I22" s="126">
        <v>598377</v>
      </c>
      <c r="J22" s="124">
        <v>90</v>
      </c>
      <c r="K22" s="126">
        <v>37768</v>
      </c>
      <c r="L22" s="124">
        <v>1827</v>
      </c>
      <c r="M22" s="126">
        <v>9833328</v>
      </c>
      <c r="N22" s="82" t="s">
        <v>56</v>
      </c>
    </row>
    <row r="23" spans="1:14" ht="15.75" customHeight="1">
      <c r="A23" s="81" t="s">
        <v>57</v>
      </c>
      <c r="B23" s="124">
        <f>_xlfn.COMPOUNDVALUE(309)</f>
        <v>2063</v>
      </c>
      <c r="C23" s="125">
        <v>9621059</v>
      </c>
      <c r="D23" s="124">
        <f>_xlfn.COMPOUNDVALUE(310)</f>
        <v>887</v>
      </c>
      <c r="E23" s="125">
        <v>509200</v>
      </c>
      <c r="F23" s="124">
        <f>_xlfn.COMPOUNDVALUE(311)</f>
        <v>2950</v>
      </c>
      <c r="G23" s="125">
        <v>10130260</v>
      </c>
      <c r="H23" s="124">
        <f>_xlfn.COMPOUNDVALUE(312)</f>
        <v>112</v>
      </c>
      <c r="I23" s="126">
        <v>3394658</v>
      </c>
      <c r="J23" s="124">
        <v>143</v>
      </c>
      <c r="K23" s="126">
        <v>-20515</v>
      </c>
      <c r="L23" s="124">
        <v>3071</v>
      </c>
      <c r="M23" s="126">
        <v>6715086</v>
      </c>
      <c r="N23" s="82" t="s">
        <v>57</v>
      </c>
    </row>
    <row r="24" spans="1:14" ht="15.75" customHeight="1">
      <c r="A24" s="81" t="s">
        <v>58</v>
      </c>
      <c r="B24" s="124">
        <f>_xlfn.COMPOUNDVALUE(313)</f>
        <v>1214</v>
      </c>
      <c r="C24" s="125">
        <v>6564599</v>
      </c>
      <c r="D24" s="124">
        <f>_xlfn.COMPOUNDVALUE(314)</f>
        <v>681</v>
      </c>
      <c r="E24" s="125">
        <v>375357</v>
      </c>
      <c r="F24" s="124">
        <f>_xlfn.COMPOUNDVALUE(315)</f>
        <v>1895</v>
      </c>
      <c r="G24" s="125">
        <v>6939956</v>
      </c>
      <c r="H24" s="124">
        <f>_xlfn.COMPOUNDVALUE(316)</f>
        <v>66</v>
      </c>
      <c r="I24" s="126">
        <v>469616</v>
      </c>
      <c r="J24" s="124">
        <v>63</v>
      </c>
      <c r="K24" s="126">
        <v>11337</v>
      </c>
      <c r="L24" s="124">
        <v>1967</v>
      </c>
      <c r="M24" s="126">
        <v>6481678</v>
      </c>
      <c r="N24" s="82" t="s">
        <v>58</v>
      </c>
    </row>
    <row r="25" spans="1:14" ht="15.75" customHeight="1">
      <c r="A25" s="83" t="s">
        <v>147</v>
      </c>
      <c r="B25" s="127">
        <v>19075</v>
      </c>
      <c r="C25" s="128">
        <v>122607529</v>
      </c>
      <c r="D25" s="127">
        <v>9152</v>
      </c>
      <c r="E25" s="128">
        <v>5222247</v>
      </c>
      <c r="F25" s="127">
        <v>28227</v>
      </c>
      <c r="G25" s="128">
        <v>127829776</v>
      </c>
      <c r="H25" s="127">
        <v>1112</v>
      </c>
      <c r="I25" s="129">
        <v>10916851</v>
      </c>
      <c r="J25" s="127">
        <v>1566</v>
      </c>
      <c r="K25" s="129">
        <v>256342</v>
      </c>
      <c r="L25" s="127">
        <v>29480</v>
      </c>
      <c r="M25" s="129">
        <v>117169266</v>
      </c>
      <c r="N25" s="84" t="s">
        <v>60</v>
      </c>
    </row>
    <row r="26" spans="1:14" ht="15.75" customHeight="1">
      <c r="A26" s="85"/>
      <c r="B26" s="130"/>
      <c r="C26" s="131"/>
      <c r="D26" s="130"/>
      <c r="E26" s="131"/>
      <c r="F26" s="132"/>
      <c r="G26" s="131"/>
      <c r="H26" s="132"/>
      <c r="I26" s="131"/>
      <c r="J26" s="132"/>
      <c r="K26" s="131"/>
      <c r="L26" s="132"/>
      <c r="M26" s="131"/>
      <c r="N26" s="86"/>
    </row>
    <row r="27" spans="1:14" ht="15.75" customHeight="1">
      <c r="A27" s="78" t="s">
        <v>61</v>
      </c>
      <c r="B27" s="121">
        <f>_xlfn.COMPOUNDVALUE(317)</f>
        <v>3698</v>
      </c>
      <c r="C27" s="122">
        <v>34147771</v>
      </c>
      <c r="D27" s="121">
        <f>_xlfn.COMPOUNDVALUE(318)</f>
        <v>1752</v>
      </c>
      <c r="E27" s="122">
        <v>1009574</v>
      </c>
      <c r="F27" s="121">
        <f>_xlfn.COMPOUNDVALUE(319)</f>
        <v>5450</v>
      </c>
      <c r="G27" s="122">
        <v>35157345</v>
      </c>
      <c r="H27" s="121">
        <f>_xlfn.COMPOUNDVALUE(320)</f>
        <v>243</v>
      </c>
      <c r="I27" s="123">
        <v>1090149</v>
      </c>
      <c r="J27" s="121">
        <v>543</v>
      </c>
      <c r="K27" s="123">
        <v>166748</v>
      </c>
      <c r="L27" s="121">
        <v>5725</v>
      </c>
      <c r="M27" s="123">
        <v>34233944</v>
      </c>
      <c r="N27" s="87" t="s">
        <v>61</v>
      </c>
    </row>
    <row r="28" spans="1:14" ht="15.75" customHeight="1">
      <c r="A28" s="78" t="s">
        <v>62</v>
      </c>
      <c r="B28" s="121">
        <f>_xlfn.COMPOUNDVALUE(321)</f>
        <v>5392</v>
      </c>
      <c r="C28" s="122">
        <v>52004399</v>
      </c>
      <c r="D28" s="121">
        <f>_xlfn.COMPOUNDVALUE(322)</f>
        <v>2479</v>
      </c>
      <c r="E28" s="122">
        <v>1412764</v>
      </c>
      <c r="F28" s="121">
        <f>_xlfn.COMPOUNDVALUE(323)</f>
        <v>7871</v>
      </c>
      <c r="G28" s="122">
        <v>53417163</v>
      </c>
      <c r="H28" s="121">
        <f>_xlfn.COMPOUNDVALUE(324)</f>
        <v>328</v>
      </c>
      <c r="I28" s="123">
        <v>8066754</v>
      </c>
      <c r="J28" s="121">
        <v>425</v>
      </c>
      <c r="K28" s="123">
        <v>235086</v>
      </c>
      <c r="L28" s="121">
        <v>8250</v>
      </c>
      <c r="M28" s="123">
        <v>45585496</v>
      </c>
      <c r="N28" s="79" t="s">
        <v>62</v>
      </c>
    </row>
    <row r="29" spans="1:14" ht="15.75" customHeight="1">
      <c r="A29" s="81" t="s">
        <v>63</v>
      </c>
      <c r="B29" s="124">
        <f>_xlfn.COMPOUNDVALUE(325)</f>
        <v>1770</v>
      </c>
      <c r="C29" s="125">
        <v>10410758</v>
      </c>
      <c r="D29" s="124">
        <f>_xlfn.COMPOUNDVALUE(326)</f>
        <v>732</v>
      </c>
      <c r="E29" s="125">
        <v>406890</v>
      </c>
      <c r="F29" s="124">
        <f>_xlfn.COMPOUNDVALUE(327)</f>
        <v>2502</v>
      </c>
      <c r="G29" s="125">
        <v>10817648</v>
      </c>
      <c r="H29" s="124">
        <f>_xlfn.COMPOUNDVALUE(328)</f>
        <v>101</v>
      </c>
      <c r="I29" s="126">
        <v>2356385</v>
      </c>
      <c r="J29" s="124">
        <v>212</v>
      </c>
      <c r="K29" s="126">
        <v>14265</v>
      </c>
      <c r="L29" s="124">
        <v>2625</v>
      </c>
      <c r="M29" s="126">
        <v>8475528</v>
      </c>
      <c r="N29" s="82" t="s">
        <v>63</v>
      </c>
    </row>
    <row r="30" spans="1:14" ht="15.75" customHeight="1">
      <c r="A30" s="81" t="s">
        <v>64</v>
      </c>
      <c r="B30" s="124">
        <f>_xlfn.COMPOUNDVALUE(329)</f>
        <v>2448</v>
      </c>
      <c r="C30" s="125">
        <v>16277492</v>
      </c>
      <c r="D30" s="124">
        <f>_xlfn.COMPOUNDVALUE(330)</f>
        <v>931</v>
      </c>
      <c r="E30" s="125">
        <v>571713</v>
      </c>
      <c r="F30" s="124">
        <f>_xlfn.COMPOUNDVALUE(331)</f>
        <v>3379</v>
      </c>
      <c r="G30" s="125">
        <v>16849204</v>
      </c>
      <c r="H30" s="124">
        <f>_xlfn.COMPOUNDVALUE(332)</f>
        <v>262</v>
      </c>
      <c r="I30" s="126">
        <v>4806682</v>
      </c>
      <c r="J30" s="124">
        <v>213</v>
      </c>
      <c r="K30" s="126">
        <v>6538</v>
      </c>
      <c r="L30" s="124">
        <v>3657</v>
      </c>
      <c r="M30" s="126">
        <v>12049060</v>
      </c>
      <c r="N30" s="82" t="s">
        <v>64</v>
      </c>
    </row>
    <row r="31" spans="1:14" ht="15.75" customHeight="1">
      <c r="A31" s="81" t="s">
        <v>65</v>
      </c>
      <c r="B31" s="124">
        <f>_xlfn.COMPOUNDVALUE(333)</f>
        <v>877</v>
      </c>
      <c r="C31" s="125">
        <v>4002447</v>
      </c>
      <c r="D31" s="124">
        <f>_xlfn.COMPOUNDVALUE(334)</f>
        <v>363</v>
      </c>
      <c r="E31" s="125">
        <v>202723</v>
      </c>
      <c r="F31" s="124">
        <f>_xlfn.COMPOUNDVALUE(335)</f>
        <v>1240</v>
      </c>
      <c r="G31" s="125">
        <v>4205170</v>
      </c>
      <c r="H31" s="124">
        <f>_xlfn.COMPOUNDVALUE(336)</f>
        <v>41</v>
      </c>
      <c r="I31" s="126">
        <v>87928</v>
      </c>
      <c r="J31" s="124">
        <v>91</v>
      </c>
      <c r="K31" s="126">
        <v>19597</v>
      </c>
      <c r="L31" s="124">
        <v>1291</v>
      </c>
      <c r="M31" s="126">
        <v>4136840</v>
      </c>
      <c r="N31" s="82" t="s">
        <v>65</v>
      </c>
    </row>
    <row r="32" spans="1:14" ht="15.75" customHeight="1">
      <c r="A32" s="81" t="s">
        <v>66</v>
      </c>
      <c r="B32" s="124">
        <f>_xlfn.COMPOUNDVALUE(337)</f>
        <v>3977</v>
      </c>
      <c r="C32" s="125">
        <v>30013984</v>
      </c>
      <c r="D32" s="124">
        <f>_xlfn.COMPOUNDVALUE(338)</f>
        <v>1640</v>
      </c>
      <c r="E32" s="125">
        <v>975073</v>
      </c>
      <c r="F32" s="124">
        <f>_xlfn.COMPOUNDVALUE(339)</f>
        <v>5617</v>
      </c>
      <c r="G32" s="125">
        <v>30989057</v>
      </c>
      <c r="H32" s="124">
        <f>_xlfn.COMPOUNDVALUE(340)</f>
        <v>388</v>
      </c>
      <c r="I32" s="126">
        <v>2262756</v>
      </c>
      <c r="J32" s="124">
        <v>403</v>
      </c>
      <c r="K32" s="126">
        <v>-11728</v>
      </c>
      <c r="L32" s="124">
        <v>6044</v>
      </c>
      <c r="M32" s="126">
        <v>28714574</v>
      </c>
      <c r="N32" s="82" t="s">
        <v>66</v>
      </c>
    </row>
    <row r="33" spans="1:14" ht="15.75" customHeight="1">
      <c r="A33" s="81" t="s">
        <v>67</v>
      </c>
      <c r="B33" s="124">
        <f>_xlfn.COMPOUNDVALUE(341)</f>
        <v>616</v>
      </c>
      <c r="C33" s="125">
        <v>2752986</v>
      </c>
      <c r="D33" s="124">
        <f>_xlfn.COMPOUNDVALUE(342)</f>
        <v>279</v>
      </c>
      <c r="E33" s="125">
        <v>156633</v>
      </c>
      <c r="F33" s="124">
        <f>_xlfn.COMPOUNDVALUE(343)</f>
        <v>895</v>
      </c>
      <c r="G33" s="125">
        <v>2909619</v>
      </c>
      <c r="H33" s="124">
        <f>_xlfn.COMPOUNDVALUE(344)</f>
        <v>39</v>
      </c>
      <c r="I33" s="126">
        <v>129702</v>
      </c>
      <c r="J33" s="124">
        <v>80</v>
      </c>
      <c r="K33" s="126">
        <v>6933</v>
      </c>
      <c r="L33" s="124">
        <v>935</v>
      </c>
      <c r="M33" s="126">
        <v>2786850</v>
      </c>
      <c r="N33" s="82" t="s">
        <v>67</v>
      </c>
    </row>
    <row r="34" spans="1:14" ht="15.75" customHeight="1">
      <c r="A34" s="81" t="s">
        <v>68</v>
      </c>
      <c r="B34" s="124">
        <f>_xlfn.COMPOUNDVALUE(345)</f>
        <v>710</v>
      </c>
      <c r="C34" s="125">
        <v>3918689</v>
      </c>
      <c r="D34" s="124">
        <f>_xlfn.COMPOUNDVALUE(346)</f>
        <v>371</v>
      </c>
      <c r="E34" s="125">
        <v>213887</v>
      </c>
      <c r="F34" s="124">
        <f>_xlfn.COMPOUNDVALUE(347)</f>
        <v>1081</v>
      </c>
      <c r="G34" s="125">
        <v>4132576</v>
      </c>
      <c r="H34" s="124">
        <f>_xlfn.COMPOUNDVALUE(348)</f>
        <v>32</v>
      </c>
      <c r="I34" s="126">
        <v>83549</v>
      </c>
      <c r="J34" s="124">
        <v>51</v>
      </c>
      <c r="K34" s="126">
        <v>34423</v>
      </c>
      <c r="L34" s="124">
        <v>1113</v>
      </c>
      <c r="M34" s="126">
        <v>4083450</v>
      </c>
      <c r="N34" s="82" t="s">
        <v>68</v>
      </c>
    </row>
    <row r="35" spans="1:14" ht="15.75" customHeight="1">
      <c r="A35" s="81" t="s">
        <v>69</v>
      </c>
      <c r="B35" s="124">
        <f>_xlfn.COMPOUNDVALUE(349)</f>
        <v>707</v>
      </c>
      <c r="C35" s="125">
        <v>2971899</v>
      </c>
      <c r="D35" s="124">
        <f>_xlfn.COMPOUNDVALUE(350)</f>
        <v>294</v>
      </c>
      <c r="E35" s="125">
        <v>219050</v>
      </c>
      <c r="F35" s="124">
        <f>_xlfn.COMPOUNDVALUE(351)</f>
        <v>1001</v>
      </c>
      <c r="G35" s="125">
        <v>3190948</v>
      </c>
      <c r="H35" s="124">
        <f>_xlfn.COMPOUNDVALUE(352)</f>
        <v>32</v>
      </c>
      <c r="I35" s="126">
        <v>85490</v>
      </c>
      <c r="J35" s="124">
        <v>57</v>
      </c>
      <c r="K35" s="126">
        <v>10177</v>
      </c>
      <c r="L35" s="124">
        <v>1035</v>
      </c>
      <c r="M35" s="126">
        <v>3115636</v>
      </c>
      <c r="N35" s="82" t="s">
        <v>69</v>
      </c>
    </row>
    <row r="36" spans="1:14" ht="15.75" customHeight="1">
      <c r="A36" s="83" t="s">
        <v>148</v>
      </c>
      <c r="B36" s="127">
        <v>20195</v>
      </c>
      <c r="C36" s="128">
        <v>156500425</v>
      </c>
      <c r="D36" s="127">
        <v>8841</v>
      </c>
      <c r="E36" s="128">
        <v>5168305</v>
      </c>
      <c r="F36" s="127">
        <v>29036</v>
      </c>
      <c r="G36" s="128">
        <v>161668730</v>
      </c>
      <c r="H36" s="127">
        <v>1466</v>
      </c>
      <c r="I36" s="129">
        <v>18969395</v>
      </c>
      <c r="J36" s="127">
        <v>2075</v>
      </c>
      <c r="K36" s="129">
        <v>482041</v>
      </c>
      <c r="L36" s="127">
        <v>30675</v>
      </c>
      <c r="M36" s="129">
        <v>143181377</v>
      </c>
      <c r="N36" s="84" t="s">
        <v>71</v>
      </c>
    </row>
    <row r="37" spans="1:14" ht="15.75" customHeight="1">
      <c r="A37" s="85"/>
      <c r="B37" s="130"/>
      <c r="C37" s="131"/>
      <c r="D37" s="130"/>
      <c r="E37" s="131"/>
      <c r="F37" s="132"/>
      <c r="G37" s="131"/>
      <c r="H37" s="132"/>
      <c r="I37" s="131"/>
      <c r="J37" s="132"/>
      <c r="K37" s="131"/>
      <c r="L37" s="132"/>
      <c r="M37" s="131"/>
      <c r="N37" s="86"/>
    </row>
    <row r="38" spans="1:14" ht="15.75" customHeight="1">
      <c r="A38" s="78" t="s">
        <v>72</v>
      </c>
      <c r="B38" s="121">
        <f>_xlfn.COMPOUNDVALUE(353)</f>
        <v>6469</v>
      </c>
      <c r="C38" s="122">
        <v>41111419</v>
      </c>
      <c r="D38" s="121">
        <f>_xlfn.COMPOUNDVALUE(354)</f>
        <v>3258</v>
      </c>
      <c r="E38" s="122">
        <v>1944225</v>
      </c>
      <c r="F38" s="121">
        <f>_xlfn.COMPOUNDVALUE(355)</f>
        <v>9727</v>
      </c>
      <c r="G38" s="122">
        <v>43055645</v>
      </c>
      <c r="H38" s="121">
        <f>_xlfn.COMPOUNDVALUE(356)</f>
        <v>539</v>
      </c>
      <c r="I38" s="123">
        <v>2888016</v>
      </c>
      <c r="J38" s="121">
        <v>464</v>
      </c>
      <c r="K38" s="123">
        <v>57609</v>
      </c>
      <c r="L38" s="121">
        <v>10312</v>
      </c>
      <c r="M38" s="123">
        <v>40225238</v>
      </c>
      <c r="N38" s="87" t="s">
        <v>72</v>
      </c>
    </row>
    <row r="39" spans="1:14" ht="15.75" customHeight="1">
      <c r="A39" s="78" t="s">
        <v>73</v>
      </c>
      <c r="B39" s="121">
        <f>_xlfn.COMPOUNDVALUE(357)</f>
        <v>3152</v>
      </c>
      <c r="C39" s="122">
        <v>19529152</v>
      </c>
      <c r="D39" s="121">
        <f>_xlfn.COMPOUNDVALUE(358)</f>
        <v>1304</v>
      </c>
      <c r="E39" s="122">
        <v>741034</v>
      </c>
      <c r="F39" s="121">
        <f>_xlfn.COMPOUNDVALUE(359)</f>
        <v>4456</v>
      </c>
      <c r="G39" s="122">
        <v>20270186</v>
      </c>
      <c r="H39" s="121">
        <f>_xlfn.COMPOUNDVALUE(360)</f>
        <v>213</v>
      </c>
      <c r="I39" s="123">
        <v>607894</v>
      </c>
      <c r="J39" s="121">
        <v>255</v>
      </c>
      <c r="K39" s="123">
        <v>157163</v>
      </c>
      <c r="L39" s="121">
        <v>4721</v>
      </c>
      <c r="M39" s="123">
        <v>19819455</v>
      </c>
      <c r="N39" s="79" t="s">
        <v>73</v>
      </c>
    </row>
    <row r="40" spans="1:14" ht="15.75" customHeight="1">
      <c r="A40" s="78" t="s">
        <v>74</v>
      </c>
      <c r="B40" s="121">
        <f>_xlfn.COMPOUNDVALUE(361)</f>
        <v>7388</v>
      </c>
      <c r="C40" s="122">
        <v>35606355</v>
      </c>
      <c r="D40" s="121">
        <f>_xlfn.COMPOUNDVALUE(362)</f>
        <v>3602</v>
      </c>
      <c r="E40" s="122">
        <v>2154921</v>
      </c>
      <c r="F40" s="121">
        <f>_xlfn.COMPOUNDVALUE(363)</f>
        <v>10990</v>
      </c>
      <c r="G40" s="122">
        <v>37761275</v>
      </c>
      <c r="H40" s="121">
        <f>_xlfn.COMPOUNDVALUE(364)</f>
        <v>659</v>
      </c>
      <c r="I40" s="123">
        <v>2548878</v>
      </c>
      <c r="J40" s="121">
        <v>686</v>
      </c>
      <c r="K40" s="123">
        <v>131867</v>
      </c>
      <c r="L40" s="121">
        <v>11731</v>
      </c>
      <c r="M40" s="123">
        <v>35344265</v>
      </c>
      <c r="N40" s="79" t="s">
        <v>74</v>
      </c>
    </row>
    <row r="41" spans="1:14" ht="15.75" customHeight="1">
      <c r="A41" s="78" t="s">
        <v>75</v>
      </c>
      <c r="B41" s="121">
        <f>_xlfn.COMPOUNDVALUE(365)</f>
        <v>3895</v>
      </c>
      <c r="C41" s="122">
        <v>23741403</v>
      </c>
      <c r="D41" s="121">
        <f>_xlfn.COMPOUNDVALUE(366)</f>
        <v>1911</v>
      </c>
      <c r="E41" s="122">
        <v>1257433</v>
      </c>
      <c r="F41" s="121">
        <f>_xlfn.COMPOUNDVALUE(367)</f>
        <v>5806</v>
      </c>
      <c r="G41" s="122">
        <v>24998835</v>
      </c>
      <c r="H41" s="121">
        <f>_xlfn.COMPOUNDVALUE(368)</f>
        <v>546</v>
      </c>
      <c r="I41" s="123">
        <v>2134080</v>
      </c>
      <c r="J41" s="121">
        <v>397</v>
      </c>
      <c r="K41" s="123">
        <v>9783</v>
      </c>
      <c r="L41" s="121">
        <v>6421</v>
      </c>
      <c r="M41" s="123">
        <v>22874539</v>
      </c>
      <c r="N41" s="79" t="s">
        <v>75</v>
      </c>
    </row>
    <row r="42" spans="1:14" ht="15.75" customHeight="1">
      <c r="A42" s="78" t="s">
        <v>76</v>
      </c>
      <c r="B42" s="121">
        <f>_xlfn.COMPOUNDVALUE(369)</f>
        <v>5118</v>
      </c>
      <c r="C42" s="122">
        <v>46770447</v>
      </c>
      <c r="D42" s="121">
        <f>_xlfn.COMPOUNDVALUE(370)</f>
        <v>2409</v>
      </c>
      <c r="E42" s="122">
        <v>1517944</v>
      </c>
      <c r="F42" s="121">
        <f>_xlfn.COMPOUNDVALUE(371)</f>
        <v>7527</v>
      </c>
      <c r="G42" s="122">
        <v>48288391</v>
      </c>
      <c r="H42" s="121">
        <f>_xlfn.COMPOUNDVALUE(372)</f>
        <v>567</v>
      </c>
      <c r="I42" s="123">
        <v>4108060</v>
      </c>
      <c r="J42" s="121">
        <v>527</v>
      </c>
      <c r="K42" s="123">
        <v>16057</v>
      </c>
      <c r="L42" s="121">
        <v>8158</v>
      </c>
      <c r="M42" s="123">
        <v>44196387</v>
      </c>
      <c r="N42" s="79" t="s">
        <v>76</v>
      </c>
    </row>
    <row r="43" spans="1:14" ht="15.75" customHeight="1">
      <c r="A43" s="78" t="s">
        <v>77</v>
      </c>
      <c r="B43" s="121">
        <f>_xlfn.COMPOUNDVALUE(373)</f>
        <v>4761</v>
      </c>
      <c r="C43" s="122">
        <v>48011367</v>
      </c>
      <c r="D43" s="121">
        <f>_xlfn.COMPOUNDVALUE(374)</f>
        <v>1968</v>
      </c>
      <c r="E43" s="122">
        <v>1219278</v>
      </c>
      <c r="F43" s="121">
        <f>_xlfn.COMPOUNDVALUE(375)</f>
        <v>6729</v>
      </c>
      <c r="G43" s="122">
        <v>49230645</v>
      </c>
      <c r="H43" s="121">
        <f>_xlfn.COMPOUNDVALUE(376)</f>
        <v>489</v>
      </c>
      <c r="I43" s="123">
        <v>3285902</v>
      </c>
      <c r="J43" s="121">
        <v>433</v>
      </c>
      <c r="K43" s="123">
        <v>160231</v>
      </c>
      <c r="L43" s="121">
        <v>7300</v>
      </c>
      <c r="M43" s="123">
        <v>46104974</v>
      </c>
      <c r="N43" s="79" t="s">
        <v>77</v>
      </c>
    </row>
    <row r="44" spans="1:14" ht="15.75" customHeight="1">
      <c r="A44" s="78" t="s">
        <v>78</v>
      </c>
      <c r="B44" s="121">
        <f>_xlfn.COMPOUNDVALUE(377)</f>
        <v>2020</v>
      </c>
      <c r="C44" s="122">
        <v>12447112</v>
      </c>
      <c r="D44" s="121">
        <f>_xlfn.COMPOUNDVALUE(378)</f>
        <v>868</v>
      </c>
      <c r="E44" s="122">
        <v>459569</v>
      </c>
      <c r="F44" s="121">
        <f>_xlfn.COMPOUNDVALUE(379)</f>
        <v>2888</v>
      </c>
      <c r="G44" s="122">
        <v>12906681</v>
      </c>
      <c r="H44" s="121">
        <f>_xlfn.COMPOUNDVALUE(380)</f>
        <v>194</v>
      </c>
      <c r="I44" s="123">
        <v>1967160</v>
      </c>
      <c r="J44" s="121">
        <v>120</v>
      </c>
      <c r="K44" s="123">
        <v>3091</v>
      </c>
      <c r="L44" s="121">
        <v>3092</v>
      </c>
      <c r="M44" s="123">
        <v>10942611</v>
      </c>
      <c r="N44" s="79" t="s">
        <v>78</v>
      </c>
    </row>
    <row r="45" spans="1:14" ht="15.75" customHeight="1">
      <c r="A45" s="78" t="s">
        <v>79</v>
      </c>
      <c r="B45" s="121">
        <f>_xlfn.COMPOUNDVALUE(381)</f>
        <v>960</v>
      </c>
      <c r="C45" s="122">
        <v>5687992</v>
      </c>
      <c r="D45" s="121">
        <f>_xlfn.COMPOUNDVALUE(382)</f>
        <v>481</v>
      </c>
      <c r="E45" s="122">
        <v>280940</v>
      </c>
      <c r="F45" s="121">
        <f>_xlfn.COMPOUNDVALUE(383)</f>
        <v>1441</v>
      </c>
      <c r="G45" s="122">
        <v>5968932</v>
      </c>
      <c r="H45" s="121">
        <f>_xlfn.COMPOUNDVALUE(384)</f>
        <v>53</v>
      </c>
      <c r="I45" s="123">
        <v>126785</v>
      </c>
      <c r="J45" s="121">
        <v>110</v>
      </c>
      <c r="K45" s="123">
        <v>14934</v>
      </c>
      <c r="L45" s="121">
        <v>1499</v>
      </c>
      <c r="M45" s="123">
        <v>5857081</v>
      </c>
      <c r="N45" s="79" t="s">
        <v>79</v>
      </c>
    </row>
    <row r="46" spans="1:14" ht="15.75" customHeight="1">
      <c r="A46" s="81" t="s">
        <v>80</v>
      </c>
      <c r="B46" s="124">
        <f>_xlfn.COMPOUNDVALUE(385)</f>
        <v>5227</v>
      </c>
      <c r="C46" s="125">
        <v>27619792</v>
      </c>
      <c r="D46" s="124">
        <f>_xlfn.COMPOUNDVALUE(386)</f>
        <v>2615</v>
      </c>
      <c r="E46" s="125">
        <v>1537310</v>
      </c>
      <c r="F46" s="124">
        <f>_xlfn.COMPOUNDVALUE(387)</f>
        <v>7842</v>
      </c>
      <c r="G46" s="125">
        <v>29157102</v>
      </c>
      <c r="H46" s="124">
        <f>_xlfn.COMPOUNDVALUE(388)</f>
        <v>434</v>
      </c>
      <c r="I46" s="126">
        <v>1960811</v>
      </c>
      <c r="J46" s="124">
        <v>478</v>
      </c>
      <c r="K46" s="126">
        <v>31516</v>
      </c>
      <c r="L46" s="124">
        <v>8335</v>
      </c>
      <c r="M46" s="126">
        <v>27227808</v>
      </c>
      <c r="N46" s="82" t="s">
        <v>80</v>
      </c>
    </row>
    <row r="47" spans="1:14" ht="15.75" customHeight="1">
      <c r="A47" s="81" t="s">
        <v>81</v>
      </c>
      <c r="B47" s="124">
        <f>_xlfn.COMPOUNDVALUE(389)</f>
        <v>1091</v>
      </c>
      <c r="C47" s="125">
        <v>11518326</v>
      </c>
      <c r="D47" s="124">
        <f>_xlfn.COMPOUNDVALUE(390)</f>
        <v>437</v>
      </c>
      <c r="E47" s="125">
        <v>260849</v>
      </c>
      <c r="F47" s="124">
        <f>_xlfn.COMPOUNDVALUE(391)</f>
        <v>1528</v>
      </c>
      <c r="G47" s="125">
        <v>11779174</v>
      </c>
      <c r="H47" s="124">
        <f>_xlfn.COMPOUNDVALUE(392)</f>
        <v>91</v>
      </c>
      <c r="I47" s="126">
        <v>881780</v>
      </c>
      <c r="J47" s="124">
        <v>168</v>
      </c>
      <c r="K47" s="126">
        <v>42309</v>
      </c>
      <c r="L47" s="124">
        <v>1645</v>
      </c>
      <c r="M47" s="126">
        <v>10939703</v>
      </c>
      <c r="N47" s="82" t="s">
        <v>81</v>
      </c>
    </row>
    <row r="48" spans="1:14" ht="15.75" customHeight="1">
      <c r="A48" s="81" t="s">
        <v>82</v>
      </c>
      <c r="B48" s="124">
        <f>_xlfn.COMPOUNDVALUE(393)</f>
        <v>1777</v>
      </c>
      <c r="C48" s="125">
        <v>10630231</v>
      </c>
      <c r="D48" s="124">
        <f>_xlfn.COMPOUNDVALUE(394)</f>
        <v>814</v>
      </c>
      <c r="E48" s="125">
        <v>454234</v>
      </c>
      <c r="F48" s="124">
        <f>_xlfn.COMPOUNDVALUE(395)</f>
        <v>2591</v>
      </c>
      <c r="G48" s="125">
        <v>11084465</v>
      </c>
      <c r="H48" s="124">
        <f>_xlfn.COMPOUNDVALUE(396)</f>
        <v>136</v>
      </c>
      <c r="I48" s="126">
        <v>927399</v>
      </c>
      <c r="J48" s="124">
        <v>228</v>
      </c>
      <c r="K48" s="126">
        <v>29406</v>
      </c>
      <c r="L48" s="124">
        <v>2746</v>
      </c>
      <c r="M48" s="126">
        <v>10186472</v>
      </c>
      <c r="N48" s="82" t="s">
        <v>82</v>
      </c>
    </row>
    <row r="49" spans="1:14" ht="15.75" customHeight="1">
      <c r="A49" s="81" t="s">
        <v>83</v>
      </c>
      <c r="B49" s="124">
        <f>_xlfn.COMPOUNDVALUE(397)</f>
        <v>5419</v>
      </c>
      <c r="C49" s="125">
        <v>27420670</v>
      </c>
      <c r="D49" s="124">
        <f>_xlfn.COMPOUNDVALUE(398)</f>
        <v>2469</v>
      </c>
      <c r="E49" s="125">
        <v>1448924</v>
      </c>
      <c r="F49" s="124">
        <f>_xlfn.COMPOUNDVALUE(399)</f>
        <v>7888</v>
      </c>
      <c r="G49" s="125">
        <v>28869594</v>
      </c>
      <c r="H49" s="124">
        <f>_xlfn.COMPOUNDVALUE(400)</f>
        <v>626</v>
      </c>
      <c r="I49" s="126">
        <v>3972115</v>
      </c>
      <c r="J49" s="124">
        <v>381</v>
      </c>
      <c r="K49" s="126">
        <v>157779</v>
      </c>
      <c r="L49" s="124">
        <v>8578</v>
      </c>
      <c r="M49" s="126">
        <v>25055257</v>
      </c>
      <c r="N49" s="82" t="s">
        <v>83</v>
      </c>
    </row>
    <row r="50" spans="1:14" ht="15.75" customHeight="1">
      <c r="A50" s="81" t="s">
        <v>84</v>
      </c>
      <c r="B50" s="124">
        <f>_xlfn.COMPOUNDVALUE(401)</f>
        <v>3415</v>
      </c>
      <c r="C50" s="125">
        <v>24430397</v>
      </c>
      <c r="D50" s="124">
        <f>_xlfn.COMPOUNDVALUE(402)</f>
        <v>1783</v>
      </c>
      <c r="E50" s="125">
        <v>1036236</v>
      </c>
      <c r="F50" s="124">
        <f>_xlfn.COMPOUNDVALUE(403)</f>
        <v>5198</v>
      </c>
      <c r="G50" s="125">
        <v>25466633</v>
      </c>
      <c r="H50" s="124">
        <f>_xlfn.COMPOUNDVALUE(404)</f>
        <v>265</v>
      </c>
      <c r="I50" s="126">
        <v>1062932</v>
      </c>
      <c r="J50" s="124">
        <v>324</v>
      </c>
      <c r="K50" s="126">
        <v>68695</v>
      </c>
      <c r="L50" s="124">
        <v>5480</v>
      </c>
      <c r="M50" s="126">
        <v>24472395</v>
      </c>
      <c r="N50" s="82" t="s">
        <v>84</v>
      </c>
    </row>
    <row r="51" spans="1:14" ht="15.75" customHeight="1">
      <c r="A51" s="81" t="s">
        <v>85</v>
      </c>
      <c r="B51" s="124">
        <f>_xlfn.COMPOUNDVALUE(405)</f>
        <v>6550</v>
      </c>
      <c r="C51" s="125">
        <v>35740380</v>
      </c>
      <c r="D51" s="124">
        <f>_xlfn.COMPOUNDVALUE(406)</f>
        <v>3004</v>
      </c>
      <c r="E51" s="125">
        <v>1806755</v>
      </c>
      <c r="F51" s="124">
        <f>_xlfn.COMPOUNDVALUE(407)</f>
        <v>9554</v>
      </c>
      <c r="G51" s="125">
        <v>37547136</v>
      </c>
      <c r="H51" s="124">
        <f>_xlfn.COMPOUNDVALUE(408)</f>
        <v>571</v>
      </c>
      <c r="I51" s="126">
        <v>2163359</v>
      </c>
      <c r="J51" s="124">
        <v>494</v>
      </c>
      <c r="K51" s="126">
        <v>140509</v>
      </c>
      <c r="L51" s="124">
        <v>10185</v>
      </c>
      <c r="M51" s="126">
        <v>35524286</v>
      </c>
      <c r="N51" s="82" t="s">
        <v>85</v>
      </c>
    </row>
    <row r="52" spans="1:14" ht="15.75" customHeight="1">
      <c r="A52" s="81" t="s">
        <v>86</v>
      </c>
      <c r="B52" s="124">
        <f>_xlfn.COMPOUNDVALUE(409)</f>
        <v>3666</v>
      </c>
      <c r="C52" s="125">
        <v>40015299</v>
      </c>
      <c r="D52" s="124">
        <f>_xlfn.COMPOUNDVALUE(410)</f>
        <v>1876</v>
      </c>
      <c r="E52" s="125">
        <v>1128178</v>
      </c>
      <c r="F52" s="124">
        <f>_xlfn.COMPOUNDVALUE(411)</f>
        <v>5542</v>
      </c>
      <c r="G52" s="125">
        <v>41143477</v>
      </c>
      <c r="H52" s="124">
        <f>_xlfn.COMPOUNDVALUE(412)</f>
        <v>326</v>
      </c>
      <c r="I52" s="126">
        <v>3670052</v>
      </c>
      <c r="J52" s="124">
        <v>328</v>
      </c>
      <c r="K52" s="126">
        <v>123064</v>
      </c>
      <c r="L52" s="124">
        <v>5912</v>
      </c>
      <c r="M52" s="126">
        <v>37596489</v>
      </c>
      <c r="N52" s="82" t="s">
        <v>86</v>
      </c>
    </row>
    <row r="53" spans="1:14" ht="15.75" customHeight="1">
      <c r="A53" s="83" t="s">
        <v>149</v>
      </c>
      <c r="B53" s="127">
        <v>60908</v>
      </c>
      <c r="C53" s="128">
        <v>410280342</v>
      </c>
      <c r="D53" s="127">
        <v>28799</v>
      </c>
      <c r="E53" s="128">
        <v>17247828</v>
      </c>
      <c r="F53" s="127">
        <v>89707</v>
      </c>
      <c r="G53" s="128">
        <v>427528170</v>
      </c>
      <c r="H53" s="127">
        <v>5709</v>
      </c>
      <c r="I53" s="129">
        <v>32305223</v>
      </c>
      <c r="J53" s="127">
        <v>5393</v>
      </c>
      <c r="K53" s="129">
        <v>1144013</v>
      </c>
      <c r="L53" s="127">
        <v>96115</v>
      </c>
      <c r="M53" s="129">
        <v>396366960</v>
      </c>
      <c r="N53" s="84" t="s">
        <v>88</v>
      </c>
    </row>
    <row r="54" spans="1:14" ht="15.75" customHeight="1">
      <c r="A54" s="85"/>
      <c r="B54" s="130"/>
      <c r="C54" s="131"/>
      <c r="D54" s="130"/>
      <c r="E54" s="131"/>
      <c r="F54" s="132"/>
      <c r="G54" s="131"/>
      <c r="H54" s="132"/>
      <c r="I54" s="131"/>
      <c r="J54" s="132"/>
      <c r="K54" s="131"/>
      <c r="L54" s="132"/>
      <c r="M54" s="131"/>
      <c r="N54" s="86"/>
    </row>
    <row r="55" spans="1:14" ht="15.75" customHeight="1">
      <c r="A55" s="78" t="s">
        <v>89</v>
      </c>
      <c r="B55" s="121">
        <f>_xlfn.COMPOUNDVALUE(413)</f>
        <v>6480</v>
      </c>
      <c r="C55" s="122">
        <v>69887923</v>
      </c>
      <c r="D55" s="121">
        <f>_xlfn.COMPOUNDVALUE(414)</f>
        <v>2353</v>
      </c>
      <c r="E55" s="122">
        <v>1415983</v>
      </c>
      <c r="F55" s="121">
        <f>_xlfn.COMPOUNDVALUE(415)</f>
        <v>8833</v>
      </c>
      <c r="G55" s="122">
        <v>71303906</v>
      </c>
      <c r="H55" s="121">
        <f>_xlfn.COMPOUNDVALUE(416)</f>
        <v>479</v>
      </c>
      <c r="I55" s="123">
        <v>3392208</v>
      </c>
      <c r="J55" s="121">
        <v>602</v>
      </c>
      <c r="K55" s="123">
        <v>181771</v>
      </c>
      <c r="L55" s="121">
        <v>9365</v>
      </c>
      <c r="M55" s="123">
        <v>68093469</v>
      </c>
      <c r="N55" s="87" t="s">
        <v>89</v>
      </c>
    </row>
    <row r="56" spans="1:14" ht="15.75" customHeight="1">
      <c r="A56" s="78" t="s">
        <v>90</v>
      </c>
      <c r="B56" s="121">
        <f>_xlfn.COMPOUNDVALUE(417)</f>
        <v>958</v>
      </c>
      <c r="C56" s="122">
        <v>4604011</v>
      </c>
      <c r="D56" s="121">
        <f>_xlfn.COMPOUNDVALUE(418)</f>
        <v>412</v>
      </c>
      <c r="E56" s="122">
        <v>230540</v>
      </c>
      <c r="F56" s="121">
        <f>_xlfn.COMPOUNDVALUE(419)</f>
        <v>1370</v>
      </c>
      <c r="G56" s="122">
        <v>4834552</v>
      </c>
      <c r="H56" s="121">
        <f>_xlfn.COMPOUNDVALUE(420)</f>
        <v>27</v>
      </c>
      <c r="I56" s="123">
        <v>44099</v>
      </c>
      <c r="J56" s="121">
        <v>111</v>
      </c>
      <c r="K56" s="123">
        <v>8822</v>
      </c>
      <c r="L56" s="121">
        <v>1407</v>
      </c>
      <c r="M56" s="123">
        <v>4799274</v>
      </c>
      <c r="N56" s="79" t="s">
        <v>90</v>
      </c>
    </row>
    <row r="57" spans="1:14" ht="15.75" customHeight="1">
      <c r="A57" s="78" t="s">
        <v>91</v>
      </c>
      <c r="B57" s="121">
        <f>_xlfn.COMPOUNDVALUE(421)</f>
        <v>1763</v>
      </c>
      <c r="C57" s="122">
        <v>11101508</v>
      </c>
      <c r="D57" s="121">
        <f>_xlfn.COMPOUNDVALUE(422)</f>
        <v>657</v>
      </c>
      <c r="E57" s="122">
        <v>366564</v>
      </c>
      <c r="F57" s="121">
        <f>_xlfn.COMPOUNDVALUE(423)</f>
        <v>2420</v>
      </c>
      <c r="G57" s="122">
        <v>11468072</v>
      </c>
      <c r="H57" s="121">
        <f>_xlfn.COMPOUNDVALUE(424)</f>
        <v>91</v>
      </c>
      <c r="I57" s="123">
        <v>451672</v>
      </c>
      <c r="J57" s="121">
        <v>137</v>
      </c>
      <c r="K57" s="123">
        <v>18741</v>
      </c>
      <c r="L57" s="121">
        <v>2520</v>
      </c>
      <c r="M57" s="123">
        <v>11035141</v>
      </c>
      <c r="N57" s="79" t="s">
        <v>91</v>
      </c>
    </row>
    <row r="58" spans="1:14" ht="15.75" customHeight="1">
      <c r="A58" s="78" t="s">
        <v>92</v>
      </c>
      <c r="B58" s="121">
        <f>_xlfn.COMPOUNDVALUE(425)</f>
        <v>2860</v>
      </c>
      <c r="C58" s="122">
        <v>21105241</v>
      </c>
      <c r="D58" s="121">
        <f>_xlfn.COMPOUNDVALUE(426)</f>
        <v>1334</v>
      </c>
      <c r="E58" s="122">
        <v>752115</v>
      </c>
      <c r="F58" s="121">
        <f>_xlfn.COMPOUNDVALUE(427)</f>
        <v>4194</v>
      </c>
      <c r="G58" s="122">
        <v>21857356</v>
      </c>
      <c r="H58" s="121">
        <f>_xlfn.COMPOUNDVALUE(428)</f>
        <v>145</v>
      </c>
      <c r="I58" s="123">
        <v>3229344</v>
      </c>
      <c r="J58" s="121">
        <v>349</v>
      </c>
      <c r="K58" s="123">
        <v>36985</v>
      </c>
      <c r="L58" s="121">
        <v>4352</v>
      </c>
      <c r="M58" s="123">
        <v>18664997</v>
      </c>
      <c r="N58" s="79" t="s">
        <v>92</v>
      </c>
    </row>
    <row r="59" spans="1:14" ht="15.75" customHeight="1">
      <c r="A59" s="78" t="s">
        <v>93</v>
      </c>
      <c r="B59" s="121">
        <f>_xlfn.COMPOUNDVALUE(429)</f>
        <v>2071</v>
      </c>
      <c r="C59" s="122">
        <v>16200116</v>
      </c>
      <c r="D59" s="121">
        <f>_xlfn.COMPOUNDVALUE(430)</f>
        <v>773</v>
      </c>
      <c r="E59" s="122">
        <v>406070</v>
      </c>
      <c r="F59" s="121">
        <f>_xlfn.COMPOUNDVALUE(431)</f>
        <v>2844</v>
      </c>
      <c r="G59" s="122">
        <v>16606186</v>
      </c>
      <c r="H59" s="121">
        <f>_xlfn.COMPOUNDVALUE(432)</f>
        <v>101</v>
      </c>
      <c r="I59" s="123">
        <v>4490961</v>
      </c>
      <c r="J59" s="121">
        <v>142</v>
      </c>
      <c r="K59" s="123">
        <v>11458</v>
      </c>
      <c r="L59" s="121">
        <v>2950</v>
      </c>
      <c r="M59" s="123">
        <v>12126682</v>
      </c>
      <c r="N59" s="79" t="s">
        <v>93</v>
      </c>
    </row>
    <row r="60" spans="1:14" ht="15.75" customHeight="1">
      <c r="A60" s="78" t="s">
        <v>94</v>
      </c>
      <c r="B60" s="121">
        <f>_xlfn.COMPOUNDVALUE(433)</f>
        <v>779</v>
      </c>
      <c r="C60" s="122">
        <v>6814590</v>
      </c>
      <c r="D60" s="121">
        <f>_xlfn.COMPOUNDVALUE(434)</f>
        <v>347</v>
      </c>
      <c r="E60" s="122">
        <v>193801</v>
      </c>
      <c r="F60" s="121">
        <f>_xlfn.COMPOUNDVALUE(435)</f>
        <v>1126</v>
      </c>
      <c r="G60" s="122">
        <v>7008391</v>
      </c>
      <c r="H60" s="121">
        <f>_xlfn.COMPOUNDVALUE(436)</f>
        <v>40</v>
      </c>
      <c r="I60" s="123">
        <v>52368</v>
      </c>
      <c r="J60" s="121">
        <v>78</v>
      </c>
      <c r="K60" s="123">
        <v>410</v>
      </c>
      <c r="L60" s="121">
        <v>1173</v>
      </c>
      <c r="M60" s="123">
        <v>6956434</v>
      </c>
      <c r="N60" s="79" t="s">
        <v>94</v>
      </c>
    </row>
    <row r="61" spans="1:14" ht="15.75" customHeight="1">
      <c r="A61" s="81" t="s">
        <v>95</v>
      </c>
      <c r="B61" s="124">
        <f>_xlfn.COMPOUNDVALUE(437)</f>
        <v>1432</v>
      </c>
      <c r="C61" s="125">
        <v>9648179</v>
      </c>
      <c r="D61" s="124">
        <f>_xlfn.COMPOUNDVALUE(438)</f>
        <v>555</v>
      </c>
      <c r="E61" s="125">
        <v>335435</v>
      </c>
      <c r="F61" s="124">
        <f>_xlfn.COMPOUNDVALUE(439)</f>
        <v>1987</v>
      </c>
      <c r="G61" s="125">
        <v>9983614</v>
      </c>
      <c r="H61" s="124">
        <f>_xlfn.COMPOUNDVALUE(440)</f>
        <v>134</v>
      </c>
      <c r="I61" s="126">
        <v>716469</v>
      </c>
      <c r="J61" s="124">
        <v>129</v>
      </c>
      <c r="K61" s="126">
        <v>-8385</v>
      </c>
      <c r="L61" s="124">
        <v>2141</v>
      </c>
      <c r="M61" s="126">
        <v>9258759</v>
      </c>
      <c r="N61" s="82" t="s">
        <v>95</v>
      </c>
    </row>
    <row r="62" spans="1:14" ht="15.75" customHeight="1">
      <c r="A62" s="81" t="s">
        <v>96</v>
      </c>
      <c r="B62" s="124">
        <f>_xlfn.COMPOUNDVALUE(441)</f>
        <v>1655</v>
      </c>
      <c r="C62" s="125">
        <v>8766941</v>
      </c>
      <c r="D62" s="124">
        <f>_xlfn.COMPOUNDVALUE(442)</f>
        <v>627</v>
      </c>
      <c r="E62" s="125">
        <v>339896</v>
      </c>
      <c r="F62" s="124">
        <f>_xlfn.COMPOUNDVALUE(443)</f>
        <v>2282</v>
      </c>
      <c r="G62" s="125">
        <v>9106837</v>
      </c>
      <c r="H62" s="124">
        <f>_xlfn.COMPOUNDVALUE(444)</f>
        <v>77</v>
      </c>
      <c r="I62" s="126">
        <v>1475396</v>
      </c>
      <c r="J62" s="124">
        <v>165</v>
      </c>
      <c r="K62" s="126">
        <v>4110</v>
      </c>
      <c r="L62" s="124">
        <v>2371</v>
      </c>
      <c r="M62" s="126">
        <v>7635550</v>
      </c>
      <c r="N62" s="82" t="s">
        <v>96</v>
      </c>
    </row>
    <row r="63" spans="1:14" ht="15.75" customHeight="1">
      <c r="A63" s="81" t="s">
        <v>97</v>
      </c>
      <c r="B63" s="124">
        <f>_xlfn.COMPOUNDVALUE(445)</f>
        <v>701</v>
      </c>
      <c r="C63" s="125">
        <v>3497298</v>
      </c>
      <c r="D63" s="124">
        <f>_xlfn.COMPOUNDVALUE(446)</f>
        <v>278</v>
      </c>
      <c r="E63" s="125">
        <v>156879</v>
      </c>
      <c r="F63" s="124">
        <f>_xlfn.COMPOUNDVALUE(447)</f>
        <v>979</v>
      </c>
      <c r="G63" s="125">
        <v>3654177</v>
      </c>
      <c r="H63" s="124">
        <f>_xlfn.COMPOUNDVALUE(448)</f>
        <v>33</v>
      </c>
      <c r="I63" s="126">
        <v>261080</v>
      </c>
      <c r="J63" s="124">
        <v>90</v>
      </c>
      <c r="K63" s="126">
        <v>8243</v>
      </c>
      <c r="L63" s="124">
        <v>1015</v>
      </c>
      <c r="M63" s="126">
        <v>3401340</v>
      </c>
      <c r="N63" s="82" t="s">
        <v>97</v>
      </c>
    </row>
    <row r="64" spans="1:14" ht="15.75" customHeight="1">
      <c r="A64" s="81" t="s">
        <v>98</v>
      </c>
      <c r="B64" s="124">
        <f>_xlfn.COMPOUNDVALUE(449)</f>
        <v>583</v>
      </c>
      <c r="C64" s="125">
        <v>2819781</v>
      </c>
      <c r="D64" s="124">
        <f>_xlfn.COMPOUNDVALUE(450)</f>
        <v>220</v>
      </c>
      <c r="E64" s="125">
        <v>132555</v>
      </c>
      <c r="F64" s="124">
        <f>_xlfn.COMPOUNDVALUE(451)</f>
        <v>803</v>
      </c>
      <c r="G64" s="125">
        <v>2952336</v>
      </c>
      <c r="H64" s="124">
        <f>_xlfn.COMPOUNDVALUE(452)</f>
        <v>21</v>
      </c>
      <c r="I64" s="126">
        <v>22307</v>
      </c>
      <c r="J64" s="124">
        <v>129</v>
      </c>
      <c r="K64" s="126">
        <v>11895</v>
      </c>
      <c r="L64" s="124">
        <v>831</v>
      </c>
      <c r="M64" s="126">
        <v>2941924</v>
      </c>
      <c r="N64" s="82" t="s">
        <v>98</v>
      </c>
    </row>
    <row r="65" spans="1:14" ht="15.75" customHeight="1">
      <c r="A65" s="81" t="s">
        <v>99</v>
      </c>
      <c r="B65" s="124">
        <f>_xlfn.COMPOUNDVALUE(453)</f>
        <v>382</v>
      </c>
      <c r="C65" s="125">
        <v>2514474</v>
      </c>
      <c r="D65" s="124">
        <f>_xlfn.COMPOUNDVALUE(454)</f>
        <v>151</v>
      </c>
      <c r="E65" s="125">
        <v>80027</v>
      </c>
      <c r="F65" s="124">
        <f>_xlfn.COMPOUNDVALUE(455)</f>
        <v>533</v>
      </c>
      <c r="G65" s="125">
        <v>2594501</v>
      </c>
      <c r="H65" s="124">
        <f>_xlfn.COMPOUNDVALUE(456)</f>
        <v>18</v>
      </c>
      <c r="I65" s="126">
        <v>54978</v>
      </c>
      <c r="J65" s="124">
        <v>30</v>
      </c>
      <c r="K65" s="126">
        <v>512</v>
      </c>
      <c r="L65" s="124">
        <v>554</v>
      </c>
      <c r="M65" s="126">
        <v>2540035</v>
      </c>
      <c r="N65" s="82" t="s">
        <v>99</v>
      </c>
    </row>
    <row r="66" spans="1:14" ht="15.75" customHeight="1">
      <c r="A66" s="81" t="s">
        <v>100</v>
      </c>
      <c r="B66" s="124">
        <f>_xlfn.COMPOUNDVALUE(457)</f>
        <v>2040</v>
      </c>
      <c r="C66" s="125">
        <v>13119980</v>
      </c>
      <c r="D66" s="124">
        <f>_xlfn.COMPOUNDVALUE(458)</f>
        <v>930</v>
      </c>
      <c r="E66" s="125">
        <v>522583</v>
      </c>
      <c r="F66" s="124">
        <f>_xlfn.COMPOUNDVALUE(459)</f>
        <v>2970</v>
      </c>
      <c r="G66" s="125">
        <v>13642563</v>
      </c>
      <c r="H66" s="124">
        <f>_xlfn.COMPOUNDVALUE(460)</f>
        <v>141</v>
      </c>
      <c r="I66" s="126">
        <v>2729584</v>
      </c>
      <c r="J66" s="124">
        <v>135</v>
      </c>
      <c r="K66" s="126">
        <v>-32877</v>
      </c>
      <c r="L66" s="124">
        <v>3122</v>
      </c>
      <c r="M66" s="126">
        <v>10880103</v>
      </c>
      <c r="N66" s="82" t="s">
        <v>100</v>
      </c>
    </row>
    <row r="67" spans="1:14" ht="15.75" customHeight="1">
      <c r="A67" s="81" t="s">
        <v>150</v>
      </c>
      <c r="B67" s="124">
        <f>_xlfn.COMPOUNDVALUE(461)</f>
        <v>534</v>
      </c>
      <c r="C67" s="125">
        <v>2087636</v>
      </c>
      <c r="D67" s="124">
        <f>_xlfn.COMPOUNDVALUE(462)</f>
        <v>183</v>
      </c>
      <c r="E67" s="125">
        <v>90212</v>
      </c>
      <c r="F67" s="124">
        <f>_xlfn.COMPOUNDVALUE(463)</f>
        <v>717</v>
      </c>
      <c r="G67" s="125">
        <v>2177849</v>
      </c>
      <c r="H67" s="124">
        <f>_xlfn.COMPOUNDVALUE(464)</f>
        <v>23</v>
      </c>
      <c r="I67" s="126">
        <v>43926</v>
      </c>
      <c r="J67" s="124">
        <v>104</v>
      </c>
      <c r="K67" s="126">
        <v>13462</v>
      </c>
      <c r="L67" s="124">
        <v>751</v>
      </c>
      <c r="M67" s="126">
        <v>2147385</v>
      </c>
      <c r="N67" s="82" t="s">
        <v>102</v>
      </c>
    </row>
    <row r="68" spans="1:14" ht="15.75" customHeight="1">
      <c r="A68" s="83" t="s">
        <v>151</v>
      </c>
      <c r="B68" s="127">
        <v>22238</v>
      </c>
      <c r="C68" s="128">
        <v>172167679</v>
      </c>
      <c r="D68" s="127">
        <v>8820</v>
      </c>
      <c r="E68" s="128">
        <v>5022659</v>
      </c>
      <c r="F68" s="127">
        <v>31058</v>
      </c>
      <c r="G68" s="128">
        <v>177190338</v>
      </c>
      <c r="H68" s="127">
        <v>1330</v>
      </c>
      <c r="I68" s="129">
        <v>16964392</v>
      </c>
      <c r="J68" s="127">
        <v>2201</v>
      </c>
      <c r="K68" s="129">
        <v>255147</v>
      </c>
      <c r="L68" s="127">
        <v>32552</v>
      </c>
      <c r="M68" s="129">
        <v>160481092</v>
      </c>
      <c r="N68" s="84" t="s">
        <v>104</v>
      </c>
    </row>
    <row r="69" spans="1:14" ht="15.75" customHeight="1">
      <c r="A69" s="85"/>
      <c r="B69" s="130"/>
      <c r="C69" s="131"/>
      <c r="D69" s="130"/>
      <c r="E69" s="131"/>
      <c r="F69" s="132"/>
      <c r="G69" s="131"/>
      <c r="H69" s="132"/>
      <c r="I69" s="131"/>
      <c r="J69" s="132"/>
      <c r="K69" s="131"/>
      <c r="L69" s="132"/>
      <c r="M69" s="131"/>
      <c r="N69" s="86"/>
    </row>
    <row r="70" spans="1:14" ht="15.75" customHeight="1">
      <c r="A70" s="78" t="s">
        <v>105</v>
      </c>
      <c r="B70" s="121">
        <f>_xlfn.COMPOUNDVALUE(465)</f>
        <v>4822</v>
      </c>
      <c r="C70" s="122">
        <v>43645255</v>
      </c>
      <c r="D70" s="121">
        <f>_xlfn.COMPOUNDVALUE(466)</f>
        <v>2048</v>
      </c>
      <c r="E70" s="122">
        <v>1187061</v>
      </c>
      <c r="F70" s="121">
        <f>_xlfn.COMPOUNDVALUE(467)</f>
        <v>6870</v>
      </c>
      <c r="G70" s="122">
        <v>44832316</v>
      </c>
      <c r="H70" s="121">
        <f>_xlfn.COMPOUNDVALUE(468)</f>
        <v>216</v>
      </c>
      <c r="I70" s="123">
        <v>8529538</v>
      </c>
      <c r="J70" s="121">
        <v>462</v>
      </c>
      <c r="K70" s="123">
        <v>31716</v>
      </c>
      <c r="L70" s="121">
        <v>7151</v>
      </c>
      <c r="M70" s="123">
        <v>36334494</v>
      </c>
      <c r="N70" s="87" t="s">
        <v>105</v>
      </c>
    </row>
    <row r="71" spans="1:14" ht="15.75" customHeight="1">
      <c r="A71" s="78" t="s">
        <v>106</v>
      </c>
      <c r="B71" s="121">
        <f>_xlfn.COMPOUNDVALUE(469)</f>
        <v>4002</v>
      </c>
      <c r="C71" s="122">
        <v>28851416</v>
      </c>
      <c r="D71" s="121">
        <f>_xlfn.COMPOUNDVALUE(470)</f>
        <v>1737</v>
      </c>
      <c r="E71" s="122">
        <v>963961</v>
      </c>
      <c r="F71" s="121">
        <f>_xlfn.COMPOUNDVALUE(471)</f>
        <v>5739</v>
      </c>
      <c r="G71" s="122">
        <v>29815376</v>
      </c>
      <c r="H71" s="121">
        <f>_xlfn.COMPOUNDVALUE(472)</f>
        <v>251</v>
      </c>
      <c r="I71" s="123">
        <v>545934</v>
      </c>
      <c r="J71" s="121">
        <v>354</v>
      </c>
      <c r="K71" s="123">
        <v>24133</v>
      </c>
      <c r="L71" s="121">
        <v>6006</v>
      </c>
      <c r="M71" s="123">
        <v>29293575</v>
      </c>
      <c r="N71" s="79" t="s">
        <v>106</v>
      </c>
    </row>
    <row r="72" spans="1:14" ht="15.75" customHeight="1">
      <c r="A72" s="78" t="s">
        <v>107</v>
      </c>
      <c r="B72" s="121">
        <f>_xlfn.COMPOUNDVALUE(473)</f>
        <v>2567</v>
      </c>
      <c r="C72" s="122">
        <v>19433105</v>
      </c>
      <c r="D72" s="121">
        <f>_xlfn.COMPOUNDVALUE(474)</f>
        <v>1180</v>
      </c>
      <c r="E72" s="122">
        <v>668824</v>
      </c>
      <c r="F72" s="121">
        <f>_xlfn.COMPOUNDVALUE(475)</f>
        <v>3747</v>
      </c>
      <c r="G72" s="122">
        <v>20101929</v>
      </c>
      <c r="H72" s="121">
        <f>_xlfn.COMPOUNDVALUE(476)</f>
        <v>176</v>
      </c>
      <c r="I72" s="123">
        <v>7748588</v>
      </c>
      <c r="J72" s="121">
        <v>240</v>
      </c>
      <c r="K72" s="123">
        <v>42941</v>
      </c>
      <c r="L72" s="121">
        <v>3941</v>
      </c>
      <c r="M72" s="123">
        <v>12396282</v>
      </c>
      <c r="N72" s="79" t="s">
        <v>107</v>
      </c>
    </row>
    <row r="73" spans="1:14" ht="15.75" customHeight="1">
      <c r="A73" s="81" t="s">
        <v>108</v>
      </c>
      <c r="B73" s="124">
        <f>_xlfn.COMPOUNDVALUE(477)</f>
        <v>1716</v>
      </c>
      <c r="C73" s="125">
        <v>10243050</v>
      </c>
      <c r="D73" s="124">
        <f>_xlfn.COMPOUNDVALUE(478)</f>
        <v>724</v>
      </c>
      <c r="E73" s="125">
        <v>431462</v>
      </c>
      <c r="F73" s="124">
        <f>_xlfn.COMPOUNDVALUE(479)</f>
        <v>2440</v>
      </c>
      <c r="G73" s="125">
        <v>10674512</v>
      </c>
      <c r="H73" s="124">
        <f>_xlfn.COMPOUNDVALUE(480)</f>
        <v>91</v>
      </c>
      <c r="I73" s="126">
        <v>579117</v>
      </c>
      <c r="J73" s="124">
        <v>133</v>
      </c>
      <c r="K73" s="126">
        <v>2765</v>
      </c>
      <c r="L73" s="124">
        <v>2544</v>
      </c>
      <c r="M73" s="126">
        <v>10098160</v>
      </c>
      <c r="N73" s="82" t="s">
        <v>108</v>
      </c>
    </row>
    <row r="74" spans="1:14" ht="15.75" customHeight="1">
      <c r="A74" s="81" t="s">
        <v>109</v>
      </c>
      <c r="B74" s="124">
        <f>_xlfn.COMPOUNDVALUE(481)</f>
        <v>2367</v>
      </c>
      <c r="C74" s="125">
        <v>15592352</v>
      </c>
      <c r="D74" s="124">
        <f>_xlfn.COMPOUNDVALUE(482)</f>
        <v>1092</v>
      </c>
      <c r="E74" s="125">
        <v>600354</v>
      </c>
      <c r="F74" s="124">
        <f>_xlfn.COMPOUNDVALUE(483)</f>
        <v>3459</v>
      </c>
      <c r="G74" s="125">
        <v>16192706</v>
      </c>
      <c r="H74" s="124">
        <f>_xlfn.COMPOUNDVALUE(484)</f>
        <v>180</v>
      </c>
      <c r="I74" s="126">
        <v>4773299</v>
      </c>
      <c r="J74" s="124">
        <v>192</v>
      </c>
      <c r="K74" s="126">
        <v>42948</v>
      </c>
      <c r="L74" s="124">
        <v>3655</v>
      </c>
      <c r="M74" s="126">
        <v>11462354</v>
      </c>
      <c r="N74" s="82" t="s">
        <v>109</v>
      </c>
    </row>
    <row r="75" spans="1:14" ht="15.75" customHeight="1">
      <c r="A75" s="81" t="s">
        <v>110</v>
      </c>
      <c r="B75" s="124">
        <f>_xlfn.COMPOUNDVALUE(485)</f>
        <v>1765</v>
      </c>
      <c r="C75" s="125">
        <v>12669508</v>
      </c>
      <c r="D75" s="124">
        <f>_xlfn.COMPOUNDVALUE(486)</f>
        <v>857</v>
      </c>
      <c r="E75" s="125">
        <v>459841</v>
      </c>
      <c r="F75" s="124">
        <f>_xlfn.COMPOUNDVALUE(487)</f>
        <v>2622</v>
      </c>
      <c r="G75" s="125">
        <v>13129349</v>
      </c>
      <c r="H75" s="124">
        <f>_xlfn.COMPOUNDVALUE(488)</f>
        <v>156</v>
      </c>
      <c r="I75" s="126">
        <v>1988314</v>
      </c>
      <c r="J75" s="124">
        <v>149</v>
      </c>
      <c r="K75" s="126">
        <v>1500</v>
      </c>
      <c r="L75" s="124">
        <v>2799</v>
      </c>
      <c r="M75" s="126">
        <v>11142536</v>
      </c>
      <c r="N75" s="82" t="s">
        <v>110</v>
      </c>
    </row>
    <row r="76" spans="1:14" ht="15.75" customHeight="1">
      <c r="A76" s="81" t="s">
        <v>111</v>
      </c>
      <c r="B76" s="124">
        <f>_xlfn.COMPOUNDVALUE(489)</f>
        <v>1087</v>
      </c>
      <c r="C76" s="125">
        <v>4278016</v>
      </c>
      <c r="D76" s="124">
        <f>_xlfn.COMPOUNDVALUE(490)</f>
        <v>475</v>
      </c>
      <c r="E76" s="125">
        <v>233942</v>
      </c>
      <c r="F76" s="124">
        <f>_xlfn.COMPOUNDVALUE(491)</f>
        <v>1562</v>
      </c>
      <c r="G76" s="125">
        <v>4511958</v>
      </c>
      <c r="H76" s="124">
        <f>_xlfn.COMPOUNDVALUE(492)</f>
        <v>61</v>
      </c>
      <c r="I76" s="126">
        <v>543925</v>
      </c>
      <c r="J76" s="124">
        <v>111</v>
      </c>
      <c r="K76" s="126">
        <v>2141</v>
      </c>
      <c r="L76" s="124">
        <v>1631</v>
      </c>
      <c r="M76" s="126">
        <v>3970175</v>
      </c>
      <c r="N76" s="82" t="s">
        <v>111</v>
      </c>
    </row>
    <row r="77" spans="1:14" ht="15.75" customHeight="1">
      <c r="A77" s="81" t="s">
        <v>112</v>
      </c>
      <c r="B77" s="124">
        <f>_xlfn.COMPOUNDVALUE(493)</f>
        <v>667</v>
      </c>
      <c r="C77" s="125">
        <v>3013017</v>
      </c>
      <c r="D77" s="124">
        <f>_xlfn.COMPOUNDVALUE(494)</f>
        <v>297</v>
      </c>
      <c r="E77" s="125">
        <v>150923</v>
      </c>
      <c r="F77" s="124">
        <f>_xlfn.COMPOUNDVALUE(495)</f>
        <v>964</v>
      </c>
      <c r="G77" s="125">
        <v>3163941</v>
      </c>
      <c r="H77" s="124">
        <f>_xlfn.COMPOUNDVALUE(496)</f>
        <v>42</v>
      </c>
      <c r="I77" s="126">
        <v>57145</v>
      </c>
      <c r="J77" s="124">
        <v>65</v>
      </c>
      <c r="K77" s="126">
        <v>1435</v>
      </c>
      <c r="L77" s="124">
        <v>1014</v>
      </c>
      <c r="M77" s="126">
        <v>3108231</v>
      </c>
      <c r="N77" s="82" t="s">
        <v>112</v>
      </c>
    </row>
    <row r="78" spans="1:14" ht="15.75" customHeight="1">
      <c r="A78" s="81" t="s">
        <v>113</v>
      </c>
      <c r="B78" s="124">
        <f>_xlfn.COMPOUNDVALUE(497)</f>
        <v>2026</v>
      </c>
      <c r="C78" s="125">
        <v>11588984</v>
      </c>
      <c r="D78" s="124">
        <f>_xlfn.COMPOUNDVALUE(498)</f>
        <v>863</v>
      </c>
      <c r="E78" s="125">
        <v>503403</v>
      </c>
      <c r="F78" s="124">
        <f>_xlfn.COMPOUNDVALUE(499)</f>
        <v>2889</v>
      </c>
      <c r="G78" s="125">
        <v>12092387</v>
      </c>
      <c r="H78" s="124">
        <f>_xlfn.COMPOUNDVALUE(500)</f>
        <v>143</v>
      </c>
      <c r="I78" s="126">
        <v>5021806</v>
      </c>
      <c r="J78" s="124">
        <v>149</v>
      </c>
      <c r="K78" s="126">
        <v>87821</v>
      </c>
      <c r="L78" s="124">
        <v>3052</v>
      </c>
      <c r="M78" s="126">
        <v>7158402</v>
      </c>
      <c r="N78" s="82" t="s">
        <v>113</v>
      </c>
    </row>
    <row r="79" spans="1:14" ht="15.75" customHeight="1">
      <c r="A79" s="81" t="s">
        <v>114</v>
      </c>
      <c r="B79" s="124">
        <f>_xlfn.COMPOUNDVALUE(501)</f>
        <v>298</v>
      </c>
      <c r="C79" s="125">
        <v>1579672</v>
      </c>
      <c r="D79" s="124">
        <f>_xlfn.COMPOUNDVALUE(502)</f>
        <v>143</v>
      </c>
      <c r="E79" s="125">
        <v>78307</v>
      </c>
      <c r="F79" s="124">
        <f>_xlfn.COMPOUNDVALUE(503)</f>
        <v>441</v>
      </c>
      <c r="G79" s="125">
        <v>1657979</v>
      </c>
      <c r="H79" s="124">
        <f>_xlfn.COMPOUNDVALUE(504)</f>
        <v>14</v>
      </c>
      <c r="I79" s="126">
        <v>24639</v>
      </c>
      <c r="J79" s="124">
        <v>38</v>
      </c>
      <c r="K79" s="126">
        <v>1742</v>
      </c>
      <c r="L79" s="124">
        <v>457</v>
      </c>
      <c r="M79" s="126">
        <v>1635082</v>
      </c>
      <c r="N79" s="82" t="s">
        <v>114</v>
      </c>
    </row>
    <row r="80" spans="1:14" ht="15.75" customHeight="1">
      <c r="A80" s="83" t="s">
        <v>152</v>
      </c>
      <c r="B80" s="127">
        <v>21317</v>
      </c>
      <c r="C80" s="128">
        <v>150894375</v>
      </c>
      <c r="D80" s="127">
        <v>9416</v>
      </c>
      <c r="E80" s="128">
        <v>5278079</v>
      </c>
      <c r="F80" s="127">
        <v>30733</v>
      </c>
      <c r="G80" s="128">
        <v>156172454</v>
      </c>
      <c r="H80" s="127">
        <v>1330</v>
      </c>
      <c r="I80" s="129">
        <v>29812306</v>
      </c>
      <c r="J80" s="127">
        <v>1893</v>
      </c>
      <c r="K80" s="129">
        <v>239144</v>
      </c>
      <c r="L80" s="127">
        <v>32250</v>
      </c>
      <c r="M80" s="129">
        <v>126599292</v>
      </c>
      <c r="N80" s="84" t="s">
        <v>116</v>
      </c>
    </row>
    <row r="81" spans="1:14" ht="15.75" customHeight="1" thickBot="1">
      <c r="A81" s="88"/>
      <c r="B81" s="133"/>
      <c r="C81" s="134"/>
      <c r="D81" s="133"/>
      <c r="E81" s="134"/>
      <c r="F81" s="135"/>
      <c r="G81" s="134"/>
      <c r="H81" s="135"/>
      <c r="I81" s="134"/>
      <c r="J81" s="135"/>
      <c r="K81" s="134"/>
      <c r="L81" s="135"/>
      <c r="M81" s="134"/>
      <c r="N81" s="89"/>
    </row>
    <row r="82" spans="1:14" ht="15.75" customHeight="1" thickBot="1" thickTop="1">
      <c r="A82" s="91" t="s">
        <v>153</v>
      </c>
      <c r="B82" s="136">
        <v>168375</v>
      </c>
      <c r="C82" s="137">
        <v>1186300250</v>
      </c>
      <c r="D82" s="136">
        <v>75210</v>
      </c>
      <c r="E82" s="137">
        <v>44191763</v>
      </c>
      <c r="F82" s="136">
        <v>243585</v>
      </c>
      <c r="G82" s="137">
        <v>1230492013</v>
      </c>
      <c r="H82" s="136">
        <v>12754</v>
      </c>
      <c r="I82" s="138">
        <v>121565302</v>
      </c>
      <c r="J82" s="136">
        <v>15232</v>
      </c>
      <c r="K82" s="138">
        <v>2592728</v>
      </c>
      <c r="L82" s="136">
        <v>258027</v>
      </c>
      <c r="M82" s="138">
        <v>1111519438</v>
      </c>
      <c r="N82" s="92" t="s">
        <v>118</v>
      </c>
    </row>
    <row r="83" spans="1:14" ht="13.5">
      <c r="A83" s="206" t="s">
        <v>156</v>
      </c>
      <c r="B83" s="206"/>
      <c r="C83" s="206"/>
      <c r="D83" s="206"/>
      <c r="E83" s="206"/>
      <c r="F83" s="206"/>
      <c r="G83" s="206"/>
      <c r="H83" s="206"/>
      <c r="I83" s="206"/>
      <c r="J83" s="93"/>
      <c r="K83" s="93"/>
      <c r="L83" s="64"/>
      <c r="M83" s="64"/>
      <c r="N83" s="64"/>
    </row>
  </sheetData>
  <sheetProtection/>
  <mergeCells count="11">
    <mergeCell ref="A83:I83"/>
    <mergeCell ref="L3:M4"/>
    <mergeCell ref="A2:I2"/>
    <mergeCell ref="A3:A5"/>
    <mergeCell ref="B3:G3"/>
    <mergeCell ref="H3:I4"/>
    <mergeCell ref="J3:K4"/>
    <mergeCell ref="N3:N5"/>
    <mergeCell ref="B4:C4"/>
    <mergeCell ref="D4:E4"/>
    <mergeCell ref="F4:G4"/>
  </mergeCells>
  <printOptions horizontalCentered="1"/>
  <pageMargins left="0.7874015748031497" right="0.7874015748031497" top="0.984251968503937" bottom="0.984251968503937" header="0.5118110236220472" footer="0.5118110236220472"/>
  <pageSetup fitToHeight="0" fitToWidth="1" horizontalDpi="600" verticalDpi="600" orientation="portrait" paperSize="9" scale="53" r:id="rId1"/>
  <headerFooter alignWithMargins="0">
    <oddFooter>&amp;R関東信越国税局
消費税
(H29)</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R83"/>
  <sheetViews>
    <sheetView zoomScaleSheetLayoutView="85" workbookViewId="0" topLeftCell="A1">
      <selection activeCell="A1" sqref="A1"/>
    </sheetView>
  </sheetViews>
  <sheetFormatPr defaultColWidth="9.00390625" defaultRowHeight="13.5"/>
  <cols>
    <col min="1" max="1" width="10.375" style="65" customWidth="1"/>
    <col min="2" max="2" width="8.625" style="65" customWidth="1"/>
    <col min="3" max="3" width="10.625" style="65" customWidth="1"/>
    <col min="4" max="4" width="8.625" style="65" customWidth="1"/>
    <col min="5" max="5" width="10.625" style="65" customWidth="1"/>
    <col min="6" max="6" width="8.625" style="65" customWidth="1"/>
    <col min="7" max="7" width="13.125" style="65" customWidth="1"/>
    <col min="8" max="8" width="8.625" style="65" customWidth="1"/>
    <col min="9" max="9" width="10.625" style="65" customWidth="1"/>
    <col min="10" max="10" width="8.625" style="65" customWidth="1"/>
    <col min="11" max="11" width="10.625" style="65" customWidth="1"/>
    <col min="12" max="12" width="8.625" style="65" customWidth="1"/>
    <col min="13" max="13" width="12.00390625" style="65" customWidth="1"/>
    <col min="14" max="17" width="9.50390625" style="65" customWidth="1"/>
    <col min="18" max="18" width="10.375" style="65" customWidth="1"/>
    <col min="19" max="16384" width="9.00390625" style="65" customWidth="1"/>
  </cols>
  <sheetData>
    <row r="1" spans="1:16" ht="13.5">
      <c r="A1" s="63" t="s">
        <v>161</v>
      </c>
      <c r="B1" s="63"/>
      <c r="C1" s="63"/>
      <c r="D1" s="63"/>
      <c r="E1" s="63"/>
      <c r="F1" s="63"/>
      <c r="G1" s="63"/>
      <c r="H1" s="63"/>
      <c r="I1" s="63"/>
      <c r="J1" s="63"/>
      <c r="K1" s="63"/>
      <c r="L1" s="64"/>
      <c r="M1" s="64"/>
      <c r="N1" s="64"/>
      <c r="O1" s="64"/>
      <c r="P1" s="64"/>
    </row>
    <row r="2" spans="1:16" ht="14.25" thickBot="1">
      <c r="A2" s="207" t="s">
        <v>121</v>
      </c>
      <c r="B2" s="207"/>
      <c r="C2" s="207"/>
      <c r="D2" s="207"/>
      <c r="E2" s="207"/>
      <c r="F2" s="207"/>
      <c r="G2" s="207"/>
      <c r="H2" s="207"/>
      <c r="I2" s="207"/>
      <c r="J2" s="93"/>
      <c r="K2" s="93"/>
      <c r="L2" s="64"/>
      <c r="M2" s="64"/>
      <c r="N2" s="64"/>
      <c r="O2" s="64"/>
      <c r="P2" s="64"/>
    </row>
    <row r="3" spans="1:18" ht="19.5" customHeight="1">
      <c r="A3" s="192" t="s">
        <v>27</v>
      </c>
      <c r="B3" s="195" t="s">
        <v>28</v>
      </c>
      <c r="C3" s="195"/>
      <c r="D3" s="195"/>
      <c r="E3" s="195"/>
      <c r="F3" s="195"/>
      <c r="G3" s="195"/>
      <c r="H3" s="195" t="s">
        <v>13</v>
      </c>
      <c r="I3" s="195"/>
      <c r="J3" s="208" t="s">
        <v>29</v>
      </c>
      <c r="K3" s="195"/>
      <c r="L3" s="195" t="s">
        <v>30</v>
      </c>
      <c r="M3" s="195"/>
      <c r="N3" s="209" t="s">
        <v>122</v>
      </c>
      <c r="O3" s="210"/>
      <c r="P3" s="210"/>
      <c r="Q3" s="210"/>
      <c r="R3" s="201" t="s">
        <v>120</v>
      </c>
    </row>
    <row r="4" spans="1:18" ht="17.25" customHeight="1">
      <c r="A4" s="193"/>
      <c r="B4" s="204" t="s">
        <v>16</v>
      </c>
      <c r="C4" s="204"/>
      <c r="D4" s="204" t="s">
        <v>32</v>
      </c>
      <c r="E4" s="204"/>
      <c r="F4" s="204" t="s">
        <v>33</v>
      </c>
      <c r="G4" s="204"/>
      <c r="H4" s="204"/>
      <c r="I4" s="204"/>
      <c r="J4" s="204"/>
      <c r="K4" s="204"/>
      <c r="L4" s="204"/>
      <c r="M4" s="204"/>
      <c r="N4" s="211" t="s">
        <v>123</v>
      </c>
      <c r="O4" s="213" t="s">
        <v>124</v>
      </c>
      <c r="P4" s="215" t="s">
        <v>125</v>
      </c>
      <c r="Q4" s="199" t="s">
        <v>126</v>
      </c>
      <c r="R4" s="202"/>
    </row>
    <row r="5" spans="1:18" ht="28.5" customHeight="1">
      <c r="A5" s="194"/>
      <c r="B5" s="66" t="s">
        <v>127</v>
      </c>
      <c r="C5" s="68" t="s">
        <v>128</v>
      </c>
      <c r="D5" s="66" t="s">
        <v>127</v>
      </c>
      <c r="E5" s="68" t="s">
        <v>128</v>
      </c>
      <c r="F5" s="66" t="s">
        <v>127</v>
      </c>
      <c r="G5" s="68" t="s">
        <v>36</v>
      </c>
      <c r="H5" s="66" t="s">
        <v>127</v>
      </c>
      <c r="I5" s="68" t="s">
        <v>37</v>
      </c>
      <c r="J5" s="66" t="s">
        <v>127</v>
      </c>
      <c r="K5" s="68" t="s">
        <v>38</v>
      </c>
      <c r="L5" s="66" t="s">
        <v>127</v>
      </c>
      <c r="M5" s="96" t="s">
        <v>129</v>
      </c>
      <c r="N5" s="212"/>
      <c r="O5" s="214"/>
      <c r="P5" s="216"/>
      <c r="Q5" s="217"/>
      <c r="R5" s="203"/>
    </row>
    <row r="6" spans="1:18" s="95" customFormat="1" ht="10.5">
      <c r="A6" s="72"/>
      <c r="B6" s="73" t="s">
        <v>4</v>
      </c>
      <c r="C6" s="74" t="s">
        <v>5</v>
      </c>
      <c r="D6" s="73" t="s">
        <v>4</v>
      </c>
      <c r="E6" s="74" t="s">
        <v>5</v>
      </c>
      <c r="F6" s="73" t="s">
        <v>4</v>
      </c>
      <c r="G6" s="74" t="s">
        <v>5</v>
      </c>
      <c r="H6" s="73" t="s">
        <v>4</v>
      </c>
      <c r="I6" s="74" t="s">
        <v>5</v>
      </c>
      <c r="J6" s="73" t="s">
        <v>4</v>
      </c>
      <c r="K6" s="74" t="s">
        <v>5</v>
      </c>
      <c r="L6" s="73" t="s">
        <v>159</v>
      </c>
      <c r="M6" s="74" t="s">
        <v>5</v>
      </c>
      <c r="N6" s="73" t="s">
        <v>4</v>
      </c>
      <c r="O6" s="97" t="s">
        <v>4</v>
      </c>
      <c r="P6" s="97" t="s">
        <v>4</v>
      </c>
      <c r="Q6" s="98" t="s">
        <v>4</v>
      </c>
      <c r="R6" s="76"/>
    </row>
    <row r="7" spans="1:18" ht="15.75" customHeight="1">
      <c r="A7" s="78" t="s">
        <v>40</v>
      </c>
      <c r="B7" s="121">
        <f>_xlfn.COMPOUNDVALUE(505)</f>
        <v>6528</v>
      </c>
      <c r="C7" s="122">
        <v>41232739</v>
      </c>
      <c r="D7" s="121">
        <f>_xlfn.COMPOUNDVALUE(506)</f>
        <v>4348</v>
      </c>
      <c r="E7" s="122">
        <v>2295328</v>
      </c>
      <c r="F7" s="121">
        <f>_xlfn.COMPOUNDVALUE(507)</f>
        <v>10876</v>
      </c>
      <c r="G7" s="122">
        <v>43528067</v>
      </c>
      <c r="H7" s="121">
        <f>_xlfn.COMPOUNDVALUE(508)</f>
        <v>402</v>
      </c>
      <c r="I7" s="123">
        <v>2281164</v>
      </c>
      <c r="J7" s="121">
        <v>751</v>
      </c>
      <c r="K7" s="123">
        <v>192221</v>
      </c>
      <c r="L7" s="121">
        <v>11501</v>
      </c>
      <c r="M7" s="123">
        <v>41439125</v>
      </c>
      <c r="N7" s="121">
        <v>11795</v>
      </c>
      <c r="O7" s="139">
        <v>370</v>
      </c>
      <c r="P7" s="139">
        <v>25</v>
      </c>
      <c r="Q7" s="140">
        <v>12190</v>
      </c>
      <c r="R7" s="79" t="s">
        <v>40</v>
      </c>
    </row>
    <row r="8" spans="1:18" ht="15.75" customHeight="1">
      <c r="A8" s="81" t="s">
        <v>41</v>
      </c>
      <c r="B8" s="124">
        <f>_xlfn.COMPOUNDVALUE(509)</f>
        <v>2547</v>
      </c>
      <c r="C8" s="125">
        <v>21647992</v>
      </c>
      <c r="D8" s="124">
        <f>_xlfn.COMPOUNDVALUE(510)</f>
        <v>1834</v>
      </c>
      <c r="E8" s="125">
        <v>908233</v>
      </c>
      <c r="F8" s="124">
        <f>_xlfn.COMPOUNDVALUE(511)</f>
        <v>4381</v>
      </c>
      <c r="G8" s="125">
        <v>22556225</v>
      </c>
      <c r="H8" s="124">
        <f>_xlfn.COMPOUNDVALUE(512)</f>
        <v>122</v>
      </c>
      <c r="I8" s="126">
        <v>1897223</v>
      </c>
      <c r="J8" s="124">
        <v>405</v>
      </c>
      <c r="K8" s="126">
        <v>66496</v>
      </c>
      <c r="L8" s="124">
        <v>4626</v>
      </c>
      <c r="M8" s="126">
        <v>20725498</v>
      </c>
      <c r="N8" s="121">
        <v>4700</v>
      </c>
      <c r="O8" s="139">
        <v>75</v>
      </c>
      <c r="P8" s="139">
        <v>6</v>
      </c>
      <c r="Q8" s="140">
        <v>4781</v>
      </c>
      <c r="R8" s="82" t="s">
        <v>41</v>
      </c>
    </row>
    <row r="9" spans="1:18" ht="15.75" customHeight="1">
      <c r="A9" s="81" t="s">
        <v>42</v>
      </c>
      <c r="B9" s="124">
        <f>_xlfn.COMPOUNDVALUE(513)</f>
        <v>6398</v>
      </c>
      <c r="C9" s="125">
        <v>35648794</v>
      </c>
      <c r="D9" s="124">
        <f>_xlfn.COMPOUNDVALUE(514)</f>
        <v>4257</v>
      </c>
      <c r="E9" s="125">
        <v>2123694</v>
      </c>
      <c r="F9" s="124">
        <f>_xlfn.COMPOUNDVALUE(515)</f>
        <v>10655</v>
      </c>
      <c r="G9" s="125">
        <v>37772488</v>
      </c>
      <c r="H9" s="124">
        <f>_xlfn.COMPOUNDVALUE(516)</f>
        <v>569</v>
      </c>
      <c r="I9" s="126">
        <v>2499351</v>
      </c>
      <c r="J9" s="124">
        <v>857</v>
      </c>
      <c r="K9" s="126">
        <v>144082</v>
      </c>
      <c r="L9" s="124">
        <v>11598</v>
      </c>
      <c r="M9" s="126">
        <v>35417220</v>
      </c>
      <c r="N9" s="121">
        <v>11214</v>
      </c>
      <c r="O9" s="139">
        <v>429</v>
      </c>
      <c r="P9" s="139">
        <v>48</v>
      </c>
      <c r="Q9" s="140">
        <v>11691</v>
      </c>
      <c r="R9" s="82" t="s">
        <v>42</v>
      </c>
    </row>
    <row r="10" spans="1:18" ht="15.75" customHeight="1">
      <c r="A10" s="81" t="s">
        <v>43</v>
      </c>
      <c r="B10" s="124">
        <f>_xlfn.COMPOUNDVALUE(517)</f>
        <v>3366</v>
      </c>
      <c r="C10" s="125">
        <v>14026207</v>
      </c>
      <c r="D10" s="124">
        <f>_xlfn.COMPOUNDVALUE(518)</f>
        <v>3100</v>
      </c>
      <c r="E10" s="125">
        <v>1439824</v>
      </c>
      <c r="F10" s="124">
        <f>_xlfn.COMPOUNDVALUE(519)</f>
        <v>6466</v>
      </c>
      <c r="G10" s="125">
        <v>15466031</v>
      </c>
      <c r="H10" s="124">
        <f>_xlfn.COMPOUNDVALUE(520)</f>
        <v>308</v>
      </c>
      <c r="I10" s="126">
        <v>832554</v>
      </c>
      <c r="J10" s="124">
        <v>372</v>
      </c>
      <c r="K10" s="126">
        <v>3512</v>
      </c>
      <c r="L10" s="124">
        <v>6904</v>
      </c>
      <c r="M10" s="126">
        <v>14636989</v>
      </c>
      <c r="N10" s="121">
        <v>6596</v>
      </c>
      <c r="O10" s="139">
        <v>240</v>
      </c>
      <c r="P10" s="139">
        <v>20</v>
      </c>
      <c r="Q10" s="140">
        <v>6856</v>
      </c>
      <c r="R10" s="82" t="s">
        <v>43</v>
      </c>
    </row>
    <row r="11" spans="1:18" ht="15.75" customHeight="1">
      <c r="A11" s="81" t="s">
        <v>44</v>
      </c>
      <c r="B11" s="124">
        <f>_xlfn.COMPOUNDVALUE(521)</f>
        <v>4868</v>
      </c>
      <c r="C11" s="125">
        <v>19562131</v>
      </c>
      <c r="D11" s="124">
        <f>_xlfn.COMPOUNDVALUE(522)</f>
        <v>3890</v>
      </c>
      <c r="E11" s="125">
        <v>1852536</v>
      </c>
      <c r="F11" s="124">
        <f>_xlfn.COMPOUNDVALUE(523)</f>
        <v>8758</v>
      </c>
      <c r="G11" s="125">
        <v>21414667</v>
      </c>
      <c r="H11" s="124">
        <f>_xlfn.COMPOUNDVALUE(524)</f>
        <v>367</v>
      </c>
      <c r="I11" s="126">
        <v>1151954</v>
      </c>
      <c r="J11" s="124">
        <v>492</v>
      </c>
      <c r="K11" s="126">
        <v>53982</v>
      </c>
      <c r="L11" s="124">
        <v>9317</v>
      </c>
      <c r="M11" s="126">
        <v>20316695</v>
      </c>
      <c r="N11" s="121">
        <v>9186</v>
      </c>
      <c r="O11" s="139">
        <v>331</v>
      </c>
      <c r="P11" s="139">
        <v>17</v>
      </c>
      <c r="Q11" s="140">
        <v>9534</v>
      </c>
      <c r="R11" s="82" t="s">
        <v>44</v>
      </c>
    </row>
    <row r="12" spans="1:18" ht="15.75" customHeight="1">
      <c r="A12" s="81" t="s">
        <v>45</v>
      </c>
      <c r="B12" s="124">
        <f>_xlfn.COMPOUNDVALUE(525)</f>
        <v>4215</v>
      </c>
      <c r="C12" s="125">
        <v>13625181</v>
      </c>
      <c r="D12" s="124">
        <f>_xlfn.COMPOUNDVALUE(526)</f>
        <v>3134</v>
      </c>
      <c r="E12" s="125">
        <v>1566664</v>
      </c>
      <c r="F12" s="124">
        <f>_xlfn.COMPOUNDVALUE(527)</f>
        <v>7349</v>
      </c>
      <c r="G12" s="125">
        <v>15191844</v>
      </c>
      <c r="H12" s="124">
        <f>_xlfn.COMPOUNDVALUE(528)</f>
        <v>380</v>
      </c>
      <c r="I12" s="126">
        <v>1731566</v>
      </c>
      <c r="J12" s="124">
        <v>536</v>
      </c>
      <c r="K12" s="126">
        <v>106980</v>
      </c>
      <c r="L12" s="124">
        <v>7940</v>
      </c>
      <c r="M12" s="126">
        <v>13567258</v>
      </c>
      <c r="N12" s="121">
        <v>8054</v>
      </c>
      <c r="O12" s="139">
        <v>275</v>
      </c>
      <c r="P12" s="139">
        <v>19</v>
      </c>
      <c r="Q12" s="140">
        <v>8348</v>
      </c>
      <c r="R12" s="82" t="s">
        <v>46</v>
      </c>
    </row>
    <row r="13" spans="1:18" ht="15.75" customHeight="1">
      <c r="A13" s="81" t="s">
        <v>47</v>
      </c>
      <c r="B13" s="124">
        <f>_xlfn.COMPOUNDVALUE(529)</f>
        <v>3655</v>
      </c>
      <c r="C13" s="125">
        <v>18159835</v>
      </c>
      <c r="D13" s="124">
        <f>_xlfn.COMPOUNDVALUE(530)</f>
        <v>2638</v>
      </c>
      <c r="E13" s="125">
        <v>1265346</v>
      </c>
      <c r="F13" s="124">
        <f>_xlfn.COMPOUNDVALUE(531)</f>
        <v>6293</v>
      </c>
      <c r="G13" s="125">
        <v>19425181</v>
      </c>
      <c r="H13" s="124">
        <f>_xlfn.COMPOUNDVALUE(532)</f>
        <v>179</v>
      </c>
      <c r="I13" s="126">
        <v>1850073</v>
      </c>
      <c r="J13" s="124">
        <v>432</v>
      </c>
      <c r="K13" s="126">
        <v>64475</v>
      </c>
      <c r="L13" s="124">
        <v>6646</v>
      </c>
      <c r="M13" s="126">
        <v>17639583</v>
      </c>
      <c r="N13" s="121">
        <v>6612</v>
      </c>
      <c r="O13" s="139">
        <v>188</v>
      </c>
      <c r="P13" s="139">
        <v>14</v>
      </c>
      <c r="Q13" s="140">
        <v>6814</v>
      </c>
      <c r="R13" s="82" t="s">
        <v>47</v>
      </c>
    </row>
    <row r="14" spans="1:18" ht="15.75" customHeight="1">
      <c r="A14" s="81" t="s">
        <v>48</v>
      </c>
      <c r="B14" s="124">
        <f>_xlfn.COMPOUNDVALUE(533)</f>
        <v>4333</v>
      </c>
      <c r="C14" s="125">
        <v>18360272</v>
      </c>
      <c r="D14" s="124">
        <f>_xlfn.COMPOUNDVALUE(534)</f>
        <v>3877</v>
      </c>
      <c r="E14" s="125">
        <v>1876149</v>
      </c>
      <c r="F14" s="124">
        <f>_xlfn.COMPOUNDVALUE(535)</f>
        <v>8210</v>
      </c>
      <c r="G14" s="125">
        <v>20236420</v>
      </c>
      <c r="H14" s="124">
        <f>_xlfn.COMPOUNDVALUE(536)</f>
        <v>248</v>
      </c>
      <c r="I14" s="126">
        <v>1047634</v>
      </c>
      <c r="J14" s="124">
        <v>581</v>
      </c>
      <c r="K14" s="126">
        <v>132902</v>
      </c>
      <c r="L14" s="124">
        <v>8647</v>
      </c>
      <c r="M14" s="126">
        <v>19321688</v>
      </c>
      <c r="N14" s="121">
        <v>8474</v>
      </c>
      <c r="O14" s="139">
        <v>204</v>
      </c>
      <c r="P14" s="139">
        <v>16</v>
      </c>
      <c r="Q14" s="140">
        <v>8694</v>
      </c>
      <c r="R14" s="82" t="s">
        <v>48</v>
      </c>
    </row>
    <row r="15" spans="1:18" ht="15.75" customHeight="1">
      <c r="A15" s="83" t="s">
        <v>130</v>
      </c>
      <c r="B15" s="127">
        <v>35910</v>
      </c>
      <c r="C15" s="128">
        <v>182263151</v>
      </c>
      <c r="D15" s="127">
        <v>27078</v>
      </c>
      <c r="E15" s="128">
        <v>13327773</v>
      </c>
      <c r="F15" s="127">
        <v>62988</v>
      </c>
      <c r="G15" s="128">
        <v>195590924</v>
      </c>
      <c r="H15" s="127">
        <v>2575</v>
      </c>
      <c r="I15" s="129">
        <v>13291519</v>
      </c>
      <c r="J15" s="127">
        <v>4426</v>
      </c>
      <c r="K15" s="129">
        <v>764651</v>
      </c>
      <c r="L15" s="127">
        <v>67179</v>
      </c>
      <c r="M15" s="129">
        <v>183064056</v>
      </c>
      <c r="N15" s="127">
        <v>66631</v>
      </c>
      <c r="O15" s="141">
        <v>2112</v>
      </c>
      <c r="P15" s="141">
        <v>165</v>
      </c>
      <c r="Q15" s="142">
        <v>68908</v>
      </c>
      <c r="R15" s="84" t="s">
        <v>50</v>
      </c>
    </row>
    <row r="16" spans="1:18" ht="15.75" customHeight="1">
      <c r="A16" s="85"/>
      <c r="B16" s="130"/>
      <c r="C16" s="131"/>
      <c r="D16" s="130"/>
      <c r="E16" s="131"/>
      <c r="F16" s="132"/>
      <c r="G16" s="131"/>
      <c r="H16" s="132"/>
      <c r="I16" s="131"/>
      <c r="J16" s="132"/>
      <c r="K16" s="131"/>
      <c r="L16" s="132"/>
      <c r="M16" s="131"/>
      <c r="N16" s="143"/>
      <c r="O16" s="144"/>
      <c r="P16" s="144"/>
      <c r="Q16" s="145"/>
      <c r="R16" s="99" t="s">
        <v>131</v>
      </c>
    </row>
    <row r="17" spans="1:18" ht="15.75" customHeight="1">
      <c r="A17" s="78" t="s">
        <v>51</v>
      </c>
      <c r="B17" s="121">
        <f>_xlfn.COMPOUNDVALUE(537)</f>
        <v>7221</v>
      </c>
      <c r="C17" s="122">
        <v>46642969</v>
      </c>
      <c r="D17" s="121">
        <f>_xlfn.COMPOUNDVALUE(538)</f>
        <v>5030</v>
      </c>
      <c r="E17" s="122">
        <v>2569203</v>
      </c>
      <c r="F17" s="121">
        <f>_xlfn.COMPOUNDVALUE(539)</f>
        <v>12251</v>
      </c>
      <c r="G17" s="122">
        <v>49212172</v>
      </c>
      <c r="H17" s="121">
        <f>_xlfn.COMPOUNDVALUE(540)</f>
        <v>412</v>
      </c>
      <c r="I17" s="123">
        <v>1968714</v>
      </c>
      <c r="J17" s="121">
        <v>812</v>
      </c>
      <c r="K17" s="123">
        <v>189408</v>
      </c>
      <c r="L17" s="121">
        <v>12867</v>
      </c>
      <c r="M17" s="123">
        <v>47432865</v>
      </c>
      <c r="N17" s="121">
        <v>13377</v>
      </c>
      <c r="O17" s="139">
        <v>400</v>
      </c>
      <c r="P17" s="139">
        <v>31</v>
      </c>
      <c r="Q17" s="140">
        <v>13808</v>
      </c>
      <c r="R17" s="82" t="s">
        <v>51</v>
      </c>
    </row>
    <row r="18" spans="1:18" ht="15.75" customHeight="1">
      <c r="A18" s="81" t="s">
        <v>52</v>
      </c>
      <c r="B18" s="124">
        <f>_xlfn.COMPOUNDVALUE(541)</f>
        <v>2116</v>
      </c>
      <c r="C18" s="125">
        <v>9947497</v>
      </c>
      <c r="D18" s="124">
        <f>_xlfn.COMPOUNDVALUE(542)</f>
        <v>1575</v>
      </c>
      <c r="E18" s="125">
        <v>734745</v>
      </c>
      <c r="F18" s="124">
        <f>_xlfn.COMPOUNDVALUE(543)</f>
        <v>3691</v>
      </c>
      <c r="G18" s="125">
        <v>10682242</v>
      </c>
      <c r="H18" s="124">
        <f>_xlfn.COMPOUNDVALUE(544)</f>
        <v>143</v>
      </c>
      <c r="I18" s="126">
        <v>524369</v>
      </c>
      <c r="J18" s="124">
        <v>230</v>
      </c>
      <c r="K18" s="126">
        <v>31206</v>
      </c>
      <c r="L18" s="124">
        <v>3897</v>
      </c>
      <c r="M18" s="126">
        <v>10189078</v>
      </c>
      <c r="N18" s="121">
        <v>3847</v>
      </c>
      <c r="O18" s="139">
        <v>100</v>
      </c>
      <c r="P18" s="139">
        <v>12</v>
      </c>
      <c r="Q18" s="140">
        <v>3959</v>
      </c>
      <c r="R18" s="82" t="s">
        <v>52</v>
      </c>
    </row>
    <row r="19" spans="1:18" ht="15.75" customHeight="1">
      <c r="A19" s="81" t="s">
        <v>53</v>
      </c>
      <c r="B19" s="124">
        <f>_xlfn.COMPOUNDVALUE(545)</f>
        <v>5302</v>
      </c>
      <c r="C19" s="125">
        <v>25210385</v>
      </c>
      <c r="D19" s="124">
        <f>_xlfn.COMPOUNDVALUE(546)</f>
        <v>4234</v>
      </c>
      <c r="E19" s="125">
        <v>2014798</v>
      </c>
      <c r="F19" s="124">
        <f>_xlfn.COMPOUNDVALUE(547)</f>
        <v>9536</v>
      </c>
      <c r="G19" s="125">
        <v>27225183</v>
      </c>
      <c r="H19" s="124">
        <f>_xlfn.COMPOUNDVALUE(548)</f>
        <v>411</v>
      </c>
      <c r="I19" s="126">
        <v>2391766</v>
      </c>
      <c r="J19" s="124">
        <v>640</v>
      </c>
      <c r="K19" s="126">
        <v>125052</v>
      </c>
      <c r="L19" s="124">
        <v>10181</v>
      </c>
      <c r="M19" s="126">
        <v>24958469</v>
      </c>
      <c r="N19" s="121">
        <v>9847</v>
      </c>
      <c r="O19" s="139">
        <v>345</v>
      </c>
      <c r="P19" s="139">
        <v>24</v>
      </c>
      <c r="Q19" s="140">
        <v>10216</v>
      </c>
      <c r="R19" s="82" t="s">
        <v>53</v>
      </c>
    </row>
    <row r="20" spans="1:18" ht="15.75" customHeight="1">
      <c r="A20" s="81" t="s">
        <v>54</v>
      </c>
      <c r="B20" s="124">
        <f>_xlfn.COMPOUNDVALUE(549)</f>
        <v>1668</v>
      </c>
      <c r="C20" s="125">
        <v>6624815</v>
      </c>
      <c r="D20" s="124">
        <f>_xlfn.COMPOUNDVALUE(550)</f>
        <v>1233</v>
      </c>
      <c r="E20" s="125">
        <v>582994</v>
      </c>
      <c r="F20" s="124">
        <f>_xlfn.COMPOUNDVALUE(551)</f>
        <v>2901</v>
      </c>
      <c r="G20" s="125">
        <v>7207808</v>
      </c>
      <c r="H20" s="124">
        <f>_xlfn.COMPOUNDVALUE(552)</f>
        <v>116</v>
      </c>
      <c r="I20" s="126">
        <v>767981</v>
      </c>
      <c r="J20" s="124">
        <v>287</v>
      </c>
      <c r="K20" s="126">
        <v>52979</v>
      </c>
      <c r="L20" s="124">
        <v>3085</v>
      </c>
      <c r="M20" s="126">
        <v>6492806</v>
      </c>
      <c r="N20" s="121">
        <v>2950</v>
      </c>
      <c r="O20" s="139">
        <v>86</v>
      </c>
      <c r="P20" s="139">
        <v>4</v>
      </c>
      <c r="Q20" s="140">
        <v>3040</v>
      </c>
      <c r="R20" s="82" t="s">
        <v>54</v>
      </c>
    </row>
    <row r="21" spans="1:18" ht="15.75" customHeight="1">
      <c r="A21" s="81" t="s">
        <v>55</v>
      </c>
      <c r="B21" s="124">
        <f>_xlfn.COMPOUNDVALUE(553)</f>
        <v>2594</v>
      </c>
      <c r="C21" s="125">
        <v>10489426</v>
      </c>
      <c r="D21" s="124">
        <f>_xlfn.COMPOUNDVALUE(554)</f>
        <v>2084</v>
      </c>
      <c r="E21" s="125">
        <v>964441</v>
      </c>
      <c r="F21" s="124">
        <f>_xlfn.COMPOUNDVALUE(555)</f>
        <v>4678</v>
      </c>
      <c r="G21" s="125">
        <v>11453867</v>
      </c>
      <c r="H21" s="124">
        <f>_xlfn.COMPOUNDVALUE(556)</f>
        <v>159</v>
      </c>
      <c r="I21" s="126">
        <v>1111543</v>
      </c>
      <c r="J21" s="124">
        <v>323</v>
      </c>
      <c r="K21" s="126">
        <v>72010</v>
      </c>
      <c r="L21" s="124">
        <v>4896</v>
      </c>
      <c r="M21" s="126">
        <v>10414334</v>
      </c>
      <c r="N21" s="121">
        <v>4772</v>
      </c>
      <c r="O21" s="139">
        <v>122</v>
      </c>
      <c r="P21" s="139">
        <v>3</v>
      </c>
      <c r="Q21" s="140">
        <v>4897</v>
      </c>
      <c r="R21" s="82" t="s">
        <v>55</v>
      </c>
    </row>
    <row r="22" spans="1:18" ht="15.75" customHeight="1">
      <c r="A22" s="81" t="s">
        <v>56</v>
      </c>
      <c r="B22" s="124">
        <f>_xlfn.COMPOUNDVALUE(557)</f>
        <v>1657</v>
      </c>
      <c r="C22" s="125">
        <v>10356747</v>
      </c>
      <c r="D22" s="124">
        <f>_xlfn.COMPOUNDVALUE(558)</f>
        <v>1677</v>
      </c>
      <c r="E22" s="125">
        <v>746908</v>
      </c>
      <c r="F22" s="124">
        <f>_xlfn.COMPOUNDVALUE(559)</f>
        <v>3334</v>
      </c>
      <c r="G22" s="125">
        <v>11103655</v>
      </c>
      <c r="H22" s="124">
        <f>_xlfn.COMPOUNDVALUE(560)</f>
        <v>120</v>
      </c>
      <c r="I22" s="126">
        <v>624878</v>
      </c>
      <c r="J22" s="124">
        <v>183</v>
      </c>
      <c r="K22" s="126">
        <v>55118</v>
      </c>
      <c r="L22" s="124">
        <v>3530</v>
      </c>
      <c r="M22" s="126">
        <v>10533895</v>
      </c>
      <c r="N22" s="121">
        <v>3390</v>
      </c>
      <c r="O22" s="139">
        <v>111</v>
      </c>
      <c r="P22" s="139">
        <v>8</v>
      </c>
      <c r="Q22" s="140">
        <v>3509</v>
      </c>
      <c r="R22" s="82" t="s">
        <v>56</v>
      </c>
    </row>
    <row r="23" spans="1:18" ht="15.75" customHeight="1">
      <c r="A23" s="81" t="s">
        <v>57</v>
      </c>
      <c r="B23" s="124">
        <f>_xlfn.COMPOUNDVALUE(561)</f>
        <v>3015</v>
      </c>
      <c r="C23" s="125">
        <v>10226294</v>
      </c>
      <c r="D23" s="124">
        <f>_xlfn.COMPOUNDVALUE(562)</f>
        <v>2415</v>
      </c>
      <c r="E23" s="125">
        <v>1108345</v>
      </c>
      <c r="F23" s="124">
        <f>_xlfn.COMPOUNDVALUE(563)</f>
        <v>5430</v>
      </c>
      <c r="G23" s="125">
        <v>11334640</v>
      </c>
      <c r="H23" s="124">
        <f>_xlfn.COMPOUNDVALUE(564)</f>
        <v>178</v>
      </c>
      <c r="I23" s="126">
        <v>3480109</v>
      </c>
      <c r="J23" s="124">
        <v>472</v>
      </c>
      <c r="K23" s="126">
        <v>47046</v>
      </c>
      <c r="L23" s="124">
        <v>5759</v>
      </c>
      <c r="M23" s="126">
        <v>7901577</v>
      </c>
      <c r="N23" s="121">
        <v>5590</v>
      </c>
      <c r="O23" s="139">
        <v>149</v>
      </c>
      <c r="P23" s="139">
        <v>6</v>
      </c>
      <c r="Q23" s="140">
        <v>5745</v>
      </c>
      <c r="R23" s="82" t="s">
        <v>57</v>
      </c>
    </row>
    <row r="24" spans="1:18" ht="15.75" customHeight="1">
      <c r="A24" s="81" t="s">
        <v>58</v>
      </c>
      <c r="B24" s="124">
        <f>_xlfn.COMPOUNDVALUE(565)</f>
        <v>1753</v>
      </c>
      <c r="C24" s="125">
        <v>6875469</v>
      </c>
      <c r="D24" s="124">
        <f>_xlfn.COMPOUNDVALUE(566)</f>
        <v>1678</v>
      </c>
      <c r="E24" s="125">
        <v>746684</v>
      </c>
      <c r="F24" s="124">
        <f>_xlfn.COMPOUNDVALUE(567)</f>
        <v>3431</v>
      </c>
      <c r="G24" s="125">
        <v>7622153</v>
      </c>
      <c r="H24" s="124">
        <f>_xlfn.COMPOUNDVALUE(568)</f>
        <v>103</v>
      </c>
      <c r="I24" s="126">
        <v>517587</v>
      </c>
      <c r="J24" s="124">
        <v>186</v>
      </c>
      <c r="K24" s="126">
        <v>42342</v>
      </c>
      <c r="L24" s="124">
        <v>3594</v>
      </c>
      <c r="M24" s="126">
        <v>7146907</v>
      </c>
      <c r="N24" s="121">
        <v>3458</v>
      </c>
      <c r="O24" s="139">
        <v>88</v>
      </c>
      <c r="P24" s="139">
        <v>5</v>
      </c>
      <c r="Q24" s="140">
        <v>3551</v>
      </c>
      <c r="R24" s="82" t="s">
        <v>58</v>
      </c>
    </row>
    <row r="25" spans="1:18" ht="15.75" customHeight="1">
      <c r="A25" s="83" t="s">
        <v>59</v>
      </c>
      <c r="B25" s="127">
        <v>25326</v>
      </c>
      <c r="C25" s="128">
        <v>126373602</v>
      </c>
      <c r="D25" s="127">
        <v>19926</v>
      </c>
      <c r="E25" s="128">
        <v>9468118</v>
      </c>
      <c r="F25" s="127">
        <v>45252</v>
      </c>
      <c r="G25" s="128">
        <v>135841720</v>
      </c>
      <c r="H25" s="127">
        <v>1642</v>
      </c>
      <c r="I25" s="129">
        <v>11386947</v>
      </c>
      <c r="J25" s="127">
        <v>3133</v>
      </c>
      <c r="K25" s="129">
        <v>615160</v>
      </c>
      <c r="L25" s="127">
        <v>47809</v>
      </c>
      <c r="M25" s="129">
        <v>125069932</v>
      </c>
      <c r="N25" s="127">
        <v>47231</v>
      </c>
      <c r="O25" s="141">
        <v>1401</v>
      </c>
      <c r="P25" s="141">
        <v>93</v>
      </c>
      <c r="Q25" s="142">
        <v>48725</v>
      </c>
      <c r="R25" s="84" t="s">
        <v>60</v>
      </c>
    </row>
    <row r="26" spans="1:18" ht="15.75" customHeight="1">
      <c r="A26" s="85"/>
      <c r="B26" s="130"/>
      <c r="C26" s="131"/>
      <c r="D26" s="130"/>
      <c r="E26" s="131"/>
      <c r="F26" s="132"/>
      <c r="G26" s="131"/>
      <c r="H26" s="132"/>
      <c r="I26" s="131"/>
      <c r="J26" s="132"/>
      <c r="K26" s="131"/>
      <c r="L26" s="132"/>
      <c r="M26" s="131"/>
      <c r="N26" s="143"/>
      <c r="O26" s="144"/>
      <c r="P26" s="144"/>
      <c r="Q26" s="145"/>
      <c r="R26" s="99" t="s">
        <v>131</v>
      </c>
    </row>
    <row r="27" spans="1:18" ht="15.75" customHeight="1">
      <c r="A27" s="78" t="s">
        <v>61</v>
      </c>
      <c r="B27" s="121">
        <f>_xlfn.COMPOUNDVALUE(569)</f>
        <v>4961</v>
      </c>
      <c r="C27" s="122">
        <v>34856408</v>
      </c>
      <c r="D27" s="121">
        <f>_xlfn.COMPOUNDVALUE(570)</f>
        <v>3349</v>
      </c>
      <c r="E27" s="122">
        <v>1653536</v>
      </c>
      <c r="F27" s="121">
        <f>_xlfn.COMPOUNDVALUE(571)</f>
        <v>8310</v>
      </c>
      <c r="G27" s="122">
        <v>36509944</v>
      </c>
      <c r="H27" s="121">
        <f>_xlfn.COMPOUNDVALUE(572)</f>
        <v>336</v>
      </c>
      <c r="I27" s="123">
        <v>1145327</v>
      </c>
      <c r="J27" s="121">
        <v>815</v>
      </c>
      <c r="K27" s="123">
        <v>198270</v>
      </c>
      <c r="L27" s="121">
        <v>8801</v>
      </c>
      <c r="M27" s="123">
        <v>35562887</v>
      </c>
      <c r="N27" s="121">
        <v>9481</v>
      </c>
      <c r="O27" s="139">
        <v>270</v>
      </c>
      <c r="P27" s="139">
        <v>20</v>
      </c>
      <c r="Q27" s="140">
        <v>9771</v>
      </c>
      <c r="R27" s="82" t="s">
        <v>61</v>
      </c>
    </row>
    <row r="28" spans="1:18" ht="15.75" customHeight="1">
      <c r="A28" s="78" t="s">
        <v>62</v>
      </c>
      <c r="B28" s="121">
        <f>_xlfn.COMPOUNDVALUE(573)</f>
        <v>7074</v>
      </c>
      <c r="C28" s="122">
        <v>53069967</v>
      </c>
      <c r="D28" s="121">
        <f>_xlfn.COMPOUNDVALUE(574)</f>
        <v>4936</v>
      </c>
      <c r="E28" s="122">
        <v>2396818</v>
      </c>
      <c r="F28" s="121">
        <f>_xlfn.COMPOUNDVALUE(575)</f>
        <v>12010</v>
      </c>
      <c r="G28" s="122">
        <v>55466785</v>
      </c>
      <c r="H28" s="121">
        <f>_xlfn.COMPOUNDVALUE(576)</f>
        <v>457</v>
      </c>
      <c r="I28" s="123">
        <v>8158831</v>
      </c>
      <c r="J28" s="121">
        <v>764</v>
      </c>
      <c r="K28" s="123">
        <v>268890</v>
      </c>
      <c r="L28" s="121">
        <v>12658</v>
      </c>
      <c r="M28" s="123">
        <v>47576844</v>
      </c>
      <c r="N28" s="121">
        <v>12398</v>
      </c>
      <c r="O28" s="139">
        <v>352</v>
      </c>
      <c r="P28" s="139">
        <v>43</v>
      </c>
      <c r="Q28" s="140">
        <v>12793</v>
      </c>
      <c r="R28" s="82" t="s">
        <v>62</v>
      </c>
    </row>
    <row r="29" spans="1:18" ht="15.75" customHeight="1">
      <c r="A29" s="81" t="s">
        <v>63</v>
      </c>
      <c r="B29" s="124">
        <f>_xlfn.COMPOUNDVALUE(577)</f>
        <v>2496</v>
      </c>
      <c r="C29" s="125">
        <v>10807606</v>
      </c>
      <c r="D29" s="124">
        <f>_xlfn.COMPOUNDVALUE(578)</f>
        <v>1784</v>
      </c>
      <c r="E29" s="125">
        <v>815281</v>
      </c>
      <c r="F29" s="124">
        <f>_xlfn.COMPOUNDVALUE(579)</f>
        <v>4280</v>
      </c>
      <c r="G29" s="125">
        <v>11622886</v>
      </c>
      <c r="H29" s="124">
        <f>_xlfn.COMPOUNDVALUE(580)</f>
        <v>141</v>
      </c>
      <c r="I29" s="126">
        <v>2374147</v>
      </c>
      <c r="J29" s="124">
        <v>311</v>
      </c>
      <c r="K29" s="126">
        <v>28768</v>
      </c>
      <c r="L29" s="124">
        <v>4499</v>
      </c>
      <c r="M29" s="126">
        <v>9277508</v>
      </c>
      <c r="N29" s="121">
        <v>4327</v>
      </c>
      <c r="O29" s="139">
        <v>100</v>
      </c>
      <c r="P29" s="139">
        <v>10</v>
      </c>
      <c r="Q29" s="140">
        <v>4437</v>
      </c>
      <c r="R29" s="82" t="s">
        <v>63</v>
      </c>
    </row>
    <row r="30" spans="1:18" ht="15.75" customHeight="1">
      <c r="A30" s="81" t="s">
        <v>64</v>
      </c>
      <c r="B30" s="124">
        <f>_xlfn.COMPOUNDVALUE(581)</f>
        <v>3270</v>
      </c>
      <c r="C30" s="125">
        <v>16765382</v>
      </c>
      <c r="D30" s="124">
        <f>_xlfn.COMPOUNDVALUE(582)</f>
        <v>2129</v>
      </c>
      <c r="E30" s="125">
        <v>1049510</v>
      </c>
      <c r="F30" s="124">
        <f>_xlfn.COMPOUNDVALUE(583)</f>
        <v>5399</v>
      </c>
      <c r="G30" s="125">
        <v>17814892</v>
      </c>
      <c r="H30" s="124">
        <f>_xlfn.COMPOUNDVALUE(584)</f>
        <v>328</v>
      </c>
      <c r="I30" s="126">
        <v>4874154</v>
      </c>
      <c r="J30" s="124">
        <v>328</v>
      </c>
      <c r="K30" s="126">
        <v>30122</v>
      </c>
      <c r="L30" s="124">
        <v>5811</v>
      </c>
      <c r="M30" s="126">
        <v>12970860</v>
      </c>
      <c r="N30" s="121">
        <v>5723</v>
      </c>
      <c r="O30" s="139">
        <v>242</v>
      </c>
      <c r="P30" s="139">
        <v>17</v>
      </c>
      <c r="Q30" s="140">
        <v>5982</v>
      </c>
      <c r="R30" s="82" t="s">
        <v>64</v>
      </c>
    </row>
    <row r="31" spans="1:18" ht="15.75" customHeight="1">
      <c r="A31" s="81" t="s">
        <v>65</v>
      </c>
      <c r="B31" s="124">
        <f>_xlfn.COMPOUNDVALUE(585)</f>
        <v>1403</v>
      </c>
      <c r="C31" s="125">
        <v>4393594</v>
      </c>
      <c r="D31" s="124">
        <f>_xlfn.COMPOUNDVALUE(586)</f>
        <v>1291</v>
      </c>
      <c r="E31" s="125">
        <v>534567</v>
      </c>
      <c r="F31" s="124">
        <f>_xlfn.COMPOUNDVALUE(587)</f>
        <v>2694</v>
      </c>
      <c r="G31" s="125">
        <v>4928162</v>
      </c>
      <c r="H31" s="124">
        <f>_xlfn.COMPOUNDVALUE(588)</f>
        <v>66</v>
      </c>
      <c r="I31" s="126">
        <v>94303</v>
      </c>
      <c r="J31" s="124">
        <v>219</v>
      </c>
      <c r="K31" s="126">
        <v>58526</v>
      </c>
      <c r="L31" s="124">
        <v>2871</v>
      </c>
      <c r="M31" s="126">
        <v>4892384</v>
      </c>
      <c r="N31" s="121">
        <v>2647</v>
      </c>
      <c r="O31" s="139">
        <v>82</v>
      </c>
      <c r="P31" s="139">
        <v>2</v>
      </c>
      <c r="Q31" s="140">
        <v>2731</v>
      </c>
      <c r="R31" s="82" t="s">
        <v>65</v>
      </c>
    </row>
    <row r="32" spans="1:18" ht="15.75" customHeight="1">
      <c r="A32" s="81" t="s">
        <v>66</v>
      </c>
      <c r="B32" s="124">
        <f>_xlfn.COMPOUNDVALUE(589)</f>
        <v>5322</v>
      </c>
      <c r="C32" s="125">
        <v>30806329</v>
      </c>
      <c r="D32" s="124">
        <f>_xlfn.COMPOUNDVALUE(590)</f>
        <v>3824</v>
      </c>
      <c r="E32" s="125">
        <v>1849604</v>
      </c>
      <c r="F32" s="124">
        <f>_xlfn.COMPOUNDVALUE(591)</f>
        <v>9146</v>
      </c>
      <c r="G32" s="125">
        <v>32655933</v>
      </c>
      <c r="H32" s="124">
        <f>_xlfn.COMPOUNDVALUE(592)</f>
        <v>497</v>
      </c>
      <c r="I32" s="126">
        <v>2390588</v>
      </c>
      <c r="J32" s="124">
        <v>713</v>
      </c>
      <c r="K32" s="126">
        <v>36875</v>
      </c>
      <c r="L32" s="124">
        <v>9859</v>
      </c>
      <c r="M32" s="126">
        <v>30302220</v>
      </c>
      <c r="N32" s="121">
        <v>9927</v>
      </c>
      <c r="O32" s="139">
        <v>398</v>
      </c>
      <c r="P32" s="139">
        <v>52</v>
      </c>
      <c r="Q32" s="140">
        <v>10377</v>
      </c>
      <c r="R32" s="82" t="s">
        <v>66</v>
      </c>
    </row>
    <row r="33" spans="1:18" ht="15.75" customHeight="1">
      <c r="A33" s="81" t="s">
        <v>67</v>
      </c>
      <c r="B33" s="124">
        <f>_xlfn.COMPOUNDVALUE(593)</f>
        <v>837</v>
      </c>
      <c r="C33" s="125">
        <v>2877935</v>
      </c>
      <c r="D33" s="124">
        <f>_xlfn.COMPOUNDVALUE(594)</f>
        <v>610</v>
      </c>
      <c r="E33" s="125">
        <v>279696</v>
      </c>
      <c r="F33" s="124">
        <f>_xlfn.COMPOUNDVALUE(595)</f>
        <v>1447</v>
      </c>
      <c r="G33" s="125">
        <v>3157631</v>
      </c>
      <c r="H33" s="124">
        <f>_xlfn.COMPOUNDVALUE(596)</f>
        <v>56</v>
      </c>
      <c r="I33" s="126">
        <v>140038</v>
      </c>
      <c r="J33" s="124">
        <v>133</v>
      </c>
      <c r="K33" s="126">
        <v>20142</v>
      </c>
      <c r="L33" s="124">
        <v>1540</v>
      </c>
      <c r="M33" s="126">
        <v>3037735</v>
      </c>
      <c r="N33" s="121">
        <v>1616</v>
      </c>
      <c r="O33" s="139">
        <v>43</v>
      </c>
      <c r="P33" s="139">
        <v>2</v>
      </c>
      <c r="Q33" s="140">
        <v>1661</v>
      </c>
      <c r="R33" s="82" t="s">
        <v>67</v>
      </c>
    </row>
    <row r="34" spans="1:18" ht="15.75" customHeight="1">
      <c r="A34" s="81" t="s">
        <v>68</v>
      </c>
      <c r="B34" s="124">
        <f>_xlfn.COMPOUNDVALUE(597)</f>
        <v>1044</v>
      </c>
      <c r="C34" s="125">
        <v>4087160</v>
      </c>
      <c r="D34" s="124">
        <f>_xlfn.COMPOUNDVALUE(598)</f>
        <v>1008</v>
      </c>
      <c r="E34" s="125">
        <v>437368</v>
      </c>
      <c r="F34" s="124">
        <f>_xlfn.COMPOUNDVALUE(599)</f>
        <v>2052</v>
      </c>
      <c r="G34" s="125">
        <v>4524528</v>
      </c>
      <c r="H34" s="124">
        <f>_xlfn.COMPOUNDVALUE(600)</f>
        <v>49</v>
      </c>
      <c r="I34" s="126">
        <v>90078</v>
      </c>
      <c r="J34" s="124">
        <v>135</v>
      </c>
      <c r="K34" s="126">
        <v>30929</v>
      </c>
      <c r="L34" s="124">
        <v>2129</v>
      </c>
      <c r="M34" s="126">
        <v>4465378</v>
      </c>
      <c r="N34" s="121">
        <v>2022</v>
      </c>
      <c r="O34" s="139">
        <v>39</v>
      </c>
      <c r="P34" s="139">
        <v>2</v>
      </c>
      <c r="Q34" s="140">
        <v>2063</v>
      </c>
      <c r="R34" s="82" t="s">
        <v>68</v>
      </c>
    </row>
    <row r="35" spans="1:18" ht="15.75" customHeight="1">
      <c r="A35" s="81" t="s">
        <v>69</v>
      </c>
      <c r="B35" s="124">
        <f>_xlfn.COMPOUNDVALUE(601)</f>
        <v>1103</v>
      </c>
      <c r="C35" s="125">
        <v>3262802</v>
      </c>
      <c r="D35" s="124">
        <f>_xlfn.COMPOUNDVALUE(602)</f>
        <v>887</v>
      </c>
      <c r="E35" s="125">
        <v>448496</v>
      </c>
      <c r="F35" s="124">
        <f>_xlfn.COMPOUNDVALUE(603)</f>
        <v>1990</v>
      </c>
      <c r="G35" s="125">
        <v>3711298</v>
      </c>
      <c r="H35" s="124">
        <f>_xlfn.COMPOUNDVALUE(604)</f>
        <v>53</v>
      </c>
      <c r="I35" s="126">
        <v>93695</v>
      </c>
      <c r="J35" s="124">
        <v>108</v>
      </c>
      <c r="K35" s="126">
        <v>31641</v>
      </c>
      <c r="L35" s="124">
        <v>2073</v>
      </c>
      <c r="M35" s="126">
        <v>3649244</v>
      </c>
      <c r="N35" s="121">
        <v>1984</v>
      </c>
      <c r="O35" s="139">
        <v>66</v>
      </c>
      <c r="P35" s="139" t="s">
        <v>168</v>
      </c>
      <c r="Q35" s="140">
        <v>2050</v>
      </c>
      <c r="R35" s="82" t="s">
        <v>69</v>
      </c>
    </row>
    <row r="36" spans="1:18" ht="15.75" customHeight="1">
      <c r="A36" s="83" t="s">
        <v>70</v>
      </c>
      <c r="B36" s="127">
        <v>27510</v>
      </c>
      <c r="C36" s="128">
        <v>160927182</v>
      </c>
      <c r="D36" s="127">
        <v>19818</v>
      </c>
      <c r="E36" s="128">
        <v>9464875</v>
      </c>
      <c r="F36" s="127">
        <v>47328</v>
      </c>
      <c r="G36" s="128">
        <v>170392057</v>
      </c>
      <c r="H36" s="127">
        <v>1983</v>
      </c>
      <c r="I36" s="129">
        <v>19361161</v>
      </c>
      <c r="J36" s="127">
        <v>3526</v>
      </c>
      <c r="K36" s="129">
        <v>704163</v>
      </c>
      <c r="L36" s="127">
        <v>50241</v>
      </c>
      <c r="M36" s="129">
        <v>151735060</v>
      </c>
      <c r="N36" s="127">
        <v>50125</v>
      </c>
      <c r="O36" s="141">
        <v>1592</v>
      </c>
      <c r="P36" s="141">
        <v>148</v>
      </c>
      <c r="Q36" s="142">
        <v>51865</v>
      </c>
      <c r="R36" s="84" t="s">
        <v>71</v>
      </c>
    </row>
    <row r="37" spans="1:18" ht="15.75" customHeight="1">
      <c r="A37" s="85"/>
      <c r="B37" s="130"/>
      <c r="C37" s="131"/>
      <c r="D37" s="130"/>
      <c r="E37" s="131"/>
      <c r="F37" s="132"/>
      <c r="G37" s="131"/>
      <c r="H37" s="132"/>
      <c r="I37" s="131"/>
      <c r="J37" s="132"/>
      <c r="K37" s="131"/>
      <c r="L37" s="132"/>
      <c r="M37" s="131"/>
      <c r="N37" s="143"/>
      <c r="O37" s="144"/>
      <c r="P37" s="144"/>
      <c r="Q37" s="145"/>
      <c r="R37" s="99" t="s">
        <v>131</v>
      </c>
    </row>
    <row r="38" spans="1:18" ht="15.75" customHeight="1">
      <c r="A38" s="78" t="s">
        <v>72</v>
      </c>
      <c r="B38" s="121">
        <f>_xlfn.COMPOUNDVALUE(605)</f>
        <v>8657</v>
      </c>
      <c r="C38" s="122">
        <v>42439952</v>
      </c>
      <c r="D38" s="121">
        <f>_xlfn.COMPOUNDVALUE(606)</f>
        <v>6907</v>
      </c>
      <c r="E38" s="122">
        <v>3566874</v>
      </c>
      <c r="F38" s="121">
        <f>_xlfn.COMPOUNDVALUE(607)</f>
        <v>15564</v>
      </c>
      <c r="G38" s="122">
        <v>46006826</v>
      </c>
      <c r="H38" s="121">
        <f>_xlfn.COMPOUNDVALUE(608)</f>
        <v>710</v>
      </c>
      <c r="I38" s="123">
        <v>3064285</v>
      </c>
      <c r="J38" s="121">
        <v>1019</v>
      </c>
      <c r="K38" s="123">
        <v>146652</v>
      </c>
      <c r="L38" s="121">
        <v>16669</v>
      </c>
      <c r="M38" s="123">
        <v>43089194</v>
      </c>
      <c r="N38" s="121">
        <v>17047</v>
      </c>
      <c r="O38" s="139">
        <v>493</v>
      </c>
      <c r="P38" s="139">
        <v>47</v>
      </c>
      <c r="Q38" s="140">
        <v>17587</v>
      </c>
      <c r="R38" s="82" t="s">
        <v>72</v>
      </c>
    </row>
    <row r="39" spans="1:18" ht="15.75" customHeight="1">
      <c r="A39" s="78" t="s">
        <v>73</v>
      </c>
      <c r="B39" s="121">
        <f>_xlfn.COMPOUNDVALUE(609)</f>
        <v>4206</v>
      </c>
      <c r="C39" s="122">
        <v>20190098</v>
      </c>
      <c r="D39" s="121">
        <f>_xlfn.COMPOUNDVALUE(610)</f>
        <v>3298</v>
      </c>
      <c r="E39" s="122">
        <v>1527286</v>
      </c>
      <c r="F39" s="121">
        <f>_xlfn.COMPOUNDVALUE(611)</f>
        <v>7504</v>
      </c>
      <c r="G39" s="122">
        <v>21717384</v>
      </c>
      <c r="H39" s="121">
        <f>_xlfn.COMPOUNDVALUE(612)</f>
        <v>308</v>
      </c>
      <c r="I39" s="123">
        <v>693498</v>
      </c>
      <c r="J39" s="121">
        <v>523</v>
      </c>
      <c r="K39" s="123">
        <v>193344</v>
      </c>
      <c r="L39" s="121">
        <v>7979</v>
      </c>
      <c r="M39" s="123">
        <v>21217230</v>
      </c>
      <c r="N39" s="121">
        <v>7947</v>
      </c>
      <c r="O39" s="139">
        <v>229</v>
      </c>
      <c r="P39" s="139">
        <v>25</v>
      </c>
      <c r="Q39" s="140">
        <v>8201</v>
      </c>
      <c r="R39" s="82" t="s">
        <v>73</v>
      </c>
    </row>
    <row r="40" spans="1:18" ht="15.75" customHeight="1">
      <c r="A40" s="78" t="s">
        <v>74</v>
      </c>
      <c r="B40" s="121">
        <f>_xlfn.COMPOUNDVALUE(613)</f>
        <v>9284</v>
      </c>
      <c r="C40" s="122">
        <v>36827758</v>
      </c>
      <c r="D40" s="121">
        <f>_xlfn.COMPOUNDVALUE(614)</f>
        <v>6863</v>
      </c>
      <c r="E40" s="122">
        <v>3633736</v>
      </c>
      <c r="F40" s="121">
        <f>_xlfn.COMPOUNDVALUE(615)</f>
        <v>16147</v>
      </c>
      <c r="G40" s="122">
        <v>40461494</v>
      </c>
      <c r="H40" s="121">
        <f>_xlfn.COMPOUNDVALUE(616)</f>
        <v>811</v>
      </c>
      <c r="I40" s="123">
        <v>2758626</v>
      </c>
      <c r="J40" s="121">
        <v>1448</v>
      </c>
      <c r="K40" s="123">
        <v>359311</v>
      </c>
      <c r="L40" s="121">
        <v>17558</v>
      </c>
      <c r="M40" s="123">
        <v>38062179</v>
      </c>
      <c r="N40" s="121">
        <v>17862</v>
      </c>
      <c r="O40" s="139">
        <v>458</v>
      </c>
      <c r="P40" s="139">
        <v>63</v>
      </c>
      <c r="Q40" s="140">
        <v>18383</v>
      </c>
      <c r="R40" s="82" t="s">
        <v>74</v>
      </c>
    </row>
    <row r="41" spans="1:18" ht="15.75" customHeight="1">
      <c r="A41" s="78" t="s">
        <v>75</v>
      </c>
      <c r="B41" s="121">
        <f>_xlfn.COMPOUNDVALUE(617)</f>
        <v>4882</v>
      </c>
      <c r="C41" s="122">
        <v>24413103</v>
      </c>
      <c r="D41" s="121">
        <f>_xlfn.COMPOUNDVALUE(618)</f>
        <v>3377</v>
      </c>
      <c r="E41" s="122">
        <v>1973745</v>
      </c>
      <c r="F41" s="121">
        <f>_xlfn.COMPOUNDVALUE(619)</f>
        <v>8259</v>
      </c>
      <c r="G41" s="122">
        <v>26386848</v>
      </c>
      <c r="H41" s="121">
        <f>_xlfn.COMPOUNDVALUE(620)</f>
        <v>617</v>
      </c>
      <c r="I41" s="123">
        <v>2234631</v>
      </c>
      <c r="J41" s="121">
        <v>797</v>
      </c>
      <c r="K41" s="123">
        <v>83470</v>
      </c>
      <c r="L41" s="121">
        <v>9221</v>
      </c>
      <c r="M41" s="123">
        <v>24235686</v>
      </c>
      <c r="N41" s="121">
        <v>9316</v>
      </c>
      <c r="O41" s="139">
        <v>350</v>
      </c>
      <c r="P41" s="139">
        <v>38</v>
      </c>
      <c r="Q41" s="140">
        <v>9704</v>
      </c>
      <c r="R41" s="82" t="s">
        <v>75</v>
      </c>
    </row>
    <row r="42" spans="1:18" ht="15.75" customHeight="1">
      <c r="A42" s="78" t="s">
        <v>76</v>
      </c>
      <c r="B42" s="121">
        <f>_xlfn.COMPOUNDVALUE(621)</f>
        <v>6587</v>
      </c>
      <c r="C42" s="122">
        <v>48039439</v>
      </c>
      <c r="D42" s="121">
        <f>_xlfn.COMPOUNDVALUE(622)</f>
        <v>5058</v>
      </c>
      <c r="E42" s="122">
        <v>2936379</v>
      </c>
      <c r="F42" s="121">
        <f>_xlfn.COMPOUNDVALUE(623)</f>
        <v>11645</v>
      </c>
      <c r="G42" s="122">
        <v>50975818</v>
      </c>
      <c r="H42" s="121">
        <f>_xlfn.COMPOUNDVALUE(624)</f>
        <v>692</v>
      </c>
      <c r="I42" s="123">
        <v>4316089</v>
      </c>
      <c r="J42" s="121">
        <v>1034</v>
      </c>
      <c r="K42" s="123">
        <v>130624</v>
      </c>
      <c r="L42" s="121">
        <v>12648</v>
      </c>
      <c r="M42" s="123">
        <v>46790352</v>
      </c>
      <c r="N42" s="121">
        <v>12578</v>
      </c>
      <c r="O42" s="139">
        <v>543</v>
      </c>
      <c r="P42" s="139">
        <v>40</v>
      </c>
      <c r="Q42" s="140">
        <v>13161</v>
      </c>
      <c r="R42" s="82" t="s">
        <v>76</v>
      </c>
    </row>
    <row r="43" spans="1:18" ht="15.75" customHeight="1">
      <c r="A43" s="78" t="s">
        <v>77</v>
      </c>
      <c r="B43" s="121">
        <f>_xlfn.COMPOUNDVALUE(625)</f>
        <v>5962</v>
      </c>
      <c r="C43" s="122">
        <v>48944416</v>
      </c>
      <c r="D43" s="121">
        <f>_xlfn.COMPOUNDVALUE(626)</f>
        <v>4003</v>
      </c>
      <c r="E43" s="122">
        <v>2281840</v>
      </c>
      <c r="F43" s="121">
        <f>_xlfn.COMPOUNDVALUE(627)</f>
        <v>9965</v>
      </c>
      <c r="G43" s="122">
        <v>51226257</v>
      </c>
      <c r="H43" s="121">
        <f>_xlfn.COMPOUNDVALUE(628)</f>
        <v>598</v>
      </c>
      <c r="I43" s="123">
        <v>3489303</v>
      </c>
      <c r="J43" s="121">
        <v>776</v>
      </c>
      <c r="K43" s="123">
        <v>194634</v>
      </c>
      <c r="L43" s="121">
        <v>10840</v>
      </c>
      <c r="M43" s="123">
        <v>47931587</v>
      </c>
      <c r="N43" s="121">
        <v>10637</v>
      </c>
      <c r="O43" s="139">
        <v>390</v>
      </c>
      <c r="P43" s="139">
        <v>48</v>
      </c>
      <c r="Q43" s="140">
        <v>11075</v>
      </c>
      <c r="R43" s="82" t="s">
        <v>77</v>
      </c>
    </row>
    <row r="44" spans="1:18" ht="15.75" customHeight="1">
      <c r="A44" s="78" t="s">
        <v>78</v>
      </c>
      <c r="B44" s="121">
        <f>_xlfn.COMPOUNDVALUE(629)</f>
        <v>2693</v>
      </c>
      <c r="C44" s="122">
        <v>12811145</v>
      </c>
      <c r="D44" s="121">
        <f>_xlfn.COMPOUNDVALUE(630)</f>
        <v>2091</v>
      </c>
      <c r="E44" s="122">
        <v>918735</v>
      </c>
      <c r="F44" s="121">
        <f>_xlfn.COMPOUNDVALUE(631)</f>
        <v>4784</v>
      </c>
      <c r="G44" s="122">
        <v>13729879</v>
      </c>
      <c r="H44" s="121">
        <f>_xlfn.COMPOUNDVALUE(632)</f>
        <v>236</v>
      </c>
      <c r="I44" s="123">
        <v>1999988</v>
      </c>
      <c r="J44" s="121">
        <v>291</v>
      </c>
      <c r="K44" s="123">
        <v>34461</v>
      </c>
      <c r="L44" s="121">
        <v>5136</v>
      </c>
      <c r="M44" s="123">
        <v>11764352</v>
      </c>
      <c r="N44" s="121">
        <v>5090</v>
      </c>
      <c r="O44" s="139">
        <v>179</v>
      </c>
      <c r="P44" s="139">
        <v>15</v>
      </c>
      <c r="Q44" s="140">
        <v>5284</v>
      </c>
      <c r="R44" s="82" t="s">
        <v>78</v>
      </c>
    </row>
    <row r="45" spans="1:18" ht="15.75" customHeight="1">
      <c r="A45" s="78" t="s">
        <v>79</v>
      </c>
      <c r="B45" s="121">
        <f>_xlfn.COMPOUNDVALUE(633)</f>
        <v>1302</v>
      </c>
      <c r="C45" s="122">
        <v>5902699</v>
      </c>
      <c r="D45" s="121">
        <f>_xlfn.COMPOUNDVALUE(634)</f>
        <v>1077</v>
      </c>
      <c r="E45" s="122">
        <v>496847</v>
      </c>
      <c r="F45" s="121">
        <f>_xlfn.COMPOUNDVALUE(635)</f>
        <v>2379</v>
      </c>
      <c r="G45" s="122">
        <v>6399546</v>
      </c>
      <c r="H45" s="121">
        <f>_xlfn.COMPOUNDVALUE(636)</f>
        <v>68</v>
      </c>
      <c r="I45" s="123">
        <v>135538</v>
      </c>
      <c r="J45" s="121">
        <v>203</v>
      </c>
      <c r="K45" s="123">
        <v>26011</v>
      </c>
      <c r="L45" s="121">
        <v>2483</v>
      </c>
      <c r="M45" s="123">
        <v>6290019</v>
      </c>
      <c r="N45" s="121">
        <v>2397</v>
      </c>
      <c r="O45" s="139">
        <v>36</v>
      </c>
      <c r="P45" s="139">
        <v>6</v>
      </c>
      <c r="Q45" s="140">
        <v>2439</v>
      </c>
      <c r="R45" s="82" t="s">
        <v>79</v>
      </c>
    </row>
    <row r="46" spans="1:18" ht="15.75" customHeight="1">
      <c r="A46" s="81" t="s">
        <v>80</v>
      </c>
      <c r="B46" s="124">
        <f>_xlfn.COMPOUNDVALUE(637)</f>
        <v>6886</v>
      </c>
      <c r="C46" s="125">
        <v>28765585</v>
      </c>
      <c r="D46" s="124">
        <f>_xlfn.COMPOUNDVALUE(638)</f>
        <v>5647</v>
      </c>
      <c r="E46" s="125">
        <v>2878378</v>
      </c>
      <c r="F46" s="124">
        <f>_xlfn.COMPOUNDVALUE(639)</f>
        <v>12533</v>
      </c>
      <c r="G46" s="125">
        <v>31643963</v>
      </c>
      <c r="H46" s="124">
        <f>_xlfn.COMPOUNDVALUE(640)</f>
        <v>566</v>
      </c>
      <c r="I46" s="126">
        <v>2115380</v>
      </c>
      <c r="J46" s="124">
        <v>961</v>
      </c>
      <c r="K46" s="126">
        <v>126091</v>
      </c>
      <c r="L46" s="124">
        <v>13431</v>
      </c>
      <c r="M46" s="126">
        <v>29654674</v>
      </c>
      <c r="N46" s="121">
        <v>13586</v>
      </c>
      <c r="O46" s="139">
        <v>379</v>
      </c>
      <c r="P46" s="139">
        <v>31</v>
      </c>
      <c r="Q46" s="140">
        <v>13996</v>
      </c>
      <c r="R46" s="82" t="s">
        <v>80</v>
      </c>
    </row>
    <row r="47" spans="1:18" ht="15.75" customHeight="1">
      <c r="A47" s="81" t="s">
        <v>81</v>
      </c>
      <c r="B47" s="124">
        <f>_xlfn.COMPOUNDVALUE(641)</f>
        <v>1577</v>
      </c>
      <c r="C47" s="125">
        <v>11785803</v>
      </c>
      <c r="D47" s="124">
        <f>_xlfn.COMPOUNDVALUE(642)</f>
        <v>1210</v>
      </c>
      <c r="E47" s="125">
        <v>557631</v>
      </c>
      <c r="F47" s="124">
        <f>_xlfn.COMPOUNDVALUE(643)</f>
        <v>2787</v>
      </c>
      <c r="G47" s="125">
        <v>12343434</v>
      </c>
      <c r="H47" s="124">
        <f>_xlfn.COMPOUNDVALUE(644)</f>
        <v>136</v>
      </c>
      <c r="I47" s="126">
        <v>928015</v>
      </c>
      <c r="J47" s="124">
        <v>294</v>
      </c>
      <c r="K47" s="126">
        <v>105188</v>
      </c>
      <c r="L47" s="124">
        <v>3016</v>
      </c>
      <c r="M47" s="126">
        <v>11520607</v>
      </c>
      <c r="N47" s="121">
        <v>2958</v>
      </c>
      <c r="O47" s="139">
        <v>110</v>
      </c>
      <c r="P47" s="139">
        <v>4</v>
      </c>
      <c r="Q47" s="140">
        <v>3072</v>
      </c>
      <c r="R47" s="82" t="s">
        <v>81</v>
      </c>
    </row>
    <row r="48" spans="1:18" ht="15.75" customHeight="1">
      <c r="A48" s="81" t="s">
        <v>82</v>
      </c>
      <c r="B48" s="124">
        <f>_xlfn.COMPOUNDVALUE(645)</f>
        <v>2334</v>
      </c>
      <c r="C48" s="125">
        <v>10933786</v>
      </c>
      <c r="D48" s="124">
        <f>_xlfn.COMPOUNDVALUE(646)</f>
        <v>1748</v>
      </c>
      <c r="E48" s="125">
        <v>806363</v>
      </c>
      <c r="F48" s="124">
        <f>_xlfn.COMPOUNDVALUE(647)</f>
        <v>4082</v>
      </c>
      <c r="G48" s="125">
        <v>11740149</v>
      </c>
      <c r="H48" s="124">
        <f>_xlfn.COMPOUNDVALUE(648)</f>
        <v>187</v>
      </c>
      <c r="I48" s="126">
        <v>946913</v>
      </c>
      <c r="J48" s="124">
        <v>378</v>
      </c>
      <c r="K48" s="126">
        <v>58751</v>
      </c>
      <c r="L48" s="124">
        <v>4363</v>
      </c>
      <c r="M48" s="126">
        <v>10851986</v>
      </c>
      <c r="N48" s="121">
        <v>4386</v>
      </c>
      <c r="O48" s="139">
        <v>120</v>
      </c>
      <c r="P48" s="139">
        <v>12</v>
      </c>
      <c r="Q48" s="140">
        <v>4518</v>
      </c>
      <c r="R48" s="82" t="s">
        <v>82</v>
      </c>
    </row>
    <row r="49" spans="1:18" ht="15.75" customHeight="1">
      <c r="A49" s="81" t="s">
        <v>83</v>
      </c>
      <c r="B49" s="124">
        <f>_xlfn.COMPOUNDVALUE(649)</f>
        <v>7233</v>
      </c>
      <c r="C49" s="125">
        <v>28413015</v>
      </c>
      <c r="D49" s="124">
        <f>_xlfn.COMPOUNDVALUE(650)</f>
        <v>5654</v>
      </c>
      <c r="E49" s="125">
        <v>2799701</v>
      </c>
      <c r="F49" s="124">
        <f>_xlfn.COMPOUNDVALUE(651)</f>
        <v>12887</v>
      </c>
      <c r="G49" s="125">
        <v>31212716</v>
      </c>
      <c r="H49" s="124">
        <f>_xlfn.COMPOUNDVALUE(652)</f>
        <v>760</v>
      </c>
      <c r="I49" s="126">
        <v>4172343</v>
      </c>
      <c r="J49" s="124">
        <v>821</v>
      </c>
      <c r="K49" s="126">
        <v>246391</v>
      </c>
      <c r="L49" s="124">
        <v>13952</v>
      </c>
      <c r="M49" s="126">
        <v>27286764</v>
      </c>
      <c r="N49" s="121">
        <v>13833</v>
      </c>
      <c r="O49" s="139">
        <v>502</v>
      </c>
      <c r="P49" s="139">
        <v>32</v>
      </c>
      <c r="Q49" s="140">
        <v>14367</v>
      </c>
      <c r="R49" s="82" t="s">
        <v>83</v>
      </c>
    </row>
    <row r="50" spans="1:18" ht="15.75" customHeight="1">
      <c r="A50" s="81" t="s">
        <v>84</v>
      </c>
      <c r="B50" s="124">
        <f>_xlfn.COMPOUNDVALUE(653)</f>
        <v>4583</v>
      </c>
      <c r="C50" s="125">
        <v>25024524</v>
      </c>
      <c r="D50" s="124">
        <f>_xlfn.COMPOUNDVALUE(654)</f>
        <v>3701</v>
      </c>
      <c r="E50" s="125">
        <v>1839991</v>
      </c>
      <c r="F50" s="124">
        <f>_xlfn.COMPOUNDVALUE(655)</f>
        <v>8284</v>
      </c>
      <c r="G50" s="125">
        <v>26864515</v>
      </c>
      <c r="H50" s="124">
        <f>_xlfn.COMPOUNDVALUE(656)</f>
        <v>328</v>
      </c>
      <c r="I50" s="126">
        <v>1106083</v>
      </c>
      <c r="J50" s="124">
        <v>747</v>
      </c>
      <c r="K50" s="126">
        <v>155476</v>
      </c>
      <c r="L50" s="124">
        <v>8843</v>
      </c>
      <c r="M50" s="126">
        <v>25913908</v>
      </c>
      <c r="N50" s="121">
        <v>8627</v>
      </c>
      <c r="O50" s="139">
        <v>237</v>
      </c>
      <c r="P50" s="139">
        <v>12</v>
      </c>
      <c r="Q50" s="140">
        <v>8876</v>
      </c>
      <c r="R50" s="82" t="s">
        <v>84</v>
      </c>
    </row>
    <row r="51" spans="1:18" ht="15.75" customHeight="1">
      <c r="A51" s="81" t="s">
        <v>85</v>
      </c>
      <c r="B51" s="124">
        <f>_xlfn.COMPOUNDVALUE(657)</f>
        <v>8438</v>
      </c>
      <c r="C51" s="125">
        <v>36820462</v>
      </c>
      <c r="D51" s="124">
        <f>_xlfn.COMPOUNDVALUE(658)</f>
        <v>6148</v>
      </c>
      <c r="E51" s="125">
        <v>3219966</v>
      </c>
      <c r="F51" s="124">
        <f>_xlfn.COMPOUNDVALUE(659)</f>
        <v>14586</v>
      </c>
      <c r="G51" s="125">
        <v>40040428</v>
      </c>
      <c r="H51" s="124">
        <f>_xlfn.COMPOUNDVALUE(660)</f>
        <v>730</v>
      </c>
      <c r="I51" s="126">
        <v>2422547</v>
      </c>
      <c r="J51" s="124">
        <v>1119</v>
      </c>
      <c r="K51" s="126">
        <v>298912</v>
      </c>
      <c r="L51" s="124">
        <v>15828</v>
      </c>
      <c r="M51" s="126">
        <v>37916793</v>
      </c>
      <c r="N51" s="121">
        <v>15977</v>
      </c>
      <c r="O51" s="139">
        <v>462</v>
      </c>
      <c r="P51" s="139">
        <v>44</v>
      </c>
      <c r="Q51" s="140">
        <v>16483</v>
      </c>
      <c r="R51" s="82" t="s">
        <v>85</v>
      </c>
    </row>
    <row r="52" spans="1:18" ht="15.75" customHeight="1">
      <c r="A52" s="81" t="s">
        <v>86</v>
      </c>
      <c r="B52" s="124">
        <f>_xlfn.COMPOUNDVALUE(661)</f>
        <v>4763</v>
      </c>
      <c r="C52" s="125">
        <v>40792579</v>
      </c>
      <c r="D52" s="124">
        <f>_xlfn.COMPOUNDVALUE(662)</f>
        <v>3914</v>
      </c>
      <c r="E52" s="125">
        <v>2110911</v>
      </c>
      <c r="F52" s="124">
        <f>_xlfn.COMPOUNDVALUE(663)</f>
        <v>8677</v>
      </c>
      <c r="G52" s="125">
        <v>42903490</v>
      </c>
      <c r="H52" s="124">
        <f>_xlfn.COMPOUNDVALUE(664)</f>
        <v>441</v>
      </c>
      <c r="I52" s="126">
        <v>3937619</v>
      </c>
      <c r="J52" s="124">
        <v>717</v>
      </c>
      <c r="K52" s="126">
        <v>214495</v>
      </c>
      <c r="L52" s="124">
        <v>9358</v>
      </c>
      <c r="M52" s="126">
        <v>39180366</v>
      </c>
      <c r="N52" s="121">
        <v>9555</v>
      </c>
      <c r="O52" s="139">
        <v>340</v>
      </c>
      <c r="P52" s="139">
        <v>19</v>
      </c>
      <c r="Q52" s="140">
        <v>9914</v>
      </c>
      <c r="R52" s="82" t="s">
        <v>86</v>
      </c>
    </row>
    <row r="53" spans="1:18" ht="15.75" customHeight="1">
      <c r="A53" s="83" t="s">
        <v>87</v>
      </c>
      <c r="B53" s="127">
        <v>79387</v>
      </c>
      <c r="C53" s="128">
        <v>422104363</v>
      </c>
      <c r="D53" s="127">
        <v>60696</v>
      </c>
      <c r="E53" s="128">
        <v>31548383</v>
      </c>
      <c r="F53" s="127">
        <v>140083</v>
      </c>
      <c r="G53" s="128">
        <v>453652746</v>
      </c>
      <c r="H53" s="127">
        <v>7188</v>
      </c>
      <c r="I53" s="129">
        <v>34320859</v>
      </c>
      <c r="J53" s="127">
        <v>11128</v>
      </c>
      <c r="K53" s="129">
        <v>2373811</v>
      </c>
      <c r="L53" s="127">
        <v>151325</v>
      </c>
      <c r="M53" s="129">
        <v>421705698</v>
      </c>
      <c r="N53" s="127">
        <v>151796</v>
      </c>
      <c r="O53" s="141">
        <v>4828</v>
      </c>
      <c r="P53" s="141">
        <v>436</v>
      </c>
      <c r="Q53" s="142">
        <v>157060</v>
      </c>
      <c r="R53" s="84" t="s">
        <v>88</v>
      </c>
    </row>
    <row r="54" spans="1:18" ht="15.75" customHeight="1">
      <c r="A54" s="85"/>
      <c r="B54" s="130"/>
      <c r="C54" s="131"/>
      <c r="D54" s="130"/>
      <c r="E54" s="131"/>
      <c r="F54" s="132"/>
      <c r="G54" s="131"/>
      <c r="H54" s="132"/>
      <c r="I54" s="131"/>
      <c r="J54" s="132"/>
      <c r="K54" s="131"/>
      <c r="L54" s="132"/>
      <c r="M54" s="131"/>
      <c r="N54" s="143"/>
      <c r="O54" s="144"/>
      <c r="P54" s="144"/>
      <c r="Q54" s="145"/>
      <c r="R54" s="99" t="s">
        <v>131</v>
      </c>
    </row>
    <row r="55" spans="1:18" ht="15.75" customHeight="1">
      <c r="A55" s="78" t="s">
        <v>89</v>
      </c>
      <c r="B55" s="121">
        <f>_xlfn.COMPOUNDVALUE(665)</f>
        <v>8444</v>
      </c>
      <c r="C55" s="122">
        <v>71151325</v>
      </c>
      <c r="D55" s="121">
        <f>_xlfn.COMPOUNDVALUE(666)</f>
        <v>5724</v>
      </c>
      <c r="E55" s="122">
        <v>2810753</v>
      </c>
      <c r="F55" s="121">
        <f>_xlfn.COMPOUNDVALUE(667)</f>
        <v>14168</v>
      </c>
      <c r="G55" s="122">
        <v>73962079</v>
      </c>
      <c r="H55" s="121">
        <f>_xlfn.COMPOUNDVALUE(668)</f>
        <v>645</v>
      </c>
      <c r="I55" s="123">
        <v>3528149</v>
      </c>
      <c r="J55" s="121">
        <v>1189</v>
      </c>
      <c r="K55" s="123">
        <v>397133</v>
      </c>
      <c r="L55" s="121">
        <v>15244</v>
      </c>
      <c r="M55" s="123">
        <v>70831062</v>
      </c>
      <c r="N55" s="121">
        <v>14494</v>
      </c>
      <c r="O55" s="139">
        <v>396</v>
      </c>
      <c r="P55" s="139">
        <v>54</v>
      </c>
      <c r="Q55" s="140">
        <v>14944</v>
      </c>
      <c r="R55" s="82" t="s">
        <v>89</v>
      </c>
    </row>
    <row r="56" spans="1:18" ht="15.75" customHeight="1">
      <c r="A56" s="78" t="s">
        <v>90</v>
      </c>
      <c r="B56" s="121">
        <f>_xlfn.COMPOUNDVALUE(669)</f>
        <v>1369</v>
      </c>
      <c r="C56" s="122">
        <v>4852692</v>
      </c>
      <c r="D56" s="121">
        <f>_xlfn.COMPOUNDVALUE(670)</f>
        <v>1080</v>
      </c>
      <c r="E56" s="122">
        <v>479038</v>
      </c>
      <c r="F56" s="121">
        <f>_xlfn.COMPOUNDVALUE(671)</f>
        <v>2449</v>
      </c>
      <c r="G56" s="122">
        <v>5331730</v>
      </c>
      <c r="H56" s="121">
        <f>_xlfn.COMPOUNDVALUE(672)</f>
        <v>52</v>
      </c>
      <c r="I56" s="123">
        <v>63909</v>
      </c>
      <c r="J56" s="121">
        <v>217</v>
      </c>
      <c r="K56" s="123">
        <v>26354</v>
      </c>
      <c r="L56" s="121">
        <v>2541</v>
      </c>
      <c r="M56" s="123">
        <v>5294174</v>
      </c>
      <c r="N56" s="121">
        <v>2469</v>
      </c>
      <c r="O56" s="139">
        <v>26</v>
      </c>
      <c r="P56" s="139">
        <v>4</v>
      </c>
      <c r="Q56" s="140">
        <v>2499</v>
      </c>
      <c r="R56" s="82" t="s">
        <v>90</v>
      </c>
    </row>
    <row r="57" spans="1:18" ht="15.75" customHeight="1">
      <c r="A57" s="78" t="s">
        <v>91</v>
      </c>
      <c r="B57" s="121">
        <f>_xlfn.COMPOUNDVALUE(673)</f>
        <v>2394</v>
      </c>
      <c r="C57" s="122">
        <v>11459794</v>
      </c>
      <c r="D57" s="121">
        <f>_xlfn.COMPOUNDVALUE(674)</f>
        <v>1727</v>
      </c>
      <c r="E57" s="122">
        <v>746056</v>
      </c>
      <c r="F57" s="121">
        <f>_xlfn.COMPOUNDVALUE(675)</f>
        <v>4121</v>
      </c>
      <c r="G57" s="122">
        <v>12205850</v>
      </c>
      <c r="H57" s="121">
        <f>_xlfn.COMPOUNDVALUE(676)</f>
        <v>126</v>
      </c>
      <c r="I57" s="123">
        <v>464083</v>
      </c>
      <c r="J57" s="121">
        <v>209</v>
      </c>
      <c r="K57" s="123">
        <v>31620</v>
      </c>
      <c r="L57" s="121">
        <v>4286</v>
      </c>
      <c r="M57" s="123">
        <v>11773386</v>
      </c>
      <c r="N57" s="121">
        <v>4305</v>
      </c>
      <c r="O57" s="139">
        <v>73</v>
      </c>
      <c r="P57" s="139">
        <v>11</v>
      </c>
      <c r="Q57" s="140">
        <v>4389</v>
      </c>
      <c r="R57" s="82" t="s">
        <v>91</v>
      </c>
    </row>
    <row r="58" spans="1:18" ht="15.75" customHeight="1">
      <c r="A58" s="78" t="s">
        <v>92</v>
      </c>
      <c r="B58" s="121">
        <f>_xlfn.COMPOUNDVALUE(677)</f>
        <v>3578</v>
      </c>
      <c r="C58" s="122">
        <v>21519618</v>
      </c>
      <c r="D58" s="121">
        <f>_xlfn.COMPOUNDVALUE(678)</f>
        <v>2489</v>
      </c>
      <c r="E58" s="122">
        <v>1185581</v>
      </c>
      <c r="F58" s="121">
        <f>_xlfn.COMPOUNDVALUE(679)</f>
        <v>6067</v>
      </c>
      <c r="G58" s="122">
        <v>22705199</v>
      </c>
      <c r="H58" s="121">
        <f>_xlfn.COMPOUNDVALUE(680)</f>
        <v>195</v>
      </c>
      <c r="I58" s="123">
        <v>3254601</v>
      </c>
      <c r="J58" s="121">
        <v>516</v>
      </c>
      <c r="K58" s="123">
        <v>57776</v>
      </c>
      <c r="L58" s="121">
        <v>6317</v>
      </c>
      <c r="M58" s="123">
        <v>19508374</v>
      </c>
      <c r="N58" s="121">
        <v>6136</v>
      </c>
      <c r="O58" s="139">
        <v>106</v>
      </c>
      <c r="P58" s="139">
        <v>15</v>
      </c>
      <c r="Q58" s="140">
        <v>6257</v>
      </c>
      <c r="R58" s="82" t="s">
        <v>92</v>
      </c>
    </row>
    <row r="59" spans="1:18" ht="15.75" customHeight="1">
      <c r="A59" s="78" t="s">
        <v>93</v>
      </c>
      <c r="B59" s="121">
        <f>_xlfn.COMPOUNDVALUE(681)</f>
        <v>2743</v>
      </c>
      <c r="C59" s="122">
        <v>16575126</v>
      </c>
      <c r="D59" s="121">
        <f>_xlfn.COMPOUNDVALUE(682)</f>
        <v>1864</v>
      </c>
      <c r="E59" s="122">
        <v>807612</v>
      </c>
      <c r="F59" s="121">
        <f>_xlfn.COMPOUNDVALUE(683)</f>
        <v>4607</v>
      </c>
      <c r="G59" s="122">
        <v>17382737</v>
      </c>
      <c r="H59" s="121">
        <f>_xlfn.COMPOUNDVALUE(684)</f>
        <v>143</v>
      </c>
      <c r="I59" s="123">
        <v>4501115</v>
      </c>
      <c r="J59" s="121">
        <v>227</v>
      </c>
      <c r="K59" s="123">
        <v>22438</v>
      </c>
      <c r="L59" s="121">
        <v>4776</v>
      </c>
      <c r="M59" s="123">
        <v>12904060</v>
      </c>
      <c r="N59" s="121">
        <v>4770</v>
      </c>
      <c r="O59" s="139">
        <v>84</v>
      </c>
      <c r="P59" s="139">
        <v>13</v>
      </c>
      <c r="Q59" s="140">
        <v>4867</v>
      </c>
      <c r="R59" s="82" t="s">
        <v>93</v>
      </c>
    </row>
    <row r="60" spans="1:18" ht="15.75" customHeight="1">
      <c r="A60" s="78" t="s">
        <v>94</v>
      </c>
      <c r="B60" s="121">
        <f>_xlfn.COMPOUNDVALUE(685)</f>
        <v>985</v>
      </c>
      <c r="C60" s="122">
        <v>6940371</v>
      </c>
      <c r="D60" s="121">
        <f>_xlfn.COMPOUNDVALUE(686)</f>
        <v>741</v>
      </c>
      <c r="E60" s="122">
        <v>343642</v>
      </c>
      <c r="F60" s="121">
        <f>_xlfn.COMPOUNDVALUE(687)</f>
        <v>1726</v>
      </c>
      <c r="G60" s="122">
        <v>7284013</v>
      </c>
      <c r="H60" s="121">
        <f>_xlfn.COMPOUNDVALUE(688)</f>
        <v>55</v>
      </c>
      <c r="I60" s="123">
        <v>57568</v>
      </c>
      <c r="J60" s="121">
        <v>142</v>
      </c>
      <c r="K60" s="123">
        <v>5096</v>
      </c>
      <c r="L60" s="121">
        <v>1798</v>
      </c>
      <c r="M60" s="123">
        <v>7231541</v>
      </c>
      <c r="N60" s="121">
        <v>1812</v>
      </c>
      <c r="O60" s="139">
        <v>41</v>
      </c>
      <c r="P60" s="139">
        <v>5</v>
      </c>
      <c r="Q60" s="140">
        <v>1858</v>
      </c>
      <c r="R60" s="82" t="s">
        <v>94</v>
      </c>
    </row>
    <row r="61" spans="1:18" ht="15.75" customHeight="1">
      <c r="A61" s="81" t="s">
        <v>95</v>
      </c>
      <c r="B61" s="124">
        <f>_xlfn.COMPOUNDVALUE(689)</f>
        <v>2081</v>
      </c>
      <c r="C61" s="125">
        <v>10071852</v>
      </c>
      <c r="D61" s="124">
        <f>_xlfn.COMPOUNDVALUE(690)</f>
        <v>1728</v>
      </c>
      <c r="E61" s="125">
        <v>778061</v>
      </c>
      <c r="F61" s="124">
        <f>_xlfn.COMPOUNDVALUE(691)</f>
        <v>3809</v>
      </c>
      <c r="G61" s="125">
        <v>10849912</v>
      </c>
      <c r="H61" s="124">
        <f>_xlfn.COMPOUNDVALUE(692)</f>
        <v>179</v>
      </c>
      <c r="I61" s="126">
        <v>734801</v>
      </c>
      <c r="J61" s="124">
        <v>220</v>
      </c>
      <c r="K61" s="126">
        <v>9853</v>
      </c>
      <c r="L61" s="124">
        <v>4041</v>
      </c>
      <c r="M61" s="126">
        <v>10124964</v>
      </c>
      <c r="N61" s="121">
        <v>4597</v>
      </c>
      <c r="O61" s="139">
        <v>106</v>
      </c>
      <c r="P61" s="139">
        <v>3</v>
      </c>
      <c r="Q61" s="140">
        <v>4706</v>
      </c>
      <c r="R61" s="82" t="s">
        <v>95</v>
      </c>
    </row>
    <row r="62" spans="1:18" ht="15.75" customHeight="1">
      <c r="A62" s="81" t="s">
        <v>96</v>
      </c>
      <c r="B62" s="124">
        <f>_xlfn.COMPOUNDVALUE(693)</f>
        <v>2233</v>
      </c>
      <c r="C62" s="125">
        <v>9090753</v>
      </c>
      <c r="D62" s="124">
        <f>_xlfn.COMPOUNDVALUE(694)</f>
        <v>1634</v>
      </c>
      <c r="E62" s="125">
        <v>722096</v>
      </c>
      <c r="F62" s="124">
        <f>_xlfn.COMPOUNDVALUE(695)</f>
        <v>3867</v>
      </c>
      <c r="G62" s="125">
        <v>9812849</v>
      </c>
      <c r="H62" s="124">
        <f>_xlfn.COMPOUNDVALUE(696)</f>
        <v>106</v>
      </c>
      <c r="I62" s="126">
        <v>1495676</v>
      </c>
      <c r="J62" s="124">
        <v>293</v>
      </c>
      <c r="K62" s="126">
        <v>22881</v>
      </c>
      <c r="L62" s="124">
        <v>4029</v>
      </c>
      <c r="M62" s="126">
        <v>8340055</v>
      </c>
      <c r="N62" s="121">
        <v>3826</v>
      </c>
      <c r="O62" s="139">
        <v>81</v>
      </c>
      <c r="P62" s="139">
        <v>3</v>
      </c>
      <c r="Q62" s="140">
        <v>3910</v>
      </c>
      <c r="R62" s="82" t="s">
        <v>96</v>
      </c>
    </row>
    <row r="63" spans="1:18" ht="15.75" customHeight="1">
      <c r="A63" s="81" t="s">
        <v>97</v>
      </c>
      <c r="B63" s="124">
        <f>_xlfn.COMPOUNDVALUE(697)</f>
        <v>961</v>
      </c>
      <c r="C63" s="125">
        <v>3672432</v>
      </c>
      <c r="D63" s="124">
        <f>_xlfn.COMPOUNDVALUE(698)</f>
        <v>776</v>
      </c>
      <c r="E63" s="125">
        <v>339931</v>
      </c>
      <c r="F63" s="124">
        <f>_xlfn.COMPOUNDVALUE(699)</f>
        <v>1737</v>
      </c>
      <c r="G63" s="125">
        <v>4012363</v>
      </c>
      <c r="H63" s="124">
        <f>_xlfn.COMPOUNDVALUE(700)</f>
        <v>50</v>
      </c>
      <c r="I63" s="126">
        <v>266006</v>
      </c>
      <c r="J63" s="124">
        <v>161</v>
      </c>
      <c r="K63" s="126">
        <v>20079</v>
      </c>
      <c r="L63" s="124">
        <v>1809</v>
      </c>
      <c r="M63" s="126">
        <v>3766436</v>
      </c>
      <c r="N63" s="121">
        <v>1704</v>
      </c>
      <c r="O63" s="139">
        <v>44</v>
      </c>
      <c r="P63" s="139">
        <v>1</v>
      </c>
      <c r="Q63" s="140">
        <v>1749</v>
      </c>
      <c r="R63" s="82" t="s">
        <v>97</v>
      </c>
    </row>
    <row r="64" spans="1:18" ht="15.75" customHeight="1">
      <c r="A64" s="81" t="s">
        <v>98</v>
      </c>
      <c r="B64" s="124">
        <f>_xlfn.COMPOUNDVALUE(701)</f>
        <v>842</v>
      </c>
      <c r="C64" s="125">
        <v>2970287</v>
      </c>
      <c r="D64" s="124">
        <f>_xlfn.COMPOUNDVALUE(702)</f>
        <v>659</v>
      </c>
      <c r="E64" s="125">
        <v>284640</v>
      </c>
      <c r="F64" s="124">
        <f>_xlfn.COMPOUNDVALUE(703)</f>
        <v>1501</v>
      </c>
      <c r="G64" s="125">
        <v>3254927</v>
      </c>
      <c r="H64" s="124">
        <f>_xlfn.COMPOUNDVALUE(704)</f>
        <v>35</v>
      </c>
      <c r="I64" s="126">
        <v>23753</v>
      </c>
      <c r="J64" s="124">
        <v>229</v>
      </c>
      <c r="K64" s="126">
        <v>18282</v>
      </c>
      <c r="L64" s="124">
        <v>1556</v>
      </c>
      <c r="M64" s="126">
        <v>3249456</v>
      </c>
      <c r="N64" s="121">
        <v>1534</v>
      </c>
      <c r="O64" s="139">
        <v>40</v>
      </c>
      <c r="P64" s="139">
        <v>2</v>
      </c>
      <c r="Q64" s="140">
        <v>1576</v>
      </c>
      <c r="R64" s="82" t="s">
        <v>98</v>
      </c>
    </row>
    <row r="65" spans="1:18" ht="15.75" customHeight="1">
      <c r="A65" s="81" t="s">
        <v>99</v>
      </c>
      <c r="B65" s="124">
        <f>_xlfn.COMPOUNDVALUE(705)</f>
        <v>517</v>
      </c>
      <c r="C65" s="125">
        <v>2619639</v>
      </c>
      <c r="D65" s="124">
        <f>_xlfn.COMPOUNDVALUE(706)</f>
        <v>393</v>
      </c>
      <c r="E65" s="125">
        <v>176207</v>
      </c>
      <c r="F65" s="124">
        <f>_xlfn.COMPOUNDVALUE(707)</f>
        <v>910</v>
      </c>
      <c r="G65" s="125">
        <v>2795845</v>
      </c>
      <c r="H65" s="124">
        <f>_xlfn.COMPOUNDVALUE(708)</f>
        <v>30</v>
      </c>
      <c r="I65" s="126">
        <v>67901</v>
      </c>
      <c r="J65" s="124">
        <v>68</v>
      </c>
      <c r="K65" s="126">
        <v>2912</v>
      </c>
      <c r="L65" s="124">
        <v>949</v>
      </c>
      <c r="M65" s="126">
        <v>2730857</v>
      </c>
      <c r="N65" s="121">
        <v>929</v>
      </c>
      <c r="O65" s="139">
        <v>36</v>
      </c>
      <c r="P65" s="139">
        <v>4</v>
      </c>
      <c r="Q65" s="140">
        <v>969</v>
      </c>
      <c r="R65" s="82" t="s">
        <v>99</v>
      </c>
    </row>
    <row r="66" spans="1:18" ht="15.75" customHeight="1">
      <c r="A66" s="81" t="s">
        <v>100</v>
      </c>
      <c r="B66" s="124">
        <f>_xlfn.COMPOUNDVALUE(709)</f>
        <v>2717</v>
      </c>
      <c r="C66" s="125">
        <v>13482606</v>
      </c>
      <c r="D66" s="124">
        <f>_xlfn.COMPOUNDVALUE(710)</f>
        <v>2041</v>
      </c>
      <c r="E66" s="125">
        <v>950968</v>
      </c>
      <c r="F66" s="124">
        <f>_xlfn.COMPOUNDVALUE(711)</f>
        <v>4758</v>
      </c>
      <c r="G66" s="125">
        <v>14433574</v>
      </c>
      <c r="H66" s="124">
        <f>_xlfn.COMPOUNDVALUE(712)</f>
        <v>183</v>
      </c>
      <c r="I66" s="126">
        <v>2752089</v>
      </c>
      <c r="J66" s="124">
        <v>309</v>
      </c>
      <c r="K66" s="126">
        <v>-15323</v>
      </c>
      <c r="L66" s="124">
        <v>5011</v>
      </c>
      <c r="M66" s="126">
        <v>11666162</v>
      </c>
      <c r="N66" s="121">
        <v>4838</v>
      </c>
      <c r="O66" s="139">
        <v>118</v>
      </c>
      <c r="P66" s="139">
        <v>4</v>
      </c>
      <c r="Q66" s="140">
        <v>4960</v>
      </c>
      <c r="R66" s="82" t="s">
        <v>100</v>
      </c>
    </row>
    <row r="67" spans="1:18" ht="15.75" customHeight="1">
      <c r="A67" s="81" t="s">
        <v>101</v>
      </c>
      <c r="B67" s="124">
        <f>_xlfn.COMPOUNDVALUE(713)</f>
        <v>745</v>
      </c>
      <c r="C67" s="125">
        <v>2189078</v>
      </c>
      <c r="D67" s="124">
        <f>_xlfn.COMPOUNDVALUE(714)</f>
        <v>543</v>
      </c>
      <c r="E67" s="125">
        <v>217647</v>
      </c>
      <c r="F67" s="124">
        <f>_xlfn.COMPOUNDVALUE(715)</f>
        <v>1288</v>
      </c>
      <c r="G67" s="125">
        <v>2406725</v>
      </c>
      <c r="H67" s="124">
        <f>_xlfn.COMPOUNDVALUE(716)</f>
        <v>41</v>
      </c>
      <c r="I67" s="126">
        <v>47103</v>
      </c>
      <c r="J67" s="124">
        <v>158</v>
      </c>
      <c r="K67" s="126">
        <v>20358</v>
      </c>
      <c r="L67" s="124">
        <v>1353</v>
      </c>
      <c r="M67" s="126">
        <v>2379981</v>
      </c>
      <c r="N67" s="121">
        <v>1254</v>
      </c>
      <c r="O67" s="139">
        <v>24</v>
      </c>
      <c r="P67" s="139">
        <v>2</v>
      </c>
      <c r="Q67" s="140">
        <v>1280</v>
      </c>
      <c r="R67" s="82" t="s">
        <v>102</v>
      </c>
    </row>
    <row r="68" spans="1:18" ht="15.75" customHeight="1">
      <c r="A68" s="83" t="s">
        <v>103</v>
      </c>
      <c r="B68" s="127">
        <v>29609</v>
      </c>
      <c r="C68" s="128">
        <v>176595573</v>
      </c>
      <c r="D68" s="127">
        <v>21399</v>
      </c>
      <c r="E68" s="128">
        <v>9842230</v>
      </c>
      <c r="F68" s="127">
        <v>51008</v>
      </c>
      <c r="G68" s="128">
        <v>186437803</v>
      </c>
      <c r="H68" s="127">
        <v>1840</v>
      </c>
      <c r="I68" s="129">
        <v>17256754</v>
      </c>
      <c r="J68" s="127">
        <v>3938</v>
      </c>
      <c r="K68" s="129">
        <v>619459</v>
      </c>
      <c r="L68" s="127">
        <v>53710</v>
      </c>
      <c r="M68" s="129">
        <v>169800508</v>
      </c>
      <c r="N68" s="127">
        <v>52668</v>
      </c>
      <c r="O68" s="141">
        <v>1175</v>
      </c>
      <c r="P68" s="141">
        <v>121</v>
      </c>
      <c r="Q68" s="142">
        <v>53964</v>
      </c>
      <c r="R68" s="84" t="s">
        <v>104</v>
      </c>
    </row>
    <row r="69" spans="1:18" ht="15.75" customHeight="1">
      <c r="A69" s="85"/>
      <c r="B69" s="130"/>
      <c r="C69" s="131"/>
      <c r="D69" s="130"/>
      <c r="E69" s="131"/>
      <c r="F69" s="132"/>
      <c r="G69" s="131"/>
      <c r="H69" s="132"/>
      <c r="I69" s="131"/>
      <c r="J69" s="132"/>
      <c r="K69" s="131"/>
      <c r="L69" s="132"/>
      <c r="M69" s="131"/>
      <c r="N69" s="143"/>
      <c r="O69" s="144"/>
      <c r="P69" s="144"/>
      <c r="Q69" s="145"/>
      <c r="R69" s="99" t="s">
        <v>131</v>
      </c>
    </row>
    <row r="70" spans="1:18" ht="15.75" customHeight="1">
      <c r="A70" s="78" t="s">
        <v>105</v>
      </c>
      <c r="B70" s="121">
        <f>_xlfn.COMPOUNDVALUE(717)</f>
        <v>6248</v>
      </c>
      <c r="C70" s="122">
        <v>44413660</v>
      </c>
      <c r="D70" s="121">
        <f>_xlfn.COMPOUNDVALUE(718)</f>
        <v>4158</v>
      </c>
      <c r="E70" s="122">
        <v>2024237</v>
      </c>
      <c r="F70" s="121">
        <f>_xlfn.COMPOUNDVALUE(719)</f>
        <v>10406</v>
      </c>
      <c r="G70" s="122">
        <v>46437897</v>
      </c>
      <c r="H70" s="121">
        <f>_xlfn.COMPOUNDVALUE(720)</f>
        <v>310</v>
      </c>
      <c r="I70" s="123">
        <v>8571835</v>
      </c>
      <c r="J70" s="121">
        <v>1074</v>
      </c>
      <c r="K70" s="123">
        <v>148483</v>
      </c>
      <c r="L70" s="121">
        <v>11019</v>
      </c>
      <c r="M70" s="123">
        <v>38014545</v>
      </c>
      <c r="N70" s="121">
        <v>10775</v>
      </c>
      <c r="O70" s="139">
        <v>214</v>
      </c>
      <c r="P70" s="139">
        <v>27</v>
      </c>
      <c r="Q70" s="140">
        <v>11016</v>
      </c>
      <c r="R70" s="82" t="s">
        <v>105</v>
      </c>
    </row>
    <row r="71" spans="1:18" ht="15.75" customHeight="1">
      <c r="A71" s="78" t="s">
        <v>106</v>
      </c>
      <c r="B71" s="121">
        <f>_xlfn.COMPOUNDVALUE(721)</f>
        <v>5490</v>
      </c>
      <c r="C71" s="122">
        <v>29699573</v>
      </c>
      <c r="D71" s="121">
        <f>_xlfn.COMPOUNDVALUE(722)</f>
        <v>4174</v>
      </c>
      <c r="E71" s="122">
        <v>1930561</v>
      </c>
      <c r="F71" s="121">
        <f>_xlfn.COMPOUNDVALUE(723)</f>
        <v>9664</v>
      </c>
      <c r="G71" s="122">
        <v>31630133</v>
      </c>
      <c r="H71" s="121">
        <f>_xlfn.COMPOUNDVALUE(724)</f>
        <v>360</v>
      </c>
      <c r="I71" s="123">
        <v>623195</v>
      </c>
      <c r="J71" s="121">
        <v>689</v>
      </c>
      <c r="K71" s="123">
        <v>106418</v>
      </c>
      <c r="L71" s="121">
        <v>10258</v>
      </c>
      <c r="M71" s="123">
        <v>31113356</v>
      </c>
      <c r="N71" s="121">
        <v>10007</v>
      </c>
      <c r="O71" s="139">
        <v>276</v>
      </c>
      <c r="P71" s="139">
        <v>29</v>
      </c>
      <c r="Q71" s="140">
        <v>10312</v>
      </c>
      <c r="R71" s="82" t="s">
        <v>106</v>
      </c>
    </row>
    <row r="72" spans="1:18" ht="15.75" customHeight="1">
      <c r="A72" s="78" t="s">
        <v>107</v>
      </c>
      <c r="B72" s="121">
        <f>_xlfn.COMPOUNDVALUE(725)</f>
        <v>3455</v>
      </c>
      <c r="C72" s="122">
        <v>19942458</v>
      </c>
      <c r="D72" s="121">
        <f>_xlfn.COMPOUNDVALUE(726)</f>
        <v>2445</v>
      </c>
      <c r="E72" s="122">
        <v>1172826</v>
      </c>
      <c r="F72" s="121">
        <f>_xlfn.COMPOUNDVALUE(727)</f>
        <v>5900</v>
      </c>
      <c r="G72" s="122">
        <v>21115284</v>
      </c>
      <c r="H72" s="121">
        <f>_xlfn.COMPOUNDVALUE(728)</f>
        <v>244</v>
      </c>
      <c r="I72" s="123">
        <v>7783854</v>
      </c>
      <c r="J72" s="121">
        <v>482</v>
      </c>
      <c r="K72" s="123">
        <v>104728</v>
      </c>
      <c r="L72" s="121">
        <v>6260</v>
      </c>
      <c r="M72" s="123">
        <v>13436158</v>
      </c>
      <c r="N72" s="121">
        <v>6113</v>
      </c>
      <c r="O72" s="139">
        <v>117</v>
      </c>
      <c r="P72" s="139">
        <v>23</v>
      </c>
      <c r="Q72" s="140">
        <v>6253</v>
      </c>
      <c r="R72" s="82" t="s">
        <v>107</v>
      </c>
    </row>
    <row r="73" spans="1:18" ht="15.75" customHeight="1">
      <c r="A73" s="81" t="s">
        <v>108</v>
      </c>
      <c r="B73" s="124">
        <f>_xlfn.COMPOUNDVALUE(729)</f>
        <v>2362</v>
      </c>
      <c r="C73" s="125">
        <v>10628901</v>
      </c>
      <c r="D73" s="124">
        <f>_xlfn.COMPOUNDVALUE(730)</f>
        <v>1677</v>
      </c>
      <c r="E73" s="125">
        <v>766833</v>
      </c>
      <c r="F73" s="124">
        <f>_xlfn.COMPOUNDVALUE(731)</f>
        <v>4039</v>
      </c>
      <c r="G73" s="125">
        <v>11395734</v>
      </c>
      <c r="H73" s="124">
        <f>_xlfn.COMPOUNDVALUE(732)</f>
        <v>140</v>
      </c>
      <c r="I73" s="126">
        <v>602322</v>
      </c>
      <c r="J73" s="124">
        <v>211</v>
      </c>
      <c r="K73" s="126">
        <v>13994</v>
      </c>
      <c r="L73" s="124">
        <v>4238</v>
      </c>
      <c r="M73" s="126">
        <v>10807405</v>
      </c>
      <c r="N73" s="121">
        <v>4101</v>
      </c>
      <c r="O73" s="139">
        <v>125</v>
      </c>
      <c r="P73" s="139">
        <v>11</v>
      </c>
      <c r="Q73" s="140">
        <v>4237</v>
      </c>
      <c r="R73" s="82" t="s">
        <v>108</v>
      </c>
    </row>
    <row r="74" spans="1:18" ht="15.75" customHeight="1">
      <c r="A74" s="81" t="s">
        <v>109</v>
      </c>
      <c r="B74" s="124">
        <f>_xlfn.COMPOUNDVALUE(733)</f>
        <v>3090</v>
      </c>
      <c r="C74" s="125">
        <v>16011250</v>
      </c>
      <c r="D74" s="124">
        <f>_xlfn.COMPOUNDVALUE(734)</f>
        <v>2149</v>
      </c>
      <c r="E74" s="125">
        <v>1008200</v>
      </c>
      <c r="F74" s="124">
        <f>_xlfn.COMPOUNDVALUE(735)</f>
        <v>5239</v>
      </c>
      <c r="G74" s="125">
        <v>17019450</v>
      </c>
      <c r="H74" s="124">
        <f>_xlfn.COMPOUNDVALUE(736)</f>
        <v>249</v>
      </c>
      <c r="I74" s="126">
        <v>4833968</v>
      </c>
      <c r="J74" s="124">
        <v>337</v>
      </c>
      <c r="K74" s="126">
        <v>69508</v>
      </c>
      <c r="L74" s="124">
        <v>5584</v>
      </c>
      <c r="M74" s="126">
        <v>12254990</v>
      </c>
      <c r="N74" s="121">
        <v>5403</v>
      </c>
      <c r="O74" s="139">
        <v>150</v>
      </c>
      <c r="P74" s="139">
        <v>9</v>
      </c>
      <c r="Q74" s="140">
        <v>5562</v>
      </c>
      <c r="R74" s="82" t="s">
        <v>109</v>
      </c>
    </row>
    <row r="75" spans="1:18" ht="15.75" customHeight="1">
      <c r="A75" s="81" t="s">
        <v>110</v>
      </c>
      <c r="B75" s="124">
        <f>_xlfn.COMPOUNDVALUE(737)</f>
        <v>2301</v>
      </c>
      <c r="C75" s="125">
        <v>12946129</v>
      </c>
      <c r="D75" s="124">
        <f>_xlfn.COMPOUNDVALUE(738)</f>
        <v>1799</v>
      </c>
      <c r="E75" s="125">
        <v>828649</v>
      </c>
      <c r="F75" s="124">
        <f>_xlfn.COMPOUNDVALUE(739)</f>
        <v>4100</v>
      </c>
      <c r="G75" s="125">
        <v>13774778</v>
      </c>
      <c r="H75" s="124">
        <f>_xlfn.COMPOUNDVALUE(740)</f>
        <v>185</v>
      </c>
      <c r="I75" s="126">
        <v>2019890</v>
      </c>
      <c r="J75" s="124">
        <v>251</v>
      </c>
      <c r="K75" s="126">
        <v>18517</v>
      </c>
      <c r="L75" s="124">
        <v>4356</v>
      </c>
      <c r="M75" s="126">
        <v>11773405</v>
      </c>
      <c r="N75" s="121">
        <v>4177</v>
      </c>
      <c r="O75" s="139">
        <v>131</v>
      </c>
      <c r="P75" s="139">
        <v>6</v>
      </c>
      <c r="Q75" s="140">
        <v>4314</v>
      </c>
      <c r="R75" s="82" t="s">
        <v>110</v>
      </c>
    </row>
    <row r="76" spans="1:18" ht="15.75" customHeight="1">
      <c r="A76" s="81" t="s">
        <v>111</v>
      </c>
      <c r="B76" s="124">
        <f>_xlfn.COMPOUNDVALUE(741)</f>
        <v>1511</v>
      </c>
      <c r="C76" s="125">
        <v>4480265</v>
      </c>
      <c r="D76" s="124">
        <f>_xlfn.COMPOUNDVALUE(742)</f>
        <v>1359</v>
      </c>
      <c r="E76" s="125">
        <v>538339</v>
      </c>
      <c r="F76" s="124">
        <f>_xlfn.COMPOUNDVALUE(743)</f>
        <v>2870</v>
      </c>
      <c r="G76" s="125">
        <v>5018605</v>
      </c>
      <c r="H76" s="124">
        <f>_xlfn.COMPOUNDVALUE(744)</f>
        <v>92</v>
      </c>
      <c r="I76" s="126">
        <v>558386</v>
      </c>
      <c r="J76" s="124">
        <v>211</v>
      </c>
      <c r="K76" s="126">
        <v>21055</v>
      </c>
      <c r="L76" s="124">
        <v>3020</v>
      </c>
      <c r="M76" s="126">
        <v>4481273</v>
      </c>
      <c r="N76" s="121">
        <v>2810</v>
      </c>
      <c r="O76" s="139">
        <v>100</v>
      </c>
      <c r="P76" s="139">
        <v>10</v>
      </c>
      <c r="Q76" s="140">
        <v>2920</v>
      </c>
      <c r="R76" s="82" t="s">
        <v>111</v>
      </c>
    </row>
    <row r="77" spans="1:18" ht="15.75" customHeight="1">
      <c r="A77" s="81" t="s">
        <v>112</v>
      </c>
      <c r="B77" s="124">
        <f>_xlfn.COMPOUNDVALUE(745)</f>
        <v>931</v>
      </c>
      <c r="C77" s="125">
        <v>3144206</v>
      </c>
      <c r="D77" s="124">
        <f>_xlfn.COMPOUNDVALUE(746)</f>
        <v>665</v>
      </c>
      <c r="E77" s="125">
        <v>286959</v>
      </c>
      <c r="F77" s="124">
        <f>_xlfn.COMPOUNDVALUE(747)</f>
        <v>1596</v>
      </c>
      <c r="G77" s="125">
        <v>3431165</v>
      </c>
      <c r="H77" s="124">
        <f>_xlfn.COMPOUNDVALUE(748)</f>
        <v>68</v>
      </c>
      <c r="I77" s="126">
        <v>66472</v>
      </c>
      <c r="J77" s="124">
        <v>125</v>
      </c>
      <c r="K77" s="126">
        <v>11860</v>
      </c>
      <c r="L77" s="124">
        <v>1697</v>
      </c>
      <c r="M77" s="126">
        <v>3376552</v>
      </c>
      <c r="N77" s="121">
        <v>1608</v>
      </c>
      <c r="O77" s="139">
        <v>52</v>
      </c>
      <c r="P77" s="139">
        <v>6</v>
      </c>
      <c r="Q77" s="140">
        <v>1666</v>
      </c>
      <c r="R77" s="82" t="s">
        <v>112</v>
      </c>
    </row>
    <row r="78" spans="1:18" ht="15.75" customHeight="1">
      <c r="A78" s="81" t="s">
        <v>113</v>
      </c>
      <c r="B78" s="124">
        <f>_xlfn.COMPOUNDVALUE(749)</f>
        <v>3117</v>
      </c>
      <c r="C78" s="125">
        <v>12331138</v>
      </c>
      <c r="D78" s="124">
        <f>_xlfn.COMPOUNDVALUE(750)</f>
        <v>2791</v>
      </c>
      <c r="E78" s="125">
        <v>1292360</v>
      </c>
      <c r="F78" s="124">
        <f>_xlfn.COMPOUNDVALUE(751)</f>
        <v>5908</v>
      </c>
      <c r="G78" s="125">
        <v>13623498</v>
      </c>
      <c r="H78" s="124">
        <f>_xlfn.COMPOUNDVALUE(752)</f>
        <v>224</v>
      </c>
      <c r="I78" s="126">
        <v>5053812</v>
      </c>
      <c r="J78" s="124">
        <v>287</v>
      </c>
      <c r="K78" s="126">
        <v>127760</v>
      </c>
      <c r="L78" s="124">
        <v>6240</v>
      </c>
      <c r="M78" s="126">
        <v>8697446</v>
      </c>
      <c r="N78" s="121">
        <v>5911</v>
      </c>
      <c r="O78" s="139">
        <v>164</v>
      </c>
      <c r="P78" s="139">
        <v>12</v>
      </c>
      <c r="Q78" s="140">
        <v>6087</v>
      </c>
      <c r="R78" s="82" t="s">
        <v>113</v>
      </c>
    </row>
    <row r="79" spans="1:18" ht="15.75" customHeight="1">
      <c r="A79" s="81" t="s">
        <v>114</v>
      </c>
      <c r="B79" s="124">
        <f>_xlfn.COMPOUNDVALUE(753)</f>
        <v>441</v>
      </c>
      <c r="C79" s="125">
        <v>1643145</v>
      </c>
      <c r="D79" s="124">
        <f>_xlfn.COMPOUNDVALUE(754)</f>
        <v>331</v>
      </c>
      <c r="E79" s="125">
        <v>143213</v>
      </c>
      <c r="F79" s="124">
        <f>_xlfn.COMPOUNDVALUE(755)</f>
        <v>772</v>
      </c>
      <c r="G79" s="125">
        <v>1786358</v>
      </c>
      <c r="H79" s="124">
        <f>_xlfn.COMPOUNDVALUE(756)</f>
        <v>23</v>
      </c>
      <c r="I79" s="126">
        <v>25188</v>
      </c>
      <c r="J79" s="124">
        <v>50</v>
      </c>
      <c r="K79" s="126">
        <v>2767</v>
      </c>
      <c r="L79" s="124">
        <v>801</v>
      </c>
      <c r="M79" s="126">
        <v>1763937</v>
      </c>
      <c r="N79" s="121">
        <v>844</v>
      </c>
      <c r="O79" s="139">
        <v>24</v>
      </c>
      <c r="P79" s="139">
        <v>1</v>
      </c>
      <c r="Q79" s="140">
        <v>869</v>
      </c>
      <c r="R79" s="82" t="s">
        <v>114</v>
      </c>
    </row>
    <row r="80" spans="1:18" ht="15.75" customHeight="1">
      <c r="A80" s="83" t="s">
        <v>115</v>
      </c>
      <c r="B80" s="127">
        <v>28946</v>
      </c>
      <c r="C80" s="128">
        <v>155240724</v>
      </c>
      <c r="D80" s="127">
        <v>21548</v>
      </c>
      <c r="E80" s="128">
        <v>9992177</v>
      </c>
      <c r="F80" s="127">
        <v>50494</v>
      </c>
      <c r="G80" s="128">
        <v>165232901</v>
      </c>
      <c r="H80" s="127">
        <v>1895</v>
      </c>
      <c r="I80" s="129">
        <v>30138923</v>
      </c>
      <c r="J80" s="127">
        <v>3717</v>
      </c>
      <c r="K80" s="129">
        <v>625088</v>
      </c>
      <c r="L80" s="127">
        <v>53473</v>
      </c>
      <c r="M80" s="129">
        <v>135719067</v>
      </c>
      <c r="N80" s="127">
        <v>51749</v>
      </c>
      <c r="O80" s="141">
        <v>1353</v>
      </c>
      <c r="P80" s="141">
        <v>134</v>
      </c>
      <c r="Q80" s="142">
        <v>53236</v>
      </c>
      <c r="R80" s="84" t="s">
        <v>116</v>
      </c>
    </row>
    <row r="81" spans="1:18" ht="15.75" customHeight="1" thickBot="1">
      <c r="A81" s="88"/>
      <c r="B81" s="133"/>
      <c r="C81" s="134"/>
      <c r="D81" s="133"/>
      <c r="E81" s="134"/>
      <c r="F81" s="135"/>
      <c r="G81" s="134"/>
      <c r="H81" s="135"/>
      <c r="I81" s="134"/>
      <c r="J81" s="135"/>
      <c r="K81" s="134"/>
      <c r="L81" s="135"/>
      <c r="M81" s="134"/>
      <c r="N81" s="146"/>
      <c r="O81" s="147"/>
      <c r="P81" s="147"/>
      <c r="Q81" s="148"/>
      <c r="R81" s="100" t="s">
        <v>131</v>
      </c>
    </row>
    <row r="82" spans="1:18" ht="15.75" customHeight="1" thickBot="1" thickTop="1">
      <c r="A82" s="91" t="s">
        <v>118</v>
      </c>
      <c r="B82" s="136">
        <v>226688</v>
      </c>
      <c r="C82" s="152">
        <v>1223504595</v>
      </c>
      <c r="D82" s="136">
        <v>170465</v>
      </c>
      <c r="E82" s="137">
        <v>83643556</v>
      </c>
      <c r="F82" s="136">
        <v>397153</v>
      </c>
      <c r="G82" s="137">
        <v>1307148151</v>
      </c>
      <c r="H82" s="136">
        <v>17123</v>
      </c>
      <c r="I82" s="138">
        <v>125756161</v>
      </c>
      <c r="J82" s="136">
        <v>29868</v>
      </c>
      <c r="K82" s="138">
        <v>5702332</v>
      </c>
      <c r="L82" s="136">
        <v>423737</v>
      </c>
      <c r="M82" s="138">
        <v>1187094322</v>
      </c>
      <c r="N82" s="149">
        <v>420200</v>
      </c>
      <c r="O82" s="150">
        <v>12461</v>
      </c>
      <c r="P82" s="150">
        <v>1097</v>
      </c>
      <c r="Q82" s="151">
        <v>433758</v>
      </c>
      <c r="R82" s="101" t="s">
        <v>118</v>
      </c>
    </row>
    <row r="83" spans="1:11" ht="13.5">
      <c r="A83" s="206" t="s">
        <v>157</v>
      </c>
      <c r="B83" s="206"/>
      <c r="C83" s="206"/>
      <c r="D83" s="206"/>
      <c r="E83" s="206"/>
      <c r="F83" s="206"/>
      <c r="G83" s="206"/>
      <c r="H83" s="206"/>
      <c r="I83" s="206"/>
      <c r="J83" s="206"/>
      <c r="K83" s="206"/>
    </row>
  </sheetData>
  <sheetProtection/>
  <mergeCells count="16">
    <mergeCell ref="A83:K83"/>
    <mergeCell ref="N3:Q3"/>
    <mergeCell ref="R3:R5"/>
    <mergeCell ref="B4:C4"/>
    <mergeCell ref="D4:E4"/>
    <mergeCell ref="F4:G4"/>
    <mergeCell ref="N4:N5"/>
    <mergeCell ref="O4:O5"/>
    <mergeCell ref="P4:P5"/>
    <mergeCell ref="Q4:Q5"/>
    <mergeCell ref="L3:M4"/>
    <mergeCell ref="A2:I2"/>
    <mergeCell ref="A3:A5"/>
    <mergeCell ref="B3:G3"/>
    <mergeCell ref="H3:I4"/>
    <mergeCell ref="J3:K4"/>
  </mergeCells>
  <printOptions horizontalCentered="1"/>
  <pageMargins left="0.7874015748031497" right="0.7874015748031497" top="0.984251968503937" bottom="0.984251968503937" header="0.5118110236220472" footer="0.5118110236220472"/>
  <pageSetup fitToHeight="0" fitToWidth="1" horizontalDpi="600" verticalDpi="600" orientation="portrait" paperSize="9" scale="48" r:id="rId1"/>
  <headerFooter alignWithMargins="0">
    <oddFooter>&amp;R関東信越国税局
消費税
(H29)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国税庁</dc:creator>
  <cp:keywords/>
  <dc:description/>
  <cp:lastModifiedBy>企画課　籔野</cp:lastModifiedBy>
  <cp:lastPrinted>2019-04-26T05:13:31Z</cp:lastPrinted>
  <dcterms:created xsi:type="dcterms:W3CDTF">2003-07-09T01:05:10Z</dcterms:created>
  <dcterms:modified xsi:type="dcterms:W3CDTF">2019-05-30T08:11:30Z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y fmtid="{D5CDD505-2E9C-101B-9397-08002B2CF9AE}" pid="3" name="説明">
    <vt:lpwstr/>
  </property>
</Properties>
</file>