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<sst xmlns="http://schemas.openxmlformats.org/spreadsheetml/2006/main" count="309" uniqueCount="130">
  <si>
    <t>７　消　費　税</t>
  </si>
  <si>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</si>
  <si>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</si>
  <si>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</si>
  <si>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</si>
  <si>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</si>
  <si>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</si>
  <si>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</si>
  <si>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</si>
  <si>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</si>
  <si>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</si>
  <si>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</si>
  <si>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</si>
  <si>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</si>
  <si>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</si>
  <si>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</si>
  <si>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</si>
  <si>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</si>
  <si>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</si>
  <si>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</si>
  <si>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</si>
  <si>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</si>
  <si>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</si>
  <si>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</si>
  <si>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</si>
  <si>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</si>
  <si>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</si>
  <si>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</si>
  <si>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</si>
  <si>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</si>
  <si>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</si>
  <si>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</si>
  <si>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</si>
  <si>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</si>
  <si>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</si>
  <si>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</si>
  <si>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</si>
  <si>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</si>
  <si>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富山</t>
  </si>
  <si>
    <t>富山</t>
  </si>
  <si>
    <t>高岡</t>
  </si>
  <si>
    <t>高岡</t>
  </si>
  <si>
    <t>魚津</t>
  </si>
  <si>
    <t>魚津</t>
  </si>
  <si>
    <t>砺波</t>
  </si>
  <si>
    <t>砺波</t>
  </si>
  <si>
    <t>富山県計</t>
  </si>
  <si>
    <t>富山県計</t>
  </si>
  <si>
    <t>金沢</t>
  </si>
  <si>
    <t>七尾</t>
  </si>
  <si>
    <t>小松</t>
  </si>
  <si>
    <t>輪島</t>
  </si>
  <si>
    <t>松任</t>
  </si>
  <si>
    <t>石川県計</t>
  </si>
  <si>
    <t>福井</t>
  </si>
  <si>
    <t>福井</t>
  </si>
  <si>
    <t>敦賀</t>
  </si>
  <si>
    <t>敦賀</t>
  </si>
  <si>
    <t>武生</t>
  </si>
  <si>
    <t>武生</t>
  </si>
  <si>
    <t>小浜</t>
  </si>
  <si>
    <t>小浜</t>
  </si>
  <si>
    <t>大野</t>
  </si>
  <si>
    <t>大野</t>
  </si>
  <si>
    <t>三国</t>
  </si>
  <si>
    <t>三国</t>
  </si>
  <si>
    <t>福井県計</t>
  </si>
  <si>
    <t>福井県計</t>
  </si>
  <si>
    <t>総　計</t>
  </si>
  <si>
    <t>総　計</t>
  </si>
  <si>
    <t>税務署名</t>
  </si>
  <si>
    <t>富山</t>
  </si>
  <si>
    <t>高岡</t>
  </si>
  <si>
    <t>魚津</t>
  </si>
  <si>
    <t>砺波</t>
  </si>
  <si>
    <t>富山県計</t>
  </si>
  <si>
    <t>福井</t>
  </si>
  <si>
    <t>敦賀</t>
  </si>
  <si>
    <t>武生</t>
  </si>
  <si>
    <t>小浜</t>
  </si>
  <si>
    <t>大野</t>
  </si>
  <si>
    <t>三国</t>
  </si>
  <si>
    <t>福井県計</t>
  </si>
  <si>
    <t>総　計</t>
  </si>
  <si>
    <t>課　税　事　業　者　等　届　出　件　数</t>
  </si>
  <si>
    <t>課税事業者
届出</t>
  </si>
  <si>
    <t>課税事業者
選択届出</t>
  </si>
  <si>
    <t>新設法人に
該当する旨
の届出</t>
  </si>
  <si>
    <t>合　　　計</t>
  </si>
  <si>
    <t>税　　額
(①－②＋③)</t>
  </si>
  <si>
    <t/>
  </si>
  <si>
    <t>石川県計</t>
  </si>
  <si>
    <t>調査対象等：</t>
  </si>
  <si>
    <t>税関分は含まない。</t>
  </si>
  <si>
    <t>税務署名</t>
  </si>
  <si>
    <t>納　　　税　　　申　　　告　　　及　　　び　　　処　　　理</t>
  </si>
  <si>
    <t>一般申告及び処理</t>
  </si>
  <si>
    <t>件数</t>
  </si>
  <si>
    <t>税額</t>
  </si>
  <si>
    <t>税　額　①</t>
  </si>
  <si>
    <t>税　額　②</t>
  </si>
  <si>
    <t>税　額　③</t>
  </si>
  <si>
    <t>税　　　額
(①－②＋③)</t>
  </si>
  <si>
    <t>(3)　課税事業者等届出件数</t>
  </si>
  <si>
    <t>合計</t>
  </si>
  <si>
    <t>個　人　事　業　者</t>
  </si>
  <si>
    <t>法　　　　　　　人</t>
  </si>
  <si>
    <t>合　　　　　　　計</t>
  </si>
  <si>
    <t>件　　数</t>
  </si>
  <si>
    <t>税　　額</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</si>
  <si>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</si>
  <si>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</si>
  <si>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</si>
  <si>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</si>
  <si>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</si>
  <si>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平成29年度</t>
  </si>
  <si>
    <t>平成30年度</t>
  </si>
  <si>
    <t>令和元年度</t>
  </si>
  <si>
    <t>（注）</t>
  </si>
  <si>
    <t>個　人　事　業　者</t>
  </si>
  <si>
    <t>法　　　　　人</t>
  </si>
  <si>
    <t>合　　　　　計</t>
  </si>
  <si>
    <t>令和２年度</t>
  </si>
  <si>
    <t>　 イ　個人事業者</t>
  </si>
  <si>
    <t>　 ロ　法　　　人</t>
  </si>
  <si>
    <t>　 ハ　個人事業者と法人の合計</t>
  </si>
  <si>
    <t xml:space="preserve"> 「現年分」は、令和３年４月１日から令和４年３月31日までに終了した課税期間に係る消費税の申告及び処理（更正、決定等）による課税事績(令和４年６月30日までのもの。国・地方公共団体等及び消費税申告期限延長届出書を提出した法人については令和４年９月30日までのもの。)に基づいて作成した。</t>
  </si>
  <si>
    <t xml:space="preserve"> 「既往年分」は、令和３年３月31日以前に終了した課税期間に係る消費税の申告及び処理（更正、決定等）による課税事績（令和３年７月１日から令和４年６月30日までのもの。国・地方公共団体等及び消費税申告期限延長届出書を提出した法人については令和３年10月１日から令和４年６月30日までのもの。）に基づいて作成した。</t>
  </si>
  <si>
    <t>令和３年度</t>
  </si>
  <si>
    <t>調査対象等：令和３年度末（令和４年３月31日現在）の届出件数を示している。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</si>
</sst>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9">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b/>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color indexed="63"/>
      </top>
      <bottom style="medium"/>
    </border>
    <border>
      <left style="hair"/>
      <right/>
      <top/>
      <bottom style="medium"/>
    </border>
    <border>
      <left style="thin"/>
      <right style="hair"/>
      <top style="hair">
        <color indexed="55"/>
      </top>
      <bottom style="medium"/>
    </border>
    <border>
      <left style="hair"/>
      <right style="medium"/>
      <top style="hair">
        <color indexed="55"/>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hair"/>
      <right style="hair"/>
      <top style="hair">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top style="thin">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color indexed="63"/>
      </left>
      <right style="hair"/>
      <top style="thin"/>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1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6"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7" fillId="33" borderId="10" xfId="0" applyFont="1" applyFill="1" applyBorder="1" applyAlignment="1">
      <alignment horizontal="right" vertical="top"/>
    </xf>
    <xf numFmtId="0" fontId="7" fillId="34" borderId="26" xfId="0" applyFont="1" applyFill="1" applyBorder="1" applyAlignment="1">
      <alignment horizontal="right" vertical="top"/>
    </xf>
    <xf numFmtId="0" fontId="2" fillId="0" borderId="27"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0" xfId="0" applyNumberFormat="1" applyFont="1" applyFill="1" applyBorder="1" applyAlignment="1">
      <alignment horizontal="right" vertical="center"/>
    </xf>
    <xf numFmtId="0" fontId="2" fillId="0" borderId="29"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1" xfId="0" applyFont="1" applyFill="1" applyBorder="1" applyAlignment="1">
      <alignment horizontal="right"/>
    </xf>
    <xf numFmtId="0" fontId="7" fillId="34" borderId="32"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2" fillId="0" borderId="35" xfId="0" applyFont="1" applyBorder="1" applyAlignment="1">
      <alignment horizontal="left" vertical="top" wrapText="1"/>
    </xf>
    <xf numFmtId="0" fontId="5" fillId="0" borderId="0" xfId="0" applyFont="1" applyAlignment="1">
      <alignment horizontal="center" vertical="top"/>
    </xf>
    <xf numFmtId="0" fontId="2" fillId="0" borderId="18"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6"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37" xfId="61" applyFont="1" applyBorder="1" applyAlignment="1">
      <alignment horizontal="distributed" vertical="center" indent="1"/>
      <protection/>
    </xf>
    <xf numFmtId="0" fontId="2" fillId="0" borderId="38" xfId="61" applyFont="1" applyBorder="1" applyAlignment="1">
      <alignment horizontal="distributed" vertical="center" indent="1"/>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39" xfId="61" applyFont="1" applyBorder="1" applyAlignment="1">
      <alignment horizontal="centerContinuous" vertical="center" wrapText="1"/>
      <protection/>
    </xf>
    <xf numFmtId="0" fontId="7" fillId="35" borderId="29"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0" xfId="61" applyFont="1" applyFill="1" applyBorder="1" applyAlignment="1">
      <alignment horizontal="right" vertical="top"/>
      <protection/>
    </xf>
    <xf numFmtId="0" fontId="7" fillId="35" borderId="34" xfId="61" applyFont="1" applyFill="1" applyBorder="1" applyAlignment="1">
      <alignment horizontal="distributed" vertical="top"/>
      <protection/>
    </xf>
    <xf numFmtId="0" fontId="2" fillId="36" borderId="41" xfId="61" applyFont="1" applyFill="1" applyBorder="1" applyAlignment="1">
      <alignment horizontal="distributed" vertical="center"/>
      <protection/>
    </xf>
    <xf numFmtId="0" fontId="2" fillId="36" borderId="42" xfId="61" applyFont="1" applyFill="1" applyBorder="1" applyAlignment="1">
      <alignment horizontal="distributed" vertical="center"/>
      <protection/>
    </xf>
    <xf numFmtId="0" fontId="2" fillId="36" borderId="43" xfId="61" applyFont="1" applyFill="1" applyBorder="1" applyAlignment="1">
      <alignment horizontal="distributed" vertical="center"/>
      <protection/>
    </xf>
    <xf numFmtId="0" fontId="2" fillId="36" borderId="44" xfId="61" applyFont="1" applyFill="1" applyBorder="1" applyAlignment="1">
      <alignment horizontal="distributed" vertical="center"/>
      <protection/>
    </xf>
    <xf numFmtId="0" fontId="6" fillId="36" borderId="45" xfId="61" applyFont="1" applyFill="1" applyBorder="1" applyAlignment="1">
      <alignment horizontal="distributed" vertical="center"/>
      <protection/>
    </xf>
    <xf numFmtId="0" fontId="6" fillId="36" borderId="46" xfId="61" applyFont="1" applyFill="1" applyBorder="1" applyAlignment="1">
      <alignment horizontal="distributed" vertical="center"/>
      <protection/>
    </xf>
    <xf numFmtId="0" fontId="8" fillId="0" borderId="47" xfId="61" applyFont="1" applyFill="1" applyBorder="1" applyAlignment="1">
      <alignment horizontal="distributed" vertical="center"/>
      <protection/>
    </xf>
    <xf numFmtId="0" fontId="8" fillId="0" borderId="48" xfId="61" applyFont="1" applyFill="1" applyBorder="1" applyAlignment="1">
      <alignment horizontal="center" vertical="center"/>
      <protection/>
    </xf>
    <xf numFmtId="0" fontId="8" fillId="0" borderId="49" xfId="61" applyFont="1" applyFill="1" applyBorder="1" applyAlignment="1">
      <alignment horizontal="distributed" vertical="center"/>
      <protection/>
    </xf>
    <xf numFmtId="0" fontId="8" fillId="0" borderId="50" xfId="61" applyFont="1" applyFill="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2" fillId="0" borderId="0" xfId="61" applyFont="1" applyBorder="1" applyAlignment="1">
      <alignment horizontal="left" vertical="center"/>
      <protection/>
    </xf>
    <xf numFmtId="0" fontId="2" fillId="0" borderId="38" xfId="61" applyFont="1" applyBorder="1" applyAlignment="1">
      <alignment horizontal="center" vertical="center" wrapText="1"/>
      <protection/>
    </xf>
    <xf numFmtId="0" fontId="7" fillId="34" borderId="26" xfId="61" applyFont="1" applyFill="1" applyBorder="1" applyAlignment="1">
      <alignment horizontal="right" vertical="top"/>
      <protection/>
    </xf>
    <xf numFmtId="0" fontId="7" fillId="34" borderId="40" xfId="61" applyFont="1" applyFill="1" applyBorder="1" applyAlignment="1">
      <alignment horizontal="right" vertical="top"/>
      <protection/>
    </xf>
    <xf numFmtId="0" fontId="8" fillId="0" borderId="53" xfId="61" applyFont="1" applyFill="1" applyBorder="1" applyAlignment="1">
      <alignment horizontal="center" vertical="center"/>
      <protection/>
    </xf>
    <xf numFmtId="0" fontId="8" fillId="0" borderId="54" xfId="61" applyFont="1" applyFill="1" applyBorder="1" applyAlignment="1">
      <alignment horizontal="center" vertical="center"/>
      <protection/>
    </xf>
    <xf numFmtId="0" fontId="6" fillId="0" borderId="55" xfId="61" applyFont="1" applyBorder="1" applyAlignment="1">
      <alignment horizontal="center" vertical="center"/>
      <protection/>
    </xf>
    <xf numFmtId="0" fontId="2" fillId="36" borderId="56" xfId="61" applyFont="1" applyFill="1" applyBorder="1" applyAlignment="1">
      <alignment horizontal="distributed" vertical="center"/>
      <protection/>
    </xf>
    <xf numFmtId="3" fontId="2" fillId="34"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6" fillId="34" borderId="58"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3" fontId="6" fillId="33"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4" borderId="63" xfId="0" applyNumberFormat="1" applyFont="1" applyFill="1" applyBorder="1" applyAlignment="1">
      <alignment vertical="center"/>
    </xf>
    <xf numFmtId="3" fontId="2" fillId="34"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3" fontId="2" fillId="33" borderId="66" xfId="0" applyNumberFormat="1" applyFont="1" applyFill="1" applyBorder="1" applyAlignment="1">
      <alignment horizontal="right" vertical="center"/>
    </xf>
    <xf numFmtId="0" fontId="0" fillId="0" borderId="0" xfId="61" applyFont="1">
      <alignment/>
      <protection/>
    </xf>
    <xf numFmtId="177" fontId="2" fillId="34" borderId="30" xfId="61" applyNumberFormat="1" applyFont="1" applyFill="1" applyBorder="1" applyAlignment="1">
      <alignment horizontal="right" vertical="center"/>
      <protection/>
    </xf>
    <xf numFmtId="177" fontId="2" fillId="33" borderId="27" xfId="61" applyNumberFormat="1" applyFont="1" applyFill="1" applyBorder="1" applyAlignment="1">
      <alignment horizontal="right" vertical="center"/>
      <protection/>
    </xf>
    <xf numFmtId="177" fontId="2" fillId="33" borderId="67" xfId="61" applyNumberFormat="1" applyFont="1" applyFill="1" applyBorder="1" applyAlignment="1">
      <alignment horizontal="right" vertical="center"/>
      <protection/>
    </xf>
    <xf numFmtId="177" fontId="2" fillId="34" borderId="68" xfId="61" applyNumberFormat="1" applyFont="1" applyFill="1" applyBorder="1" applyAlignment="1">
      <alignment horizontal="right" vertical="center"/>
      <protection/>
    </xf>
    <xf numFmtId="177" fontId="2" fillId="33" borderId="20" xfId="61" applyNumberFormat="1" applyFont="1" applyFill="1" applyBorder="1" applyAlignment="1">
      <alignment horizontal="right" vertical="center"/>
      <protection/>
    </xf>
    <xf numFmtId="177" fontId="2" fillId="33" borderId="69"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72" xfId="61" applyNumberFormat="1" applyFont="1" applyFill="1" applyBorder="1" applyAlignment="1">
      <alignment horizontal="right" vertical="center"/>
      <protection/>
    </xf>
    <xf numFmtId="177" fontId="8" fillId="0" borderId="73" xfId="61" applyNumberFormat="1" applyFont="1" applyFill="1" applyBorder="1" applyAlignment="1">
      <alignment horizontal="right" vertical="center"/>
      <protection/>
    </xf>
    <xf numFmtId="177" fontId="8" fillId="0" borderId="74" xfId="61" applyNumberFormat="1" applyFont="1" applyFill="1" applyBorder="1" applyAlignment="1">
      <alignment horizontal="right" vertical="center"/>
      <protection/>
    </xf>
    <xf numFmtId="177" fontId="8" fillId="0" borderId="75" xfId="61" applyNumberFormat="1" applyFont="1" applyFill="1" applyBorder="1" applyAlignment="1">
      <alignment horizontal="right" vertical="center"/>
      <protection/>
    </xf>
    <xf numFmtId="177" fontId="2" fillId="0" borderId="76" xfId="61" applyNumberFormat="1" applyFont="1" applyFill="1" applyBorder="1" applyAlignment="1">
      <alignment horizontal="right" vertical="center"/>
      <protection/>
    </xf>
    <xf numFmtId="177" fontId="2" fillId="0" borderId="77" xfId="61" applyNumberFormat="1" applyFont="1" applyFill="1" applyBorder="1" applyAlignment="1">
      <alignment horizontal="right" vertical="center"/>
      <protection/>
    </xf>
    <xf numFmtId="177" fontId="2" fillId="0"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3" borderId="65" xfId="61" applyNumberFormat="1" applyFont="1" applyFill="1" applyBorder="1" applyAlignment="1">
      <alignment horizontal="right" vertical="center"/>
      <protection/>
    </xf>
    <xf numFmtId="177" fontId="6" fillId="33" borderId="80" xfId="61" applyNumberFormat="1" applyFont="1" applyFill="1" applyBorder="1" applyAlignment="1">
      <alignment horizontal="right" vertical="center"/>
      <protection/>
    </xf>
    <xf numFmtId="3" fontId="2" fillId="34" borderId="81"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82" xfId="0" applyNumberFormat="1" applyFont="1" applyFill="1" applyBorder="1" applyAlignment="1">
      <alignment horizontal="right" vertical="center"/>
    </xf>
    <xf numFmtId="3" fontId="2" fillId="34" borderId="83" xfId="0" applyNumberFormat="1" applyFont="1" applyFill="1" applyBorder="1" applyAlignment="1">
      <alignment vertical="center"/>
    </xf>
    <xf numFmtId="3" fontId="2" fillId="34" borderId="84" xfId="0" applyNumberFormat="1" applyFont="1" applyFill="1" applyBorder="1" applyAlignment="1">
      <alignment vertical="center"/>
    </xf>
    <xf numFmtId="3" fontId="2" fillId="34" borderId="85" xfId="0" applyNumberFormat="1" applyFont="1" applyFill="1" applyBorder="1" applyAlignment="1">
      <alignment vertical="center"/>
    </xf>
    <xf numFmtId="3" fontId="2" fillId="34" borderId="52" xfId="0" applyNumberFormat="1" applyFont="1" applyFill="1" applyBorder="1" applyAlignment="1">
      <alignment vertical="center"/>
    </xf>
    <xf numFmtId="177" fontId="46" fillId="33" borderId="27" xfId="61" applyNumberFormat="1" applyFont="1" applyFill="1" applyBorder="1" applyAlignment="1">
      <alignment horizontal="right" vertical="center"/>
      <protection/>
    </xf>
    <xf numFmtId="177" fontId="46" fillId="34" borderId="30" xfId="61" applyNumberFormat="1" applyFont="1" applyFill="1" applyBorder="1" applyAlignment="1">
      <alignment horizontal="right" vertical="center"/>
      <protection/>
    </xf>
    <xf numFmtId="177" fontId="46" fillId="33" borderId="67" xfId="61" applyNumberFormat="1" applyFont="1" applyFill="1" applyBorder="1" applyAlignment="1">
      <alignment horizontal="right" vertical="center"/>
      <protection/>
    </xf>
    <xf numFmtId="177" fontId="46" fillId="33" borderId="20" xfId="61" applyNumberFormat="1" applyFont="1" applyFill="1" applyBorder="1" applyAlignment="1">
      <alignment horizontal="right" vertical="center"/>
      <protection/>
    </xf>
    <xf numFmtId="177" fontId="46" fillId="34" borderId="68" xfId="61" applyNumberFormat="1" applyFont="1" applyFill="1" applyBorder="1" applyAlignment="1">
      <alignment horizontal="right" vertical="center"/>
      <protection/>
    </xf>
    <xf numFmtId="177" fontId="46" fillId="33" borderId="69" xfId="61" applyNumberFormat="1" applyFont="1" applyFill="1" applyBorder="1" applyAlignment="1">
      <alignment horizontal="right" vertical="center"/>
      <protection/>
    </xf>
    <xf numFmtId="177" fontId="47" fillId="33" borderId="71" xfId="61" applyNumberFormat="1" applyFont="1" applyFill="1" applyBorder="1" applyAlignment="1">
      <alignment horizontal="right" vertical="center"/>
      <protection/>
    </xf>
    <xf numFmtId="177" fontId="47" fillId="34" borderId="70" xfId="61" applyNumberFormat="1" applyFont="1" applyFill="1" applyBorder="1" applyAlignment="1">
      <alignment horizontal="right" vertical="center"/>
      <protection/>
    </xf>
    <xf numFmtId="177" fontId="47" fillId="33" borderId="72" xfId="61" applyNumberFormat="1" applyFont="1" applyFill="1" applyBorder="1" applyAlignment="1">
      <alignment horizontal="right" vertical="center"/>
      <protection/>
    </xf>
    <xf numFmtId="177" fontId="48" fillId="0" borderId="74" xfId="61" applyNumberFormat="1" applyFont="1" applyFill="1" applyBorder="1" applyAlignment="1">
      <alignment horizontal="right" vertical="center"/>
      <protection/>
    </xf>
    <xf numFmtId="177" fontId="48" fillId="0" borderId="73" xfId="61" applyNumberFormat="1" applyFont="1" applyFill="1" applyBorder="1" applyAlignment="1">
      <alignment horizontal="right" vertical="center"/>
      <protection/>
    </xf>
    <xf numFmtId="177" fontId="48" fillId="0" borderId="75" xfId="61" applyNumberFormat="1" applyFont="1" applyFill="1" applyBorder="1" applyAlignment="1">
      <alignment horizontal="right" vertical="center"/>
      <protection/>
    </xf>
    <xf numFmtId="41" fontId="2" fillId="34" borderId="30" xfId="61" applyNumberFormat="1" applyFont="1" applyFill="1" applyBorder="1" applyAlignment="1">
      <alignment horizontal="right" vertical="center"/>
      <protection/>
    </xf>
    <xf numFmtId="41" fontId="2" fillId="34" borderId="57" xfId="61" applyNumberFormat="1" applyFont="1" applyFill="1" applyBorder="1" applyAlignment="1">
      <alignment horizontal="right" vertical="center"/>
      <protection/>
    </xf>
    <xf numFmtId="41" fontId="2" fillId="34" borderId="67" xfId="61" applyNumberFormat="1" applyFont="1" applyFill="1" applyBorder="1" applyAlignment="1">
      <alignment horizontal="right" vertical="center"/>
      <protection/>
    </xf>
    <xf numFmtId="41" fontId="6" fillId="34" borderId="70" xfId="61" applyNumberFormat="1" applyFont="1" applyFill="1" applyBorder="1" applyAlignment="1">
      <alignment horizontal="right" vertical="center"/>
      <protection/>
    </xf>
    <xf numFmtId="41" fontId="6" fillId="34" borderId="86" xfId="61" applyNumberFormat="1" applyFont="1" applyFill="1" applyBorder="1" applyAlignment="1">
      <alignment horizontal="right" vertical="center"/>
      <protection/>
    </xf>
    <xf numFmtId="41" fontId="6" fillId="34" borderId="72" xfId="61" applyNumberFormat="1" applyFont="1" applyFill="1" applyBorder="1" applyAlignment="1">
      <alignment horizontal="right" vertical="center"/>
      <protection/>
    </xf>
    <xf numFmtId="41" fontId="2" fillId="0" borderId="87" xfId="61" applyNumberFormat="1" applyFont="1" applyFill="1" applyBorder="1" applyAlignment="1">
      <alignment horizontal="right" vertical="center"/>
      <protection/>
    </xf>
    <xf numFmtId="41" fontId="2" fillId="0" borderId="88" xfId="61" applyNumberFormat="1" applyFont="1" applyFill="1" applyBorder="1" applyAlignment="1">
      <alignment horizontal="right" vertical="center"/>
      <protection/>
    </xf>
    <xf numFmtId="41" fontId="2" fillId="0" borderId="89" xfId="61" applyNumberFormat="1" applyFont="1" applyFill="1" applyBorder="1" applyAlignment="1">
      <alignment horizontal="right" vertical="center"/>
      <protection/>
    </xf>
    <xf numFmtId="41" fontId="2" fillId="0" borderId="90" xfId="61" applyNumberFormat="1" applyFont="1" applyFill="1" applyBorder="1" applyAlignment="1">
      <alignment horizontal="right" vertical="center"/>
      <protection/>
    </xf>
    <xf numFmtId="41" fontId="2" fillId="0" borderId="91" xfId="61" applyNumberFormat="1" applyFont="1" applyFill="1" applyBorder="1" applyAlignment="1">
      <alignment horizontal="right" vertical="center"/>
      <protection/>
    </xf>
    <xf numFmtId="41" fontId="2" fillId="0" borderId="92" xfId="61" applyNumberFormat="1" applyFont="1" applyFill="1" applyBorder="1" applyAlignment="1">
      <alignment horizontal="right" vertical="center"/>
      <protection/>
    </xf>
    <xf numFmtId="41" fontId="6" fillId="34" borderId="93" xfId="61" applyNumberFormat="1" applyFont="1" applyFill="1" applyBorder="1" applyAlignment="1">
      <alignment horizontal="right" vertical="center"/>
      <protection/>
    </xf>
    <xf numFmtId="41" fontId="6" fillId="34" borderId="94" xfId="61" applyNumberFormat="1" applyFont="1" applyFill="1" applyBorder="1" applyAlignment="1">
      <alignment horizontal="right" vertical="center"/>
      <protection/>
    </xf>
    <xf numFmtId="41" fontId="6" fillId="34" borderId="95" xfId="61" applyNumberFormat="1" applyFont="1" applyFill="1" applyBorder="1" applyAlignment="1">
      <alignment horizontal="right" vertical="center"/>
      <protection/>
    </xf>
    <xf numFmtId="0" fontId="2" fillId="0" borderId="21" xfId="0" applyFont="1" applyBorder="1" applyAlignment="1">
      <alignment horizontal="distributed" vertical="center" wrapText="1"/>
    </xf>
    <xf numFmtId="3" fontId="2" fillId="34" borderId="96" xfId="0" applyNumberFormat="1" applyFont="1" applyFill="1" applyBorder="1" applyAlignment="1">
      <alignment horizontal="right" vertical="center"/>
    </xf>
    <xf numFmtId="3" fontId="2" fillId="34" borderId="96" xfId="0" applyNumberFormat="1" applyFont="1" applyFill="1" applyBorder="1" applyAlignment="1">
      <alignment vertical="center"/>
    </xf>
    <xf numFmtId="0" fontId="2" fillId="0" borderId="0" xfId="0" applyFont="1" applyAlignment="1">
      <alignment horizontal="right" vertical="top"/>
    </xf>
    <xf numFmtId="0" fontId="2" fillId="0" borderId="97" xfId="0" applyFont="1" applyBorder="1" applyAlignment="1">
      <alignment horizontal="center" vertical="center"/>
    </xf>
    <xf numFmtId="41" fontId="46" fillId="34" borderId="57" xfId="61" applyNumberFormat="1" applyFont="1" applyFill="1" applyBorder="1" applyAlignment="1">
      <alignment horizontal="right" vertical="center"/>
      <protection/>
    </xf>
    <xf numFmtId="0" fontId="2" fillId="0" borderId="98" xfId="0" applyFont="1" applyBorder="1" applyAlignment="1">
      <alignment horizontal="distributed" vertical="center" wrapText="1"/>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wrapText="1"/>
    </xf>
    <xf numFmtId="0" fontId="2" fillId="0" borderId="101" xfId="0" applyFont="1" applyBorder="1" applyAlignment="1">
      <alignment horizontal="distributed" vertical="center"/>
    </xf>
    <xf numFmtId="0" fontId="2" fillId="0" borderId="51" xfId="0" applyFont="1" applyBorder="1" applyAlignment="1">
      <alignment horizontal="distributed" vertical="center"/>
    </xf>
    <xf numFmtId="0" fontId="2" fillId="0" borderId="102" xfId="0" applyFont="1" applyBorder="1" applyAlignment="1">
      <alignment horizontal="distributed" vertical="center"/>
    </xf>
    <xf numFmtId="0" fontId="2" fillId="0" borderId="35"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35" xfId="0" applyFont="1" applyBorder="1" applyAlignment="1">
      <alignment horizontal="center" vertical="center"/>
    </xf>
    <xf numFmtId="0" fontId="2" fillId="0" borderId="111" xfId="0" applyFont="1" applyBorder="1" applyAlignment="1">
      <alignment horizontal="center" vertical="center"/>
    </xf>
    <xf numFmtId="0" fontId="2" fillId="0" borderId="100"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01" xfId="0" applyFont="1" applyBorder="1" applyAlignment="1">
      <alignment horizontal="center" vertical="center"/>
    </xf>
    <xf numFmtId="0" fontId="2" fillId="0" borderId="35" xfId="0" applyFont="1" applyBorder="1" applyAlignment="1">
      <alignment horizontal="left" vertical="center"/>
    </xf>
    <xf numFmtId="0" fontId="2" fillId="0" borderId="0" xfId="0" applyFont="1" applyAlignment="1">
      <alignment horizontal="left" vertical="center"/>
    </xf>
    <xf numFmtId="0" fontId="2" fillId="0" borderId="36" xfId="61" applyFont="1" applyBorder="1" applyAlignment="1">
      <alignment horizontal="distributed" vertical="center" wrapText="1"/>
      <protection/>
    </xf>
    <xf numFmtId="0" fontId="2" fillId="0" borderId="114" xfId="61" applyFont="1" applyBorder="1" applyAlignment="1">
      <alignment horizontal="distributed" vertical="center" wrapText="1"/>
      <protection/>
    </xf>
    <xf numFmtId="0" fontId="2" fillId="0" borderId="115" xfId="61" applyFont="1" applyBorder="1" applyAlignment="1">
      <alignment horizontal="distributed" vertical="center" wrapText="1"/>
      <protection/>
    </xf>
    <xf numFmtId="0" fontId="2" fillId="0" borderId="116" xfId="61" applyFont="1" applyBorder="1" applyAlignment="1">
      <alignment horizontal="center" vertical="center"/>
      <protection/>
    </xf>
    <xf numFmtId="0" fontId="2" fillId="0" borderId="117" xfId="61" applyFont="1" applyBorder="1" applyAlignment="1">
      <alignment horizontal="center" vertical="center"/>
      <protection/>
    </xf>
    <xf numFmtId="0" fontId="2" fillId="0" borderId="118" xfId="61" applyFont="1" applyBorder="1" applyAlignment="1">
      <alignment horizontal="center" vertical="center"/>
      <protection/>
    </xf>
    <xf numFmtId="0" fontId="2" fillId="0" borderId="35" xfId="61" applyFont="1" applyBorder="1" applyAlignment="1">
      <alignment horizontal="left" vertical="center"/>
      <protection/>
    </xf>
    <xf numFmtId="0" fontId="2" fillId="0" borderId="0" xfId="61" applyFont="1" applyAlignment="1">
      <alignment horizontal="left" vertical="center"/>
      <protection/>
    </xf>
    <xf numFmtId="0" fontId="2" fillId="0" borderId="103" xfId="61" applyFont="1" applyBorder="1" applyAlignment="1">
      <alignment horizontal="distributed" vertical="center"/>
      <protection/>
    </xf>
    <xf numFmtId="0" fontId="2" fillId="0" borderId="105" xfId="61" applyFont="1" applyBorder="1" applyAlignment="1">
      <alignment horizontal="distributed" vertical="center"/>
      <protection/>
    </xf>
    <xf numFmtId="0" fontId="2" fillId="0" borderId="119" xfId="61" applyFont="1" applyBorder="1" applyAlignment="1">
      <alignment horizontal="distributed" vertical="center"/>
      <protection/>
    </xf>
    <xf numFmtId="0" fontId="2" fillId="0" borderId="120" xfId="61" applyFont="1" applyBorder="1" applyAlignment="1">
      <alignment horizontal="center" vertical="center"/>
      <protection/>
    </xf>
    <xf numFmtId="0" fontId="2" fillId="0" borderId="121"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1" xfId="61" applyFont="1" applyBorder="1" applyAlignment="1">
      <alignment horizontal="center" vertical="center" wrapText="1"/>
      <protection/>
    </xf>
    <xf numFmtId="0" fontId="2" fillId="0" borderId="124" xfId="61" applyFont="1" applyBorder="1" applyAlignment="1">
      <alignment horizontal="left"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distributed" vertical="center" wrapText="1"/>
      <protection/>
    </xf>
    <xf numFmtId="0" fontId="2" fillId="0" borderId="128" xfId="61" applyFont="1" applyBorder="1" applyAlignment="1">
      <alignment horizontal="distributed" vertical="center"/>
      <protection/>
    </xf>
    <xf numFmtId="0" fontId="2" fillId="0" borderId="129" xfId="61" applyFont="1" applyBorder="1" applyAlignment="1">
      <alignment horizontal="distributed" vertical="center" wrapText="1"/>
      <protection/>
    </xf>
    <xf numFmtId="0" fontId="2" fillId="0" borderId="130" xfId="61" applyFont="1" applyBorder="1" applyAlignment="1">
      <alignment horizontal="distributed" vertical="center"/>
      <protection/>
    </xf>
    <xf numFmtId="0" fontId="2" fillId="0" borderId="131" xfId="61" applyFont="1" applyBorder="1" applyAlignment="1">
      <alignment horizontal="distributed" vertical="center" wrapText="1"/>
      <protection/>
    </xf>
    <xf numFmtId="0" fontId="2" fillId="0" borderId="132" xfId="61" applyFont="1" applyBorder="1" applyAlignment="1">
      <alignment horizontal="distributed" vertical="center" wrapText="1"/>
      <protection/>
    </xf>
    <xf numFmtId="0" fontId="2" fillId="0" borderId="39" xfId="61" applyFont="1" applyBorder="1" applyAlignment="1">
      <alignment horizontal="center" vertical="center"/>
      <protection/>
    </xf>
    <xf numFmtId="0" fontId="2" fillId="0" borderId="120"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7"/>
  <sheetViews>
    <sheetView showGridLines="0" tabSelected="1" workbookViewId="0" topLeftCell="A1">
      <selection activeCell="A1" sqref="A1:H1"/>
    </sheetView>
  </sheetViews>
  <sheetFormatPr defaultColWidth="5.875" defaultRowHeight="13.5"/>
  <cols>
    <col min="1" max="1" width="10.625" style="1" customWidth="1"/>
    <col min="2" max="2" width="16.00390625" style="1" customWidth="1"/>
    <col min="3" max="3" width="9.125" style="1" customWidth="1"/>
    <col min="4" max="4" width="9.75390625" style="1" customWidth="1"/>
    <col min="5" max="5" width="9.125" style="1" customWidth="1"/>
    <col min="6" max="6" width="11.375" style="1" bestFit="1" customWidth="1"/>
    <col min="7" max="7" width="9.125" style="1" customWidth="1"/>
    <col min="8" max="8" width="11.375" style="1" bestFit="1" customWidth="1"/>
    <col min="9" max="16384" width="5.875" style="1" customWidth="1"/>
  </cols>
  <sheetData>
    <row r="1" spans="1:8" ht="15">
      <c r="A1" s="165" t="s">
        <v>0</v>
      </c>
      <c r="B1" s="165"/>
      <c r="C1" s="165"/>
      <c r="D1" s="165"/>
      <c r="E1" s="165"/>
      <c r="F1" s="165"/>
      <c r="G1" s="165"/>
      <c r="H1" s="165"/>
    </row>
    <row r="2" spans="1:8" ht="15">
      <c r="A2" s="44"/>
      <c r="B2" s="44"/>
      <c r="C2" s="44"/>
      <c r="D2" s="44"/>
      <c r="E2" s="44"/>
      <c r="F2" s="44"/>
      <c r="G2" s="44"/>
      <c r="H2" s="44"/>
    </row>
    <row r="3" spans="1:8" ht="11.25" thickBot="1">
      <c r="A3" s="166" t="s">
        <v>19</v>
      </c>
      <c r="B3" s="166"/>
      <c r="C3" s="166"/>
      <c r="D3" s="166"/>
      <c r="E3" s="166"/>
      <c r="F3" s="166"/>
      <c r="G3" s="166"/>
      <c r="H3" s="166"/>
    </row>
    <row r="4" spans="1:8" ht="24" customHeight="1">
      <c r="A4" s="167" t="s">
        <v>1</v>
      </c>
      <c r="B4" s="168"/>
      <c r="C4" s="171" t="s">
        <v>119</v>
      </c>
      <c r="D4" s="172"/>
      <c r="E4" s="171" t="s">
        <v>120</v>
      </c>
      <c r="F4" s="172"/>
      <c r="G4" s="171" t="s">
        <v>121</v>
      </c>
      <c r="H4" s="173"/>
    </row>
    <row r="5" spans="1:8" ht="24" customHeight="1">
      <c r="A5" s="169"/>
      <c r="B5" s="170"/>
      <c r="C5" s="154" t="s">
        <v>2</v>
      </c>
      <c r="D5" s="6" t="s">
        <v>3</v>
      </c>
      <c r="E5" s="154" t="s">
        <v>2</v>
      </c>
      <c r="F5" s="6" t="s">
        <v>3</v>
      </c>
      <c r="G5" s="154" t="s">
        <v>2</v>
      </c>
      <c r="H5" s="14" t="s">
        <v>3</v>
      </c>
    </row>
    <row r="6" spans="1:8" ht="12" customHeight="1">
      <c r="A6" s="31"/>
      <c r="B6" s="33"/>
      <c r="C6" s="27" t="s">
        <v>21</v>
      </c>
      <c r="D6" s="26" t="s">
        <v>20</v>
      </c>
      <c r="E6" s="27" t="s">
        <v>21</v>
      </c>
      <c r="F6" s="26" t="s">
        <v>20</v>
      </c>
      <c r="G6" s="27" t="s">
        <v>21</v>
      </c>
      <c r="H6" s="32" t="s">
        <v>20</v>
      </c>
    </row>
    <row r="7" spans="1:8" ht="30" customHeight="1">
      <c r="A7" s="156" t="s">
        <v>22</v>
      </c>
      <c r="B7" s="28" t="s">
        <v>13</v>
      </c>
      <c r="C7" s="82">
        <v>11159</v>
      </c>
      <c r="D7" s="29">
        <v>8513058</v>
      </c>
      <c r="E7" s="82">
        <v>32565</v>
      </c>
      <c r="F7" s="29">
        <v>340404000</v>
      </c>
      <c r="G7" s="82">
        <v>43724</v>
      </c>
      <c r="H7" s="30">
        <v>348917058</v>
      </c>
    </row>
    <row r="8" spans="1:8" ht="30" customHeight="1">
      <c r="A8" s="157"/>
      <c r="B8" s="18" t="s">
        <v>14</v>
      </c>
      <c r="C8" s="83">
        <v>16928</v>
      </c>
      <c r="D8" s="84">
        <v>7614721</v>
      </c>
      <c r="E8" s="83">
        <v>11671</v>
      </c>
      <c r="F8" s="84">
        <v>7950628</v>
      </c>
      <c r="G8" s="83">
        <v>28599</v>
      </c>
      <c r="H8" s="85">
        <v>15565349</v>
      </c>
    </row>
    <row r="9" spans="1:8" s="3" customFormat="1" ht="30" customHeight="1">
      <c r="A9" s="157"/>
      <c r="B9" s="19" t="s">
        <v>15</v>
      </c>
      <c r="C9" s="86">
        <v>28087</v>
      </c>
      <c r="D9" s="87">
        <v>16127779</v>
      </c>
      <c r="E9" s="86">
        <v>44236</v>
      </c>
      <c r="F9" s="87">
        <v>348354628</v>
      </c>
      <c r="G9" s="86">
        <v>72323</v>
      </c>
      <c r="H9" s="88">
        <v>364482406</v>
      </c>
    </row>
    <row r="10" spans="1:8" ht="30" customHeight="1">
      <c r="A10" s="158"/>
      <c r="B10" s="20" t="s">
        <v>16</v>
      </c>
      <c r="C10" s="89">
        <v>1385</v>
      </c>
      <c r="D10" s="90">
        <v>713874</v>
      </c>
      <c r="E10" s="89">
        <v>3707</v>
      </c>
      <c r="F10" s="90">
        <v>28486003</v>
      </c>
      <c r="G10" s="89">
        <v>5092</v>
      </c>
      <c r="H10" s="91">
        <v>29199878</v>
      </c>
    </row>
    <row r="11" spans="1:8" ht="30" customHeight="1">
      <c r="A11" s="159" t="s">
        <v>23</v>
      </c>
      <c r="B11" s="45" t="s">
        <v>17</v>
      </c>
      <c r="C11" s="92">
        <v>1854</v>
      </c>
      <c r="D11" s="15">
        <v>484019</v>
      </c>
      <c r="E11" s="93">
        <v>1624</v>
      </c>
      <c r="F11" s="15">
        <v>1589031</v>
      </c>
      <c r="G11" s="93">
        <v>3478</v>
      </c>
      <c r="H11" s="16">
        <v>2073050</v>
      </c>
    </row>
    <row r="12" spans="1:8" ht="30" customHeight="1">
      <c r="A12" s="160"/>
      <c r="B12" s="150" t="s">
        <v>18</v>
      </c>
      <c r="C12" s="151">
        <v>249</v>
      </c>
      <c r="D12" s="23">
        <v>48169</v>
      </c>
      <c r="E12" s="152">
        <v>340</v>
      </c>
      <c r="F12" s="23">
        <v>746267</v>
      </c>
      <c r="G12" s="152">
        <v>589</v>
      </c>
      <c r="H12" s="24">
        <v>794436</v>
      </c>
    </row>
    <row r="13" spans="1:8" ht="30" customHeight="1" thickBot="1">
      <c r="A13" s="161" t="s">
        <v>6</v>
      </c>
      <c r="B13" s="162"/>
      <c r="C13" s="94">
        <v>1771</v>
      </c>
      <c r="D13" s="95">
        <v>76136</v>
      </c>
      <c r="E13" s="94">
        <v>1455</v>
      </c>
      <c r="F13" s="95">
        <v>164074</v>
      </c>
      <c r="G13" s="94">
        <v>3226</v>
      </c>
      <c r="H13" s="96">
        <v>240210</v>
      </c>
    </row>
    <row r="14" spans="1:8" s="4" customFormat="1" ht="46.5" customHeight="1">
      <c r="A14" s="43" t="s">
        <v>92</v>
      </c>
      <c r="B14" s="163" t="s">
        <v>126</v>
      </c>
      <c r="C14" s="163"/>
      <c r="D14" s="163"/>
      <c r="E14" s="163"/>
      <c r="F14" s="163"/>
      <c r="G14" s="163"/>
      <c r="H14" s="163"/>
    </row>
    <row r="15" spans="2:8" ht="45" customHeight="1">
      <c r="B15" s="164" t="s">
        <v>127</v>
      </c>
      <c r="C15" s="164"/>
      <c r="D15" s="164"/>
      <c r="E15" s="164"/>
      <c r="F15" s="164"/>
      <c r="G15" s="164"/>
      <c r="H15" s="164"/>
    </row>
    <row r="16" spans="1:2" ht="14.25" customHeight="1">
      <c r="A16" s="153" t="s">
        <v>118</v>
      </c>
      <c r="B16" s="1" t="s">
        <v>93</v>
      </c>
    </row>
    <row r="17" ht="10.5">
      <c r="A17" s="48"/>
    </row>
  </sheetData>
  <sheetProtection/>
  <mergeCells count="11">
    <mergeCell ref="G4:H4"/>
    <mergeCell ref="A7:A10"/>
    <mergeCell ref="A11:A12"/>
    <mergeCell ref="A13:B13"/>
    <mergeCell ref="B14:H14"/>
    <mergeCell ref="B15:H15"/>
    <mergeCell ref="A1:H1"/>
    <mergeCell ref="A3:H3"/>
    <mergeCell ref="A4:B5"/>
    <mergeCell ref="C4:D4"/>
    <mergeCell ref="E4:F4"/>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&amp;R&amp;K01+000金沢国税局
消費税
(R03)</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workbookViewId="0" topLeftCell="A1">
      <selection activeCell="A1" sqref="A1"/>
    </sheetView>
  </sheetViews>
  <sheetFormatPr defaultColWidth="9.00390625" defaultRowHeight="13.5"/>
  <cols>
    <col min="1" max="1" width="10.625" style="47" customWidth="1"/>
    <col min="2" max="2" width="15.625" style="47" customWidth="1"/>
    <col min="3" max="3" width="8.625" style="47" customWidth="1"/>
    <col min="4" max="4" width="10.625" style="47" customWidth="1"/>
    <col min="5" max="5" width="8.625" style="47" customWidth="1"/>
    <col min="6" max="6" width="12.875" style="47" bestFit="1" customWidth="1"/>
    <col min="7" max="7" width="8.625" style="47" customWidth="1"/>
    <col min="8" max="8" width="12.875" style="47" bestFit="1" customWidth="1"/>
    <col min="9" max="16384" width="9.00390625" style="47" customWidth="1"/>
  </cols>
  <sheetData>
    <row r="1" s="1" customFormat="1" ht="11.25" thickBot="1">
      <c r="A1" s="1" t="s">
        <v>24</v>
      </c>
    </row>
    <row r="2" spans="1:8" s="1" customFormat="1" ht="15" customHeight="1">
      <c r="A2" s="167" t="s">
        <v>1</v>
      </c>
      <c r="B2" s="168"/>
      <c r="C2" s="174" t="s">
        <v>105</v>
      </c>
      <c r="D2" s="174"/>
      <c r="E2" s="174" t="s">
        <v>106</v>
      </c>
      <c r="F2" s="174"/>
      <c r="G2" s="175" t="s">
        <v>107</v>
      </c>
      <c r="H2" s="176"/>
    </row>
    <row r="3" spans="1:8" s="1" customFormat="1" ht="15" customHeight="1">
      <c r="A3" s="169"/>
      <c r="B3" s="170"/>
      <c r="C3" s="9" t="s">
        <v>108</v>
      </c>
      <c r="D3" s="6" t="s">
        <v>109</v>
      </c>
      <c r="E3" s="9" t="s">
        <v>108</v>
      </c>
      <c r="F3" s="7" t="s">
        <v>109</v>
      </c>
      <c r="G3" s="9" t="s">
        <v>108</v>
      </c>
      <c r="H3" s="8" t="s">
        <v>109</v>
      </c>
    </row>
    <row r="4" spans="1:8" s="10" customFormat="1" ht="15" customHeight="1">
      <c r="A4" s="35"/>
      <c r="B4" s="6"/>
      <c r="C4" s="36" t="s">
        <v>4</v>
      </c>
      <c r="D4" s="37" t="s">
        <v>5</v>
      </c>
      <c r="E4" s="36" t="s">
        <v>4</v>
      </c>
      <c r="F4" s="37" t="s">
        <v>5</v>
      </c>
      <c r="G4" s="36" t="s">
        <v>4</v>
      </c>
      <c r="H4" s="38" t="s">
        <v>5</v>
      </c>
    </row>
    <row r="5" spans="1:8" s="46" customFormat="1" ht="30" customHeight="1">
      <c r="A5" s="179" t="s">
        <v>115</v>
      </c>
      <c r="B5" s="28" t="s">
        <v>11</v>
      </c>
      <c r="C5" s="34">
        <v>30434</v>
      </c>
      <c r="D5" s="29">
        <v>15781037</v>
      </c>
      <c r="E5" s="34">
        <v>45189</v>
      </c>
      <c r="F5" s="29">
        <v>284589009</v>
      </c>
      <c r="G5" s="34">
        <v>75623</v>
      </c>
      <c r="H5" s="30">
        <v>300370046</v>
      </c>
    </row>
    <row r="6" spans="1:8" s="46" customFormat="1" ht="30" customHeight="1">
      <c r="A6" s="180"/>
      <c r="B6" s="20" t="s">
        <v>12</v>
      </c>
      <c r="C6" s="22">
        <v>792</v>
      </c>
      <c r="D6" s="23">
        <v>613265</v>
      </c>
      <c r="E6" s="22">
        <v>2767</v>
      </c>
      <c r="F6" s="23">
        <v>27853950</v>
      </c>
      <c r="G6" s="22">
        <v>3559</v>
      </c>
      <c r="H6" s="24">
        <v>28467215</v>
      </c>
    </row>
    <row r="7" spans="1:8" s="46" customFormat="1" ht="30" customHeight="1">
      <c r="A7" s="179" t="s">
        <v>116</v>
      </c>
      <c r="B7" s="17" t="s">
        <v>11</v>
      </c>
      <c r="C7" s="21">
        <v>29938</v>
      </c>
      <c r="D7" s="15">
        <v>15579404</v>
      </c>
      <c r="E7" s="21">
        <v>45117</v>
      </c>
      <c r="F7" s="15">
        <v>284243368</v>
      </c>
      <c r="G7" s="21">
        <v>75055</v>
      </c>
      <c r="H7" s="16">
        <v>299822772</v>
      </c>
    </row>
    <row r="8" spans="1:8" s="46" customFormat="1" ht="30" customHeight="1">
      <c r="A8" s="180"/>
      <c r="B8" s="20" t="s">
        <v>12</v>
      </c>
      <c r="C8" s="22">
        <v>879</v>
      </c>
      <c r="D8" s="23">
        <v>507545</v>
      </c>
      <c r="E8" s="22">
        <v>2870</v>
      </c>
      <c r="F8" s="23">
        <v>18680379</v>
      </c>
      <c r="G8" s="22">
        <v>3749</v>
      </c>
      <c r="H8" s="24">
        <v>19187924</v>
      </c>
    </row>
    <row r="9" spans="1:8" s="46" customFormat="1" ht="30" customHeight="1">
      <c r="A9" s="179" t="s">
        <v>117</v>
      </c>
      <c r="B9" s="17" t="s">
        <v>11</v>
      </c>
      <c r="C9" s="21">
        <v>28814</v>
      </c>
      <c r="D9" s="15">
        <v>15923844</v>
      </c>
      <c r="E9" s="21">
        <v>44860</v>
      </c>
      <c r="F9" s="15">
        <v>308601028</v>
      </c>
      <c r="G9" s="21">
        <v>73674</v>
      </c>
      <c r="H9" s="16">
        <v>324524873</v>
      </c>
    </row>
    <row r="10" spans="1:8" s="46" customFormat="1" ht="30" customHeight="1">
      <c r="A10" s="180"/>
      <c r="B10" s="20" t="s">
        <v>12</v>
      </c>
      <c r="C10" s="22">
        <v>778</v>
      </c>
      <c r="D10" s="23">
        <v>573950</v>
      </c>
      <c r="E10" s="22">
        <v>3036</v>
      </c>
      <c r="F10" s="23">
        <v>26788696</v>
      </c>
      <c r="G10" s="22">
        <v>3814</v>
      </c>
      <c r="H10" s="24">
        <v>27362646</v>
      </c>
    </row>
    <row r="11" spans="1:8" s="46" customFormat="1" ht="30" customHeight="1">
      <c r="A11" s="179" t="s">
        <v>122</v>
      </c>
      <c r="B11" s="17" t="s">
        <v>11</v>
      </c>
      <c r="C11" s="21">
        <v>28239</v>
      </c>
      <c r="D11" s="15">
        <v>15867349</v>
      </c>
      <c r="E11" s="21">
        <v>44322</v>
      </c>
      <c r="F11" s="15">
        <v>341261054</v>
      </c>
      <c r="G11" s="21">
        <v>72561</v>
      </c>
      <c r="H11" s="16">
        <v>357128402</v>
      </c>
    </row>
    <row r="12" spans="1:8" s="46" customFormat="1" ht="30" customHeight="1">
      <c r="A12" s="180"/>
      <c r="B12" s="20" t="s">
        <v>12</v>
      </c>
      <c r="C12" s="22">
        <v>1251</v>
      </c>
      <c r="D12" s="23">
        <v>695328</v>
      </c>
      <c r="E12" s="22">
        <v>3605</v>
      </c>
      <c r="F12" s="23">
        <v>28182023</v>
      </c>
      <c r="G12" s="22">
        <v>4856</v>
      </c>
      <c r="H12" s="24">
        <v>28877352</v>
      </c>
    </row>
    <row r="13" spans="1:8" s="1" customFormat="1" ht="30" customHeight="1">
      <c r="A13" s="177" t="s">
        <v>128</v>
      </c>
      <c r="B13" s="17" t="s">
        <v>11</v>
      </c>
      <c r="C13" s="21">
        <v>28087</v>
      </c>
      <c r="D13" s="15">
        <v>16127779</v>
      </c>
      <c r="E13" s="21">
        <v>44236</v>
      </c>
      <c r="F13" s="15">
        <v>348354628</v>
      </c>
      <c r="G13" s="21">
        <v>72323</v>
      </c>
      <c r="H13" s="16">
        <v>364482406</v>
      </c>
    </row>
    <row r="14" spans="1:8" s="1" customFormat="1" ht="30" customHeight="1" thickBot="1">
      <c r="A14" s="178"/>
      <c r="B14" s="25" t="s">
        <v>12</v>
      </c>
      <c r="C14" s="116">
        <v>1385</v>
      </c>
      <c r="D14" s="117">
        <v>713874</v>
      </c>
      <c r="E14" s="116">
        <v>3707</v>
      </c>
      <c r="F14" s="117">
        <v>28486003</v>
      </c>
      <c r="G14" s="116">
        <v>5092</v>
      </c>
      <c r="H14" s="118">
        <v>29199878</v>
      </c>
    </row>
    <row r="15" spans="5:7" s="1" customFormat="1" ht="10.5">
      <c r="E15" s="2"/>
      <c r="G15" s="2"/>
    </row>
    <row r="16" spans="5:7" s="1" customFormat="1" ht="10.5">
      <c r="E16" s="2"/>
      <c r="G16" s="2"/>
    </row>
    <row r="17" spans="5:7" s="1" customFormat="1" ht="10.5">
      <c r="E17" s="2"/>
      <c r="G17" s="2"/>
    </row>
    <row r="18" spans="5:7" s="1" customFormat="1" ht="10.5">
      <c r="E18" s="2"/>
      <c r="G18" s="2"/>
    </row>
    <row r="19" spans="5:7" s="1" customFormat="1" ht="10.5">
      <c r="E19" s="2"/>
      <c r="G19" s="2"/>
    </row>
    <row r="20" spans="5:7" s="1" customFormat="1" ht="10.5">
      <c r="E20" s="2"/>
      <c r="G20" s="2"/>
    </row>
    <row r="21" spans="5:7" s="1" customFormat="1" ht="10.5">
      <c r="E21" s="2"/>
      <c r="G21" s="2"/>
    </row>
    <row r="22" spans="5:7" s="1" customFormat="1" ht="10.5">
      <c r="E22" s="2"/>
      <c r="G22" s="2"/>
    </row>
  </sheetData>
  <sheetProtection/>
  <mergeCells count="9">
    <mergeCell ref="E2:F2"/>
    <mergeCell ref="G2:H2"/>
    <mergeCell ref="A2:B3"/>
    <mergeCell ref="A13:A14"/>
    <mergeCell ref="A5:A6"/>
    <mergeCell ref="A11:A12"/>
    <mergeCell ref="C2:D2"/>
    <mergeCell ref="A9:A10"/>
    <mergeCell ref="A7:A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&amp;R&amp;K01+000金沢国税局
消費税
(R03)</oddFooter>
  </headerFooter>
</worksheet>
</file>

<file path=xl/worksheets/sheet3.xml><?xml version="1.0" encoding="utf-8"?>
<worksheet xmlns="http://schemas.openxmlformats.org/spreadsheetml/2006/main" xmlns:r="http://schemas.openxmlformats.org/officeDocument/2006/relationships">
  <dimension ref="A1:I6"/>
  <sheetViews>
    <sheetView showGridLines="0" workbookViewId="0" topLeftCell="A1">
      <selection activeCell="A1" sqref="A1"/>
    </sheetView>
  </sheetViews>
  <sheetFormatPr defaultColWidth="9.00390625" defaultRowHeight="13.5"/>
  <cols>
    <col min="1" max="2" width="18.625" style="47" customWidth="1"/>
    <col min="3" max="3" width="23.625" style="47" customWidth="1"/>
    <col min="4" max="4" width="18.625" style="47" customWidth="1"/>
    <col min="5" max="16384" width="9.00390625" style="47" customWidth="1"/>
  </cols>
  <sheetData>
    <row r="1" s="1" customFormat="1" ht="20.25" customHeight="1" thickBot="1">
      <c r="A1" s="1" t="s">
        <v>103</v>
      </c>
    </row>
    <row r="2" spans="1:4" s="4" customFormat="1" ht="19.5" customHeight="1">
      <c r="A2" s="11" t="s">
        <v>7</v>
      </c>
      <c r="B2" s="12" t="s">
        <v>8</v>
      </c>
      <c r="C2" s="13" t="s">
        <v>9</v>
      </c>
      <c r="D2" s="49" t="s">
        <v>104</v>
      </c>
    </row>
    <row r="3" spans="1:4" s="10" customFormat="1" ht="15" customHeight="1">
      <c r="A3" s="39" t="s">
        <v>4</v>
      </c>
      <c r="B3" s="40" t="s">
        <v>4</v>
      </c>
      <c r="C3" s="41" t="s">
        <v>4</v>
      </c>
      <c r="D3" s="42" t="s">
        <v>4</v>
      </c>
    </row>
    <row r="4" spans="1:9" s="4" customFormat="1" ht="30" customHeight="1" thickBot="1">
      <c r="A4" s="119">
        <v>72387</v>
      </c>
      <c r="B4" s="120">
        <v>2499</v>
      </c>
      <c r="C4" s="121">
        <v>164</v>
      </c>
      <c r="D4" s="122">
        <v>75050</v>
      </c>
      <c r="E4" s="5"/>
      <c r="G4" s="5"/>
      <c r="I4" s="5"/>
    </row>
    <row r="5" spans="1:4" s="4" customFormat="1" ht="15" customHeight="1">
      <c r="A5" s="181" t="s">
        <v>129</v>
      </c>
      <c r="B5" s="181"/>
      <c r="C5" s="181"/>
      <c r="D5" s="181"/>
    </row>
    <row r="6" spans="1:4" s="4" customFormat="1" ht="15" customHeight="1">
      <c r="A6" s="182" t="s">
        <v>10</v>
      </c>
      <c r="B6" s="182"/>
      <c r="C6" s="182"/>
      <c r="D6" s="182"/>
    </row>
  </sheetData>
  <sheetProtection/>
  <mergeCells count="2">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&amp;R&amp;K01+000金沢国税局
消費税
(R03)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zoomScaleSheetLayoutView="100" workbookViewId="0" topLeftCell="A1">
      <selection activeCell="A1" sqref="A1"/>
    </sheetView>
  </sheetViews>
  <sheetFormatPr defaultColWidth="9.00390625" defaultRowHeight="13.5"/>
  <cols>
    <col min="1" max="1" width="11.375" style="47" customWidth="1"/>
    <col min="2" max="2" width="10.625" style="47" customWidth="1"/>
    <col min="3" max="3" width="12.625" style="47" customWidth="1"/>
    <col min="4" max="4" width="10.625" style="47" customWidth="1"/>
    <col min="5" max="5" width="12.625" style="47" customWidth="1"/>
    <col min="6" max="6" width="10.625" style="47" customWidth="1"/>
    <col min="7" max="7" width="12.625" style="47" customWidth="1"/>
    <col min="8" max="8" width="10.625" style="47" customWidth="1"/>
    <col min="9" max="9" width="12.625" style="47" customWidth="1"/>
    <col min="10" max="10" width="10.625" style="47" customWidth="1"/>
    <col min="11" max="11" width="12.625" style="47" customWidth="1"/>
    <col min="12" max="12" width="10.625" style="47" customWidth="1"/>
    <col min="13" max="13" width="12.625" style="47" customWidth="1"/>
    <col min="14" max="14" width="11.375" style="47" customWidth="1"/>
    <col min="15" max="16384" width="9.00390625" style="47" customWidth="1"/>
  </cols>
  <sheetData>
    <row r="1" spans="1:14" ht="12.75">
      <c r="A1" s="50" t="s">
        <v>113</v>
      </c>
      <c r="B1" s="50"/>
      <c r="C1" s="50"/>
      <c r="D1" s="50"/>
      <c r="E1" s="50"/>
      <c r="F1" s="50"/>
      <c r="G1" s="50"/>
      <c r="H1" s="50"/>
      <c r="I1" s="50"/>
      <c r="J1" s="50"/>
      <c r="K1" s="50"/>
      <c r="L1" s="51"/>
      <c r="M1" s="51"/>
      <c r="N1" s="97"/>
    </row>
    <row r="2" spans="1:14" ht="13.5" thickBot="1">
      <c r="A2" s="190" t="s">
        <v>123</v>
      </c>
      <c r="B2" s="190"/>
      <c r="C2" s="190"/>
      <c r="D2" s="190"/>
      <c r="E2" s="190"/>
      <c r="F2" s="190"/>
      <c r="G2" s="190"/>
      <c r="H2" s="51"/>
      <c r="I2" s="51"/>
      <c r="J2" s="51"/>
      <c r="K2" s="51"/>
      <c r="L2" s="51"/>
      <c r="M2" s="51"/>
      <c r="N2" s="51"/>
    </row>
    <row r="3" spans="1:14" ht="12.75">
      <c r="A3" s="191" t="s">
        <v>94</v>
      </c>
      <c r="B3" s="194" t="s">
        <v>95</v>
      </c>
      <c r="C3" s="194"/>
      <c r="D3" s="194"/>
      <c r="E3" s="194"/>
      <c r="F3" s="194"/>
      <c r="G3" s="194"/>
      <c r="H3" s="195" t="s">
        <v>12</v>
      </c>
      <c r="I3" s="196"/>
      <c r="J3" s="198" t="s">
        <v>27</v>
      </c>
      <c r="K3" s="196"/>
      <c r="L3" s="195" t="s">
        <v>28</v>
      </c>
      <c r="M3" s="196"/>
      <c r="N3" s="183" t="s">
        <v>29</v>
      </c>
    </row>
    <row r="4" spans="1:14" ht="12.75">
      <c r="A4" s="192"/>
      <c r="B4" s="186" t="s">
        <v>96</v>
      </c>
      <c r="C4" s="186"/>
      <c r="D4" s="187" t="s">
        <v>30</v>
      </c>
      <c r="E4" s="188"/>
      <c r="F4" s="187" t="s">
        <v>31</v>
      </c>
      <c r="G4" s="188"/>
      <c r="H4" s="187"/>
      <c r="I4" s="197"/>
      <c r="J4" s="187"/>
      <c r="K4" s="197"/>
      <c r="L4" s="187"/>
      <c r="M4" s="197"/>
      <c r="N4" s="184"/>
    </row>
    <row r="5" spans="1:14" ht="21.75">
      <c r="A5" s="193"/>
      <c r="B5" s="52" t="s">
        <v>97</v>
      </c>
      <c r="C5" s="53" t="s">
        <v>98</v>
      </c>
      <c r="D5" s="52" t="s">
        <v>97</v>
      </c>
      <c r="E5" s="53" t="s">
        <v>98</v>
      </c>
      <c r="F5" s="52" t="s">
        <v>97</v>
      </c>
      <c r="G5" s="54" t="s">
        <v>99</v>
      </c>
      <c r="H5" s="52" t="s">
        <v>97</v>
      </c>
      <c r="I5" s="55" t="s">
        <v>100</v>
      </c>
      <c r="J5" s="52" t="s">
        <v>97</v>
      </c>
      <c r="K5" s="55" t="s">
        <v>101</v>
      </c>
      <c r="L5" s="52" t="s">
        <v>97</v>
      </c>
      <c r="M5" s="56" t="s">
        <v>102</v>
      </c>
      <c r="N5" s="185"/>
    </row>
    <row r="6" spans="1:14" ht="12.75">
      <c r="A6" s="57"/>
      <c r="B6" s="58" t="s">
        <v>4</v>
      </c>
      <c r="C6" s="59" t="s">
        <v>5</v>
      </c>
      <c r="D6" s="58" t="s">
        <v>4</v>
      </c>
      <c r="E6" s="59" t="s">
        <v>5</v>
      </c>
      <c r="F6" s="58" t="s">
        <v>4</v>
      </c>
      <c r="G6" s="59" t="s">
        <v>5</v>
      </c>
      <c r="H6" s="58" t="s">
        <v>4</v>
      </c>
      <c r="I6" s="60" t="s">
        <v>5</v>
      </c>
      <c r="J6" s="58" t="s">
        <v>4</v>
      </c>
      <c r="K6" s="60" t="s">
        <v>5</v>
      </c>
      <c r="L6" s="58" t="s">
        <v>112</v>
      </c>
      <c r="M6" s="60" t="s">
        <v>5</v>
      </c>
      <c r="N6" s="61"/>
    </row>
    <row r="7" spans="1:14" ht="12.75">
      <c r="A7" s="62" t="s">
        <v>38</v>
      </c>
      <c r="B7" s="98">
        <f>_xlfn.COMPOUNDVALUE(1)</f>
        <v>1434</v>
      </c>
      <c r="C7" s="123">
        <v>1326903</v>
      </c>
      <c r="D7" s="124">
        <f>_xlfn.COMPOUNDVALUE(2)</f>
        <v>2116</v>
      </c>
      <c r="E7" s="123">
        <v>1047582</v>
      </c>
      <c r="F7" s="124">
        <f>_xlfn.COMPOUNDVALUE(3)</f>
        <v>3550</v>
      </c>
      <c r="G7" s="123">
        <v>2374485</v>
      </c>
      <c r="H7" s="124">
        <f>_xlfn.COMPOUNDVALUE(4)</f>
        <v>167</v>
      </c>
      <c r="I7" s="125">
        <v>90547</v>
      </c>
      <c r="J7" s="98">
        <v>364</v>
      </c>
      <c r="K7" s="100">
        <v>84535</v>
      </c>
      <c r="L7" s="98">
        <v>3918</v>
      </c>
      <c r="M7" s="100">
        <v>2368472</v>
      </c>
      <c r="N7" s="81" t="s">
        <v>39</v>
      </c>
    </row>
    <row r="8" spans="1:14" ht="12.75">
      <c r="A8" s="64" t="s">
        <v>40</v>
      </c>
      <c r="B8" s="101">
        <f>_xlfn.COMPOUNDVALUE(5)</f>
        <v>1043</v>
      </c>
      <c r="C8" s="126">
        <v>835084</v>
      </c>
      <c r="D8" s="127">
        <f>_xlfn.COMPOUNDVALUE(6)</f>
        <v>1610</v>
      </c>
      <c r="E8" s="126">
        <v>748603</v>
      </c>
      <c r="F8" s="127">
        <f>_xlfn.COMPOUNDVALUE(7)</f>
        <v>2653</v>
      </c>
      <c r="G8" s="126">
        <v>1583688</v>
      </c>
      <c r="H8" s="127">
        <f>_xlfn.COMPOUNDVALUE(8)</f>
        <v>133</v>
      </c>
      <c r="I8" s="128">
        <v>67692</v>
      </c>
      <c r="J8" s="101">
        <v>235</v>
      </c>
      <c r="K8" s="103">
        <v>38115</v>
      </c>
      <c r="L8" s="101">
        <v>2921</v>
      </c>
      <c r="M8" s="103">
        <v>1554110</v>
      </c>
      <c r="N8" s="65" t="s">
        <v>41</v>
      </c>
    </row>
    <row r="9" spans="1:14" ht="12.75">
      <c r="A9" s="64" t="s">
        <v>42</v>
      </c>
      <c r="B9" s="101">
        <f>_xlfn.COMPOUNDVALUE(9)</f>
        <v>656</v>
      </c>
      <c r="C9" s="126">
        <v>518835</v>
      </c>
      <c r="D9" s="127">
        <f>_xlfn.COMPOUNDVALUE(10)</f>
        <v>1081</v>
      </c>
      <c r="E9" s="126">
        <v>466574</v>
      </c>
      <c r="F9" s="127">
        <f>_xlfn.COMPOUNDVALUE(11)</f>
        <v>1737</v>
      </c>
      <c r="G9" s="126">
        <v>985409</v>
      </c>
      <c r="H9" s="127">
        <f>_xlfn.COMPOUNDVALUE(12)</f>
        <v>88</v>
      </c>
      <c r="I9" s="128">
        <v>41296</v>
      </c>
      <c r="J9" s="101">
        <v>111</v>
      </c>
      <c r="K9" s="103">
        <v>25151</v>
      </c>
      <c r="L9" s="101">
        <v>1881</v>
      </c>
      <c r="M9" s="103">
        <v>969264</v>
      </c>
      <c r="N9" s="65" t="s">
        <v>43</v>
      </c>
    </row>
    <row r="10" spans="1:14" ht="12.75">
      <c r="A10" s="64" t="s">
        <v>44</v>
      </c>
      <c r="B10" s="101">
        <f>_xlfn.COMPOUNDVALUE(13)</f>
        <v>429</v>
      </c>
      <c r="C10" s="126">
        <v>289581</v>
      </c>
      <c r="D10" s="127">
        <f>_xlfn.COMPOUNDVALUE(14)</f>
        <v>739</v>
      </c>
      <c r="E10" s="126">
        <v>316946</v>
      </c>
      <c r="F10" s="127">
        <f>_xlfn.COMPOUNDVALUE(15)</f>
        <v>1168</v>
      </c>
      <c r="G10" s="126">
        <v>606527</v>
      </c>
      <c r="H10" s="127">
        <f>_xlfn.COMPOUNDVALUE(16)</f>
        <v>63</v>
      </c>
      <c r="I10" s="128">
        <v>35208</v>
      </c>
      <c r="J10" s="101">
        <v>82</v>
      </c>
      <c r="K10" s="103">
        <v>17826</v>
      </c>
      <c r="L10" s="101">
        <v>1264</v>
      </c>
      <c r="M10" s="103">
        <v>589145</v>
      </c>
      <c r="N10" s="65" t="s">
        <v>45</v>
      </c>
    </row>
    <row r="11" spans="1:14" ht="12.75">
      <c r="A11" s="66" t="s">
        <v>46</v>
      </c>
      <c r="B11" s="104">
        <v>3562</v>
      </c>
      <c r="C11" s="129">
        <v>2970404</v>
      </c>
      <c r="D11" s="130">
        <v>5546</v>
      </c>
      <c r="E11" s="129">
        <v>2579705</v>
      </c>
      <c r="F11" s="130">
        <v>9108</v>
      </c>
      <c r="G11" s="129">
        <v>5550109</v>
      </c>
      <c r="H11" s="130">
        <v>451</v>
      </c>
      <c r="I11" s="131">
        <v>234743</v>
      </c>
      <c r="J11" s="104">
        <v>792</v>
      </c>
      <c r="K11" s="106">
        <v>165626</v>
      </c>
      <c r="L11" s="104">
        <v>9984</v>
      </c>
      <c r="M11" s="106">
        <v>5480991</v>
      </c>
      <c r="N11" s="67" t="s">
        <v>47</v>
      </c>
    </row>
    <row r="12" spans="1:14" ht="12.75">
      <c r="A12" s="68"/>
      <c r="B12" s="107"/>
      <c r="C12" s="132"/>
      <c r="D12" s="133"/>
      <c r="E12" s="132"/>
      <c r="F12" s="134"/>
      <c r="G12" s="132"/>
      <c r="H12" s="134"/>
      <c r="I12" s="132"/>
      <c r="J12" s="109"/>
      <c r="K12" s="108"/>
      <c r="L12" s="109"/>
      <c r="M12" s="108"/>
      <c r="N12" s="69"/>
    </row>
    <row r="13" spans="1:14" ht="12.75">
      <c r="A13" s="62" t="s">
        <v>48</v>
      </c>
      <c r="B13" s="98">
        <f>_xlfn.COMPOUNDVALUE(17)</f>
        <v>2091</v>
      </c>
      <c r="C13" s="123">
        <v>1550146</v>
      </c>
      <c r="D13" s="124">
        <f>_xlfn.COMPOUNDVALUE(18)</f>
        <v>3064</v>
      </c>
      <c r="E13" s="123">
        <v>1459078</v>
      </c>
      <c r="F13" s="124">
        <f>_xlfn.COMPOUNDVALUE(19)</f>
        <v>5155</v>
      </c>
      <c r="G13" s="123">
        <v>3009225</v>
      </c>
      <c r="H13" s="124">
        <f>_xlfn.COMPOUNDVALUE(20)</f>
        <v>294</v>
      </c>
      <c r="I13" s="125">
        <v>137583</v>
      </c>
      <c r="J13" s="98">
        <v>381</v>
      </c>
      <c r="K13" s="100">
        <v>86383</v>
      </c>
      <c r="L13" s="98">
        <v>5632</v>
      </c>
      <c r="M13" s="100">
        <v>2958024</v>
      </c>
      <c r="N13" s="63" t="s">
        <v>48</v>
      </c>
    </row>
    <row r="14" spans="1:14" ht="12.75">
      <c r="A14" s="64" t="s">
        <v>49</v>
      </c>
      <c r="B14" s="101">
        <f>_xlfn.COMPOUNDVALUE(21)</f>
        <v>446</v>
      </c>
      <c r="C14" s="126">
        <v>275870</v>
      </c>
      <c r="D14" s="127">
        <f>_xlfn.COMPOUNDVALUE(22)</f>
        <v>722</v>
      </c>
      <c r="E14" s="126">
        <v>277492</v>
      </c>
      <c r="F14" s="127">
        <f>_xlfn.COMPOUNDVALUE(23)</f>
        <v>1168</v>
      </c>
      <c r="G14" s="126">
        <v>553362</v>
      </c>
      <c r="H14" s="127">
        <f>_xlfn.COMPOUNDVALUE(24)</f>
        <v>45</v>
      </c>
      <c r="I14" s="128">
        <v>26484</v>
      </c>
      <c r="J14" s="101">
        <v>58</v>
      </c>
      <c r="K14" s="103">
        <v>10981</v>
      </c>
      <c r="L14" s="101">
        <v>1229</v>
      </c>
      <c r="M14" s="103">
        <v>537860</v>
      </c>
      <c r="N14" s="65" t="s">
        <v>49</v>
      </c>
    </row>
    <row r="15" spans="1:14" ht="12.75">
      <c r="A15" s="64" t="s">
        <v>50</v>
      </c>
      <c r="B15" s="101">
        <f>_xlfn.COMPOUNDVALUE(25)</f>
        <v>936</v>
      </c>
      <c r="C15" s="126">
        <v>1000449</v>
      </c>
      <c r="D15" s="127">
        <f>_xlfn.COMPOUNDVALUE(26)</f>
        <v>1526</v>
      </c>
      <c r="E15" s="126">
        <v>622844</v>
      </c>
      <c r="F15" s="127">
        <f>_xlfn.COMPOUNDVALUE(27)</f>
        <v>2462</v>
      </c>
      <c r="G15" s="126">
        <v>1623293</v>
      </c>
      <c r="H15" s="127">
        <f>_xlfn.COMPOUNDVALUE(28)</f>
        <v>90</v>
      </c>
      <c r="I15" s="128">
        <v>38605</v>
      </c>
      <c r="J15" s="101">
        <v>187</v>
      </c>
      <c r="K15" s="103">
        <v>43905</v>
      </c>
      <c r="L15" s="101">
        <v>2628</v>
      </c>
      <c r="M15" s="103">
        <v>1628593</v>
      </c>
      <c r="N15" s="65" t="s">
        <v>50</v>
      </c>
    </row>
    <row r="16" spans="1:14" ht="12.75">
      <c r="A16" s="64" t="s">
        <v>51</v>
      </c>
      <c r="B16" s="101">
        <f>_xlfn.COMPOUNDVALUE(29)</f>
        <v>244</v>
      </c>
      <c r="C16" s="126">
        <v>199855</v>
      </c>
      <c r="D16" s="127">
        <f>_xlfn.COMPOUNDVALUE(30)</f>
        <v>519</v>
      </c>
      <c r="E16" s="126">
        <v>186933</v>
      </c>
      <c r="F16" s="127">
        <f>_xlfn.COMPOUNDVALUE(31)</f>
        <v>763</v>
      </c>
      <c r="G16" s="126">
        <v>386788</v>
      </c>
      <c r="H16" s="127">
        <f>_xlfn.COMPOUNDVALUE(32)</f>
        <v>41</v>
      </c>
      <c r="I16" s="128">
        <v>15167</v>
      </c>
      <c r="J16" s="101">
        <v>33</v>
      </c>
      <c r="K16" s="103">
        <v>6759</v>
      </c>
      <c r="L16" s="101">
        <v>824</v>
      </c>
      <c r="M16" s="103">
        <v>378380</v>
      </c>
      <c r="N16" s="65" t="s">
        <v>51</v>
      </c>
    </row>
    <row r="17" spans="1:14" ht="12.75">
      <c r="A17" s="64" t="s">
        <v>52</v>
      </c>
      <c r="B17" s="101">
        <f>_xlfn.COMPOUNDVALUE(33)</f>
        <v>584</v>
      </c>
      <c r="C17" s="126">
        <v>401275</v>
      </c>
      <c r="D17" s="127">
        <f>_xlfn.COMPOUNDVALUE(34)</f>
        <v>906</v>
      </c>
      <c r="E17" s="126">
        <v>405491</v>
      </c>
      <c r="F17" s="127">
        <f>_xlfn.COMPOUNDVALUE(35)</f>
        <v>1490</v>
      </c>
      <c r="G17" s="126">
        <v>806766</v>
      </c>
      <c r="H17" s="127">
        <f>_xlfn.COMPOUNDVALUE(36)</f>
        <v>66</v>
      </c>
      <c r="I17" s="128">
        <v>45890</v>
      </c>
      <c r="J17" s="101">
        <v>107</v>
      </c>
      <c r="K17" s="103">
        <v>22636</v>
      </c>
      <c r="L17" s="101">
        <v>1603</v>
      </c>
      <c r="M17" s="103">
        <v>783513</v>
      </c>
      <c r="N17" s="65" t="s">
        <v>52</v>
      </c>
    </row>
    <row r="18" spans="1:14" ht="12.75">
      <c r="A18" s="66" t="s">
        <v>53</v>
      </c>
      <c r="B18" s="104">
        <v>4301</v>
      </c>
      <c r="C18" s="129">
        <v>3427596</v>
      </c>
      <c r="D18" s="130">
        <v>6737</v>
      </c>
      <c r="E18" s="129">
        <v>2951838</v>
      </c>
      <c r="F18" s="130">
        <v>11038</v>
      </c>
      <c r="G18" s="129">
        <v>6379434</v>
      </c>
      <c r="H18" s="130">
        <v>536</v>
      </c>
      <c r="I18" s="131">
        <v>263729</v>
      </c>
      <c r="J18" s="104">
        <v>766</v>
      </c>
      <c r="K18" s="106">
        <v>170664</v>
      </c>
      <c r="L18" s="104">
        <v>11916</v>
      </c>
      <c r="M18" s="106">
        <v>6286369</v>
      </c>
      <c r="N18" s="67" t="s">
        <v>53</v>
      </c>
    </row>
    <row r="19" spans="1:14" ht="12.75">
      <c r="A19" s="68"/>
      <c r="B19" s="107"/>
      <c r="C19" s="132"/>
      <c r="D19" s="133"/>
      <c r="E19" s="132"/>
      <c r="F19" s="134"/>
      <c r="G19" s="132"/>
      <c r="H19" s="134"/>
      <c r="I19" s="132"/>
      <c r="J19" s="109"/>
      <c r="K19" s="108"/>
      <c r="L19" s="109"/>
      <c r="M19" s="108"/>
      <c r="N19" s="69"/>
    </row>
    <row r="20" spans="1:14" ht="12.75">
      <c r="A20" s="62" t="s">
        <v>54</v>
      </c>
      <c r="B20" s="98">
        <f>_xlfn.COMPOUNDVALUE(37)</f>
        <v>1236</v>
      </c>
      <c r="C20" s="123">
        <v>838712</v>
      </c>
      <c r="D20" s="124">
        <f>_xlfn.COMPOUNDVALUE(38)</f>
        <v>1729</v>
      </c>
      <c r="E20" s="123">
        <v>813502</v>
      </c>
      <c r="F20" s="124">
        <f>_xlfn.COMPOUNDVALUE(39)</f>
        <v>2965</v>
      </c>
      <c r="G20" s="123">
        <v>1652214</v>
      </c>
      <c r="H20" s="124">
        <f>_xlfn.COMPOUNDVALUE(40)</f>
        <v>136</v>
      </c>
      <c r="I20" s="125">
        <v>95007</v>
      </c>
      <c r="J20" s="98">
        <v>202</v>
      </c>
      <c r="K20" s="100">
        <v>39842</v>
      </c>
      <c r="L20" s="98">
        <v>3196</v>
      </c>
      <c r="M20" s="100">
        <v>1597049</v>
      </c>
      <c r="N20" s="63" t="s">
        <v>55</v>
      </c>
    </row>
    <row r="21" spans="1:14" ht="12.75">
      <c r="A21" s="64" t="s">
        <v>56</v>
      </c>
      <c r="B21" s="101">
        <f>_xlfn.COMPOUNDVALUE(41)</f>
        <v>289</v>
      </c>
      <c r="C21" s="126">
        <v>191497</v>
      </c>
      <c r="D21" s="127">
        <f>_xlfn.COMPOUNDVALUE(42)</f>
        <v>516</v>
      </c>
      <c r="E21" s="126">
        <v>219100</v>
      </c>
      <c r="F21" s="127">
        <f>_xlfn.COMPOUNDVALUE(43)</f>
        <v>805</v>
      </c>
      <c r="G21" s="126">
        <v>410596</v>
      </c>
      <c r="H21" s="127">
        <f>_xlfn.COMPOUNDVALUE(44)</f>
        <v>44</v>
      </c>
      <c r="I21" s="128">
        <v>13800</v>
      </c>
      <c r="J21" s="101">
        <v>60</v>
      </c>
      <c r="K21" s="103">
        <v>9392</v>
      </c>
      <c r="L21" s="101">
        <v>871</v>
      </c>
      <c r="M21" s="103">
        <v>406188</v>
      </c>
      <c r="N21" s="65" t="s">
        <v>57</v>
      </c>
    </row>
    <row r="22" spans="1:14" ht="12.75">
      <c r="A22" s="64" t="s">
        <v>58</v>
      </c>
      <c r="B22" s="101">
        <f>_xlfn.COMPOUNDVALUE(45)</f>
        <v>840</v>
      </c>
      <c r="C22" s="126">
        <v>570247</v>
      </c>
      <c r="D22" s="127">
        <f>_xlfn.COMPOUNDVALUE(46)</f>
        <v>1155</v>
      </c>
      <c r="E22" s="126">
        <v>521379</v>
      </c>
      <c r="F22" s="127">
        <f>_xlfn.COMPOUNDVALUE(47)</f>
        <v>1995</v>
      </c>
      <c r="G22" s="126">
        <v>1091625</v>
      </c>
      <c r="H22" s="127">
        <f>_xlfn.COMPOUNDVALUE(48)</f>
        <v>88</v>
      </c>
      <c r="I22" s="128">
        <v>68227</v>
      </c>
      <c r="J22" s="101">
        <v>127</v>
      </c>
      <c r="K22" s="103">
        <v>28787</v>
      </c>
      <c r="L22" s="101">
        <v>2142</v>
      </c>
      <c r="M22" s="103">
        <v>1052185</v>
      </c>
      <c r="N22" s="65" t="s">
        <v>59</v>
      </c>
    </row>
    <row r="23" spans="1:14" ht="12.75">
      <c r="A23" s="64" t="s">
        <v>60</v>
      </c>
      <c r="B23" s="101">
        <f>_xlfn.COMPOUNDVALUE(49)</f>
        <v>226</v>
      </c>
      <c r="C23" s="126">
        <v>124934</v>
      </c>
      <c r="D23" s="127">
        <f>_xlfn.COMPOUNDVALUE(50)</f>
        <v>297</v>
      </c>
      <c r="E23" s="126">
        <v>125296</v>
      </c>
      <c r="F23" s="127">
        <f>_xlfn.COMPOUNDVALUE(51)</f>
        <v>523</v>
      </c>
      <c r="G23" s="126">
        <v>250231</v>
      </c>
      <c r="H23" s="127">
        <f>_xlfn.COMPOUNDVALUE(52)</f>
        <v>16</v>
      </c>
      <c r="I23" s="128">
        <v>3335</v>
      </c>
      <c r="J23" s="101">
        <v>41</v>
      </c>
      <c r="K23" s="103">
        <v>6395</v>
      </c>
      <c r="L23" s="101">
        <v>553</v>
      </c>
      <c r="M23" s="103">
        <v>253290</v>
      </c>
      <c r="N23" s="65" t="s">
        <v>61</v>
      </c>
    </row>
    <row r="24" spans="1:14" ht="12.75">
      <c r="A24" s="64" t="s">
        <v>62</v>
      </c>
      <c r="B24" s="101">
        <f>_xlfn.COMPOUNDVALUE(53)</f>
        <v>216</v>
      </c>
      <c r="C24" s="126">
        <v>111112</v>
      </c>
      <c r="D24" s="127">
        <f>_xlfn.COMPOUNDVALUE(54)</f>
        <v>336</v>
      </c>
      <c r="E24" s="126">
        <v>141380</v>
      </c>
      <c r="F24" s="127">
        <f>_xlfn.COMPOUNDVALUE(55)</f>
        <v>552</v>
      </c>
      <c r="G24" s="126">
        <v>252493</v>
      </c>
      <c r="H24" s="127">
        <f>_xlfn.COMPOUNDVALUE(56)</f>
        <v>25</v>
      </c>
      <c r="I24" s="128">
        <v>7034</v>
      </c>
      <c r="J24" s="101">
        <v>29</v>
      </c>
      <c r="K24" s="103">
        <v>3050</v>
      </c>
      <c r="L24" s="101">
        <v>582</v>
      </c>
      <c r="M24" s="103">
        <v>248509</v>
      </c>
      <c r="N24" s="65" t="s">
        <v>63</v>
      </c>
    </row>
    <row r="25" spans="1:14" ht="12.75">
      <c r="A25" s="64" t="s">
        <v>64</v>
      </c>
      <c r="B25" s="101">
        <f>_xlfn.COMPOUNDVALUE(57)</f>
        <v>489</v>
      </c>
      <c r="C25" s="126">
        <v>278557</v>
      </c>
      <c r="D25" s="127">
        <f>_xlfn.COMPOUNDVALUE(58)</f>
        <v>612</v>
      </c>
      <c r="E25" s="126">
        <v>262521</v>
      </c>
      <c r="F25" s="127">
        <f>_xlfn.COMPOUNDVALUE(59)</f>
        <v>1101</v>
      </c>
      <c r="G25" s="126">
        <v>541078</v>
      </c>
      <c r="H25" s="127">
        <f>_xlfn.COMPOUNDVALUE(60)</f>
        <v>89</v>
      </c>
      <c r="I25" s="128">
        <v>27998</v>
      </c>
      <c r="J25" s="101">
        <v>86</v>
      </c>
      <c r="K25" s="103">
        <v>12094</v>
      </c>
      <c r="L25" s="101">
        <v>1213</v>
      </c>
      <c r="M25" s="103">
        <v>525174</v>
      </c>
      <c r="N25" s="65" t="s">
        <v>65</v>
      </c>
    </row>
    <row r="26" spans="1:14" ht="12.75">
      <c r="A26" s="66" t="s">
        <v>66</v>
      </c>
      <c r="B26" s="104">
        <v>3296</v>
      </c>
      <c r="C26" s="129">
        <v>2115059</v>
      </c>
      <c r="D26" s="130">
        <v>4645</v>
      </c>
      <c r="E26" s="129">
        <v>2083177</v>
      </c>
      <c r="F26" s="130">
        <v>7941</v>
      </c>
      <c r="G26" s="129">
        <v>4198236</v>
      </c>
      <c r="H26" s="130">
        <v>398</v>
      </c>
      <c r="I26" s="131">
        <v>215402</v>
      </c>
      <c r="J26" s="104">
        <v>545</v>
      </c>
      <c r="K26" s="106">
        <v>99560</v>
      </c>
      <c r="L26" s="104">
        <v>8557</v>
      </c>
      <c r="M26" s="106">
        <v>4082394</v>
      </c>
      <c r="N26" s="67" t="s">
        <v>67</v>
      </c>
    </row>
    <row r="27" spans="1:14" ht="13.5" thickBot="1">
      <c r="A27" s="70"/>
      <c r="B27" s="110"/>
      <c r="C27" s="111"/>
      <c r="D27" s="110"/>
      <c r="E27" s="111"/>
      <c r="F27" s="112"/>
      <c r="G27" s="111"/>
      <c r="H27" s="112"/>
      <c r="I27" s="111"/>
      <c r="J27" s="112"/>
      <c r="K27" s="111"/>
      <c r="L27" s="112"/>
      <c r="M27" s="111"/>
      <c r="N27" s="71"/>
    </row>
    <row r="28" spans="1:14" ht="13.5" thickBot="1" thickTop="1">
      <c r="A28" s="72" t="s">
        <v>68</v>
      </c>
      <c r="B28" s="113">
        <v>11159</v>
      </c>
      <c r="C28" s="114">
        <v>8513058</v>
      </c>
      <c r="D28" s="113">
        <v>16928</v>
      </c>
      <c r="E28" s="114">
        <v>7614721</v>
      </c>
      <c r="F28" s="113">
        <v>28087</v>
      </c>
      <c r="G28" s="114">
        <v>16127779</v>
      </c>
      <c r="H28" s="113">
        <v>1385</v>
      </c>
      <c r="I28" s="115">
        <v>713874</v>
      </c>
      <c r="J28" s="113">
        <v>2103</v>
      </c>
      <c r="K28" s="115">
        <v>435850</v>
      </c>
      <c r="L28" s="113">
        <v>30457</v>
      </c>
      <c r="M28" s="115">
        <v>15849754</v>
      </c>
      <c r="N28" s="73" t="s">
        <v>69</v>
      </c>
    </row>
    <row r="29" spans="1:14" ht="12.75">
      <c r="A29" s="189" t="s">
        <v>110</v>
      </c>
      <c r="B29" s="189"/>
      <c r="C29" s="189"/>
      <c r="D29" s="189"/>
      <c r="E29" s="189"/>
      <c r="F29" s="189"/>
      <c r="G29" s="189"/>
      <c r="H29" s="189"/>
      <c r="I29" s="189"/>
      <c r="J29" s="74"/>
      <c r="K29" s="74"/>
      <c r="L29" s="51"/>
      <c r="M29" s="51"/>
      <c r="N29" s="51"/>
    </row>
  </sheetData>
  <sheetProtection/>
  <mergeCells count="11">
    <mergeCell ref="L3:M4"/>
    <mergeCell ref="N3:N5"/>
    <mergeCell ref="B4:C4"/>
    <mergeCell ref="D4:E4"/>
    <mergeCell ref="F4:G4"/>
    <mergeCell ref="A29:I29"/>
    <mergeCell ref="A2:G2"/>
    <mergeCell ref="A3:A5"/>
    <mergeCell ref="B3:G3"/>
    <mergeCell ref="H3:I4"/>
    <mergeCell ref="J3:K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1"/>
  <headerFooter>
    <oddFooter>&amp;R&amp;K01+000金沢国税局
消費税
(R03)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9"/>
  <sheetViews>
    <sheetView zoomScaleSheetLayoutView="100" workbookViewId="0" topLeftCell="A1">
      <selection activeCell="A1" sqref="A1"/>
    </sheetView>
  </sheetViews>
  <sheetFormatPr defaultColWidth="9.00390625" defaultRowHeight="13.5"/>
  <cols>
    <col min="1" max="1" width="11.125" style="47" customWidth="1"/>
    <col min="2" max="2" width="10.625" style="47" customWidth="1"/>
    <col min="3" max="3" width="12.625" style="47" customWidth="1"/>
    <col min="4" max="4" width="10.625" style="47" customWidth="1"/>
    <col min="5" max="5" width="12.625" style="47" customWidth="1"/>
    <col min="6" max="6" width="10.625" style="47" customWidth="1"/>
    <col min="7" max="7" width="12.625" style="47" customWidth="1"/>
    <col min="8" max="8" width="10.625" style="47" customWidth="1"/>
    <col min="9" max="9" width="12.625" style="47" customWidth="1"/>
    <col min="10" max="10" width="10.625" style="47" customWidth="1"/>
    <col min="11" max="11" width="12.625" style="47" customWidth="1"/>
    <col min="12" max="12" width="10.625" style="47" customWidth="1"/>
    <col min="13" max="13" width="12.625" style="47" customWidth="1"/>
    <col min="14" max="14" width="11.375" style="47" customWidth="1"/>
    <col min="15" max="16384" width="9.00390625" style="47" customWidth="1"/>
  </cols>
  <sheetData>
    <row r="1" spans="1:14" ht="12.75">
      <c r="A1" s="50" t="s">
        <v>114</v>
      </c>
      <c r="B1" s="50"/>
      <c r="C1" s="50"/>
      <c r="D1" s="50"/>
      <c r="E1" s="50"/>
      <c r="F1" s="50"/>
      <c r="G1" s="50"/>
      <c r="H1" s="50"/>
      <c r="I1" s="50"/>
      <c r="J1" s="50"/>
      <c r="K1" s="50"/>
      <c r="L1" s="51"/>
      <c r="M1" s="51"/>
      <c r="N1" s="97"/>
    </row>
    <row r="2" spans="1:14" ht="13.5" thickBot="1">
      <c r="A2" s="199" t="s">
        <v>124</v>
      </c>
      <c r="B2" s="199"/>
      <c r="C2" s="199"/>
      <c r="D2" s="199"/>
      <c r="E2" s="199"/>
      <c r="F2" s="199"/>
      <c r="G2" s="199"/>
      <c r="H2" s="199"/>
      <c r="I2" s="199"/>
      <c r="J2" s="74"/>
      <c r="K2" s="74"/>
      <c r="L2" s="51"/>
      <c r="M2" s="51"/>
      <c r="N2" s="97"/>
    </row>
    <row r="3" spans="1:14" ht="12.75">
      <c r="A3" s="191" t="s">
        <v>25</v>
      </c>
      <c r="B3" s="194" t="s">
        <v>26</v>
      </c>
      <c r="C3" s="194"/>
      <c r="D3" s="194"/>
      <c r="E3" s="194"/>
      <c r="F3" s="194"/>
      <c r="G3" s="194"/>
      <c r="H3" s="195" t="s">
        <v>12</v>
      </c>
      <c r="I3" s="196"/>
      <c r="J3" s="198" t="s">
        <v>27</v>
      </c>
      <c r="K3" s="196"/>
      <c r="L3" s="195" t="s">
        <v>28</v>
      </c>
      <c r="M3" s="196"/>
      <c r="N3" s="183" t="s">
        <v>70</v>
      </c>
    </row>
    <row r="4" spans="1:14" ht="12.75">
      <c r="A4" s="192"/>
      <c r="B4" s="187" t="s">
        <v>13</v>
      </c>
      <c r="C4" s="188"/>
      <c r="D4" s="187" t="s">
        <v>30</v>
      </c>
      <c r="E4" s="188"/>
      <c r="F4" s="187" t="s">
        <v>31</v>
      </c>
      <c r="G4" s="188"/>
      <c r="H4" s="187"/>
      <c r="I4" s="197"/>
      <c r="J4" s="187"/>
      <c r="K4" s="197"/>
      <c r="L4" s="187"/>
      <c r="M4" s="197"/>
      <c r="N4" s="184"/>
    </row>
    <row r="5" spans="1:14" ht="21.75">
      <c r="A5" s="193"/>
      <c r="B5" s="52" t="s">
        <v>32</v>
      </c>
      <c r="C5" s="53" t="s">
        <v>33</v>
      </c>
      <c r="D5" s="52" t="s">
        <v>32</v>
      </c>
      <c r="E5" s="53" t="s">
        <v>33</v>
      </c>
      <c r="F5" s="52" t="s">
        <v>32</v>
      </c>
      <c r="G5" s="54" t="s">
        <v>34</v>
      </c>
      <c r="H5" s="52" t="s">
        <v>32</v>
      </c>
      <c r="I5" s="55" t="s">
        <v>35</v>
      </c>
      <c r="J5" s="52" t="s">
        <v>32</v>
      </c>
      <c r="K5" s="55" t="s">
        <v>36</v>
      </c>
      <c r="L5" s="52" t="s">
        <v>32</v>
      </c>
      <c r="M5" s="56" t="s">
        <v>37</v>
      </c>
      <c r="N5" s="185"/>
    </row>
    <row r="6" spans="1:14" ht="12.75">
      <c r="A6" s="57"/>
      <c r="B6" s="58" t="s">
        <v>4</v>
      </c>
      <c r="C6" s="59" t="s">
        <v>5</v>
      </c>
      <c r="D6" s="58" t="s">
        <v>4</v>
      </c>
      <c r="E6" s="59" t="s">
        <v>5</v>
      </c>
      <c r="F6" s="58" t="s">
        <v>4</v>
      </c>
      <c r="G6" s="59" t="s">
        <v>5</v>
      </c>
      <c r="H6" s="58" t="s">
        <v>4</v>
      </c>
      <c r="I6" s="60" t="s">
        <v>5</v>
      </c>
      <c r="J6" s="58" t="s">
        <v>4</v>
      </c>
      <c r="K6" s="60" t="s">
        <v>5</v>
      </c>
      <c r="L6" s="58" t="s">
        <v>112</v>
      </c>
      <c r="M6" s="60" t="s">
        <v>5</v>
      </c>
      <c r="N6" s="61"/>
    </row>
    <row r="7" spans="1:14" ht="12.75">
      <c r="A7" s="62" t="s">
        <v>71</v>
      </c>
      <c r="B7" s="98">
        <f>_xlfn.COMPOUNDVALUE(61)</f>
        <v>4625</v>
      </c>
      <c r="C7" s="99">
        <v>68580767</v>
      </c>
      <c r="D7" s="98">
        <f>_xlfn.COMPOUNDVALUE(62)</f>
        <v>1585</v>
      </c>
      <c r="E7" s="99">
        <v>1097210</v>
      </c>
      <c r="F7" s="98">
        <f>_xlfn.COMPOUNDVALUE(63)</f>
        <v>6210</v>
      </c>
      <c r="G7" s="99">
        <v>69677976</v>
      </c>
      <c r="H7" s="98">
        <f>_xlfn.COMPOUNDVALUE(64)</f>
        <v>584</v>
      </c>
      <c r="I7" s="100">
        <v>5195107</v>
      </c>
      <c r="J7" s="98">
        <v>307</v>
      </c>
      <c r="K7" s="100">
        <v>172174</v>
      </c>
      <c r="L7" s="98">
        <v>6856</v>
      </c>
      <c r="M7" s="100">
        <v>64655044</v>
      </c>
      <c r="N7" s="81" t="s">
        <v>39</v>
      </c>
    </row>
    <row r="8" spans="1:14" ht="12.75">
      <c r="A8" s="64" t="s">
        <v>72</v>
      </c>
      <c r="B8" s="101">
        <f>_xlfn.COMPOUNDVALUE(65)</f>
        <v>3181</v>
      </c>
      <c r="C8" s="102">
        <v>35031333</v>
      </c>
      <c r="D8" s="101">
        <f>_xlfn.COMPOUNDVALUE(66)</f>
        <v>1091</v>
      </c>
      <c r="E8" s="102">
        <v>740444</v>
      </c>
      <c r="F8" s="101">
        <f>_xlfn.COMPOUNDVALUE(67)</f>
        <v>4272</v>
      </c>
      <c r="G8" s="102">
        <v>35771777</v>
      </c>
      <c r="H8" s="101">
        <f>_xlfn.COMPOUNDVALUE(68)</f>
        <v>584</v>
      </c>
      <c r="I8" s="103">
        <v>4253542</v>
      </c>
      <c r="J8" s="101">
        <v>214</v>
      </c>
      <c r="K8" s="103">
        <v>50134</v>
      </c>
      <c r="L8" s="101">
        <v>4909</v>
      </c>
      <c r="M8" s="103">
        <v>31568369</v>
      </c>
      <c r="N8" s="65" t="s">
        <v>41</v>
      </c>
    </row>
    <row r="9" spans="1:14" ht="12.75">
      <c r="A9" s="64" t="s">
        <v>73</v>
      </c>
      <c r="B9" s="101">
        <f>_xlfn.COMPOUNDVALUE(69)</f>
        <v>1731</v>
      </c>
      <c r="C9" s="102">
        <v>14519756</v>
      </c>
      <c r="D9" s="101">
        <f>_xlfn.COMPOUNDVALUE(70)</f>
        <v>590</v>
      </c>
      <c r="E9" s="102">
        <v>393177</v>
      </c>
      <c r="F9" s="101">
        <f>_xlfn.COMPOUNDVALUE(71)</f>
        <v>2321</v>
      </c>
      <c r="G9" s="102">
        <v>14912934</v>
      </c>
      <c r="H9" s="101">
        <f>_xlfn.COMPOUNDVALUE(72)</f>
        <v>257</v>
      </c>
      <c r="I9" s="103">
        <v>2397198</v>
      </c>
      <c r="J9" s="101">
        <v>75</v>
      </c>
      <c r="K9" s="103">
        <v>9400</v>
      </c>
      <c r="L9" s="101">
        <v>2591</v>
      </c>
      <c r="M9" s="103">
        <v>12525136</v>
      </c>
      <c r="N9" s="65" t="s">
        <v>43</v>
      </c>
    </row>
    <row r="10" spans="1:14" ht="12.75">
      <c r="A10" s="64" t="s">
        <v>74</v>
      </c>
      <c r="B10" s="101">
        <f>_xlfn.COMPOUNDVALUE(73)</f>
        <v>1272</v>
      </c>
      <c r="C10" s="102">
        <v>15124664</v>
      </c>
      <c r="D10" s="101">
        <f>_xlfn.COMPOUNDVALUE(74)</f>
        <v>428</v>
      </c>
      <c r="E10" s="102">
        <v>277215</v>
      </c>
      <c r="F10" s="101">
        <f>_xlfn.COMPOUNDVALUE(75)</f>
        <v>1700</v>
      </c>
      <c r="G10" s="102">
        <v>15401878</v>
      </c>
      <c r="H10" s="101">
        <f>_xlfn.COMPOUNDVALUE(76)</f>
        <v>235</v>
      </c>
      <c r="I10" s="103">
        <v>513874</v>
      </c>
      <c r="J10" s="101">
        <v>80</v>
      </c>
      <c r="K10" s="103">
        <v>64008</v>
      </c>
      <c r="L10" s="101">
        <v>1954</v>
      </c>
      <c r="M10" s="103">
        <v>14952013</v>
      </c>
      <c r="N10" s="65" t="s">
        <v>45</v>
      </c>
    </row>
    <row r="11" spans="1:14" ht="12.75">
      <c r="A11" s="66" t="s">
        <v>75</v>
      </c>
      <c r="B11" s="104">
        <v>10809</v>
      </c>
      <c r="C11" s="105">
        <v>133256520</v>
      </c>
      <c r="D11" s="104">
        <v>3694</v>
      </c>
      <c r="E11" s="105">
        <v>2508045</v>
      </c>
      <c r="F11" s="104">
        <v>14503</v>
      </c>
      <c r="G11" s="105">
        <v>135764565</v>
      </c>
      <c r="H11" s="104">
        <v>1660</v>
      </c>
      <c r="I11" s="106">
        <v>12359720</v>
      </c>
      <c r="J11" s="104">
        <v>676</v>
      </c>
      <c r="K11" s="106">
        <v>295717</v>
      </c>
      <c r="L11" s="104">
        <v>16310</v>
      </c>
      <c r="M11" s="106">
        <v>123700561</v>
      </c>
      <c r="N11" s="67" t="s">
        <v>47</v>
      </c>
    </row>
    <row r="12" spans="1:14" ht="12.75">
      <c r="A12" s="68"/>
      <c r="B12" s="107"/>
      <c r="C12" s="108"/>
      <c r="D12" s="107"/>
      <c r="E12" s="108"/>
      <c r="F12" s="109"/>
      <c r="G12" s="108"/>
      <c r="H12" s="109"/>
      <c r="I12" s="108"/>
      <c r="J12" s="109"/>
      <c r="K12" s="108"/>
      <c r="L12" s="109"/>
      <c r="M12" s="108"/>
      <c r="N12" s="69"/>
    </row>
    <row r="13" spans="1:14" ht="12.75">
      <c r="A13" s="62" t="s">
        <v>48</v>
      </c>
      <c r="B13" s="98">
        <f>_xlfn.COMPOUNDVALUE(77)</f>
        <v>6884</v>
      </c>
      <c r="C13" s="99">
        <v>68763525</v>
      </c>
      <c r="D13" s="98">
        <f>_xlfn.COMPOUNDVALUE(78)</f>
        <v>2497</v>
      </c>
      <c r="E13" s="99">
        <v>1739290</v>
      </c>
      <c r="F13" s="98">
        <f>_xlfn.COMPOUNDVALUE(79)</f>
        <v>9381</v>
      </c>
      <c r="G13" s="99">
        <v>70502815</v>
      </c>
      <c r="H13" s="98">
        <f>_xlfn.COMPOUNDVALUE(80)</f>
        <v>567</v>
      </c>
      <c r="I13" s="100">
        <v>6571163</v>
      </c>
      <c r="J13" s="98">
        <v>337</v>
      </c>
      <c r="K13" s="100">
        <v>198810</v>
      </c>
      <c r="L13" s="98">
        <v>9999</v>
      </c>
      <c r="M13" s="100">
        <v>64130463</v>
      </c>
      <c r="N13" s="63" t="s">
        <v>48</v>
      </c>
    </row>
    <row r="14" spans="1:14" ht="12.75">
      <c r="A14" s="64" t="s">
        <v>49</v>
      </c>
      <c r="B14" s="101">
        <f>_xlfn.COMPOUNDVALUE(81)</f>
        <v>1107</v>
      </c>
      <c r="C14" s="102">
        <v>7250351</v>
      </c>
      <c r="D14" s="101">
        <f>_xlfn.COMPOUNDVALUE(82)</f>
        <v>467</v>
      </c>
      <c r="E14" s="102">
        <v>312098</v>
      </c>
      <c r="F14" s="101">
        <f>_xlfn.COMPOUNDVALUE(83)</f>
        <v>1574</v>
      </c>
      <c r="G14" s="102">
        <v>7562449</v>
      </c>
      <c r="H14" s="101">
        <f>_xlfn.COMPOUNDVALUE(84)</f>
        <v>127</v>
      </c>
      <c r="I14" s="103">
        <v>460718</v>
      </c>
      <c r="J14" s="101">
        <v>50</v>
      </c>
      <c r="K14" s="103">
        <v>25311</v>
      </c>
      <c r="L14" s="101">
        <v>1710</v>
      </c>
      <c r="M14" s="103">
        <v>7127043</v>
      </c>
      <c r="N14" s="65" t="s">
        <v>49</v>
      </c>
    </row>
    <row r="15" spans="1:14" ht="12.75">
      <c r="A15" s="64" t="s">
        <v>50</v>
      </c>
      <c r="B15" s="101">
        <f>_xlfn.COMPOUNDVALUE(85)</f>
        <v>2375</v>
      </c>
      <c r="C15" s="102">
        <v>20412085</v>
      </c>
      <c r="D15" s="101">
        <f>_xlfn.COMPOUNDVALUE(86)</f>
        <v>884</v>
      </c>
      <c r="E15" s="102">
        <v>564179</v>
      </c>
      <c r="F15" s="101">
        <f>_xlfn.COMPOUNDVALUE(87)</f>
        <v>3259</v>
      </c>
      <c r="G15" s="102">
        <v>20976263</v>
      </c>
      <c r="H15" s="101">
        <f>_xlfn.COMPOUNDVALUE(88)</f>
        <v>199</v>
      </c>
      <c r="I15" s="103">
        <v>1161118</v>
      </c>
      <c r="J15" s="101">
        <v>129</v>
      </c>
      <c r="K15" s="103">
        <v>134128</v>
      </c>
      <c r="L15" s="101">
        <v>3482</v>
      </c>
      <c r="M15" s="103">
        <v>19949273</v>
      </c>
      <c r="N15" s="65" t="s">
        <v>50</v>
      </c>
    </row>
    <row r="16" spans="1:14" ht="12.75">
      <c r="A16" s="64" t="s">
        <v>51</v>
      </c>
      <c r="B16" s="101">
        <f>_xlfn.COMPOUNDVALUE(89)</f>
        <v>566</v>
      </c>
      <c r="C16" s="102">
        <v>2395294</v>
      </c>
      <c r="D16" s="101">
        <f>_xlfn.COMPOUNDVALUE(90)</f>
        <v>216</v>
      </c>
      <c r="E16" s="102">
        <v>146715</v>
      </c>
      <c r="F16" s="101">
        <f>_xlfn.COMPOUNDVALUE(91)</f>
        <v>782</v>
      </c>
      <c r="G16" s="102">
        <v>2542008</v>
      </c>
      <c r="H16" s="101">
        <f>_xlfn.COMPOUNDVALUE(92)</f>
        <v>46</v>
      </c>
      <c r="I16" s="103">
        <v>82317</v>
      </c>
      <c r="J16" s="101">
        <v>30</v>
      </c>
      <c r="K16" s="103">
        <v>18259</v>
      </c>
      <c r="L16" s="101">
        <v>839</v>
      </c>
      <c r="M16" s="103">
        <v>2477950</v>
      </c>
      <c r="N16" s="65" t="s">
        <v>51</v>
      </c>
    </row>
    <row r="17" spans="1:14" ht="12.75">
      <c r="A17" s="64" t="s">
        <v>52</v>
      </c>
      <c r="B17" s="101">
        <f>_xlfn.COMPOUNDVALUE(93)</f>
        <v>1608</v>
      </c>
      <c r="C17" s="102">
        <v>17920741</v>
      </c>
      <c r="D17" s="101">
        <f>_xlfn.COMPOUNDVALUE(94)</f>
        <v>589</v>
      </c>
      <c r="E17" s="102">
        <v>396826</v>
      </c>
      <c r="F17" s="101">
        <f>_xlfn.COMPOUNDVALUE(95)</f>
        <v>2197</v>
      </c>
      <c r="G17" s="102">
        <v>18317568</v>
      </c>
      <c r="H17" s="101">
        <f>_xlfn.COMPOUNDVALUE(96)</f>
        <v>140</v>
      </c>
      <c r="I17" s="103">
        <v>1597957</v>
      </c>
      <c r="J17" s="101">
        <v>102</v>
      </c>
      <c r="K17" s="103">
        <v>361377</v>
      </c>
      <c r="L17" s="101">
        <v>2356</v>
      </c>
      <c r="M17" s="103">
        <v>17080987</v>
      </c>
      <c r="N17" s="65" t="s">
        <v>52</v>
      </c>
    </row>
    <row r="18" spans="1:14" ht="12.75">
      <c r="A18" s="66" t="s">
        <v>53</v>
      </c>
      <c r="B18" s="104">
        <v>12540</v>
      </c>
      <c r="C18" s="105">
        <v>116741996</v>
      </c>
      <c r="D18" s="104">
        <v>4653</v>
      </c>
      <c r="E18" s="105">
        <v>3159107</v>
      </c>
      <c r="F18" s="104">
        <v>17193</v>
      </c>
      <c r="G18" s="105">
        <v>119901103</v>
      </c>
      <c r="H18" s="104">
        <v>1079</v>
      </c>
      <c r="I18" s="106">
        <v>9873272</v>
      </c>
      <c r="J18" s="104">
        <v>648</v>
      </c>
      <c r="K18" s="106">
        <v>737885</v>
      </c>
      <c r="L18" s="104">
        <v>18386</v>
      </c>
      <c r="M18" s="106">
        <v>110765716</v>
      </c>
      <c r="N18" s="67" t="s">
        <v>53</v>
      </c>
    </row>
    <row r="19" spans="1:14" ht="12.75">
      <c r="A19" s="68"/>
      <c r="B19" s="107"/>
      <c r="C19" s="108"/>
      <c r="D19" s="107"/>
      <c r="E19" s="108"/>
      <c r="F19" s="109"/>
      <c r="G19" s="108"/>
      <c r="H19" s="109"/>
      <c r="I19" s="108"/>
      <c r="J19" s="109"/>
      <c r="K19" s="108"/>
      <c r="L19" s="109"/>
      <c r="M19" s="108"/>
      <c r="N19" s="69"/>
    </row>
    <row r="20" spans="1:14" ht="12.75">
      <c r="A20" s="62" t="s">
        <v>76</v>
      </c>
      <c r="B20" s="98">
        <f>_xlfn.COMPOUNDVALUE(97)</f>
        <v>4122</v>
      </c>
      <c r="C20" s="99">
        <v>42699978</v>
      </c>
      <c r="D20" s="98">
        <f>_xlfn.COMPOUNDVALUE(98)</f>
        <v>1394</v>
      </c>
      <c r="E20" s="99">
        <v>979926</v>
      </c>
      <c r="F20" s="98">
        <f>_xlfn.COMPOUNDVALUE(99)</f>
        <v>5516</v>
      </c>
      <c r="G20" s="99">
        <v>43679904</v>
      </c>
      <c r="H20" s="98">
        <f>_xlfn.COMPOUNDVALUE(100)</f>
        <v>359</v>
      </c>
      <c r="I20" s="100">
        <v>2594649</v>
      </c>
      <c r="J20" s="98">
        <v>313</v>
      </c>
      <c r="K20" s="100">
        <v>19243</v>
      </c>
      <c r="L20" s="98">
        <v>5899</v>
      </c>
      <c r="M20" s="100">
        <v>41104497</v>
      </c>
      <c r="N20" s="63" t="s">
        <v>55</v>
      </c>
    </row>
    <row r="21" spans="1:14" ht="12.75">
      <c r="A21" s="64" t="s">
        <v>77</v>
      </c>
      <c r="B21" s="101">
        <f>_xlfn.COMPOUNDVALUE(101)</f>
        <v>930</v>
      </c>
      <c r="C21" s="102">
        <v>8626361</v>
      </c>
      <c r="D21" s="101">
        <f>_xlfn.COMPOUNDVALUE(102)</f>
        <v>376</v>
      </c>
      <c r="E21" s="102">
        <v>268169</v>
      </c>
      <c r="F21" s="101">
        <f>_xlfn.COMPOUNDVALUE(103)</f>
        <v>1306</v>
      </c>
      <c r="G21" s="102">
        <v>8894530</v>
      </c>
      <c r="H21" s="101">
        <f>_xlfn.COMPOUNDVALUE(104)</f>
        <v>89</v>
      </c>
      <c r="I21" s="103">
        <v>342906</v>
      </c>
      <c r="J21" s="101">
        <v>51</v>
      </c>
      <c r="K21" s="103">
        <v>-19066</v>
      </c>
      <c r="L21" s="101">
        <v>1400</v>
      </c>
      <c r="M21" s="103">
        <v>8532558</v>
      </c>
      <c r="N21" s="65" t="s">
        <v>57</v>
      </c>
    </row>
    <row r="22" spans="1:14" ht="12.75">
      <c r="A22" s="64" t="s">
        <v>78</v>
      </c>
      <c r="B22" s="101">
        <f>_xlfn.COMPOUNDVALUE(105)</f>
        <v>1916</v>
      </c>
      <c r="C22" s="102">
        <v>20815707</v>
      </c>
      <c r="D22" s="101">
        <f>_xlfn.COMPOUNDVALUE(106)</f>
        <v>710</v>
      </c>
      <c r="E22" s="102">
        <v>456159</v>
      </c>
      <c r="F22" s="101">
        <f>_xlfn.COMPOUNDVALUE(107)</f>
        <v>2626</v>
      </c>
      <c r="G22" s="102">
        <v>21271866</v>
      </c>
      <c r="H22" s="101">
        <f>_xlfn.COMPOUNDVALUE(108)</f>
        <v>257</v>
      </c>
      <c r="I22" s="103">
        <v>1560848</v>
      </c>
      <c r="J22" s="101">
        <v>144</v>
      </c>
      <c r="K22" s="103">
        <v>-193998</v>
      </c>
      <c r="L22" s="101">
        <v>2893</v>
      </c>
      <c r="M22" s="103">
        <v>19517020</v>
      </c>
      <c r="N22" s="65" t="s">
        <v>59</v>
      </c>
    </row>
    <row r="23" spans="1:14" ht="12.75">
      <c r="A23" s="64" t="s">
        <v>79</v>
      </c>
      <c r="B23" s="101">
        <f>_xlfn.COMPOUNDVALUE(109)</f>
        <v>504</v>
      </c>
      <c r="C23" s="102">
        <v>3221864</v>
      </c>
      <c r="D23" s="101">
        <f>_xlfn.COMPOUNDVALUE(110)</f>
        <v>169</v>
      </c>
      <c r="E23" s="102">
        <v>112592</v>
      </c>
      <c r="F23" s="101">
        <f>_xlfn.COMPOUNDVALUE(111)</f>
        <v>673</v>
      </c>
      <c r="G23" s="102">
        <v>3334456</v>
      </c>
      <c r="H23" s="101">
        <f>_xlfn.COMPOUNDVALUE(112)</f>
        <v>41</v>
      </c>
      <c r="I23" s="103">
        <v>97550</v>
      </c>
      <c r="J23" s="101">
        <v>39</v>
      </c>
      <c r="K23" s="103">
        <v>14408</v>
      </c>
      <c r="L23" s="101">
        <v>717</v>
      </c>
      <c r="M23" s="103">
        <v>3251313</v>
      </c>
      <c r="N23" s="65" t="s">
        <v>61</v>
      </c>
    </row>
    <row r="24" spans="1:14" ht="12.75">
      <c r="A24" s="64" t="s">
        <v>80</v>
      </c>
      <c r="B24" s="101">
        <f>_xlfn.COMPOUNDVALUE(113)</f>
        <v>562</v>
      </c>
      <c r="C24" s="102">
        <v>3329548</v>
      </c>
      <c r="D24" s="101">
        <f>_xlfn.COMPOUNDVALUE(114)</f>
        <v>232</v>
      </c>
      <c r="E24" s="102">
        <v>163980</v>
      </c>
      <c r="F24" s="101">
        <f>_xlfn.COMPOUNDVALUE(115)</f>
        <v>794</v>
      </c>
      <c r="G24" s="102">
        <v>3493529</v>
      </c>
      <c r="H24" s="101">
        <f>_xlfn.COMPOUNDVALUE(116)</f>
        <v>54</v>
      </c>
      <c r="I24" s="103">
        <v>165059</v>
      </c>
      <c r="J24" s="101">
        <v>32</v>
      </c>
      <c r="K24" s="103">
        <v>-1677</v>
      </c>
      <c r="L24" s="101">
        <v>854</v>
      </c>
      <c r="M24" s="103">
        <v>3326793</v>
      </c>
      <c r="N24" s="65" t="s">
        <v>63</v>
      </c>
    </row>
    <row r="25" spans="1:14" ht="12.75">
      <c r="A25" s="64" t="s">
        <v>81</v>
      </c>
      <c r="B25" s="101">
        <f>_xlfn.COMPOUNDVALUE(117)</f>
        <v>1182</v>
      </c>
      <c r="C25" s="102">
        <v>11712026</v>
      </c>
      <c r="D25" s="101">
        <f>_xlfn.COMPOUNDVALUE(118)</f>
        <v>443</v>
      </c>
      <c r="E25" s="102">
        <v>302649</v>
      </c>
      <c r="F25" s="101">
        <f>_xlfn.COMPOUNDVALUE(119)</f>
        <v>1625</v>
      </c>
      <c r="G25" s="102">
        <v>12014675</v>
      </c>
      <c r="H25" s="101">
        <f>_xlfn.COMPOUNDVALUE(120)</f>
        <v>168</v>
      </c>
      <c r="I25" s="103">
        <v>1491999</v>
      </c>
      <c r="J25" s="101">
        <v>61</v>
      </c>
      <c r="K25" s="103">
        <v>-9747</v>
      </c>
      <c r="L25" s="101">
        <v>1802</v>
      </c>
      <c r="M25" s="103">
        <v>10512929</v>
      </c>
      <c r="N25" s="65" t="s">
        <v>65</v>
      </c>
    </row>
    <row r="26" spans="1:14" ht="12.75">
      <c r="A26" s="66" t="s">
        <v>82</v>
      </c>
      <c r="B26" s="104">
        <v>9216</v>
      </c>
      <c r="C26" s="105">
        <v>90405484</v>
      </c>
      <c r="D26" s="104">
        <v>3324</v>
      </c>
      <c r="E26" s="105">
        <v>2283476</v>
      </c>
      <c r="F26" s="104">
        <v>12540</v>
      </c>
      <c r="G26" s="105">
        <v>92688960</v>
      </c>
      <c r="H26" s="104">
        <v>968</v>
      </c>
      <c r="I26" s="106">
        <v>6253011</v>
      </c>
      <c r="J26" s="104">
        <v>640</v>
      </c>
      <c r="K26" s="106">
        <v>-190837</v>
      </c>
      <c r="L26" s="104">
        <v>13565</v>
      </c>
      <c r="M26" s="106">
        <v>86245112</v>
      </c>
      <c r="N26" s="67" t="s">
        <v>67</v>
      </c>
    </row>
    <row r="27" spans="1:14" ht="13.5" thickBot="1">
      <c r="A27" s="70"/>
      <c r="B27" s="110"/>
      <c r="C27" s="111"/>
      <c r="D27" s="110"/>
      <c r="E27" s="111"/>
      <c r="F27" s="112"/>
      <c r="G27" s="111"/>
      <c r="H27" s="112"/>
      <c r="I27" s="111"/>
      <c r="J27" s="112"/>
      <c r="K27" s="111"/>
      <c r="L27" s="112"/>
      <c r="M27" s="111"/>
      <c r="N27" s="71"/>
    </row>
    <row r="28" spans="1:14" ht="13.5" thickBot="1" thickTop="1">
      <c r="A28" s="72" t="s">
        <v>83</v>
      </c>
      <c r="B28" s="113">
        <v>32565</v>
      </c>
      <c r="C28" s="114">
        <v>340404000</v>
      </c>
      <c r="D28" s="113">
        <v>11671</v>
      </c>
      <c r="E28" s="114">
        <v>7950628</v>
      </c>
      <c r="F28" s="113">
        <v>44236</v>
      </c>
      <c r="G28" s="114">
        <v>348354628</v>
      </c>
      <c r="H28" s="113">
        <v>3707</v>
      </c>
      <c r="I28" s="115">
        <v>28486003</v>
      </c>
      <c r="J28" s="113">
        <v>1964</v>
      </c>
      <c r="K28" s="115">
        <v>842764</v>
      </c>
      <c r="L28" s="113">
        <v>48261</v>
      </c>
      <c r="M28" s="115">
        <v>320711388</v>
      </c>
      <c r="N28" s="73" t="s">
        <v>69</v>
      </c>
    </row>
    <row r="29" spans="1:14" ht="12.75">
      <c r="A29" s="189" t="s">
        <v>110</v>
      </c>
      <c r="B29" s="189"/>
      <c r="C29" s="189"/>
      <c r="D29" s="189"/>
      <c r="E29" s="189"/>
      <c r="F29" s="189"/>
      <c r="G29" s="189"/>
      <c r="H29" s="189"/>
      <c r="I29" s="189"/>
      <c r="J29" s="74"/>
      <c r="K29" s="74"/>
      <c r="L29" s="51"/>
      <c r="M29" s="51"/>
      <c r="N29" s="51"/>
    </row>
  </sheetData>
  <sheetProtection/>
  <mergeCells count="11">
    <mergeCell ref="L3:M4"/>
    <mergeCell ref="N3:N5"/>
    <mergeCell ref="B4:C4"/>
    <mergeCell ref="D4:E4"/>
    <mergeCell ref="F4:G4"/>
    <mergeCell ref="A29:I29"/>
    <mergeCell ref="A2:I2"/>
    <mergeCell ref="A3:A5"/>
    <mergeCell ref="B3:G3"/>
    <mergeCell ref="H3:I4"/>
    <mergeCell ref="J3:K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headerFooter>
    <oddFooter>&amp;R&amp;K01+000金沢国税局
消費税
(R03)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9"/>
  <sheetViews>
    <sheetView zoomScaleSheetLayoutView="100" workbookViewId="0" topLeftCell="A1">
      <selection activeCell="A1" sqref="A1"/>
    </sheetView>
  </sheetViews>
  <sheetFormatPr defaultColWidth="9.00390625" defaultRowHeight="13.5"/>
  <cols>
    <col min="1" max="1" width="10.375" style="47" customWidth="1"/>
    <col min="2" max="2" width="10.625" style="47" customWidth="1"/>
    <col min="3" max="3" width="12.625" style="47" customWidth="1"/>
    <col min="4" max="4" width="10.625" style="47" customWidth="1"/>
    <col min="5" max="5" width="12.625" style="47" customWidth="1"/>
    <col min="6" max="6" width="10.625" style="47" customWidth="1"/>
    <col min="7" max="7" width="12.625" style="47" customWidth="1"/>
    <col min="8" max="8" width="10.625" style="47" customWidth="1"/>
    <col min="9" max="9" width="12.625" style="47" customWidth="1"/>
    <col min="10" max="10" width="10.625" style="47" customWidth="1"/>
    <col min="11" max="11" width="12.625" style="47" customWidth="1"/>
    <col min="12" max="12" width="10.625" style="47" customWidth="1"/>
    <col min="13" max="13" width="12.625" style="47" customWidth="1"/>
    <col min="14" max="17" width="10.625" style="47" customWidth="1"/>
    <col min="18" max="18" width="10.375" style="47" customWidth="1"/>
    <col min="19" max="16384" width="9.00390625" style="47" customWidth="1"/>
  </cols>
  <sheetData>
    <row r="1" spans="1:18" ht="12.75">
      <c r="A1" s="50" t="s">
        <v>114</v>
      </c>
      <c r="B1" s="50"/>
      <c r="C1" s="50"/>
      <c r="D1" s="50"/>
      <c r="E1" s="50"/>
      <c r="F1" s="50"/>
      <c r="G1" s="50"/>
      <c r="H1" s="50"/>
      <c r="I1" s="50"/>
      <c r="J1" s="50"/>
      <c r="K1" s="50"/>
      <c r="L1" s="51"/>
      <c r="M1" s="51"/>
      <c r="N1" s="51"/>
      <c r="O1" s="51"/>
      <c r="P1" s="51"/>
      <c r="Q1" s="97"/>
      <c r="R1" s="97"/>
    </row>
    <row r="2" spans="1:18" ht="13.5" thickBot="1">
      <c r="A2" s="199" t="s">
        <v>125</v>
      </c>
      <c r="B2" s="199"/>
      <c r="C2" s="199"/>
      <c r="D2" s="199"/>
      <c r="E2" s="199"/>
      <c r="F2" s="199"/>
      <c r="G2" s="199"/>
      <c r="H2" s="199"/>
      <c r="I2" s="199"/>
      <c r="J2" s="74"/>
      <c r="K2" s="74"/>
      <c r="L2" s="51"/>
      <c r="M2" s="51"/>
      <c r="N2" s="51"/>
      <c r="O2" s="51"/>
      <c r="P2" s="51"/>
      <c r="Q2" s="97"/>
      <c r="R2" s="97"/>
    </row>
    <row r="3" spans="1:18" ht="12.75">
      <c r="A3" s="191" t="s">
        <v>25</v>
      </c>
      <c r="B3" s="194" t="s">
        <v>26</v>
      </c>
      <c r="C3" s="194"/>
      <c r="D3" s="194"/>
      <c r="E3" s="194"/>
      <c r="F3" s="194"/>
      <c r="G3" s="194"/>
      <c r="H3" s="194" t="s">
        <v>12</v>
      </c>
      <c r="I3" s="194"/>
      <c r="J3" s="209" t="s">
        <v>27</v>
      </c>
      <c r="K3" s="194"/>
      <c r="L3" s="194" t="s">
        <v>28</v>
      </c>
      <c r="M3" s="194"/>
      <c r="N3" s="200" t="s">
        <v>84</v>
      </c>
      <c r="O3" s="201"/>
      <c r="P3" s="201"/>
      <c r="Q3" s="201"/>
      <c r="R3" s="183" t="s">
        <v>70</v>
      </c>
    </row>
    <row r="4" spans="1:18" ht="12.75">
      <c r="A4" s="192"/>
      <c r="B4" s="186" t="s">
        <v>13</v>
      </c>
      <c r="C4" s="186"/>
      <c r="D4" s="186" t="s">
        <v>30</v>
      </c>
      <c r="E4" s="186"/>
      <c r="F4" s="186" t="s">
        <v>31</v>
      </c>
      <c r="G4" s="186"/>
      <c r="H4" s="186"/>
      <c r="I4" s="186"/>
      <c r="J4" s="186"/>
      <c r="K4" s="186"/>
      <c r="L4" s="186"/>
      <c r="M4" s="186"/>
      <c r="N4" s="202" t="s">
        <v>85</v>
      </c>
      <c r="O4" s="204" t="s">
        <v>86</v>
      </c>
      <c r="P4" s="206" t="s">
        <v>87</v>
      </c>
      <c r="Q4" s="197" t="s">
        <v>88</v>
      </c>
      <c r="R4" s="184"/>
    </row>
    <row r="5" spans="1:18" ht="21.75">
      <c r="A5" s="193"/>
      <c r="B5" s="52" t="s">
        <v>32</v>
      </c>
      <c r="C5" s="53" t="s">
        <v>33</v>
      </c>
      <c r="D5" s="52" t="s">
        <v>32</v>
      </c>
      <c r="E5" s="53" t="s">
        <v>33</v>
      </c>
      <c r="F5" s="52" t="s">
        <v>32</v>
      </c>
      <c r="G5" s="53" t="s">
        <v>34</v>
      </c>
      <c r="H5" s="52" t="s">
        <v>32</v>
      </c>
      <c r="I5" s="53" t="s">
        <v>35</v>
      </c>
      <c r="J5" s="52" t="s">
        <v>32</v>
      </c>
      <c r="K5" s="53" t="s">
        <v>36</v>
      </c>
      <c r="L5" s="52" t="s">
        <v>32</v>
      </c>
      <c r="M5" s="75" t="s">
        <v>89</v>
      </c>
      <c r="N5" s="203"/>
      <c r="O5" s="205"/>
      <c r="P5" s="207"/>
      <c r="Q5" s="208"/>
      <c r="R5" s="185"/>
    </row>
    <row r="6" spans="1:18" ht="12.75">
      <c r="A6" s="57"/>
      <c r="B6" s="58" t="s">
        <v>4</v>
      </c>
      <c r="C6" s="59" t="s">
        <v>5</v>
      </c>
      <c r="D6" s="58" t="s">
        <v>4</v>
      </c>
      <c r="E6" s="59" t="s">
        <v>5</v>
      </c>
      <c r="F6" s="58" t="s">
        <v>4</v>
      </c>
      <c r="G6" s="59" t="s">
        <v>5</v>
      </c>
      <c r="H6" s="58" t="s">
        <v>4</v>
      </c>
      <c r="I6" s="59" t="s">
        <v>5</v>
      </c>
      <c r="J6" s="58" t="s">
        <v>4</v>
      </c>
      <c r="K6" s="59" t="s">
        <v>5</v>
      </c>
      <c r="L6" s="58" t="s">
        <v>112</v>
      </c>
      <c r="M6" s="59" t="s">
        <v>5</v>
      </c>
      <c r="N6" s="58" t="s">
        <v>4</v>
      </c>
      <c r="O6" s="76" t="s">
        <v>4</v>
      </c>
      <c r="P6" s="76" t="s">
        <v>4</v>
      </c>
      <c r="Q6" s="77" t="s">
        <v>4</v>
      </c>
      <c r="R6" s="61"/>
    </row>
    <row r="7" spans="1:18" ht="12.75">
      <c r="A7" s="62" t="s">
        <v>38</v>
      </c>
      <c r="B7" s="98">
        <f>_xlfn.COMPOUNDVALUE(121)</f>
        <v>6059</v>
      </c>
      <c r="C7" s="99">
        <v>69907669</v>
      </c>
      <c r="D7" s="98">
        <f>_xlfn.COMPOUNDVALUE(122)</f>
        <v>3701</v>
      </c>
      <c r="E7" s="99">
        <v>2144792</v>
      </c>
      <c r="F7" s="98">
        <f>_xlfn.COMPOUNDVALUE(123)</f>
        <v>9760</v>
      </c>
      <c r="G7" s="99">
        <v>72052461</v>
      </c>
      <c r="H7" s="98">
        <f>_xlfn.COMPOUNDVALUE(124)</f>
        <v>751</v>
      </c>
      <c r="I7" s="100">
        <v>5285654</v>
      </c>
      <c r="J7" s="98">
        <v>671</v>
      </c>
      <c r="K7" s="100">
        <v>256709</v>
      </c>
      <c r="L7" s="98">
        <v>10774</v>
      </c>
      <c r="M7" s="100">
        <v>67023516</v>
      </c>
      <c r="N7" s="135">
        <v>9795</v>
      </c>
      <c r="O7" s="136">
        <v>378</v>
      </c>
      <c r="P7" s="136">
        <v>21</v>
      </c>
      <c r="Q7" s="137">
        <v>10194</v>
      </c>
      <c r="R7" s="81" t="s">
        <v>39</v>
      </c>
    </row>
    <row r="8" spans="1:18" ht="12.75">
      <c r="A8" s="64" t="s">
        <v>40</v>
      </c>
      <c r="B8" s="101">
        <f>_xlfn.COMPOUNDVALUE(125)</f>
        <v>4224</v>
      </c>
      <c r="C8" s="102">
        <v>35866418</v>
      </c>
      <c r="D8" s="101">
        <f>_xlfn.COMPOUNDVALUE(126)</f>
        <v>2701</v>
      </c>
      <c r="E8" s="102">
        <v>1489047</v>
      </c>
      <c r="F8" s="101">
        <f>_xlfn.COMPOUNDVALUE(127)</f>
        <v>6925</v>
      </c>
      <c r="G8" s="102">
        <v>37355464</v>
      </c>
      <c r="H8" s="101">
        <f>_xlfn.COMPOUNDVALUE(128)</f>
        <v>717</v>
      </c>
      <c r="I8" s="103">
        <v>4321234</v>
      </c>
      <c r="J8" s="101">
        <v>449</v>
      </c>
      <c r="K8" s="103">
        <v>88248</v>
      </c>
      <c r="L8" s="101">
        <v>7830</v>
      </c>
      <c r="M8" s="103">
        <v>33122479</v>
      </c>
      <c r="N8" s="135">
        <v>6933</v>
      </c>
      <c r="O8" s="136">
        <v>384</v>
      </c>
      <c r="P8" s="136">
        <v>12</v>
      </c>
      <c r="Q8" s="137">
        <v>7329</v>
      </c>
      <c r="R8" s="65" t="s">
        <v>41</v>
      </c>
    </row>
    <row r="9" spans="1:18" ht="12.75">
      <c r="A9" s="64" t="s">
        <v>42</v>
      </c>
      <c r="B9" s="101">
        <f>_xlfn.COMPOUNDVALUE(129)</f>
        <v>2387</v>
      </c>
      <c r="C9" s="102">
        <v>15038592</v>
      </c>
      <c r="D9" s="101">
        <f>_xlfn.COMPOUNDVALUE(130)</f>
        <v>1671</v>
      </c>
      <c r="E9" s="102">
        <v>859751</v>
      </c>
      <c r="F9" s="101">
        <f>_xlfn.COMPOUNDVALUE(131)</f>
        <v>4058</v>
      </c>
      <c r="G9" s="102">
        <v>15898343</v>
      </c>
      <c r="H9" s="101">
        <f>_xlfn.COMPOUNDVALUE(132)</f>
        <v>345</v>
      </c>
      <c r="I9" s="103">
        <v>2438494</v>
      </c>
      <c r="J9" s="101">
        <v>186</v>
      </c>
      <c r="K9" s="103">
        <v>34551</v>
      </c>
      <c r="L9" s="101">
        <v>4472</v>
      </c>
      <c r="M9" s="103">
        <v>13494400</v>
      </c>
      <c r="N9" s="135">
        <v>4107</v>
      </c>
      <c r="O9" s="136">
        <v>200</v>
      </c>
      <c r="P9" s="136">
        <v>5</v>
      </c>
      <c r="Q9" s="137">
        <v>4312</v>
      </c>
      <c r="R9" s="65" t="s">
        <v>43</v>
      </c>
    </row>
    <row r="10" spans="1:18" ht="12.75">
      <c r="A10" s="64" t="s">
        <v>44</v>
      </c>
      <c r="B10" s="101">
        <f>_xlfn.COMPOUNDVALUE(133)</f>
        <v>1701</v>
      </c>
      <c r="C10" s="102">
        <v>15414245</v>
      </c>
      <c r="D10" s="101">
        <f>_xlfn.COMPOUNDVALUE(134)</f>
        <v>1167</v>
      </c>
      <c r="E10" s="102">
        <v>594161</v>
      </c>
      <c r="F10" s="101">
        <f>_xlfn.COMPOUNDVALUE(135)</f>
        <v>2868</v>
      </c>
      <c r="G10" s="102">
        <v>16008405</v>
      </c>
      <c r="H10" s="101">
        <f>_xlfn.COMPOUNDVALUE(136)</f>
        <v>298</v>
      </c>
      <c r="I10" s="103">
        <v>549082</v>
      </c>
      <c r="J10" s="101">
        <v>162</v>
      </c>
      <c r="K10" s="103">
        <v>81834</v>
      </c>
      <c r="L10" s="101">
        <v>3218</v>
      </c>
      <c r="M10" s="103">
        <v>15541158</v>
      </c>
      <c r="N10" s="135">
        <v>2991</v>
      </c>
      <c r="O10" s="136">
        <v>163</v>
      </c>
      <c r="P10" s="136">
        <v>4</v>
      </c>
      <c r="Q10" s="137">
        <v>3158</v>
      </c>
      <c r="R10" s="65" t="s">
        <v>45</v>
      </c>
    </row>
    <row r="11" spans="1:18" ht="12.75">
      <c r="A11" s="66" t="s">
        <v>46</v>
      </c>
      <c r="B11" s="104">
        <v>14371</v>
      </c>
      <c r="C11" s="105">
        <v>136226923</v>
      </c>
      <c r="D11" s="104">
        <v>9240</v>
      </c>
      <c r="E11" s="105">
        <v>5087750</v>
      </c>
      <c r="F11" s="104">
        <v>23611</v>
      </c>
      <c r="G11" s="105">
        <v>141314674</v>
      </c>
      <c r="H11" s="104">
        <v>2111</v>
      </c>
      <c r="I11" s="106">
        <v>12594464</v>
      </c>
      <c r="J11" s="104">
        <v>1468</v>
      </c>
      <c r="K11" s="106">
        <v>461342</v>
      </c>
      <c r="L11" s="104">
        <v>26294</v>
      </c>
      <c r="M11" s="106">
        <v>129181552</v>
      </c>
      <c r="N11" s="138">
        <v>23826</v>
      </c>
      <c r="O11" s="139">
        <v>1125</v>
      </c>
      <c r="P11" s="139">
        <v>42</v>
      </c>
      <c r="Q11" s="140">
        <v>24993</v>
      </c>
      <c r="R11" s="67" t="s">
        <v>47</v>
      </c>
    </row>
    <row r="12" spans="1:18" ht="12.75">
      <c r="A12" s="68"/>
      <c r="B12" s="107"/>
      <c r="C12" s="108"/>
      <c r="D12" s="107"/>
      <c r="E12" s="108"/>
      <c r="F12" s="109"/>
      <c r="G12" s="108"/>
      <c r="H12" s="109"/>
      <c r="I12" s="108"/>
      <c r="J12" s="109"/>
      <c r="K12" s="108"/>
      <c r="L12" s="109"/>
      <c r="M12" s="108"/>
      <c r="N12" s="141"/>
      <c r="O12" s="142"/>
      <c r="P12" s="142"/>
      <c r="Q12" s="143"/>
      <c r="R12" s="78" t="s">
        <v>90</v>
      </c>
    </row>
    <row r="13" spans="1:18" ht="12.75">
      <c r="A13" s="62" t="s">
        <v>48</v>
      </c>
      <c r="B13" s="98">
        <f>_xlfn.COMPOUNDVALUE(137)</f>
        <v>8975</v>
      </c>
      <c r="C13" s="99">
        <v>70313671</v>
      </c>
      <c r="D13" s="98">
        <f>_xlfn.COMPOUNDVALUE(138)</f>
        <v>5561</v>
      </c>
      <c r="E13" s="99">
        <v>3198368</v>
      </c>
      <c r="F13" s="98">
        <f>_xlfn.COMPOUNDVALUE(139)</f>
        <v>14536</v>
      </c>
      <c r="G13" s="99">
        <v>73512039</v>
      </c>
      <c r="H13" s="98">
        <f>_xlfn.COMPOUNDVALUE(140)</f>
        <v>861</v>
      </c>
      <c r="I13" s="100">
        <v>6708746</v>
      </c>
      <c r="J13" s="98">
        <v>718</v>
      </c>
      <c r="K13" s="100">
        <v>285193</v>
      </c>
      <c r="L13" s="98">
        <v>15631</v>
      </c>
      <c r="M13" s="100">
        <v>67088487</v>
      </c>
      <c r="N13" s="135">
        <v>14625</v>
      </c>
      <c r="O13" s="136">
        <v>439</v>
      </c>
      <c r="P13" s="136">
        <v>44</v>
      </c>
      <c r="Q13" s="137">
        <v>15108</v>
      </c>
      <c r="R13" s="65" t="s">
        <v>48</v>
      </c>
    </row>
    <row r="14" spans="1:18" ht="12.75">
      <c r="A14" s="64" t="s">
        <v>49</v>
      </c>
      <c r="B14" s="101">
        <f>_xlfn.COMPOUNDVALUE(141)</f>
        <v>1553</v>
      </c>
      <c r="C14" s="102">
        <v>7526221</v>
      </c>
      <c r="D14" s="101">
        <f>_xlfn.COMPOUNDVALUE(142)</f>
        <v>1189</v>
      </c>
      <c r="E14" s="102">
        <v>589590</v>
      </c>
      <c r="F14" s="101">
        <f>_xlfn.COMPOUNDVALUE(143)</f>
        <v>2742</v>
      </c>
      <c r="G14" s="102">
        <v>8115812</v>
      </c>
      <c r="H14" s="101">
        <f>_xlfn.COMPOUNDVALUE(144)</f>
        <v>172</v>
      </c>
      <c r="I14" s="103">
        <v>487202</v>
      </c>
      <c r="J14" s="101">
        <v>108</v>
      </c>
      <c r="K14" s="103">
        <v>36292</v>
      </c>
      <c r="L14" s="101">
        <v>2939</v>
      </c>
      <c r="M14" s="103">
        <v>7664902</v>
      </c>
      <c r="N14" s="135">
        <v>2699</v>
      </c>
      <c r="O14" s="136">
        <v>92</v>
      </c>
      <c r="P14" s="136">
        <v>7</v>
      </c>
      <c r="Q14" s="137">
        <v>2798</v>
      </c>
      <c r="R14" s="65" t="s">
        <v>49</v>
      </c>
    </row>
    <row r="15" spans="1:18" ht="12.75">
      <c r="A15" s="64" t="s">
        <v>50</v>
      </c>
      <c r="B15" s="101">
        <f>_xlfn.COMPOUNDVALUE(145)</f>
        <v>3311</v>
      </c>
      <c r="C15" s="102">
        <v>21412534</v>
      </c>
      <c r="D15" s="101">
        <f>_xlfn.COMPOUNDVALUE(146)</f>
        <v>2410</v>
      </c>
      <c r="E15" s="102">
        <v>1187023</v>
      </c>
      <c r="F15" s="101">
        <f>_xlfn.COMPOUNDVALUE(147)</f>
        <v>5721</v>
      </c>
      <c r="G15" s="102">
        <v>22599556</v>
      </c>
      <c r="H15" s="101">
        <f>_xlfn.COMPOUNDVALUE(148)</f>
        <v>289</v>
      </c>
      <c r="I15" s="103">
        <v>1199723</v>
      </c>
      <c r="J15" s="101">
        <v>316</v>
      </c>
      <c r="K15" s="103">
        <v>178032</v>
      </c>
      <c r="L15" s="101">
        <v>6110</v>
      </c>
      <c r="M15" s="103">
        <v>21577866</v>
      </c>
      <c r="N15" s="135">
        <v>5601</v>
      </c>
      <c r="O15" s="136">
        <v>115</v>
      </c>
      <c r="P15" s="136">
        <v>7</v>
      </c>
      <c r="Q15" s="137">
        <v>5723</v>
      </c>
      <c r="R15" s="65" t="s">
        <v>50</v>
      </c>
    </row>
    <row r="16" spans="1:18" ht="12.75">
      <c r="A16" s="64" t="s">
        <v>51</v>
      </c>
      <c r="B16" s="101">
        <f>_xlfn.COMPOUNDVALUE(149)</f>
        <v>810</v>
      </c>
      <c r="C16" s="102">
        <v>2595149</v>
      </c>
      <c r="D16" s="101">
        <f>_xlfn.COMPOUNDVALUE(150)</f>
        <v>735</v>
      </c>
      <c r="E16" s="102">
        <v>333647</v>
      </c>
      <c r="F16" s="101">
        <f>_xlfn.COMPOUNDVALUE(151)</f>
        <v>1545</v>
      </c>
      <c r="G16" s="102">
        <v>2928796</v>
      </c>
      <c r="H16" s="101">
        <f>_xlfn.COMPOUNDVALUE(152)</f>
        <v>87</v>
      </c>
      <c r="I16" s="103">
        <v>97484</v>
      </c>
      <c r="J16" s="101">
        <v>63</v>
      </c>
      <c r="K16" s="103">
        <v>25018</v>
      </c>
      <c r="L16" s="101">
        <v>1663</v>
      </c>
      <c r="M16" s="103">
        <v>2856329</v>
      </c>
      <c r="N16" s="135">
        <v>1541</v>
      </c>
      <c r="O16" s="136">
        <v>30</v>
      </c>
      <c r="P16" s="136">
        <v>3</v>
      </c>
      <c r="Q16" s="137">
        <v>1574</v>
      </c>
      <c r="R16" s="65" t="s">
        <v>51</v>
      </c>
    </row>
    <row r="17" spans="1:18" ht="12.75">
      <c r="A17" s="64" t="s">
        <v>52</v>
      </c>
      <c r="B17" s="101">
        <f>_xlfn.COMPOUNDVALUE(153)</f>
        <v>2192</v>
      </c>
      <c r="C17" s="102">
        <v>18322017</v>
      </c>
      <c r="D17" s="101">
        <f>_xlfn.COMPOUNDVALUE(154)</f>
        <v>1495</v>
      </c>
      <c r="E17" s="102">
        <v>802317</v>
      </c>
      <c r="F17" s="101">
        <f>_xlfn.COMPOUNDVALUE(155)</f>
        <v>3687</v>
      </c>
      <c r="G17" s="102">
        <v>19124334</v>
      </c>
      <c r="H17" s="101">
        <f>_xlfn.COMPOUNDVALUE(156)</f>
        <v>206</v>
      </c>
      <c r="I17" s="103">
        <v>1643847</v>
      </c>
      <c r="J17" s="101">
        <v>209</v>
      </c>
      <c r="K17" s="103">
        <v>384013</v>
      </c>
      <c r="L17" s="101">
        <v>3959</v>
      </c>
      <c r="M17" s="103">
        <v>17864500</v>
      </c>
      <c r="N17" s="135">
        <v>3656</v>
      </c>
      <c r="O17" s="136">
        <v>99</v>
      </c>
      <c r="P17" s="136">
        <v>8</v>
      </c>
      <c r="Q17" s="137">
        <v>3763</v>
      </c>
      <c r="R17" s="65" t="s">
        <v>52</v>
      </c>
    </row>
    <row r="18" spans="1:18" ht="12.75">
      <c r="A18" s="66" t="s">
        <v>91</v>
      </c>
      <c r="B18" s="104">
        <v>16841</v>
      </c>
      <c r="C18" s="105">
        <v>120169592</v>
      </c>
      <c r="D18" s="104">
        <v>11390</v>
      </c>
      <c r="E18" s="105">
        <v>6110945</v>
      </c>
      <c r="F18" s="104">
        <v>28231</v>
      </c>
      <c r="G18" s="105">
        <v>126280537</v>
      </c>
      <c r="H18" s="104">
        <v>1615</v>
      </c>
      <c r="I18" s="106">
        <v>10137001</v>
      </c>
      <c r="J18" s="104">
        <v>1414</v>
      </c>
      <c r="K18" s="106">
        <v>908549</v>
      </c>
      <c r="L18" s="104">
        <v>30302</v>
      </c>
      <c r="M18" s="106">
        <v>117052084</v>
      </c>
      <c r="N18" s="138">
        <v>28122</v>
      </c>
      <c r="O18" s="139">
        <v>775</v>
      </c>
      <c r="P18" s="139">
        <v>69</v>
      </c>
      <c r="Q18" s="140">
        <v>28966</v>
      </c>
      <c r="R18" s="67" t="s">
        <v>53</v>
      </c>
    </row>
    <row r="19" spans="1:18" ht="12.75">
      <c r="A19" s="68"/>
      <c r="B19" s="107"/>
      <c r="C19" s="108"/>
      <c r="D19" s="107"/>
      <c r="E19" s="108"/>
      <c r="F19" s="109"/>
      <c r="G19" s="108"/>
      <c r="H19" s="109"/>
      <c r="I19" s="108"/>
      <c r="J19" s="109"/>
      <c r="K19" s="108"/>
      <c r="L19" s="109"/>
      <c r="M19" s="108"/>
      <c r="N19" s="141"/>
      <c r="O19" s="142"/>
      <c r="P19" s="142"/>
      <c r="Q19" s="143"/>
      <c r="R19" s="78" t="s">
        <v>90</v>
      </c>
    </row>
    <row r="20" spans="1:18" ht="12.75">
      <c r="A20" s="62" t="s">
        <v>54</v>
      </c>
      <c r="B20" s="98">
        <f>_xlfn.COMPOUNDVALUE(157)</f>
        <v>5358</v>
      </c>
      <c r="C20" s="99">
        <v>43538690</v>
      </c>
      <c r="D20" s="98">
        <f>_xlfn.COMPOUNDVALUE(158)</f>
        <v>3123</v>
      </c>
      <c r="E20" s="99">
        <v>1793428</v>
      </c>
      <c r="F20" s="98">
        <f>_xlfn.COMPOUNDVALUE(159)</f>
        <v>8481</v>
      </c>
      <c r="G20" s="99">
        <v>45332118</v>
      </c>
      <c r="H20" s="98">
        <f>_xlfn.COMPOUNDVALUE(160)</f>
        <v>495</v>
      </c>
      <c r="I20" s="100">
        <v>2689656</v>
      </c>
      <c r="J20" s="98">
        <v>515</v>
      </c>
      <c r="K20" s="100">
        <v>59085</v>
      </c>
      <c r="L20" s="98">
        <v>9095</v>
      </c>
      <c r="M20" s="100">
        <v>42701546</v>
      </c>
      <c r="N20" s="135">
        <v>8448</v>
      </c>
      <c r="O20" s="136">
        <v>243</v>
      </c>
      <c r="P20" s="136">
        <v>27</v>
      </c>
      <c r="Q20" s="137">
        <v>8718</v>
      </c>
      <c r="R20" s="65" t="s">
        <v>55</v>
      </c>
    </row>
    <row r="21" spans="1:18" ht="12.75">
      <c r="A21" s="64" t="s">
        <v>56</v>
      </c>
      <c r="B21" s="101">
        <f>_xlfn.COMPOUNDVALUE(161)</f>
        <v>1219</v>
      </c>
      <c r="C21" s="102">
        <v>8817858</v>
      </c>
      <c r="D21" s="101">
        <f>_xlfn.COMPOUNDVALUE(162)</f>
        <v>892</v>
      </c>
      <c r="E21" s="102">
        <v>487269</v>
      </c>
      <c r="F21" s="101">
        <f>_xlfn.COMPOUNDVALUE(163)</f>
        <v>2111</v>
      </c>
      <c r="G21" s="102">
        <v>9305126</v>
      </c>
      <c r="H21" s="101">
        <f>_xlfn.COMPOUNDVALUE(164)</f>
        <v>133</v>
      </c>
      <c r="I21" s="103">
        <v>356706</v>
      </c>
      <c r="J21" s="101">
        <v>111</v>
      </c>
      <c r="K21" s="103">
        <v>-9674</v>
      </c>
      <c r="L21" s="101">
        <v>2271</v>
      </c>
      <c r="M21" s="103">
        <v>8938746</v>
      </c>
      <c r="N21" s="135">
        <v>2081</v>
      </c>
      <c r="O21" s="136">
        <v>69</v>
      </c>
      <c r="P21" s="136">
        <v>3</v>
      </c>
      <c r="Q21" s="137">
        <v>2153</v>
      </c>
      <c r="R21" s="65" t="s">
        <v>57</v>
      </c>
    </row>
    <row r="22" spans="1:18" ht="12.75">
      <c r="A22" s="64" t="s">
        <v>58</v>
      </c>
      <c r="B22" s="101">
        <f>_xlfn.COMPOUNDVALUE(165)</f>
        <v>2756</v>
      </c>
      <c r="C22" s="102">
        <v>21385954</v>
      </c>
      <c r="D22" s="101">
        <f>_xlfn.COMPOUNDVALUE(166)</f>
        <v>1865</v>
      </c>
      <c r="E22" s="102">
        <v>977538</v>
      </c>
      <c r="F22" s="101">
        <f>_xlfn.COMPOUNDVALUE(167)</f>
        <v>4621</v>
      </c>
      <c r="G22" s="102">
        <v>22363491</v>
      </c>
      <c r="H22" s="101">
        <f>_xlfn.COMPOUNDVALUE(168)</f>
        <v>345</v>
      </c>
      <c r="I22" s="103">
        <v>1629075</v>
      </c>
      <c r="J22" s="101">
        <v>271</v>
      </c>
      <c r="K22" s="103">
        <v>-165212</v>
      </c>
      <c r="L22" s="101">
        <v>5035</v>
      </c>
      <c r="M22" s="103">
        <v>20569205</v>
      </c>
      <c r="N22" s="135">
        <v>4540</v>
      </c>
      <c r="O22" s="136">
        <v>120</v>
      </c>
      <c r="P22" s="136">
        <v>12</v>
      </c>
      <c r="Q22" s="137">
        <v>4672</v>
      </c>
      <c r="R22" s="65" t="s">
        <v>59</v>
      </c>
    </row>
    <row r="23" spans="1:18" ht="12.75">
      <c r="A23" s="64" t="s">
        <v>60</v>
      </c>
      <c r="B23" s="101">
        <f>_xlfn.COMPOUNDVALUE(169)</f>
        <v>730</v>
      </c>
      <c r="C23" s="102">
        <v>3346798</v>
      </c>
      <c r="D23" s="101">
        <f>_xlfn.COMPOUNDVALUE(170)</f>
        <v>466</v>
      </c>
      <c r="E23" s="102">
        <v>237888</v>
      </c>
      <c r="F23" s="101">
        <f>_xlfn.COMPOUNDVALUE(171)</f>
        <v>1196</v>
      </c>
      <c r="G23" s="102">
        <v>3584686</v>
      </c>
      <c r="H23" s="101">
        <f>_xlfn.COMPOUNDVALUE(172)</f>
        <v>57</v>
      </c>
      <c r="I23" s="103">
        <v>100885</v>
      </c>
      <c r="J23" s="101">
        <v>80</v>
      </c>
      <c r="K23" s="103">
        <v>20803</v>
      </c>
      <c r="L23" s="101">
        <v>1270</v>
      </c>
      <c r="M23" s="103">
        <v>3504603</v>
      </c>
      <c r="N23" s="135">
        <v>1286</v>
      </c>
      <c r="O23" s="136">
        <v>35</v>
      </c>
      <c r="P23" s="136">
        <v>5</v>
      </c>
      <c r="Q23" s="137">
        <v>1326</v>
      </c>
      <c r="R23" s="65" t="s">
        <v>61</v>
      </c>
    </row>
    <row r="24" spans="1:18" ht="12.75">
      <c r="A24" s="64" t="s">
        <v>62</v>
      </c>
      <c r="B24" s="101">
        <f>_xlfn.COMPOUNDVALUE(173)</f>
        <v>778</v>
      </c>
      <c r="C24" s="102">
        <v>3440661</v>
      </c>
      <c r="D24" s="101">
        <f>_xlfn.COMPOUNDVALUE(174)</f>
        <v>568</v>
      </c>
      <c r="E24" s="102">
        <v>305361</v>
      </c>
      <c r="F24" s="101">
        <f>_xlfn.COMPOUNDVALUE(175)</f>
        <v>1346</v>
      </c>
      <c r="G24" s="102">
        <v>3746021</v>
      </c>
      <c r="H24" s="101">
        <f>_xlfn.COMPOUNDVALUE(176)</f>
        <v>79</v>
      </c>
      <c r="I24" s="103">
        <v>172093</v>
      </c>
      <c r="J24" s="101">
        <v>61</v>
      </c>
      <c r="K24" s="103">
        <v>1373</v>
      </c>
      <c r="L24" s="101">
        <v>1436</v>
      </c>
      <c r="M24" s="103">
        <v>3575301</v>
      </c>
      <c r="N24" s="135">
        <v>1298</v>
      </c>
      <c r="O24" s="136">
        <v>33</v>
      </c>
      <c r="P24" s="155">
        <v>3</v>
      </c>
      <c r="Q24" s="137">
        <v>1334</v>
      </c>
      <c r="R24" s="65" t="s">
        <v>63</v>
      </c>
    </row>
    <row r="25" spans="1:18" ht="12.75">
      <c r="A25" s="64" t="s">
        <v>64</v>
      </c>
      <c r="B25" s="101">
        <f>_xlfn.COMPOUNDVALUE(177)</f>
        <v>1671</v>
      </c>
      <c r="C25" s="102">
        <v>11990583</v>
      </c>
      <c r="D25" s="101">
        <f>_xlfn.COMPOUNDVALUE(178)</f>
        <v>1055</v>
      </c>
      <c r="E25" s="102">
        <v>565170</v>
      </c>
      <c r="F25" s="101">
        <f>_xlfn.COMPOUNDVALUE(179)</f>
        <v>2726</v>
      </c>
      <c r="G25" s="102">
        <v>12555753</v>
      </c>
      <c r="H25" s="101">
        <f>_xlfn.COMPOUNDVALUE(180)</f>
        <v>257</v>
      </c>
      <c r="I25" s="103">
        <v>1519997</v>
      </c>
      <c r="J25" s="101">
        <v>147</v>
      </c>
      <c r="K25" s="103">
        <v>2348</v>
      </c>
      <c r="L25" s="101">
        <v>3015</v>
      </c>
      <c r="M25" s="103">
        <v>11038104</v>
      </c>
      <c r="N25" s="135">
        <v>2786</v>
      </c>
      <c r="O25" s="136">
        <v>99</v>
      </c>
      <c r="P25" s="136">
        <v>3</v>
      </c>
      <c r="Q25" s="137">
        <v>2888</v>
      </c>
      <c r="R25" s="65" t="s">
        <v>65</v>
      </c>
    </row>
    <row r="26" spans="1:18" ht="12.75">
      <c r="A26" s="66" t="s">
        <v>66</v>
      </c>
      <c r="B26" s="104">
        <v>12512</v>
      </c>
      <c r="C26" s="105">
        <v>92520543</v>
      </c>
      <c r="D26" s="104">
        <v>7969</v>
      </c>
      <c r="E26" s="105">
        <v>4366653</v>
      </c>
      <c r="F26" s="104">
        <v>20481</v>
      </c>
      <c r="G26" s="105">
        <v>96887196</v>
      </c>
      <c r="H26" s="104">
        <v>1366</v>
      </c>
      <c r="I26" s="106">
        <v>6468412</v>
      </c>
      <c r="J26" s="104">
        <v>1185</v>
      </c>
      <c r="K26" s="106">
        <v>-91277</v>
      </c>
      <c r="L26" s="104">
        <v>22122</v>
      </c>
      <c r="M26" s="106">
        <v>90327506</v>
      </c>
      <c r="N26" s="138">
        <v>20439</v>
      </c>
      <c r="O26" s="139">
        <v>599</v>
      </c>
      <c r="P26" s="139">
        <v>53</v>
      </c>
      <c r="Q26" s="140">
        <v>21091</v>
      </c>
      <c r="R26" s="67" t="s">
        <v>67</v>
      </c>
    </row>
    <row r="27" spans="1:18" ht="13.5" thickBot="1">
      <c r="A27" s="70"/>
      <c r="B27" s="110"/>
      <c r="C27" s="111"/>
      <c r="D27" s="110"/>
      <c r="E27" s="111"/>
      <c r="F27" s="112"/>
      <c r="G27" s="111"/>
      <c r="H27" s="112"/>
      <c r="I27" s="111"/>
      <c r="J27" s="112"/>
      <c r="K27" s="111"/>
      <c r="L27" s="112"/>
      <c r="M27" s="111"/>
      <c r="N27" s="144"/>
      <c r="O27" s="145"/>
      <c r="P27" s="145"/>
      <c r="Q27" s="146"/>
      <c r="R27" s="79" t="s">
        <v>90</v>
      </c>
    </row>
    <row r="28" spans="1:18" ht="13.5" thickBot="1" thickTop="1">
      <c r="A28" s="72" t="s">
        <v>69</v>
      </c>
      <c r="B28" s="113">
        <v>43724</v>
      </c>
      <c r="C28" s="114">
        <v>348917058</v>
      </c>
      <c r="D28" s="113">
        <v>28599</v>
      </c>
      <c r="E28" s="114">
        <v>15565349</v>
      </c>
      <c r="F28" s="113">
        <v>72323</v>
      </c>
      <c r="G28" s="114">
        <v>364482406</v>
      </c>
      <c r="H28" s="113">
        <v>5092</v>
      </c>
      <c r="I28" s="115">
        <v>29199878</v>
      </c>
      <c r="J28" s="113">
        <v>4067</v>
      </c>
      <c r="K28" s="115">
        <v>1278614</v>
      </c>
      <c r="L28" s="113">
        <v>78718</v>
      </c>
      <c r="M28" s="115">
        <v>336561142</v>
      </c>
      <c r="N28" s="147">
        <v>72387</v>
      </c>
      <c r="O28" s="148">
        <v>2499</v>
      </c>
      <c r="P28" s="148">
        <v>164</v>
      </c>
      <c r="Q28" s="149">
        <v>75050</v>
      </c>
      <c r="R28" s="80" t="s">
        <v>69</v>
      </c>
    </row>
    <row r="29" spans="1:18" ht="12.75">
      <c r="A29" s="189" t="s">
        <v>111</v>
      </c>
      <c r="B29" s="189"/>
      <c r="C29" s="189"/>
      <c r="D29" s="189"/>
      <c r="E29" s="189"/>
      <c r="F29" s="189"/>
      <c r="G29" s="189"/>
      <c r="H29" s="189"/>
      <c r="I29" s="189"/>
      <c r="J29" s="189"/>
      <c r="K29" s="97"/>
      <c r="L29" s="97"/>
      <c r="M29" s="97"/>
      <c r="N29" s="97"/>
      <c r="O29" s="97"/>
      <c r="P29" s="97"/>
      <c r="Q29" s="97"/>
      <c r="R29" s="97"/>
    </row>
  </sheetData>
  <sheetProtection/>
  <mergeCells count="16">
    <mergeCell ref="A29:J29"/>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1"/>
  <headerFooter>
    <oddFooter>&amp;R&amp;K01+000金沢国税局
消費税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2023-01-27T07:21:52Z</dcterms:created>
  <dcterms:modified xsi:type="dcterms:W3CDTF">2023-01-27T07:21:55Z</dcterms:modified>
  <cp:category/>
  <cp:version/>
  <cp:contentType/>
  <cp:contentStatus/>
</cp:coreProperties>
</file>