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calcMode="manual" fullCalcOnLoad="1"/>
</workbook>
</file>

<file path=xl/sharedStrings.xml><?xml version="1.0" encoding="utf-8"?>
<sst xmlns="http://schemas.openxmlformats.org/spreadsheetml/2006/main" count="309" uniqueCount="130">
  <si>
    <t>７　消　費　税</t>
  </si>
  <si>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</si>
  <si>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</si>
  <si>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</si>
  <si>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</si>
  <si>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</si>
  <si>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</si>
  <si>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</si>
  <si>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</si>
  <si>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</si>
  <si>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</si>
  <si>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</si>
  <si>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</si>
  <si>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</si>
  <si>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</si>
  <si>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</si>
  <si>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</si>
  <si>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</si>
  <si>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</si>
  <si>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</si>
  <si>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</si>
  <si>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</si>
  <si>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</si>
  <si>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</si>
  <si>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</si>
  <si>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</si>
  <si>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</si>
  <si>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</si>
  <si>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</si>
  <si>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</si>
  <si>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</si>
  <si>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</si>
  <si>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</si>
  <si>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</si>
  <si>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</si>
  <si>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</si>
  <si>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</si>
  <si>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</si>
  <si>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</si>
  <si>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</si>
  <si>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</si>
  <si>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</si>
  <si>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</si>
  <si>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</si>
  <si>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</si>
  <si>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</si>
  <si>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</si>
  <si>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</si>
  <si>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</si>
  <si>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</si>
  <si>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</si>
  <si>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</si>
  <si>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</si>
  <si>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</si>
  <si>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</si>
  <si>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</si>
  <si>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</si>
  <si>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</si>
  <si>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</si>
  <si>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</si>
  <si>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</si>
  <si>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</si>
  <si>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</si>
  <si>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</si>
  <si>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</si>
  <si>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</si>
  <si>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</si>
  <si>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</si>
  <si>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</si>
  <si>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</si>
  <si>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</si>
  <si>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</si>
  <si>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</si>
  <si>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</si>
  <si>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</si>
  <si>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</si>
  <si>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</si>
  <si>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</si>
  <si>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</si>
  <si>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</si>
  <si>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</si>
  <si>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</si>
  <si>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</si>
  <si>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</si>
  <si>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</si>
  <si>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</si>
  <si>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</si>
  <si>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</si>
  <si>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</si>
  <si>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</si>
  <si>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</si>
  <si>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</si>
  <si>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</si>
  <si>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</si>
  <si>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</si>
  <si>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調査対象等：</t>
  </si>
  <si>
    <t>税関分は含まない。</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</si>
  <si>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</si>
  <si>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</si>
  <si>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</si>
  <si>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</si>
  <si>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</si>
  <si>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</si>
  <si>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</si>
  <si>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</si>
  <si>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</si>
  <si>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</si>
  <si>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</si>
  <si>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</si>
  <si>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</si>
  <si>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</si>
  <si>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</si>
  <si>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</si>
  <si>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</si>
  <si>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</si>
  <si>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</si>
  <si>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</si>
  <si>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</si>
  <si>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平成27年度</t>
  </si>
  <si>
    <t>平成28年度</t>
  </si>
  <si>
    <t>平成29年度</t>
  </si>
  <si>
    <t>平成30年度</t>
  </si>
  <si>
    <t>令和元年度</t>
  </si>
  <si>
    <t>調査対象等：令和元年度末（令和２年３月31日現在）の届出件数を示している。</t>
  </si>
  <si>
    <t>（注）</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</si>
  <si>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</si>
  <si>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</si>
  <si>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個　人　事　業　者</t>
  </si>
  <si>
    <t>法　　　　　人</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</si>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</sst>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1">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color indexed="63"/>
      </left>
      <right style="hair"/>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1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0"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1"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2" fillId="0" borderId="35" xfId="0" applyFont="1" applyBorder="1" applyAlignment="1">
      <alignment horizontal="left" vertical="top" wrapText="1"/>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6"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7" xfId="61" applyFont="1" applyBorder="1" applyAlignment="1">
      <alignment horizontal="distributed" vertical="center" indent="1"/>
      <protection/>
    </xf>
    <xf numFmtId="0" fontId="2" fillId="0" borderId="38" xfId="61" applyFont="1" applyBorder="1" applyAlignment="1">
      <alignment horizontal="distributed" vertical="center" indent="1"/>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39"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0" xfId="61" applyFont="1" applyFill="1" applyBorder="1" applyAlignment="1">
      <alignment horizontal="right" vertical="top"/>
      <protection/>
    </xf>
    <xf numFmtId="0" fontId="7" fillId="35" borderId="34" xfId="61" applyFont="1" applyFill="1" applyBorder="1" applyAlignment="1">
      <alignment horizontal="distributed" vertical="top"/>
      <protection/>
    </xf>
    <xf numFmtId="0" fontId="2" fillId="36" borderId="41" xfId="61" applyFont="1" applyFill="1" applyBorder="1" applyAlignment="1">
      <alignment horizontal="distributed" vertical="center"/>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2" fillId="36" borderId="44" xfId="61" applyFont="1" applyFill="1" applyBorder="1" applyAlignment="1">
      <alignment horizontal="distributed" vertical="center"/>
      <protection/>
    </xf>
    <xf numFmtId="0" fontId="6"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8" fillId="0" borderId="47" xfId="61" applyFont="1" applyFill="1" applyBorder="1" applyAlignment="1">
      <alignment horizontal="distributed" vertical="center"/>
      <protection/>
    </xf>
    <xf numFmtId="0" fontId="8" fillId="0" borderId="48" xfId="61" applyFont="1" applyFill="1" applyBorder="1" applyAlignment="1">
      <alignment horizontal="center"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38" xfId="61" applyFont="1" applyBorder="1" applyAlignment="1">
      <alignment horizontal="center" vertical="center" wrapText="1"/>
      <protection/>
    </xf>
    <xf numFmtId="0" fontId="7" fillId="34" borderId="26" xfId="61" applyFont="1" applyFill="1" applyBorder="1" applyAlignment="1">
      <alignment horizontal="right" vertical="top"/>
      <protection/>
    </xf>
    <xf numFmtId="0" fontId="7" fillId="34" borderId="40" xfId="61" applyFont="1" applyFill="1" applyBorder="1" applyAlignment="1">
      <alignment horizontal="right" vertical="top"/>
      <protection/>
    </xf>
    <xf numFmtId="0" fontId="8" fillId="0" borderId="53" xfId="61" applyFont="1" applyFill="1" applyBorder="1" applyAlignment="1">
      <alignment horizontal="center" vertical="center"/>
      <protection/>
    </xf>
    <xf numFmtId="0" fontId="8" fillId="0" borderId="54" xfId="61" applyFont="1" applyFill="1" applyBorder="1" applyAlignment="1">
      <alignment horizontal="center" vertical="center"/>
      <protection/>
    </xf>
    <xf numFmtId="0" fontId="6" fillId="0" borderId="55" xfId="61" applyFont="1" applyBorder="1" applyAlignment="1">
      <alignment horizontal="center" vertical="center"/>
      <protection/>
    </xf>
    <xf numFmtId="0" fontId="2" fillId="36" borderId="56" xfId="61" applyFont="1" applyFill="1" applyBorder="1" applyAlignment="1">
      <alignment horizontal="distributed" vertical="center"/>
      <protection/>
    </xf>
    <xf numFmtId="3" fontId="2" fillId="34"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3" xfId="0" applyNumberFormat="1" applyFont="1" applyFill="1" applyBorder="1" applyAlignment="1">
      <alignmen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0" fontId="0" fillId="0" borderId="0" xfId="61" applyFont="1">
      <alignment/>
      <protection/>
    </xf>
    <xf numFmtId="177" fontId="2" fillId="34" borderId="30" xfId="61" applyNumberFormat="1" applyFont="1" applyFill="1" applyBorder="1" applyAlignment="1">
      <alignment horizontal="right" vertical="center"/>
      <protection/>
    </xf>
    <xf numFmtId="177" fontId="2" fillId="33" borderId="27" xfId="61" applyNumberFormat="1" applyFont="1" applyFill="1" applyBorder="1" applyAlignment="1">
      <alignment horizontal="right" vertical="center"/>
      <protection/>
    </xf>
    <xf numFmtId="177" fontId="2" fillId="33" borderId="67"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177" fontId="2" fillId="33" borderId="20" xfId="61" applyNumberFormat="1" applyFont="1" applyFill="1" applyBorder="1" applyAlignment="1">
      <alignment horizontal="right" vertical="center"/>
      <protection/>
    </xf>
    <xf numFmtId="177" fontId="2" fillId="33" borderId="69"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72" xfId="61" applyNumberFormat="1" applyFont="1" applyFill="1" applyBorder="1" applyAlignment="1">
      <alignment horizontal="right" vertical="center"/>
      <protection/>
    </xf>
    <xf numFmtId="177" fontId="8" fillId="0" borderId="73" xfId="61" applyNumberFormat="1" applyFont="1" applyFill="1" applyBorder="1" applyAlignment="1">
      <alignment horizontal="right" vertical="center"/>
      <protection/>
    </xf>
    <xf numFmtId="177" fontId="8" fillId="0" borderId="74" xfId="61" applyNumberFormat="1" applyFont="1" applyFill="1" applyBorder="1" applyAlignment="1">
      <alignment horizontal="right" vertical="center"/>
      <protection/>
    </xf>
    <xf numFmtId="177" fontId="8"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2" fillId="0"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3" borderId="65" xfId="61" applyNumberFormat="1" applyFont="1" applyFill="1" applyBorder="1" applyAlignment="1">
      <alignment horizontal="right" vertical="center"/>
      <protection/>
    </xf>
    <xf numFmtId="177" fontId="6" fillId="33" borderId="80" xfId="61" applyNumberFormat="1" applyFont="1" applyFill="1" applyBorder="1" applyAlignment="1">
      <alignment horizontal="right" vertical="center"/>
      <protection/>
    </xf>
    <xf numFmtId="3" fontId="2" fillId="34" borderId="81"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3" fontId="2" fillId="34" borderId="83" xfId="0" applyNumberFormat="1" applyFont="1" applyFill="1" applyBorder="1" applyAlignment="1">
      <alignment vertical="center"/>
    </xf>
    <xf numFmtId="3" fontId="2" fillId="34" borderId="84" xfId="0" applyNumberFormat="1" applyFont="1" applyFill="1" applyBorder="1" applyAlignment="1">
      <alignment vertical="center"/>
    </xf>
    <xf numFmtId="3" fontId="2" fillId="34" borderId="85" xfId="0" applyNumberFormat="1" applyFont="1" applyFill="1" applyBorder="1" applyAlignment="1">
      <alignment vertical="center"/>
    </xf>
    <xf numFmtId="3" fontId="2" fillId="34" borderId="52" xfId="0" applyNumberFormat="1" applyFont="1" applyFill="1" applyBorder="1" applyAlignment="1">
      <alignment vertical="center"/>
    </xf>
    <xf numFmtId="177" fontId="47" fillId="33" borderId="27" xfId="61" applyNumberFormat="1" applyFont="1" applyFill="1" applyBorder="1" applyAlignment="1">
      <alignment horizontal="right" vertical="center"/>
      <protection/>
    </xf>
    <xf numFmtId="177" fontId="47" fillId="34" borderId="30" xfId="61" applyNumberFormat="1" applyFont="1" applyFill="1" applyBorder="1" applyAlignment="1">
      <alignment horizontal="right" vertical="center"/>
      <protection/>
    </xf>
    <xf numFmtId="177" fontId="47" fillId="33" borderId="67" xfId="61" applyNumberFormat="1" applyFont="1" applyFill="1" applyBorder="1" applyAlignment="1">
      <alignment horizontal="right" vertical="center"/>
      <protection/>
    </xf>
    <xf numFmtId="177" fontId="47" fillId="33" borderId="20" xfId="61" applyNumberFormat="1" applyFont="1" applyFill="1" applyBorder="1" applyAlignment="1">
      <alignment horizontal="right" vertical="center"/>
      <protection/>
    </xf>
    <xf numFmtId="177" fontId="47" fillId="34" borderId="68" xfId="61" applyNumberFormat="1" applyFont="1" applyFill="1" applyBorder="1" applyAlignment="1">
      <alignment horizontal="right" vertical="center"/>
      <protection/>
    </xf>
    <xf numFmtId="177" fontId="47" fillId="33" borderId="69" xfId="61" applyNumberFormat="1" applyFont="1" applyFill="1" applyBorder="1" applyAlignment="1">
      <alignment horizontal="right" vertical="center"/>
      <protection/>
    </xf>
    <xf numFmtId="177" fontId="48" fillId="33" borderId="71" xfId="61" applyNumberFormat="1" applyFont="1" applyFill="1" applyBorder="1" applyAlignment="1">
      <alignment horizontal="right" vertical="center"/>
      <protection/>
    </xf>
    <xf numFmtId="177" fontId="48" fillId="34" borderId="70" xfId="61" applyNumberFormat="1" applyFont="1" applyFill="1" applyBorder="1" applyAlignment="1">
      <alignment horizontal="right" vertical="center"/>
      <protection/>
    </xf>
    <xf numFmtId="177" fontId="48" fillId="33" borderId="72" xfId="61" applyNumberFormat="1" applyFont="1" applyFill="1" applyBorder="1" applyAlignment="1">
      <alignment horizontal="right" vertical="center"/>
      <protection/>
    </xf>
    <xf numFmtId="177" fontId="49" fillId="0" borderId="74" xfId="61" applyNumberFormat="1" applyFont="1" applyFill="1" applyBorder="1" applyAlignment="1">
      <alignment horizontal="right" vertical="center"/>
      <protection/>
    </xf>
    <xf numFmtId="177" fontId="49" fillId="0" borderId="73" xfId="61" applyNumberFormat="1" applyFont="1" applyFill="1" applyBorder="1" applyAlignment="1">
      <alignment horizontal="right" vertical="center"/>
      <protection/>
    </xf>
    <xf numFmtId="177" fontId="49" fillId="0" borderId="75" xfId="61" applyNumberFormat="1" applyFont="1" applyFill="1" applyBorder="1" applyAlignment="1">
      <alignment horizontal="right" vertical="center"/>
      <protection/>
    </xf>
    <xf numFmtId="41" fontId="2" fillId="34" borderId="30" xfId="61" applyNumberFormat="1" applyFont="1" applyFill="1" applyBorder="1" applyAlignment="1">
      <alignment horizontal="right" vertical="center"/>
      <protection/>
    </xf>
    <xf numFmtId="41" fontId="2" fillId="34" borderId="57" xfId="61" applyNumberFormat="1" applyFont="1" applyFill="1" applyBorder="1" applyAlignment="1">
      <alignment horizontal="right" vertical="center"/>
      <protection/>
    </xf>
    <xf numFmtId="41" fontId="2" fillId="34" borderId="67" xfId="61" applyNumberFormat="1" applyFont="1" applyFill="1" applyBorder="1" applyAlignment="1">
      <alignment horizontal="right" vertical="center"/>
      <protection/>
    </xf>
    <xf numFmtId="41" fontId="6" fillId="34" borderId="70" xfId="61" applyNumberFormat="1" applyFont="1" applyFill="1" applyBorder="1" applyAlignment="1">
      <alignment horizontal="right" vertical="center"/>
      <protection/>
    </xf>
    <xf numFmtId="41" fontId="6" fillId="34" borderId="86" xfId="61" applyNumberFormat="1" applyFont="1" applyFill="1" applyBorder="1" applyAlignment="1">
      <alignment horizontal="right" vertical="center"/>
      <protection/>
    </xf>
    <xf numFmtId="41" fontId="6" fillId="34" borderId="72" xfId="61" applyNumberFormat="1" applyFont="1" applyFill="1" applyBorder="1" applyAlignment="1">
      <alignment horizontal="right" vertical="center"/>
      <protection/>
    </xf>
    <xf numFmtId="41" fontId="2" fillId="0" borderId="87" xfId="61" applyNumberFormat="1" applyFont="1" applyFill="1" applyBorder="1" applyAlignment="1">
      <alignment horizontal="right" vertical="center"/>
      <protection/>
    </xf>
    <xf numFmtId="41" fontId="2" fillId="0" borderId="88" xfId="61" applyNumberFormat="1" applyFont="1" applyFill="1" applyBorder="1" applyAlignment="1">
      <alignment horizontal="right" vertical="center"/>
      <protection/>
    </xf>
    <xf numFmtId="41" fontId="2" fillId="0" borderId="89" xfId="61" applyNumberFormat="1" applyFont="1" applyFill="1" applyBorder="1" applyAlignment="1">
      <alignment horizontal="right" vertical="center"/>
      <protection/>
    </xf>
    <xf numFmtId="41" fontId="50" fillId="34" borderId="57" xfId="61" applyNumberFormat="1" applyFont="1" applyFill="1" applyBorder="1" applyAlignment="1">
      <alignment horizontal="right" vertical="center"/>
      <protection/>
    </xf>
    <xf numFmtId="41" fontId="2" fillId="0" borderId="90" xfId="61" applyNumberFormat="1" applyFont="1" applyFill="1" applyBorder="1" applyAlignment="1">
      <alignment horizontal="right" vertical="center"/>
      <protection/>
    </xf>
    <xf numFmtId="41" fontId="2" fillId="0" borderId="91" xfId="61" applyNumberFormat="1" applyFont="1" applyFill="1" applyBorder="1" applyAlignment="1">
      <alignment horizontal="right" vertical="center"/>
      <protection/>
    </xf>
    <xf numFmtId="41" fontId="2" fillId="0" borderId="92" xfId="61" applyNumberFormat="1" applyFont="1" applyFill="1" applyBorder="1" applyAlignment="1">
      <alignment horizontal="right" vertical="center"/>
      <protection/>
    </xf>
    <xf numFmtId="41" fontId="6" fillId="34" borderId="93" xfId="61" applyNumberFormat="1" applyFont="1" applyFill="1" applyBorder="1" applyAlignment="1">
      <alignment horizontal="right" vertical="center"/>
      <protection/>
    </xf>
    <xf numFmtId="41" fontId="6" fillId="34" borderId="94" xfId="61" applyNumberFormat="1" applyFont="1" applyFill="1" applyBorder="1" applyAlignment="1">
      <alignment horizontal="right" vertical="center"/>
      <protection/>
    </xf>
    <xf numFmtId="41" fontId="6" fillId="34" borderId="95" xfId="61" applyNumberFormat="1" applyFont="1" applyFill="1" applyBorder="1" applyAlignment="1">
      <alignment horizontal="right" vertical="center"/>
      <protection/>
    </xf>
    <xf numFmtId="0" fontId="2" fillId="0" borderId="21" xfId="0" applyFont="1" applyBorder="1" applyAlignment="1">
      <alignment horizontal="distributed" vertical="center" wrapText="1"/>
    </xf>
    <xf numFmtId="3" fontId="2" fillId="34" borderId="96" xfId="0" applyNumberFormat="1" applyFont="1" applyFill="1" applyBorder="1" applyAlignment="1">
      <alignment horizontal="right" vertical="center"/>
    </xf>
    <xf numFmtId="3" fontId="2" fillId="34" borderId="96" xfId="0" applyNumberFormat="1" applyFont="1" applyFill="1" applyBorder="1" applyAlignment="1">
      <alignment vertical="center"/>
    </xf>
    <xf numFmtId="0" fontId="2" fillId="0" borderId="0" xfId="0" applyFont="1" applyAlignment="1">
      <alignment horizontal="right" vertical="top"/>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xf>
    <xf numFmtId="0" fontId="2" fillId="0" borderId="51" xfId="0" applyFont="1" applyBorder="1" applyAlignment="1">
      <alignment horizontal="distributed" vertical="center"/>
    </xf>
    <xf numFmtId="0" fontId="2" fillId="0" borderId="105" xfId="0" applyFont="1" applyBorder="1" applyAlignment="1">
      <alignment horizontal="distributed" vertical="center"/>
    </xf>
    <xf numFmtId="0" fontId="2" fillId="0" borderId="35"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35" xfId="0" applyFont="1" applyBorder="1" applyAlignment="1">
      <alignment horizontal="center" vertical="center"/>
    </xf>
    <xf numFmtId="0" fontId="2" fillId="0" borderId="111" xfId="0" applyFont="1" applyBorder="1" applyAlignment="1">
      <alignment horizontal="center" vertical="center"/>
    </xf>
    <xf numFmtId="0" fontId="2" fillId="0" borderId="103"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04" xfId="0" applyFont="1" applyBorder="1" applyAlignment="1">
      <alignment horizontal="center" vertical="center"/>
    </xf>
    <xf numFmtId="0" fontId="2" fillId="0" borderId="35"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06" xfId="61" applyFont="1" applyBorder="1" applyAlignment="1">
      <alignment horizontal="distributed" vertical="center"/>
      <protection/>
    </xf>
    <xf numFmtId="0" fontId="2" fillId="0" borderId="108" xfId="61" applyFont="1" applyBorder="1" applyAlignment="1">
      <alignment horizontal="distributed" vertical="center"/>
      <protection/>
    </xf>
    <xf numFmtId="0" fontId="2" fillId="0" borderId="114" xfId="61" applyFont="1" applyBorder="1" applyAlignment="1">
      <alignment horizontal="distributed" vertical="center"/>
      <protection/>
    </xf>
    <xf numFmtId="0" fontId="2" fillId="0" borderId="115" xfId="61" applyFont="1" applyBorder="1" applyAlignment="1">
      <alignment horizontal="center" vertical="center"/>
      <protection/>
    </xf>
    <xf numFmtId="0" fontId="2" fillId="0" borderId="116" xfId="61" applyFont="1" applyBorder="1" applyAlignment="1">
      <alignment horizontal="center" vertical="center"/>
      <protection/>
    </xf>
    <xf numFmtId="0" fontId="2" fillId="0" borderId="117"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116" xfId="61" applyFont="1" applyBorder="1" applyAlignment="1">
      <alignment horizontal="center" vertical="center" wrapText="1"/>
      <protection/>
    </xf>
    <xf numFmtId="0" fontId="2" fillId="0" borderId="36" xfId="61" applyFont="1" applyBorder="1" applyAlignment="1">
      <alignment horizontal="distributed" vertical="center" wrapText="1"/>
      <protection/>
    </xf>
    <xf numFmtId="0" fontId="2" fillId="0" borderId="120" xfId="61" applyFont="1" applyBorder="1" applyAlignment="1">
      <alignment horizontal="distributed" vertical="center" wrapText="1"/>
      <protection/>
    </xf>
    <xf numFmtId="0" fontId="2" fillId="0" borderId="121" xfId="61" applyFont="1" applyBorder="1" applyAlignment="1">
      <alignment horizontal="distributed" vertical="center" wrapText="1"/>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35" xfId="61" applyFont="1" applyBorder="1" applyAlignment="1">
      <alignment horizontal="left" vertical="center"/>
      <protection/>
    </xf>
    <xf numFmtId="0" fontId="2" fillId="0" borderId="124" xfId="61" applyFont="1" applyBorder="1" applyAlignment="1">
      <alignment horizontal="left"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distributed" vertical="center"/>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distributed" vertical="center"/>
      <protection/>
    </xf>
    <xf numFmtId="0" fontId="2" fillId="0" borderId="131" xfId="61" applyFont="1" applyBorder="1" applyAlignment="1">
      <alignment horizontal="distributed" vertical="center" wrapText="1"/>
      <protection/>
    </xf>
    <xf numFmtId="0" fontId="2" fillId="0" borderId="132" xfId="61" applyFont="1" applyBorder="1" applyAlignment="1">
      <alignment horizontal="distributed" vertical="center" wrapText="1"/>
      <protection/>
    </xf>
    <xf numFmtId="0" fontId="2" fillId="0" borderId="39" xfId="61" applyFont="1" applyBorder="1" applyAlignment="1">
      <alignment horizontal="center" vertical="center"/>
      <protection/>
    </xf>
    <xf numFmtId="0" fontId="2" fillId="0" borderId="115"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tabSelected="1" workbookViewId="0" topLeftCell="A1">
      <selection activeCell="B15" sqref="B15:H15"/>
    </sheetView>
  </sheetViews>
  <sheetFormatPr defaultColWidth="5.875" defaultRowHeight="13.5"/>
  <cols>
    <col min="1" max="1" width="10.625" style="1" customWidth="1"/>
    <col min="2" max="2" width="16.00390625" style="1" customWidth="1"/>
    <col min="3" max="3" width="9.125" style="1" customWidth="1"/>
    <col min="4" max="4" width="9.75390625" style="1" customWidth="1"/>
    <col min="5" max="5" width="9.125" style="1" customWidth="1"/>
    <col min="6" max="6" width="11.375" style="1" bestFit="1" customWidth="1"/>
    <col min="7" max="7" width="9.125" style="1" customWidth="1"/>
    <col min="8" max="8" width="11.375" style="1" bestFit="1" customWidth="1"/>
    <col min="9" max="16384" width="5.875" style="1" customWidth="1"/>
  </cols>
  <sheetData>
    <row r="1" spans="1:8" ht="15">
      <c r="A1" s="168" t="s">
        <v>0</v>
      </c>
      <c r="B1" s="168"/>
      <c r="C1" s="168"/>
      <c r="D1" s="168"/>
      <c r="E1" s="168"/>
      <c r="F1" s="168"/>
      <c r="G1" s="168"/>
      <c r="H1" s="168"/>
    </row>
    <row r="2" spans="1:8" ht="15">
      <c r="A2" s="44"/>
      <c r="B2" s="44"/>
      <c r="C2" s="44"/>
      <c r="D2" s="44"/>
      <c r="E2" s="44"/>
      <c r="F2" s="44"/>
      <c r="G2" s="44"/>
      <c r="H2" s="44"/>
    </row>
    <row r="3" spans="1:8" ht="12" thickBot="1">
      <c r="A3" s="169" t="s">
        <v>19</v>
      </c>
      <c r="B3" s="169"/>
      <c r="C3" s="169"/>
      <c r="D3" s="169"/>
      <c r="E3" s="169"/>
      <c r="F3" s="169"/>
      <c r="G3" s="169"/>
      <c r="H3" s="169"/>
    </row>
    <row r="4" spans="1:8" ht="24" customHeight="1">
      <c r="A4" s="170" t="s">
        <v>1</v>
      </c>
      <c r="B4" s="171"/>
      <c r="C4" s="156" t="s">
        <v>127</v>
      </c>
      <c r="D4" s="157"/>
      <c r="E4" s="156" t="s">
        <v>128</v>
      </c>
      <c r="F4" s="157"/>
      <c r="G4" s="156" t="s">
        <v>129</v>
      </c>
      <c r="H4" s="158"/>
    </row>
    <row r="5" spans="1:8" ht="24" customHeight="1">
      <c r="A5" s="172"/>
      <c r="B5" s="173"/>
      <c r="C5" s="155" t="s">
        <v>2</v>
      </c>
      <c r="D5" s="6" t="s">
        <v>3</v>
      </c>
      <c r="E5" s="155" t="s">
        <v>2</v>
      </c>
      <c r="F5" s="6" t="s">
        <v>3</v>
      </c>
      <c r="G5" s="155" t="s">
        <v>2</v>
      </c>
      <c r="H5" s="14" t="s">
        <v>3</v>
      </c>
    </row>
    <row r="6" spans="1:8" ht="12" customHeight="1">
      <c r="A6" s="31"/>
      <c r="B6" s="33"/>
      <c r="C6" s="27" t="s">
        <v>21</v>
      </c>
      <c r="D6" s="26" t="s">
        <v>20</v>
      </c>
      <c r="E6" s="27" t="s">
        <v>21</v>
      </c>
      <c r="F6" s="26" t="s">
        <v>20</v>
      </c>
      <c r="G6" s="27" t="s">
        <v>21</v>
      </c>
      <c r="H6" s="32" t="s">
        <v>20</v>
      </c>
    </row>
    <row r="7" spans="1:8" ht="30" customHeight="1">
      <c r="A7" s="159" t="s">
        <v>22</v>
      </c>
      <c r="B7" s="28" t="s">
        <v>13</v>
      </c>
      <c r="C7" s="82">
        <v>11617</v>
      </c>
      <c r="D7" s="29">
        <v>8501672</v>
      </c>
      <c r="E7" s="82">
        <v>32871</v>
      </c>
      <c r="F7" s="29">
        <v>301032127</v>
      </c>
      <c r="G7" s="82">
        <v>44488</v>
      </c>
      <c r="H7" s="30">
        <v>309533799</v>
      </c>
    </row>
    <row r="8" spans="1:8" ht="30" customHeight="1">
      <c r="A8" s="160"/>
      <c r="B8" s="18" t="s">
        <v>14</v>
      </c>
      <c r="C8" s="83">
        <v>17197</v>
      </c>
      <c r="D8" s="84">
        <v>7422173</v>
      </c>
      <c r="E8" s="83">
        <v>11989</v>
      </c>
      <c r="F8" s="84">
        <v>7568901</v>
      </c>
      <c r="G8" s="83">
        <v>29186</v>
      </c>
      <c r="H8" s="85">
        <v>14991074</v>
      </c>
    </row>
    <row r="9" spans="1:8" s="3" customFormat="1" ht="30" customHeight="1">
      <c r="A9" s="160"/>
      <c r="B9" s="19" t="s">
        <v>15</v>
      </c>
      <c r="C9" s="86">
        <v>28814</v>
      </c>
      <c r="D9" s="87">
        <v>15923844</v>
      </c>
      <c r="E9" s="86">
        <v>44860</v>
      </c>
      <c r="F9" s="87">
        <v>308601028</v>
      </c>
      <c r="G9" s="86">
        <v>73674</v>
      </c>
      <c r="H9" s="88">
        <v>324524873</v>
      </c>
    </row>
    <row r="10" spans="1:8" ht="30" customHeight="1">
      <c r="A10" s="161"/>
      <c r="B10" s="20" t="s">
        <v>16</v>
      </c>
      <c r="C10" s="89">
        <v>778</v>
      </c>
      <c r="D10" s="90">
        <v>573950</v>
      </c>
      <c r="E10" s="89">
        <v>3036</v>
      </c>
      <c r="F10" s="90">
        <v>26788696</v>
      </c>
      <c r="G10" s="89">
        <v>3814</v>
      </c>
      <c r="H10" s="91">
        <v>27362646</v>
      </c>
    </row>
    <row r="11" spans="1:8" ht="30" customHeight="1">
      <c r="A11" s="162" t="s">
        <v>23</v>
      </c>
      <c r="B11" s="45" t="s">
        <v>17</v>
      </c>
      <c r="C11" s="92">
        <v>2407</v>
      </c>
      <c r="D11" s="15">
        <v>547221</v>
      </c>
      <c r="E11" s="93">
        <v>2297</v>
      </c>
      <c r="F11" s="15">
        <v>716958</v>
      </c>
      <c r="G11" s="93">
        <v>4704</v>
      </c>
      <c r="H11" s="16">
        <v>1264179</v>
      </c>
    </row>
    <row r="12" spans="1:8" ht="30" customHeight="1">
      <c r="A12" s="163"/>
      <c r="B12" s="151" t="s">
        <v>18</v>
      </c>
      <c r="C12" s="152">
        <v>215</v>
      </c>
      <c r="D12" s="23">
        <v>30199</v>
      </c>
      <c r="E12" s="153">
        <v>314</v>
      </c>
      <c r="F12" s="23">
        <v>1538232</v>
      </c>
      <c r="G12" s="153">
        <v>529</v>
      </c>
      <c r="H12" s="24">
        <v>1568432</v>
      </c>
    </row>
    <row r="13" spans="1:8" ht="30" customHeight="1" thickBot="1">
      <c r="A13" s="164" t="s">
        <v>6</v>
      </c>
      <c r="B13" s="165"/>
      <c r="C13" s="94">
        <v>2094</v>
      </c>
      <c r="D13" s="95">
        <v>96977</v>
      </c>
      <c r="E13" s="94">
        <v>1710</v>
      </c>
      <c r="F13" s="95">
        <v>144522</v>
      </c>
      <c r="G13" s="94">
        <v>3804</v>
      </c>
      <c r="H13" s="96">
        <v>241500</v>
      </c>
    </row>
    <row r="14" spans="1:8" s="4" customFormat="1" ht="37.5" customHeight="1">
      <c r="A14" s="43" t="s">
        <v>95</v>
      </c>
      <c r="B14" s="166" t="s">
        <v>125</v>
      </c>
      <c r="C14" s="166"/>
      <c r="D14" s="166"/>
      <c r="E14" s="166"/>
      <c r="F14" s="166"/>
      <c r="G14" s="166"/>
      <c r="H14" s="166"/>
    </row>
    <row r="15" spans="2:8" ht="45" customHeight="1">
      <c r="B15" s="167" t="s">
        <v>126</v>
      </c>
      <c r="C15" s="167"/>
      <c r="D15" s="167"/>
      <c r="E15" s="167"/>
      <c r="F15" s="167"/>
      <c r="G15" s="167"/>
      <c r="H15" s="167"/>
    </row>
    <row r="16" spans="1:2" ht="14.25" customHeight="1">
      <c r="A16" s="154" t="s">
        <v>124</v>
      </c>
      <c r="B16" s="1" t="s">
        <v>96</v>
      </c>
    </row>
    <row r="17" ht="11.25">
      <c r="A17" s="48"/>
    </row>
  </sheetData>
  <sheetProtection/>
  <mergeCells count="11">
    <mergeCell ref="B14:H14"/>
    <mergeCell ref="B15:H15"/>
    <mergeCell ref="A1:H1"/>
    <mergeCell ref="A3:H3"/>
    <mergeCell ref="A4:B5"/>
    <mergeCell ref="C4:D4"/>
    <mergeCell ref="E4:F4"/>
    <mergeCell ref="G4:H4"/>
    <mergeCell ref="A7:A10"/>
    <mergeCell ref="A11:A12"/>
    <mergeCell ref="A13:B1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(R01)</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tabSelected="1" workbookViewId="0" topLeftCell="A1">
      <selection activeCell="B15" sqref="B15:H15"/>
    </sheetView>
  </sheetViews>
  <sheetFormatPr defaultColWidth="9.00390625" defaultRowHeight="13.5"/>
  <cols>
    <col min="1" max="1" width="10.625" style="47" customWidth="1"/>
    <col min="2" max="2" width="15.625" style="47" customWidth="1"/>
    <col min="3" max="3" width="8.625" style="47" customWidth="1"/>
    <col min="4" max="4" width="10.625" style="47" customWidth="1"/>
    <col min="5" max="5" width="8.625" style="47" customWidth="1"/>
    <col min="6" max="6" width="12.875" style="47" bestFit="1" customWidth="1"/>
    <col min="7" max="7" width="8.625" style="47" customWidth="1"/>
    <col min="8" max="8" width="12.875" style="47" bestFit="1" customWidth="1"/>
    <col min="9" max="16384" width="9.00390625" style="47" customWidth="1"/>
  </cols>
  <sheetData>
    <row r="1" s="1" customFormat="1" ht="12" thickBot="1">
      <c r="A1" s="1" t="s">
        <v>24</v>
      </c>
    </row>
    <row r="2" spans="1:8" s="1" customFormat="1" ht="15" customHeight="1">
      <c r="A2" s="170" t="s">
        <v>1</v>
      </c>
      <c r="B2" s="171"/>
      <c r="C2" s="174" t="s">
        <v>108</v>
      </c>
      <c r="D2" s="174"/>
      <c r="E2" s="174" t="s">
        <v>109</v>
      </c>
      <c r="F2" s="174"/>
      <c r="G2" s="175" t="s">
        <v>110</v>
      </c>
      <c r="H2" s="176"/>
    </row>
    <row r="3" spans="1:8" s="1" customFormat="1" ht="15" customHeight="1">
      <c r="A3" s="172"/>
      <c r="B3" s="173"/>
      <c r="C3" s="9" t="s">
        <v>111</v>
      </c>
      <c r="D3" s="6" t="s">
        <v>112</v>
      </c>
      <c r="E3" s="9" t="s">
        <v>111</v>
      </c>
      <c r="F3" s="7" t="s">
        <v>112</v>
      </c>
      <c r="G3" s="9" t="s">
        <v>111</v>
      </c>
      <c r="H3" s="8" t="s">
        <v>112</v>
      </c>
    </row>
    <row r="4" spans="1:8" s="10" customFormat="1" ht="15" customHeight="1">
      <c r="A4" s="35"/>
      <c r="B4" s="6"/>
      <c r="C4" s="36" t="s">
        <v>4</v>
      </c>
      <c r="D4" s="37" t="s">
        <v>5</v>
      </c>
      <c r="E4" s="36" t="s">
        <v>4</v>
      </c>
      <c r="F4" s="37" t="s">
        <v>5</v>
      </c>
      <c r="G4" s="36" t="s">
        <v>4</v>
      </c>
      <c r="H4" s="38" t="s">
        <v>5</v>
      </c>
    </row>
    <row r="5" spans="1:8" s="46" customFormat="1" ht="30" customHeight="1">
      <c r="A5" s="179" t="s">
        <v>118</v>
      </c>
      <c r="B5" s="28" t="s">
        <v>11</v>
      </c>
      <c r="C5" s="34">
        <v>31259</v>
      </c>
      <c r="D5" s="29">
        <v>16069693</v>
      </c>
      <c r="E5" s="34">
        <v>45221</v>
      </c>
      <c r="F5" s="29">
        <v>273245954</v>
      </c>
      <c r="G5" s="34">
        <v>76480</v>
      </c>
      <c r="H5" s="30">
        <v>289315647</v>
      </c>
    </row>
    <row r="6" spans="1:8" s="46" customFormat="1" ht="30" customHeight="1">
      <c r="A6" s="180"/>
      <c r="B6" s="20" t="s">
        <v>12</v>
      </c>
      <c r="C6" s="22">
        <v>793</v>
      </c>
      <c r="D6" s="23">
        <v>464040</v>
      </c>
      <c r="E6" s="22">
        <v>2564</v>
      </c>
      <c r="F6" s="23">
        <v>17450017</v>
      </c>
      <c r="G6" s="22">
        <v>3357</v>
      </c>
      <c r="H6" s="24">
        <v>17914056</v>
      </c>
    </row>
    <row r="7" spans="1:8" s="46" customFormat="1" ht="30" customHeight="1">
      <c r="A7" s="179" t="s">
        <v>119</v>
      </c>
      <c r="B7" s="17" t="s">
        <v>11</v>
      </c>
      <c r="C7" s="21">
        <v>31015</v>
      </c>
      <c r="D7" s="15">
        <v>16058452</v>
      </c>
      <c r="E7" s="21">
        <v>45371</v>
      </c>
      <c r="F7" s="15">
        <v>279162591</v>
      </c>
      <c r="G7" s="21">
        <v>76386</v>
      </c>
      <c r="H7" s="16">
        <v>295221042</v>
      </c>
    </row>
    <row r="8" spans="1:8" s="46" customFormat="1" ht="30" customHeight="1">
      <c r="A8" s="180"/>
      <c r="B8" s="20" t="s">
        <v>12</v>
      </c>
      <c r="C8" s="22">
        <v>727</v>
      </c>
      <c r="D8" s="23">
        <v>462986</v>
      </c>
      <c r="E8" s="22">
        <v>2607</v>
      </c>
      <c r="F8" s="23">
        <v>18831568</v>
      </c>
      <c r="G8" s="22">
        <v>3334</v>
      </c>
      <c r="H8" s="24">
        <v>19294554</v>
      </c>
    </row>
    <row r="9" spans="1:8" s="46" customFormat="1" ht="30" customHeight="1">
      <c r="A9" s="179" t="s">
        <v>120</v>
      </c>
      <c r="B9" s="17" t="s">
        <v>11</v>
      </c>
      <c r="C9" s="21">
        <v>30434</v>
      </c>
      <c r="D9" s="15">
        <v>15781037</v>
      </c>
      <c r="E9" s="21">
        <v>45189</v>
      </c>
      <c r="F9" s="15">
        <v>284589009</v>
      </c>
      <c r="G9" s="21">
        <v>75623</v>
      </c>
      <c r="H9" s="16">
        <v>300370046</v>
      </c>
    </row>
    <row r="10" spans="1:8" s="46" customFormat="1" ht="30" customHeight="1">
      <c r="A10" s="180"/>
      <c r="B10" s="20" t="s">
        <v>12</v>
      </c>
      <c r="C10" s="22">
        <v>792</v>
      </c>
      <c r="D10" s="23">
        <v>613265</v>
      </c>
      <c r="E10" s="22">
        <v>2767</v>
      </c>
      <c r="F10" s="23">
        <v>27853950</v>
      </c>
      <c r="G10" s="22">
        <v>3559</v>
      </c>
      <c r="H10" s="24">
        <v>28467215</v>
      </c>
    </row>
    <row r="11" spans="1:8" s="46" customFormat="1" ht="30" customHeight="1">
      <c r="A11" s="179" t="s">
        <v>121</v>
      </c>
      <c r="B11" s="17" t="s">
        <v>11</v>
      </c>
      <c r="C11" s="21">
        <v>29938</v>
      </c>
      <c r="D11" s="15">
        <v>15579404</v>
      </c>
      <c r="E11" s="21">
        <v>45117</v>
      </c>
      <c r="F11" s="15">
        <v>284243368</v>
      </c>
      <c r="G11" s="21">
        <v>75055</v>
      </c>
      <c r="H11" s="16">
        <v>299822772</v>
      </c>
    </row>
    <row r="12" spans="1:8" s="46" customFormat="1" ht="30" customHeight="1">
      <c r="A12" s="180"/>
      <c r="B12" s="20" t="s">
        <v>12</v>
      </c>
      <c r="C12" s="22">
        <v>879</v>
      </c>
      <c r="D12" s="23">
        <v>507545</v>
      </c>
      <c r="E12" s="22">
        <v>2870</v>
      </c>
      <c r="F12" s="23">
        <v>18680379</v>
      </c>
      <c r="G12" s="22">
        <v>3749</v>
      </c>
      <c r="H12" s="24">
        <v>19187924</v>
      </c>
    </row>
    <row r="13" spans="1:8" s="1" customFormat="1" ht="30" customHeight="1">
      <c r="A13" s="177" t="s">
        <v>122</v>
      </c>
      <c r="B13" s="17" t="s">
        <v>11</v>
      </c>
      <c r="C13" s="21">
        <v>28814</v>
      </c>
      <c r="D13" s="15">
        <v>15923844</v>
      </c>
      <c r="E13" s="21">
        <v>44860</v>
      </c>
      <c r="F13" s="15">
        <v>308601028</v>
      </c>
      <c r="G13" s="21">
        <v>73674</v>
      </c>
      <c r="H13" s="16">
        <v>324524873</v>
      </c>
    </row>
    <row r="14" spans="1:8" s="1" customFormat="1" ht="30" customHeight="1" thickBot="1">
      <c r="A14" s="178"/>
      <c r="B14" s="25" t="s">
        <v>12</v>
      </c>
      <c r="C14" s="116">
        <v>778</v>
      </c>
      <c r="D14" s="117">
        <v>573950</v>
      </c>
      <c r="E14" s="116">
        <v>3036</v>
      </c>
      <c r="F14" s="117">
        <v>26788696</v>
      </c>
      <c r="G14" s="116">
        <v>3814</v>
      </c>
      <c r="H14" s="118">
        <v>27362646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(R01)</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tabSelected="1" workbookViewId="0" topLeftCell="A1">
      <selection activeCell="B15" sqref="B15:H15"/>
    </sheetView>
  </sheetViews>
  <sheetFormatPr defaultColWidth="9.00390625" defaultRowHeight="13.5"/>
  <cols>
    <col min="1" max="2" width="18.625" style="47" customWidth="1"/>
    <col min="3" max="3" width="23.625" style="47" customWidth="1"/>
    <col min="4" max="4" width="18.625" style="47" customWidth="1"/>
    <col min="5" max="16384" width="9.00390625" style="47" customWidth="1"/>
  </cols>
  <sheetData>
    <row r="1" s="1" customFormat="1" ht="20.25" customHeight="1" thickBot="1">
      <c r="A1" s="1" t="s">
        <v>106</v>
      </c>
    </row>
    <row r="2" spans="1:4" s="4" customFormat="1" ht="19.5" customHeight="1">
      <c r="A2" s="11" t="s">
        <v>7</v>
      </c>
      <c r="B2" s="12" t="s">
        <v>8</v>
      </c>
      <c r="C2" s="13" t="s">
        <v>9</v>
      </c>
      <c r="D2" s="49" t="s">
        <v>107</v>
      </c>
    </row>
    <row r="3" spans="1:4" s="10" customFormat="1" ht="15" customHeight="1">
      <c r="A3" s="39" t="s">
        <v>4</v>
      </c>
      <c r="B3" s="40" t="s">
        <v>4</v>
      </c>
      <c r="C3" s="41" t="s">
        <v>4</v>
      </c>
      <c r="D3" s="42" t="s">
        <v>4</v>
      </c>
    </row>
    <row r="4" spans="1:9" s="4" customFormat="1" ht="30" customHeight="1" thickBot="1">
      <c r="A4" s="119">
        <v>75834</v>
      </c>
      <c r="B4" s="120">
        <v>2407</v>
      </c>
      <c r="C4" s="121">
        <v>170</v>
      </c>
      <c r="D4" s="122">
        <v>78411</v>
      </c>
      <c r="E4" s="5"/>
      <c r="G4" s="5"/>
      <c r="I4" s="5"/>
    </row>
    <row r="5" spans="1:4" s="4" customFormat="1" ht="15" customHeight="1">
      <c r="A5" s="181" t="s">
        <v>123</v>
      </c>
      <c r="B5" s="181"/>
      <c r="C5" s="181"/>
      <c r="D5" s="181"/>
    </row>
    <row r="6" spans="1:4" s="4" customFormat="1" ht="15" customHeight="1">
      <c r="A6" s="182" t="s">
        <v>10</v>
      </c>
      <c r="B6" s="182"/>
      <c r="C6" s="182"/>
      <c r="D6" s="182"/>
    </row>
  </sheetData>
  <sheetProtection/>
  <mergeCells count="2">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tabSelected="1" zoomScaleSheetLayoutView="100" workbookViewId="0" topLeftCell="A1">
      <selection activeCell="B15" sqref="B15:H15"/>
    </sheetView>
  </sheetViews>
  <sheetFormatPr defaultColWidth="9.00390625" defaultRowHeight="13.5"/>
  <cols>
    <col min="1" max="1" width="11.37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4" width="11.375" style="47" customWidth="1"/>
    <col min="15" max="16384" width="9.00390625" style="47" customWidth="1"/>
  </cols>
  <sheetData>
    <row r="1" spans="1:14" ht="13.5">
      <c r="A1" s="50" t="s">
        <v>116</v>
      </c>
      <c r="B1" s="50"/>
      <c r="C1" s="50"/>
      <c r="D1" s="50"/>
      <c r="E1" s="50"/>
      <c r="F1" s="50"/>
      <c r="G1" s="50"/>
      <c r="H1" s="50"/>
      <c r="I1" s="50"/>
      <c r="J1" s="50"/>
      <c r="K1" s="50"/>
      <c r="L1" s="51"/>
      <c r="M1" s="51"/>
      <c r="N1" s="97"/>
    </row>
    <row r="2" spans="1:14" ht="14.25" thickBot="1">
      <c r="A2" s="183" t="s">
        <v>25</v>
      </c>
      <c r="B2" s="183"/>
      <c r="C2" s="183"/>
      <c r="D2" s="183"/>
      <c r="E2" s="183"/>
      <c r="F2" s="183"/>
      <c r="G2" s="183"/>
      <c r="H2" s="51"/>
      <c r="I2" s="51"/>
      <c r="J2" s="51"/>
      <c r="K2" s="51"/>
      <c r="L2" s="51"/>
      <c r="M2" s="51"/>
      <c r="N2" s="51"/>
    </row>
    <row r="3" spans="1:14" ht="13.5">
      <c r="A3" s="184" t="s">
        <v>97</v>
      </c>
      <c r="B3" s="187" t="s">
        <v>98</v>
      </c>
      <c r="C3" s="187"/>
      <c r="D3" s="187"/>
      <c r="E3" s="187"/>
      <c r="F3" s="187"/>
      <c r="G3" s="187"/>
      <c r="H3" s="188" t="s">
        <v>12</v>
      </c>
      <c r="I3" s="189"/>
      <c r="J3" s="192" t="s">
        <v>28</v>
      </c>
      <c r="K3" s="189"/>
      <c r="L3" s="188" t="s">
        <v>29</v>
      </c>
      <c r="M3" s="189"/>
      <c r="N3" s="193" t="s">
        <v>30</v>
      </c>
    </row>
    <row r="4" spans="1:14" ht="13.5">
      <c r="A4" s="185"/>
      <c r="B4" s="196" t="s">
        <v>99</v>
      </c>
      <c r="C4" s="196"/>
      <c r="D4" s="190" t="s">
        <v>31</v>
      </c>
      <c r="E4" s="197"/>
      <c r="F4" s="190" t="s">
        <v>32</v>
      </c>
      <c r="G4" s="197"/>
      <c r="H4" s="190"/>
      <c r="I4" s="191"/>
      <c r="J4" s="190"/>
      <c r="K4" s="191"/>
      <c r="L4" s="190"/>
      <c r="M4" s="191"/>
      <c r="N4" s="194"/>
    </row>
    <row r="5" spans="1:14" ht="22.5">
      <c r="A5" s="186"/>
      <c r="B5" s="52" t="s">
        <v>100</v>
      </c>
      <c r="C5" s="53" t="s">
        <v>101</v>
      </c>
      <c r="D5" s="52" t="s">
        <v>100</v>
      </c>
      <c r="E5" s="53" t="s">
        <v>101</v>
      </c>
      <c r="F5" s="52" t="s">
        <v>100</v>
      </c>
      <c r="G5" s="54" t="s">
        <v>102</v>
      </c>
      <c r="H5" s="52" t="s">
        <v>100</v>
      </c>
      <c r="I5" s="55" t="s">
        <v>103</v>
      </c>
      <c r="J5" s="52" t="s">
        <v>100</v>
      </c>
      <c r="K5" s="55" t="s">
        <v>104</v>
      </c>
      <c r="L5" s="52" t="s">
        <v>100</v>
      </c>
      <c r="M5" s="56" t="s">
        <v>105</v>
      </c>
      <c r="N5" s="195"/>
    </row>
    <row r="6" spans="1:14" ht="13.5">
      <c r="A6" s="57"/>
      <c r="B6" s="58" t="s">
        <v>4</v>
      </c>
      <c r="C6" s="59" t="s">
        <v>5</v>
      </c>
      <c r="D6" s="58" t="s">
        <v>4</v>
      </c>
      <c r="E6" s="59" t="s">
        <v>5</v>
      </c>
      <c r="F6" s="58" t="s">
        <v>4</v>
      </c>
      <c r="G6" s="59" t="s">
        <v>5</v>
      </c>
      <c r="H6" s="58" t="s">
        <v>4</v>
      </c>
      <c r="I6" s="60" t="s">
        <v>5</v>
      </c>
      <c r="J6" s="58" t="s">
        <v>4</v>
      </c>
      <c r="K6" s="60" t="s">
        <v>5</v>
      </c>
      <c r="L6" s="58" t="s">
        <v>115</v>
      </c>
      <c r="M6" s="60" t="s">
        <v>5</v>
      </c>
      <c r="N6" s="61"/>
    </row>
    <row r="7" spans="1:14" ht="13.5">
      <c r="A7" s="62" t="s">
        <v>39</v>
      </c>
      <c r="B7" s="98">
        <f>_xlfn.COMPOUNDVALUE(1)</f>
        <v>1424</v>
      </c>
      <c r="C7" s="123">
        <v>1255476</v>
      </c>
      <c r="D7" s="124">
        <f>_xlfn.COMPOUNDVALUE(2)</f>
        <v>2160</v>
      </c>
      <c r="E7" s="123">
        <v>998475</v>
      </c>
      <c r="F7" s="124">
        <f>_xlfn.COMPOUNDVALUE(3)</f>
        <v>3584</v>
      </c>
      <c r="G7" s="123">
        <v>2253951</v>
      </c>
      <c r="H7" s="124">
        <f>_xlfn.COMPOUNDVALUE(4)</f>
        <v>101</v>
      </c>
      <c r="I7" s="125">
        <v>66206</v>
      </c>
      <c r="J7" s="98">
        <v>341</v>
      </c>
      <c r="K7" s="100">
        <v>67576</v>
      </c>
      <c r="L7" s="98">
        <v>3803</v>
      </c>
      <c r="M7" s="100">
        <v>2255321</v>
      </c>
      <c r="N7" s="81" t="s">
        <v>40</v>
      </c>
    </row>
    <row r="8" spans="1:14" ht="13.5">
      <c r="A8" s="64" t="s">
        <v>41</v>
      </c>
      <c r="B8" s="101">
        <f>_xlfn.COMPOUNDVALUE(5)</f>
        <v>1106</v>
      </c>
      <c r="C8" s="126">
        <v>854931</v>
      </c>
      <c r="D8" s="127">
        <f>_xlfn.COMPOUNDVALUE(6)</f>
        <v>1706</v>
      </c>
      <c r="E8" s="126">
        <v>738797</v>
      </c>
      <c r="F8" s="127">
        <f>_xlfn.COMPOUNDVALUE(7)</f>
        <v>2812</v>
      </c>
      <c r="G8" s="126">
        <v>1593728</v>
      </c>
      <c r="H8" s="127">
        <f>_xlfn.COMPOUNDVALUE(8)</f>
        <v>74</v>
      </c>
      <c r="I8" s="128">
        <v>57160</v>
      </c>
      <c r="J8" s="101">
        <v>180</v>
      </c>
      <c r="K8" s="103">
        <v>30295</v>
      </c>
      <c r="L8" s="101">
        <v>2942</v>
      </c>
      <c r="M8" s="103">
        <v>1566863</v>
      </c>
      <c r="N8" s="65" t="s">
        <v>42</v>
      </c>
    </row>
    <row r="9" spans="1:14" ht="13.5">
      <c r="A9" s="64" t="s">
        <v>43</v>
      </c>
      <c r="B9" s="101">
        <f>_xlfn.COMPOUNDVALUE(9)</f>
        <v>728</v>
      </c>
      <c r="C9" s="126">
        <v>517914</v>
      </c>
      <c r="D9" s="127">
        <f>_xlfn.COMPOUNDVALUE(10)</f>
        <v>1142</v>
      </c>
      <c r="E9" s="126">
        <v>472906</v>
      </c>
      <c r="F9" s="127">
        <f>_xlfn.COMPOUNDVALUE(11)</f>
        <v>1870</v>
      </c>
      <c r="G9" s="126">
        <v>990820</v>
      </c>
      <c r="H9" s="127">
        <f>_xlfn.COMPOUNDVALUE(12)</f>
        <v>52</v>
      </c>
      <c r="I9" s="128">
        <v>19272</v>
      </c>
      <c r="J9" s="101">
        <v>182</v>
      </c>
      <c r="K9" s="103">
        <v>29670</v>
      </c>
      <c r="L9" s="101">
        <v>1973</v>
      </c>
      <c r="M9" s="103">
        <v>1001218</v>
      </c>
      <c r="N9" s="65" t="s">
        <v>44</v>
      </c>
    </row>
    <row r="10" spans="1:14" ht="13.5">
      <c r="A10" s="64" t="s">
        <v>45</v>
      </c>
      <c r="B10" s="101">
        <f>_xlfn.COMPOUNDVALUE(13)</f>
        <v>458</v>
      </c>
      <c r="C10" s="126">
        <v>322881</v>
      </c>
      <c r="D10" s="127">
        <f>_xlfn.COMPOUNDVALUE(14)</f>
        <v>751</v>
      </c>
      <c r="E10" s="126">
        <v>306210</v>
      </c>
      <c r="F10" s="127">
        <f>_xlfn.COMPOUNDVALUE(15)</f>
        <v>1209</v>
      </c>
      <c r="G10" s="126">
        <v>629091</v>
      </c>
      <c r="H10" s="127">
        <f>_xlfn.COMPOUNDVALUE(16)</f>
        <v>35</v>
      </c>
      <c r="I10" s="128">
        <v>13569</v>
      </c>
      <c r="J10" s="101">
        <v>68</v>
      </c>
      <c r="K10" s="103">
        <v>12509</v>
      </c>
      <c r="L10" s="101">
        <v>1260</v>
      </c>
      <c r="M10" s="103">
        <v>628031</v>
      </c>
      <c r="N10" s="65" t="s">
        <v>46</v>
      </c>
    </row>
    <row r="11" spans="1:14" ht="13.5">
      <c r="A11" s="66" t="s">
        <v>47</v>
      </c>
      <c r="B11" s="104">
        <v>3716</v>
      </c>
      <c r="C11" s="129">
        <v>2951201</v>
      </c>
      <c r="D11" s="130">
        <v>5759</v>
      </c>
      <c r="E11" s="129">
        <v>2516387</v>
      </c>
      <c r="F11" s="130">
        <v>9475</v>
      </c>
      <c r="G11" s="129">
        <v>5467589</v>
      </c>
      <c r="H11" s="130">
        <v>262</v>
      </c>
      <c r="I11" s="131">
        <v>156206</v>
      </c>
      <c r="J11" s="104">
        <v>771</v>
      </c>
      <c r="K11" s="106">
        <v>140050</v>
      </c>
      <c r="L11" s="104">
        <v>9978</v>
      </c>
      <c r="M11" s="106">
        <v>5451433</v>
      </c>
      <c r="N11" s="67" t="s">
        <v>48</v>
      </c>
    </row>
    <row r="12" spans="1:14" ht="13.5">
      <c r="A12" s="68"/>
      <c r="B12" s="107"/>
      <c r="C12" s="132"/>
      <c r="D12" s="133"/>
      <c r="E12" s="132"/>
      <c r="F12" s="134"/>
      <c r="G12" s="132"/>
      <c r="H12" s="134"/>
      <c r="I12" s="132"/>
      <c r="J12" s="109"/>
      <c r="K12" s="108"/>
      <c r="L12" s="109"/>
      <c r="M12" s="108"/>
      <c r="N12" s="69"/>
    </row>
    <row r="13" spans="1:14" ht="13.5">
      <c r="A13" s="62" t="s">
        <v>49</v>
      </c>
      <c r="B13" s="98">
        <f>_xlfn.COMPOUNDVALUE(17)</f>
        <v>2264</v>
      </c>
      <c r="C13" s="123">
        <v>1597126</v>
      </c>
      <c r="D13" s="124">
        <f>_xlfn.COMPOUNDVALUE(18)</f>
        <v>3105</v>
      </c>
      <c r="E13" s="123">
        <v>1429253</v>
      </c>
      <c r="F13" s="124">
        <f>_xlfn.COMPOUNDVALUE(19)</f>
        <v>5369</v>
      </c>
      <c r="G13" s="123">
        <v>3026380</v>
      </c>
      <c r="H13" s="124">
        <f>_xlfn.COMPOUNDVALUE(20)</f>
        <v>119</v>
      </c>
      <c r="I13" s="125">
        <v>97664</v>
      </c>
      <c r="J13" s="98">
        <v>587</v>
      </c>
      <c r="K13" s="100">
        <v>159842</v>
      </c>
      <c r="L13" s="98">
        <v>5649</v>
      </c>
      <c r="M13" s="100">
        <v>3088557</v>
      </c>
      <c r="N13" s="63" t="s">
        <v>49</v>
      </c>
    </row>
    <row r="14" spans="1:14" ht="13.5">
      <c r="A14" s="64" t="s">
        <v>50</v>
      </c>
      <c r="B14" s="101">
        <f>_xlfn.COMPOUNDVALUE(21)</f>
        <v>435</v>
      </c>
      <c r="C14" s="126">
        <v>258254</v>
      </c>
      <c r="D14" s="127">
        <f>_xlfn.COMPOUNDVALUE(22)</f>
        <v>752</v>
      </c>
      <c r="E14" s="126">
        <v>297288</v>
      </c>
      <c r="F14" s="127">
        <f>_xlfn.COMPOUNDVALUE(23)</f>
        <v>1187</v>
      </c>
      <c r="G14" s="126">
        <v>555542</v>
      </c>
      <c r="H14" s="127">
        <f>_xlfn.COMPOUNDVALUE(24)</f>
        <v>33</v>
      </c>
      <c r="I14" s="128">
        <v>70330</v>
      </c>
      <c r="J14" s="101">
        <v>58</v>
      </c>
      <c r="K14" s="103">
        <v>8909</v>
      </c>
      <c r="L14" s="101">
        <v>1233</v>
      </c>
      <c r="M14" s="103">
        <v>494120</v>
      </c>
      <c r="N14" s="65" t="s">
        <v>50</v>
      </c>
    </row>
    <row r="15" spans="1:14" ht="13.5">
      <c r="A15" s="64" t="s">
        <v>51</v>
      </c>
      <c r="B15" s="101">
        <f>_xlfn.COMPOUNDVALUE(25)</f>
        <v>930</v>
      </c>
      <c r="C15" s="126">
        <v>868784</v>
      </c>
      <c r="D15" s="127">
        <f>_xlfn.COMPOUNDVALUE(26)</f>
        <v>1500</v>
      </c>
      <c r="E15" s="126">
        <v>612950</v>
      </c>
      <c r="F15" s="127">
        <f>_xlfn.COMPOUNDVALUE(27)</f>
        <v>2430</v>
      </c>
      <c r="G15" s="126">
        <v>1481734</v>
      </c>
      <c r="H15" s="127">
        <f>_xlfn.COMPOUNDVALUE(28)</f>
        <v>47</v>
      </c>
      <c r="I15" s="128">
        <v>25829</v>
      </c>
      <c r="J15" s="101">
        <v>230</v>
      </c>
      <c r="K15" s="103">
        <v>40068</v>
      </c>
      <c r="L15" s="101">
        <v>2536</v>
      </c>
      <c r="M15" s="103">
        <v>1495974</v>
      </c>
      <c r="N15" s="65" t="s">
        <v>51</v>
      </c>
    </row>
    <row r="16" spans="1:14" ht="13.5">
      <c r="A16" s="64" t="s">
        <v>52</v>
      </c>
      <c r="B16" s="101">
        <f>_xlfn.COMPOUNDVALUE(29)</f>
        <v>284</v>
      </c>
      <c r="C16" s="126">
        <v>206589</v>
      </c>
      <c r="D16" s="127">
        <f>_xlfn.COMPOUNDVALUE(30)</f>
        <v>557</v>
      </c>
      <c r="E16" s="126">
        <v>197247</v>
      </c>
      <c r="F16" s="127">
        <f>_xlfn.COMPOUNDVALUE(31)</f>
        <v>841</v>
      </c>
      <c r="G16" s="126">
        <v>403835</v>
      </c>
      <c r="H16" s="127">
        <f>_xlfn.COMPOUNDVALUE(32)</f>
        <v>20</v>
      </c>
      <c r="I16" s="128">
        <v>11523</v>
      </c>
      <c r="J16" s="101">
        <v>61</v>
      </c>
      <c r="K16" s="103">
        <v>4119</v>
      </c>
      <c r="L16" s="101">
        <v>875</v>
      </c>
      <c r="M16" s="103">
        <v>396432</v>
      </c>
      <c r="N16" s="65" t="s">
        <v>52</v>
      </c>
    </row>
    <row r="17" spans="1:14" ht="13.5">
      <c r="A17" s="64" t="s">
        <v>53</v>
      </c>
      <c r="B17" s="101">
        <f>_xlfn.COMPOUNDVALUE(33)</f>
        <v>586</v>
      </c>
      <c r="C17" s="126">
        <v>403148</v>
      </c>
      <c r="D17" s="127">
        <f>_xlfn.COMPOUNDVALUE(34)</f>
        <v>890</v>
      </c>
      <c r="E17" s="126">
        <v>372398</v>
      </c>
      <c r="F17" s="127">
        <f>_xlfn.COMPOUNDVALUE(35)</f>
        <v>1476</v>
      </c>
      <c r="G17" s="126">
        <v>775545</v>
      </c>
      <c r="H17" s="127">
        <f>_xlfn.COMPOUNDVALUE(36)</f>
        <v>46</v>
      </c>
      <c r="I17" s="128">
        <v>53217</v>
      </c>
      <c r="J17" s="101">
        <v>144</v>
      </c>
      <c r="K17" s="103">
        <v>27168</v>
      </c>
      <c r="L17" s="101">
        <v>1568</v>
      </c>
      <c r="M17" s="103">
        <v>749496</v>
      </c>
      <c r="N17" s="65" t="s">
        <v>53</v>
      </c>
    </row>
    <row r="18" spans="1:14" ht="13.5">
      <c r="A18" s="66" t="s">
        <v>54</v>
      </c>
      <c r="B18" s="104">
        <v>4499</v>
      </c>
      <c r="C18" s="129">
        <v>3333900</v>
      </c>
      <c r="D18" s="130">
        <v>6804</v>
      </c>
      <c r="E18" s="129">
        <v>2909136</v>
      </c>
      <c r="F18" s="130">
        <v>11303</v>
      </c>
      <c r="G18" s="129">
        <v>6243036</v>
      </c>
      <c r="H18" s="130">
        <v>265</v>
      </c>
      <c r="I18" s="131">
        <v>258562</v>
      </c>
      <c r="J18" s="104">
        <v>1080</v>
      </c>
      <c r="K18" s="106">
        <v>240106</v>
      </c>
      <c r="L18" s="104">
        <v>11861</v>
      </c>
      <c r="M18" s="106">
        <v>6224580</v>
      </c>
      <c r="N18" s="67" t="s">
        <v>54</v>
      </c>
    </row>
    <row r="19" spans="1:14" ht="13.5">
      <c r="A19" s="68"/>
      <c r="B19" s="107"/>
      <c r="C19" s="132"/>
      <c r="D19" s="133"/>
      <c r="E19" s="132"/>
      <c r="F19" s="134"/>
      <c r="G19" s="132"/>
      <c r="H19" s="134"/>
      <c r="I19" s="132"/>
      <c r="J19" s="109"/>
      <c r="K19" s="108"/>
      <c r="L19" s="109"/>
      <c r="M19" s="108"/>
      <c r="N19" s="69"/>
    </row>
    <row r="20" spans="1:14" ht="13.5">
      <c r="A20" s="62" t="s">
        <v>55</v>
      </c>
      <c r="B20" s="98">
        <f>_xlfn.COMPOUNDVALUE(37)</f>
        <v>1280</v>
      </c>
      <c r="C20" s="123">
        <v>860016</v>
      </c>
      <c r="D20" s="124">
        <f>_xlfn.COMPOUNDVALUE(38)</f>
        <v>1646</v>
      </c>
      <c r="E20" s="123">
        <v>742741</v>
      </c>
      <c r="F20" s="124">
        <f>_xlfn.COMPOUNDVALUE(39)</f>
        <v>2926</v>
      </c>
      <c r="G20" s="123">
        <v>1602756</v>
      </c>
      <c r="H20" s="124">
        <f>_xlfn.COMPOUNDVALUE(40)</f>
        <v>58</v>
      </c>
      <c r="I20" s="125">
        <v>48126</v>
      </c>
      <c r="J20" s="98">
        <v>350</v>
      </c>
      <c r="K20" s="100">
        <v>79407</v>
      </c>
      <c r="L20" s="98">
        <v>3107</v>
      </c>
      <c r="M20" s="100">
        <v>1634038</v>
      </c>
      <c r="N20" s="63" t="s">
        <v>56</v>
      </c>
    </row>
    <row r="21" spans="1:14" ht="13.5">
      <c r="A21" s="64" t="s">
        <v>57</v>
      </c>
      <c r="B21" s="101">
        <f>_xlfn.COMPOUNDVALUE(41)</f>
        <v>305</v>
      </c>
      <c r="C21" s="126">
        <v>198189</v>
      </c>
      <c r="D21" s="127">
        <f>_xlfn.COMPOUNDVALUE(42)</f>
        <v>525</v>
      </c>
      <c r="E21" s="126">
        <v>225835</v>
      </c>
      <c r="F21" s="127">
        <f>_xlfn.COMPOUNDVALUE(43)</f>
        <v>830</v>
      </c>
      <c r="G21" s="126">
        <v>424023</v>
      </c>
      <c r="H21" s="127">
        <f>_xlfn.COMPOUNDVALUE(44)</f>
        <v>26</v>
      </c>
      <c r="I21" s="128">
        <v>17483</v>
      </c>
      <c r="J21" s="101">
        <v>80</v>
      </c>
      <c r="K21" s="103">
        <v>14027</v>
      </c>
      <c r="L21" s="101">
        <v>887</v>
      </c>
      <c r="M21" s="103">
        <v>420568</v>
      </c>
      <c r="N21" s="65" t="s">
        <v>58</v>
      </c>
    </row>
    <row r="22" spans="1:14" ht="13.5">
      <c r="A22" s="64" t="s">
        <v>59</v>
      </c>
      <c r="B22" s="101">
        <f>_xlfn.COMPOUNDVALUE(45)</f>
        <v>879</v>
      </c>
      <c r="C22" s="126">
        <v>618028</v>
      </c>
      <c r="D22" s="127">
        <f>_xlfn.COMPOUNDVALUE(46)</f>
        <v>1174</v>
      </c>
      <c r="E22" s="126">
        <v>499480</v>
      </c>
      <c r="F22" s="127">
        <f>_xlfn.COMPOUNDVALUE(47)</f>
        <v>2053</v>
      </c>
      <c r="G22" s="126">
        <v>1117508</v>
      </c>
      <c r="H22" s="127">
        <f>_xlfn.COMPOUNDVALUE(48)</f>
        <v>75</v>
      </c>
      <c r="I22" s="128">
        <v>44984</v>
      </c>
      <c r="J22" s="101">
        <v>182</v>
      </c>
      <c r="K22" s="103">
        <v>20900</v>
      </c>
      <c r="L22" s="101">
        <v>2164</v>
      </c>
      <c r="M22" s="103">
        <v>1093424</v>
      </c>
      <c r="N22" s="65" t="s">
        <v>60</v>
      </c>
    </row>
    <row r="23" spans="1:14" ht="13.5">
      <c r="A23" s="64" t="s">
        <v>61</v>
      </c>
      <c r="B23" s="101">
        <f>_xlfn.COMPOUNDVALUE(49)</f>
        <v>217</v>
      </c>
      <c r="C23" s="126">
        <v>130155</v>
      </c>
      <c r="D23" s="127">
        <f>_xlfn.COMPOUNDVALUE(50)</f>
        <v>295</v>
      </c>
      <c r="E23" s="126">
        <v>118201</v>
      </c>
      <c r="F23" s="127">
        <f>_xlfn.COMPOUNDVALUE(51)</f>
        <v>512</v>
      </c>
      <c r="G23" s="126">
        <v>248356</v>
      </c>
      <c r="H23" s="127">
        <f>_xlfn.COMPOUNDVALUE(52)</f>
        <v>12</v>
      </c>
      <c r="I23" s="128">
        <v>6576</v>
      </c>
      <c r="J23" s="101">
        <v>19</v>
      </c>
      <c r="K23" s="103">
        <v>6077</v>
      </c>
      <c r="L23" s="101">
        <v>533</v>
      </c>
      <c r="M23" s="103">
        <v>247856</v>
      </c>
      <c r="N23" s="65" t="s">
        <v>62</v>
      </c>
    </row>
    <row r="24" spans="1:14" ht="13.5">
      <c r="A24" s="64" t="s">
        <v>63</v>
      </c>
      <c r="B24" s="101">
        <f>_xlfn.COMPOUNDVALUE(53)</f>
        <v>234</v>
      </c>
      <c r="C24" s="126">
        <v>126997</v>
      </c>
      <c r="D24" s="127">
        <f>_xlfn.COMPOUNDVALUE(54)</f>
        <v>348</v>
      </c>
      <c r="E24" s="126">
        <v>143317</v>
      </c>
      <c r="F24" s="127">
        <f>_xlfn.COMPOUNDVALUE(55)</f>
        <v>582</v>
      </c>
      <c r="G24" s="126">
        <v>270314</v>
      </c>
      <c r="H24" s="127">
        <f>_xlfn.COMPOUNDVALUE(56)</f>
        <v>20</v>
      </c>
      <c r="I24" s="128">
        <v>9092</v>
      </c>
      <c r="J24" s="101">
        <v>38</v>
      </c>
      <c r="K24" s="103">
        <v>4754</v>
      </c>
      <c r="L24" s="101">
        <v>614</v>
      </c>
      <c r="M24" s="103">
        <v>265976</v>
      </c>
      <c r="N24" s="65" t="s">
        <v>64</v>
      </c>
    </row>
    <row r="25" spans="1:14" ht="13.5">
      <c r="A25" s="64" t="s">
        <v>65</v>
      </c>
      <c r="B25" s="101">
        <f>_xlfn.COMPOUNDVALUE(57)</f>
        <v>487</v>
      </c>
      <c r="C25" s="126">
        <v>283186</v>
      </c>
      <c r="D25" s="127">
        <f>_xlfn.COMPOUNDVALUE(58)</f>
        <v>646</v>
      </c>
      <c r="E25" s="126">
        <v>267076</v>
      </c>
      <c r="F25" s="127">
        <f>_xlfn.COMPOUNDVALUE(59)</f>
        <v>1133</v>
      </c>
      <c r="G25" s="126">
        <v>550262</v>
      </c>
      <c r="H25" s="127">
        <f>_xlfn.COMPOUNDVALUE(60)</f>
        <v>60</v>
      </c>
      <c r="I25" s="128">
        <v>32921</v>
      </c>
      <c r="J25" s="101">
        <v>102</v>
      </c>
      <c r="K25" s="103">
        <v>11701</v>
      </c>
      <c r="L25" s="101">
        <v>1215</v>
      </c>
      <c r="M25" s="103">
        <v>529042</v>
      </c>
      <c r="N25" s="65" t="s">
        <v>66</v>
      </c>
    </row>
    <row r="26" spans="1:14" ht="13.5">
      <c r="A26" s="66" t="s">
        <v>67</v>
      </c>
      <c r="B26" s="104">
        <v>3402</v>
      </c>
      <c r="C26" s="129">
        <v>2216570</v>
      </c>
      <c r="D26" s="130">
        <v>4634</v>
      </c>
      <c r="E26" s="129">
        <v>1996649</v>
      </c>
      <c r="F26" s="130">
        <v>8036</v>
      </c>
      <c r="G26" s="129">
        <v>4213219</v>
      </c>
      <c r="H26" s="130">
        <v>251</v>
      </c>
      <c r="I26" s="131">
        <v>159181</v>
      </c>
      <c r="J26" s="104">
        <v>771</v>
      </c>
      <c r="K26" s="106">
        <v>136866</v>
      </c>
      <c r="L26" s="104">
        <v>8520</v>
      </c>
      <c r="M26" s="106">
        <v>4190904</v>
      </c>
      <c r="N26" s="67" t="s">
        <v>68</v>
      </c>
    </row>
    <row r="27" spans="1:14" ht="14.25" thickBot="1">
      <c r="A27" s="70"/>
      <c r="B27" s="110"/>
      <c r="C27" s="111"/>
      <c r="D27" s="110"/>
      <c r="E27" s="111"/>
      <c r="F27" s="112"/>
      <c r="G27" s="111"/>
      <c r="H27" s="112"/>
      <c r="I27" s="111"/>
      <c r="J27" s="112"/>
      <c r="K27" s="111"/>
      <c r="L27" s="112"/>
      <c r="M27" s="111"/>
      <c r="N27" s="71"/>
    </row>
    <row r="28" spans="1:14" ht="15" thickBot="1" thickTop="1">
      <c r="A28" s="72" t="s">
        <v>69</v>
      </c>
      <c r="B28" s="113">
        <v>11617</v>
      </c>
      <c r="C28" s="114">
        <v>8501672</v>
      </c>
      <c r="D28" s="113">
        <v>17197</v>
      </c>
      <c r="E28" s="114">
        <v>7422173</v>
      </c>
      <c r="F28" s="113">
        <v>28814</v>
      </c>
      <c r="G28" s="114">
        <v>15923844</v>
      </c>
      <c r="H28" s="113">
        <v>778</v>
      </c>
      <c r="I28" s="115">
        <v>573950</v>
      </c>
      <c r="J28" s="113">
        <v>2622</v>
      </c>
      <c r="K28" s="115">
        <v>517022</v>
      </c>
      <c r="L28" s="113">
        <v>30359</v>
      </c>
      <c r="M28" s="115">
        <v>15866916</v>
      </c>
      <c r="N28" s="73" t="s">
        <v>70</v>
      </c>
    </row>
    <row r="29" spans="1:14" ht="13.5">
      <c r="A29" s="198" t="s">
        <v>113</v>
      </c>
      <c r="B29" s="198"/>
      <c r="C29" s="198"/>
      <c r="D29" s="198"/>
      <c r="E29" s="198"/>
      <c r="F29" s="198"/>
      <c r="G29" s="198"/>
      <c r="H29" s="198"/>
      <c r="I29" s="198"/>
      <c r="J29" s="74"/>
      <c r="K29" s="74"/>
      <c r="L29" s="51"/>
      <c r="M29" s="51"/>
      <c r="N29" s="51"/>
    </row>
  </sheetData>
  <sheetProtection/>
  <mergeCells count="11">
    <mergeCell ref="N3:N5"/>
    <mergeCell ref="B4:C4"/>
    <mergeCell ref="D4:E4"/>
    <mergeCell ref="F4:G4"/>
    <mergeCell ref="A29:I29"/>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&amp;R&amp;K01+000金沢国税局
消費税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tabSelected="1" zoomScaleSheetLayoutView="100" workbookViewId="0" topLeftCell="A1">
      <selection activeCell="B15" sqref="B15:H15"/>
    </sheetView>
  </sheetViews>
  <sheetFormatPr defaultColWidth="9.00390625" defaultRowHeight="13.5"/>
  <cols>
    <col min="1" max="1" width="11.12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4" width="11.375" style="47" customWidth="1"/>
    <col min="15" max="16384" width="9.00390625" style="47" customWidth="1"/>
  </cols>
  <sheetData>
    <row r="1" spans="1:14" ht="13.5">
      <c r="A1" s="50" t="s">
        <v>117</v>
      </c>
      <c r="B1" s="50"/>
      <c r="C1" s="50"/>
      <c r="D1" s="50"/>
      <c r="E1" s="50"/>
      <c r="F1" s="50"/>
      <c r="G1" s="50"/>
      <c r="H1" s="50"/>
      <c r="I1" s="50"/>
      <c r="J1" s="50"/>
      <c r="K1" s="50"/>
      <c r="L1" s="51"/>
      <c r="M1" s="51"/>
      <c r="N1" s="97"/>
    </row>
    <row r="2" spans="1:14" ht="14.25" thickBot="1">
      <c r="A2" s="199" t="s">
        <v>71</v>
      </c>
      <c r="B2" s="199"/>
      <c r="C2" s="199"/>
      <c r="D2" s="199"/>
      <c r="E2" s="199"/>
      <c r="F2" s="199"/>
      <c r="G2" s="199"/>
      <c r="H2" s="199"/>
      <c r="I2" s="199"/>
      <c r="J2" s="74"/>
      <c r="K2" s="74"/>
      <c r="L2" s="51"/>
      <c r="M2" s="51"/>
      <c r="N2" s="97"/>
    </row>
    <row r="3" spans="1:14" ht="13.5">
      <c r="A3" s="184" t="s">
        <v>26</v>
      </c>
      <c r="B3" s="187" t="s">
        <v>27</v>
      </c>
      <c r="C3" s="187"/>
      <c r="D3" s="187"/>
      <c r="E3" s="187"/>
      <c r="F3" s="187"/>
      <c r="G3" s="187"/>
      <c r="H3" s="188" t="s">
        <v>12</v>
      </c>
      <c r="I3" s="189"/>
      <c r="J3" s="192" t="s">
        <v>28</v>
      </c>
      <c r="K3" s="189"/>
      <c r="L3" s="188" t="s">
        <v>29</v>
      </c>
      <c r="M3" s="189"/>
      <c r="N3" s="193" t="s">
        <v>72</v>
      </c>
    </row>
    <row r="4" spans="1:14" ht="13.5">
      <c r="A4" s="185"/>
      <c r="B4" s="190" t="s">
        <v>13</v>
      </c>
      <c r="C4" s="197"/>
      <c r="D4" s="190" t="s">
        <v>31</v>
      </c>
      <c r="E4" s="197"/>
      <c r="F4" s="190" t="s">
        <v>32</v>
      </c>
      <c r="G4" s="197"/>
      <c r="H4" s="190"/>
      <c r="I4" s="191"/>
      <c r="J4" s="190"/>
      <c r="K4" s="191"/>
      <c r="L4" s="190"/>
      <c r="M4" s="191"/>
      <c r="N4" s="194"/>
    </row>
    <row r="5" spans="1:14" ht="22.5">
      <c r="A5" s="186"/>
      <c r="B5" s="52" t="s">
        <v>33</v>
      </c>
      <c r="C5" s="53" t="s">
        <v>34</v>
      </c>
      <c r="D5" s="52" t="s">
        <v>33</v>
      </c>
      <c r="E5" s="53" t="s">
        <v>34</v>
      </c>
      <c r="F5" s="52" t="s">
        <v>33</v>
      </c>
      <c r="G5" s="54" t="s">
        <v>35</v>
      </c>
      <c r="H5" s="52" t="s">
        <v>33</v>
      </c>
      <c r="I5" s="55" t="s">
        <v>36</v>
      </c>
      <c r="J5" s="52" t="s">
        <v>33</v>
      </c>
      <c r="K5" s="55" t="s">
        <v>37</v>
      </c>
      <c r="L5" s="52" t="s">
        <v>33</v>
      </c>
      <c r="M5" s="56" t="s">
        <v>38</v>
      </c>
      <c r="N5" s="195"/>
    </row>
    <row r="6" spans="1:14" ht="13.5">
      <c r="A6" s="57"/>
      <c r="B6" s="58" t="s">
        <v>4</v>
      </c>
      <c r="C6" s="59" t="s">
        <v>5</v>
      </c>
      <c r="D6" s="58" t="s">
        <v>4</v>
      </c>
      <c r="E6" s="59" t="s">
        <v>5</v>
      </c>
      <c r="F6" s="58" t="s">
        <v>4</v>
      </c>
      <c r="G6" s="59" t="s">
        <v>5</v>
      </c>
      <c r="H6" s="58" t="s">
        <v>4</v>
      </c>
      <c r="I6" s="60" t="s">
        <v>5</v>
      </c>
      <c r="J6" s="58" t="s">
        <v>4</v>
      </c>
      <c r="K6" s="60" t="s">
        <v>5</v>
      </c>
      <c r="L6" s="58" t="s">
        <v>115</v>
      </c>
      <c r="M6" s="60" t="s">
        <v>5</v>
      </c>
      <c r="N6" s="61"/>
    </row>
    <row r="7" spans="1:14" ht="13.5">
      <c r="A7" s="62" t="s">
        <v>73</v>
      </c>
      <c r="B7" s="98">
        <f>_xlfn.COMPOUNDVALUE(61)</f>
        <v>4685</v>
      </c>
      <c r="C7" s="99">
        <v>63259129</v>
      </c>
      <c r="D7" s="98">
        <f>_xlfn.COMPOUNDVALUE(62)</f>
        <v>1620</v>
      </c>
      <c r="E7" s="99">
        <v>1054167</v>
      </c>
      <c r="F7" s="98">
        <f>_xlfn.COMPOUNDVALUE(63)</f>
        <v>6305</v>
      </c>
      <c r="G7" s="99">
        <v>64313296</v>
      </c>
      <c r="H7" s="98">
        <f>_xlfn.COMPOUNDVALUE(64)</f>
        <v>508</v>
      </c>
      <c r="I7" s="100">
        <v>4708712</v>
      </c>
      <c r="J7" s="98">
        <v>396</v>
      </c>
      <c r="K7" s="100">
        <v>203233</v>
      </c>
      <c r="L7" s="98">
        <v>6857</v>
      </c>
      <c r="M7" s="100">
        <v>59807817</v>
      </c>
      <c r="N7" s="81" t="s">
        <v>40</v>
      </c>
    </row>
    <row r="8" spans="1:14" ht="13.5">
      <c r="A8" s="64" t="s">
        <v>74</v>
      </c>
      <c r="B8" s="101">
        <f>_xlfn.COMPOUNDVALUE(65)</f>
        <v>3266</v>
      </c>
      <c r="C8" s="102">
        <v>31330506</v>
      </c>
      <c r="D8" s="101">
        <f>_xlfn.COMPOUNDVALUE(66)</f>
        <v>1125</v>
      </c>
      <c r="E8" s="102">
        <v>684139</v>
      </c>
      <c r="F8" s="101">
        <f>_xlfn.COMPOUNDVALUE(67)</f>
        <v>4391</v>
      </c>
      <c r="G8" s="102">
        <v>32014645</v>
      </c>
      <c r="H8" s="101">
        <f>_xlfn.COMPOUNDVALUE(68)</f>
        <v>524</v>
      </c>
      <c r="I8" s="103">
        <v>3071503</v>
      </c>
      <c r="J8" s="101">
        <v>212</v>
      </c>
      <c r="K8" s="103">
        <v>-948269</v>
      </c>
      <c r="L8" s="101">
        <v>4945</v>
      </c>
      <c r="M8" s="103">
        <v>27994873</v>
      </c>
      <c r="N8" s="65" t="s">
        <v>42</v>
      </c>
    </row>
    <row r="9" spans="1:14" ht="13.5">
      <c r="A9" s="64" t="s">
        <v>75</v>
      </c>
      <c r="B9" s="101">
        <f>_xlfn.COMPOUNDVALUE(69)</f>
        <v>1779</v>
      </c>
      <c r="C9" s="102">
        <v>13612234</v>
      </c>
      <c r="D9" s="101">
        <f>_xlfn.COMPOUNDVALUE(70)</f>
        <v>633</v>
      </c>
      <c r="E9" s="102">
        <v>387413</v>
      </c>
      <c r="F9" s="101">
        <f>_xlfn.COMPOUNDVALUE(71)</f>
        <v>2412</v>
      </c>
      <c r="G9" s="102">
        <v>13999646</v>
      </c>
      <c r="H9" s="101">
        <f>_xlfn.COMPOUNDVALUE(72)</f>
        <v>187</v>
      </c>
      <c r="I9" s="103">
        <v>1798332</v>
      </c>
      <c r="J9" s="101">
        <v>106</v>
      </c>
      <c r="K9" s="103">
        <v>-9563</v>
      </c>
      <c r="L9" s="101">
        <v>2603</v>
      </c>
      <c r="M9" s="103">
        <v>12191751</v>
      </c>
      <c r="N9" s="65" t="s">
        <v>44</v>
      </c>
    </row>
    <row r="10" spans="1:14" ht="13.5">
      <c r="A10" s="64" t="s">
        <v>76</v>
      </c>
      <c r="B10" s="101">
        <f>_xlfn.COMPOUNDVALUE(73)</f>
        <v>1316</v>
      </c>
      <c r="C10" s="102">
        <v>12064038</v>
      </c>
      <c r="D10" s="101">
        <f>_xlfn.COMPOUNDVALUE(74)</f>
        <v>440</v>
      </c>
      <c r="E10" s="102">
        <v>268803</v>
      </c>
      <c r="F10" s="101">
        <f>_xlfn.COMPOUNDVALUE(75)</f>
        <v>1756</v>
      </c>
      <c r="G10" s="102">
        <v>12332841</v>
      </c>
      <c r="H10" s="101">
        <f>_xlfn.COMPOUNDVALUE(76)</f>
        <v>188</v>
      </c>
      <c r="I10" s="103">
        <v>278090</v>
      </c>
      <c r="J10" s="101">
        <v>98</v>
      </c>
      <c r="K10" s="103">
        <v>30843</v>
      </c>
      <c r="L10" s="101">
        <v>1952</v>
      </c>
      <c r="M10" s="103">
        <v>12085594</v>
      </c>
      <c r="N10" s="65" t="s">
        <v>46</v>
      </c>
    </row>
    <row r="11" spans="1:14" ht="13.5">
      <c r="A11" s="66" t="s">
        <v>77</v>
      </c>
      <c r="B11" s="104">
        <v>11046</v>
      </c>
      <c r="C11" s="105">
        <v>120265907</v>
      </c>
      <c r="D11" s="104">
        <v>3818</v>
      </c>
      <c r="E11" s="105">
        <v>2394522</v>
      </c>
      <c r="F11" s="104">
        <v>14864</v>
      </c>
      <c r="G11" s="105">
        <v>122660428</v>
      </c>
      <c r="H11" s="104">
        <v>1407</v>
      </c>
      <c r="I11" s="106">
        <v>9856637</v>
      </c>
      <c r="J11" s="104">
        <v>812</v>
      </c>
      <c r="K11" s="106">
        <v>-723756</v>
      </c>
      <c r="L11" s="104">
        <v>16357</v>
      </c>
      <c r="M11" s="106">
        <v>112080035</v>
      </c>
      <c r="N11" s="67" t="s">
        <v>48</v>
      </c>
    </row>
    <row r="12" spans="1:14" ht="13.5">
      <c r="A12" s="68"/>
      <c r="B12" s="107"/>
      <c r="C12" s="108"/>
      <c r="D12" s="107"/>
      <c r="E12" s="108"/>
      <c r="F12" s="109"/>
      <c r="G12" s="108"/>
      <c r="H12" s="109"/>
      <c r="I12" s="108"/>
      <c r="J12" s="109"/>
      <c r="K12" s="108"/>
      <c r="L12" s="109"/>
      <c r="M12" s="108"/>
      <c r="N12" s="69"/>
    </row>
    <row r="13" spans="1:14" ht="13.5">
      <c r="A13" s="62" t="s">
        <v>49</v>
      </c>
      <c r="B13" s="98">
        <f>_xlfn.COMPOUNDVALUE(77)</f>
        <v>6822</v>
      </c>
      <c r="C13" s="99">
        <v>62762327</v>
      </c>
      <c r="D13" s="98">
        <f>_xlfn.COMPOUNDVALUE(78)</f>
        <v>2511</v>
      </c>
      <c r="E13" s="99">
        <v>1599197</v>
      </c>
      <c r="F13" s="98">
        <f>_xlfn.COMPOUNDVALUE(79)</f>
        <v>9333</v>
      </c>
      <c r="G13" s="99">
        <v>64361525</v>
      </c>
      <c r="H13" s="98">
        <f>_xlfn.COMPOUNDVALUE(80)</f>
        <v>467</v>
      </c>
      <c r="I13" s="100">
        <v>4482033</v>
      </c>
      <c r="J13" s="98">
        <v>563</v>
      </c>
      <c r="K13" s="100">
        <v>108774</v>
      </c>
      <c r="L13" s="98">
        <v>9843</v>
      </c>
      <c r="M13" s="100">
        <v>59988265</v>
      </c>
      <c r="N13" s="63" t="s">
        <v>49</v>
      </c>
    </row>
    <row r="14" spans="1:14" ht="13.5">
      <c r="A14" s="64" t="s">
        <v>50</v>
      </c>
      <c r="B14" s="101">
        <f>_xlfn.COMPOUNDVALUE(81)</f>
        <v>1155</v>
      </c>
      <c r="C14" s="102">
        <v>7056809</v>
      </c>
      <c r="D14" s="101">
        <f>_xlfn.COMPOUNDVALUE(82)</f>
        <v>499</v>
      </c>
      <c r="E14" s="102">
        <v>303663</v>
      </c>
      <c r="F14" s="101">
        <f>_xlfn.COMPOUNDVALUE(83)</f>
        <v>1654</v>
      </c>
      <c r="G14" s="102">
        <v>7360473</v>
      </c>
      <c r="H14" s="101">
        <f>_xlfn.COMPOUNDVALUE(84)</f>
        <v>70</v>
      </c>
      <c r="I14" s="103">
        <v>316490</v>
      </c>
      <c r="J14" s="101">
        <v>65</v>
      </c>
      <c r="K14" s="103">
        <v>5865</v>
      </c>
      <c r="L14" s="101">
        <v>1730</v>
      </c>
      <c r="M14" s="103">
        <v>7049847</v>
      </c>
      <c r="N14" s="65" t="s">
        <v>50</v>
      </c>
    </row>
    <row r="15" spans="1:14" ht="13.5">
      <c r="A15" s="64" t="s">
        <v>51</v>
      </c>
      <c r="B15" s="101">
        <f>_xlfn.COMPOUNDVALUE(85)</f>
        <v>2398</v>
      </c>
      <c r="C15" s="102">
        <v>18552175</v>
      </c>
      <c r="D15" s="101">
        <f>_xlfn.COMPOUNDVALUE(86)</f>
        <v>952</v>
      </c>
      <c r="E15" s="102">
        <v>591615</v>
      </c>
      <c r="F15" s="101">
        <f>_xlfn.COMPOUNDVALUE(87)</f>
        <v>3350</v>
      </c>
      <c r="G15" s="102">
        <v>19143790</v>
      </c>
      <c r="H15" s="101">
        <f>_xlfn.COMPOUNDVALUE(88)</f>
        <v>138</v>
      </c>
      <c r="I15" s="103">
        <v>750412</v>
      </c>
      <c r="J15" s="101">
        <v>149</v>
      </c>
      <c r="K15" s="103">
        <v>21421</v>
      </c>
      <c r="L15" s="101">
        <v>3496</v>
      </c>
      <c r="M15" s="103">
        <v>18414798</v>
      </c>
      <c r="N15" s="65" t="s">
        <v>51</v>
      </c>
    </row>
    <row r="16" spans="1:14" ht="13.5">
      <c r="A16" s="64" t="s">
        <v>52</v>
      </c>
      <c r="B16" s="101">
        <f>_xlfn.COMPOUNDVALUE(89)</f>
        <v>580</v>
      </c>
      <c r="C16" s="102">
        <v>2168097</v>
      </c>
      <c r="D16" s="101">
        <f>_xlfn.COMPOUNDVALUE(90)</f>
        <v>222</v>
      </c>
      <c r="E16" s="102">
        <v>131513</v>
      </c>
      <c r="F16" s="101">
        <f>_xlfn.COMPOUNDVALUE(91)</f>
        <v>802</v>
      </c>
      <c r="G16" s="102">
        <v>2299610</v>
      </c>
      <c r="H16" s="101">
        <f>_xlfn.COMPOUNDVALUE(92)</f>
        <v>29</v>
      </c>
      <c r="I16" s="103">
        <v>123361</v>
      </c>
      <c r="J16" s="101">
        <v>25</v>
      </c>
      <c r="K16" s="103">
        <v>10127</v>
      </c>
      <c r="L16" s="101">
        <v>842</v>
      </c>
      <c r="M16" s="103">
        <v>2186375</v>
      </c>
      <c r="N16" s="65" t="s">
        <v>52</v>
      </c>
    </row>
    <row r="17" spans="1:14" ht="13.5">
      <c r="A17" s="64" t="s">
        <v>53</v>
      </c>
      <c r="B17" s="101">
        <f>_xlfn.COMPOUNDVALUE(93)</f>
        <v>1586</v>
      </c>
      <c r="C17" s="102">
        <v>18363620</v>
      </c>
      <c r="D17" s="101">
        <f>_xlfn.COMPOUNDVALUE(94)</f>
        <v>587</v>
      </c>
      <c r="E17" s="102">
        <v>354646</v>
      </c>
      <c r="F17" s="101">
        <f>_xlfn.COMPOUNDVALUE(95)</f>
        <v>2173</v>
      </c>
      <c r="G17" s="102">
        <v>18718265</v>
      </c>
      <c r="H17" s="101">
        <f>_xlfn.COMPOUNDVALUE(96)</f>
        <v>98</v>
      </c>
      <c r="I17" s="103">
        <v>1293916</v>
      </c>
      <c r="J17" s="101">
        <v>148</v>
      </c>
      <c r="K17" s="103">
        <v>35740</v>
      </c>
      <c r="L17" s="101">
        <v>2290</v>
      </c>
      <c r="M17" s="103">
        <v>17460089</v>
      </c>
      <c r="N17" s="65" t="s">
        <v>53</v>
      </c>
    </row>
    <row r="18" spans="1:14" ht="13.5">
      <c r="A18" s="66" t="s">
        <v>54</v>
      </c>
      <c r="B18" s="104">
        <v>12541</v>
      </c>
      <c r="C18" s="105">
        <v>108903028</v>
      </c>
      <c r="D18" s="104">
        <v>4771</v>
      </c>
      <c r="E18" s="105">
        <v>2980635</v>
      </c>
      <c r="F18" s="104">
        <v>17312</v>
      </c>
      <c r="G18" s="105">
        <v>111883662</v>
      </c>
      <c r="H18" s="104">
        <v>802</v>
      </c>
      <c r="I18" s="106">
        <v>6966213</v>
      </c>
      <c r="J18" s="104">
        <v>950</v>
      </c>
      <c r="K18" s="106">
        <v>181926</v>
      </c>
      <c r="L18" s="104">
        <v>18201</v>
      </c>
      <c r="M18" s="106">
        <v>105099375</v>
      </c>
      <c r="N18" s="67" t="s">
        <v>54</v>
      </c>
    </row>
    <row r="19" spans="1:14" ht="13.5">
      <c r="A19" s="68"/>
      <c r="B19" s="107"/>
      <c r="C19" s="108"/>
      <c r="D19" s="107"/>
      <c r="E19" s="108"/>
      <c r="F19" s="109"/>
      <c r="G19" s="108"/>
      <c r="H19" s="109"/>
      <c r="I19" s="108"/>
      <c r="J19" s="109"/>
      <c r="K19" s="108"/>
      <c r="L19" s="109"/>
      <c r="M19" s="108"/>
      <c r="N19" s="69"/>
    </row>
    <row r="20" spans="1:14" ht="13.5">
      <c r="A20" s="62" t="s">
        <v>78</v>
      </c>
      <c r="B20" s="98">
        <f>_xlfn.COMPOUNDVALUE(97)</f>
        <v>4138</v>
      </c>
      <c r="C20" s="99">
        <v>33457847</v>
      </c>
      <c r="D20" s="98">
        <f>_xlfn.COMPOUNDVALUE(98)</f>
        <v>1426</v>
      </c>
      <c r="E20" s="99">
        <v>930921</v>
      </c>
      <c r="F20" s="98">
        <f>_xlfn.COMPOUNDVALUE(99)</f>
        <v>5564</v>
      </c>
      <c r="G20" s="99">
        <v>34388768</v>
      </c>
      <c r="H20" s="98">
        <f>_xlfn.COMPOUNDVALUE(100)</f>
        <v>340</v>
      </c>
      <c r="I20" s="100">
        <v>6989416</v>
      </c>
      <c r="J20" s="98">
        <v>413</v>
      </c>
      <c r="K20" s="100">
        <v>42749</v>
      </c>
      <c r="L20" s="98">
        <v>5946</v>
      </c>
      <c r="M20" s="100">
        <v>27442101</v>
      </c>
      <c r="N20" s="63" t="s">
        <v>56</v>
      </c>
    </row>
    <row r="21" spans="1:14" ht="13.5">
      <c r="A21" s="64" t="s">
        <v>79</v>
      </c>
      <c r="B21" s="101">
        <f>_xlfn.COMPOUNDVALUE(101)</f>
        <v>937</v>
      </c>
      <c r="C21" s="102">
        <v>5974208</v>
      </c>
      <c r="D21" s="101">
        <f>_xlfn.COMPOUNDVALUE(102)</f>
        <v>388</v>
      </c>
      <c r="E21" s="102">
        <v>269091</v>
      </c>
      <c r="F21" s="101">
        <f>_xlfn.COMPOUNDVALUE(103)</f>
        <v>1325</v>
      </c>
      <c r="G21" s="102">
        <v>6243299</v>
      </c>
      <c r="H21" s="101">
        <f>_xlfn.COMPOUNDVALUE(104)</f>
        <v>62</v>
      </c>
      <c r="I21" s="103">
        <v>333803</v>
      </c>
      <c r="J21" s="101">
        <v>70</v>
      </c>
      <c r="K21" s="103">
        <v>-332445</v>
      </c>
      <c r="L21" s="101">
        <v>1392</v>
      </c>
      <c r="M21" s="103">
        <v>5577051</v>
      </c>
      <c r="N21" s="65" t="s">
        <v>58</v>
      </c>
    </row>
    <row r="22" spans="1:14" ht="13.5">
      <c r="A22" s="64" t="s">
        <v>80</v>
      </c>
      <c r="B22" s="101">
        <f>_xlfn.COMPOUNDVALUE(105)</f>
        <v>1912</v>
      </c>
      <c r="C22" s="102">
        <v>17114882</v>
      </c>
      <c r="D22" s="101">
        <f>_xlfn.COMPOUNDVALUE(106)</f>
        <v>717</v>
      </c>
      <c r="E22" s="102">
        <v>409852</v>
      </c>
      <c r="F22" s="101">
        <f>_xlfn.COMPOUNDVALUE(107)</f>
        <v>2629</v>
      </c>
      <c r="G22" s="102">
        <v>17524735</v>
      </c>
      <c r="H22" s="101">
        <f>_xlfn.COMPOUNDVALUE(108)</f>
        <v>239</v>
      </c>
      <c r="I22" s="103">
        <v>1670008</v>
      </c>
      <c r="J22" s="101">
        <v>180</v>
      </c>
      <c r="K22" s="103">
        <v>-6661</v>
      </c>
      <c r="L22" s="101">
        <v>2889</v>
      </c>
      <c r="M22" s="103">
        <v>15848066</v>
      </c>
      <c r="N22" s="65" t="s">
        <v>60</v>
      </c>
    </row>
    <row r="23" spans="1:14" ht="13.5">
      <c r="A23" s="64" t="s">
        <v>81</v>
      </c>
      <c r="B23" s="101">
        <f>_xlfn.COMPOUNDVALUE(109)</f>
        <v>506</v>
      </c>
      <c r="C23" s="102">
        <v>2840171</v>
      </c>
      <c r="D23" s="101">
        <f>_xlfn.COMPOUNDVALUE(110)</f>
        <v>187</v>
      </c>
      <c r="E23" s="102">
        <v>116251</v>
      </c>
      <c r="F23" s="101">
        <f>_xlfn.COMPOUNDVALUE(111)</f>
        <v>693</v>
      </c>
      <c r="G23" s="102">
        <v>2956422</v>
      </c>
      <c r="H23" s="101">
        <f>_xlfn.COMPOUNDVALUE(112)</f>
        <v>31</v>
      </c>
      <c r="I23" s="103">
        <v>93419</v>
      </c>
      <c r="J23" s="101">
        <v>59</v>
      </c>
      <c r="K23" s="103">
        <v>14580</v>
      </c>
      <c r="L23" s="101">
        <v>733</v>
      </c>
      <c r="M23" s="103">
        <v>2877582</v>
      </c>
      <c r="N23" s="65" t="s">
        <v>62</v>
      </c>
    </row>
    <row r="24" spans="1:14" ht="13.5">
      <c r="A24" s="64" t="s">
        <v>82</v>
      </c>
      <c r="B24" s="101">
        <f>_xlfn.COMPOUNDVALUE(113)</f>
        <v>574</v>
      </c>
      <c r="C24" s="102">
        <v>2636312</v>
      </c>
      <c r="D24" s="101">
        <f>_xlfn.COMPOUNDVALUE(114)</f>
        <v>261</v>
      </c>
      <c r="E24" s="102">
        <v>163084</v>
      </c>
      <c r="F24" s="101">
        <f>_xlfn.COMPOUNDVALUE(115)</f>
        <v>835</v>
      </c>
      <c r="G24" s="102">
        <v>2799396</v>
      </c>
      <c r="H24" s="101">
        <f>_xlfn.COMPOUNDVALUE(116)</f>
        <v>39</v>
      </c>
      <c r="I24" s="103">
        <v>201369</v>
      </c>
      <c r="J24" s="101">
        <v>43</v>
      </c>
      <c r="K24" s="103">
        <v>-843</v>
      </c>
      <c r="L24" s="101">
        <v>874</v>
      </c>
      <c r="M24" s="103">
        <v>2597184</v>
      </c>
      <c r="N24" s="65" t="s">
        <v>64</v>
      </c>
    </row>
    <row r="25" spans="1:14" ht="13.5">
      <c r="A25" s="64" t="s">
        <v>83</v>
      </c>
      <c r="B25" s="101">
        <f>_xlfn.COMPOUNDVALUE(117)</f>
        <v>1217</v>
      </c>
      <c r="C25" s="102">
        <v>9839773</v>
      </c>
      <c r="D25" s="101">
        <f>_xlfn.COMPOUNDVALUE(118)</f>
        <v>421</v>
      </c>
      <c r="E25" s="102">
        <v>304546</v>
      </c>
      <c r="F25" s="101">
        <f>_xlfn.COMPOUNDVALUE(119)</f>
        <v>1638</v>
      </c>
      <c r="G25" s="102">
        <v>10144319</v>
      </c>
      <c r="H25" s="101">
        <f>_xlfn.COMPOUNDVALUE(120)</f>
        <v>116</v>
      </c>
      <c r="I25" s="103">
        <v>677830</v>
      </c>
      <c r="J25" s="101">
        <v>84</v>
      </c>
      <c r="K25" s="103">
        <v>3176</v>
      </c>
      <c r="L25" s="101">
        <v>1763</v>
      </c>
      <c r="M25" s="103">
        <v>9469664</v>
      </c>
      <c r="N25" s="65" t="s">
        <v>66</v>
      </c>
    </row>
    <row r="26" spans="1:14" ht="13.5">
      <c r="A26" s="66" t="s">
        <v>84</v>
      </c>
      <c r="B26" s="104">
        <v>9284</v>
      </c>
      <c r="C26" s="105">
        <v>71863193</v>
      </c>
      <c r="D26" s="104">
        <v>3400</v>
      </c>
      <c r="E26" s="105">
        <v>2193745</v>
      </c>
      <c r="F26" s="104">
        <v>12684</v>
      </c>
      <c r="G26" s="105">
        <v>74056938</v>
      </c>
      <c r="H26" s="104">
        <v>827</v>
      </c>
      <c r="I26" s="106">
        <v>9965846</v>
      </c>
      <c r="J26" s="104">
        <v>849</v>
      </c>
      <c r="K26" s="106">
        <v>-279444</v>
      </c>
      <c r="L26" s="104">
        <v>13597</v>
      </c>
      <c r="M26" s="106">
        <v>63811648</v>
      </c>
      <c r="N26" s="67" t="s">
        <v>68</v>
      </c>
    </row>
    <row r="27" spans="1:14" ht="14.25" thickBot="1">
      <c r="A27" s="70"/>
      <c r="B27" s="110"/>
      <c r="C27" s="111"/>
      <c r="D27" s="110"/>
      <c r="E27" s="111"/>
      <c r="F27" s="112"/>
      <c r="G27" s="111"/>
      <c r="H27" s="112"/>
      <c r="I27" s="111"/>
      <c r="J27" s="112"/>
      <c r="K27" s="111"/>
      <c r="L27" s="112"/>
      <c r="M27" s="111"/>
      <c r="N27" s="71"/>
    </row>
    <row r="28" spans="1:14" ht="15" thickBot="1" thickTop="1">
      <c r="A28" s="72" t="s">
        <v>85</v>
      </c>
      <c r="B28" s="113">
        <v>32871</v>
      </c>
      <c r="C28" s="114">
        <v>301032127</v>
      </c>
      <c r="D28" s="113">
        <v>11989</v>
      </c>
      <c r="E28" s="114">
        <v>7568901</v>
      </c>
      <c r="F28" s="113">
        <v>44860</v>
      </c>
      <c r="G28" s="114">
        <v>308601028</v>
      </c>
      <c r="H28" s="113">
        <v>3036</v>
      </c>
      <c r="I28" s="115">
        <v>26788696</v>
      </c>
      <c r="J28" s="113">
        <v>2611</v>
      </c>
      <c r="K28" s="115">
        <v>-821274</v>
      </c>
      <c r="L28" s="113">
        <v>48155</v>
      </c>
      <c r="M28" s="115">
        <v>280991058</v>
      </c>
      <c r="N28" s="73" t="s">
        <v>70</v>
      </c>
    </row>
    <row r="29" spans="1:14" ht="13.5">
      <c r="A29" s="198" t="s">
        <v>113</v>
      </c>
      <c r="B29" s="198"/>
      <c r="C29" s="198"/>
      <c r="D29" s="198"/>
      <c r="E29" s="198"/>
      <c r="F29" s="198"/>
      <c r="G29" s="198"/>
      <c r="H29" s="198"/>
      <c r="I29" s="198"/>
      <c r="J29" s="74"/>
      <c r="K29" s="74"/>
      <c r="L29" s="51"/>
      <c r="M29" s="51"/>
      <c r="N29" s="51"/>
    </row>
  </sheetData>
  <sheetProtection/>
  <mergeCells count="11">
    <mergeCell ref="N3:N5"/>
    <mergeCell ref="B4:C4"/>
    <mergeCell ref="D4:E4"/>
    <mergeCell ref="F4:G4"/>
    <mergeCell ref="A29:I29"/>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headerFooter>
    <oddFooter>&amp;R&amp;K01+000金沢国税局
消費税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tabSelected="1" zoomScaleSheetLayoutView="100" workbookViewId="0" topLeftCell="A1">
      <selection activeCell="B15" sqref="B15:H15"/>
    </sheetView>
  </sheetViews>
  <sheetFormatPr defaultColWidth="9.00390625" defaultRowHeight="13.5"/>
  <cols>
    <col min="1" max="1" width="10.37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7" width="10.625" style="47" customWidth="1"/>
    <col min="18" max="18" width="10.375" style="47" customWidth="1"/>
    <col min="19" max="16384" width="9.00390625" style="47" customWidth="1"/>
  </cols>
  <sheetData>
    <row r="1" spans="1:18" ht="13.5">
      <c r="A1" s="50" t="s">
        <v>117</v>
      </c>
      <c r="B1" s="50"/>
      <c r="C1" s="50"/>
      <c r="D1" s="50"/>
      <c r="E1" s="50"/>
      <c r="F1" s="50"/>
      <c r="G1" s="50"/>
      <c r="H1" s="50"/>
      <c r="I1" s="50"/>
      <c r="J1" s="50"/>
      <c r="K1" s="50"/>
      <c r="L1" s="51"/>
      <c r="M1" s="51"/>
      <c r="N1" s="51"/>
      <c r="O1" s="51"/>
      <c r="P1" s="51"/>
      <c r="Q1" s="97"/>
      <c r="R1" s="97"/>
    </row>
    <row r="2" spans="1:18" ht="14.25" thickBot="1">
      <c r="A2" s="199" t="s">
        <v>86</v>
      </c>
      <c r="B2" s="199"/>
      <c r="C2" s="199"/>
      <c r="D2" s="199"/>
      <c r="E2" s="199"/>
      <c r="F2" s="199"/>
      <c r="G2" s="199"/>
      <c r="H2" s="199"/>
      <c r="I2" s="199"/>
      <c r="J2" s="74"/>
      <c r="K2" s="74"/>
      <c r="L2" s="51"/>
      <c r="M2" s="51"/>
      <c r="N2" s="51"/>
      <c r="O2" s="51"/>
      <c r="P2" s="51"/>
      <c r="Q2" s="97"/>
      <c r="R2" s="97"/>
    </row>
    <row r="3" spans="1:18" ht="13.5">
      <c r="A3" s="184" t="s">
        <v>26</v>
      </c>
      <c r="B3" s="187" t="s">
        <v>27</v>
      </c>
      <c r="C3" s="187"/>
      <c r="D3" s="187"/>
      <c r="E3" s="187"/>
      <c r="F3" s="187"/>
      <c r="G3" s="187"/>
      <c r="H3" s="187" t="s">
        <v>12</v>
      </c>
      <c r="I3" s="187"/>
      <c r="J3" s="209" t="s">
        <v>28</v>
      </c>
      <c r="K3" s="187"/>
      <c r="L3" s="187" t="s">
        <v>29</v>
      </c>
      <c r="M3" s="187"/>
      <c r="N3" s="200" t="s">
        <v>87</v>
      </c>
      <c r="O3" s="201"/>
      <c r="P3" s="201"/>
      <c r="Q3" s="201"/>
      <c r="R3" s="193" t="s">
        <v>72</v>
      </c>
    </row>
    <row r="4" spans="1:18" ht="13.5">
      <c r="A4" s="185"/>
      <c r="B4" s="196" t="s">
        <v>13</v>
      </c>
      <c r="C4" s="196"/>
      <c r="D4" s="196" t="s">
        <v>31</v>
      </c>
      <c r="E4" s="196"/>
      <c r="F4" s="196" t="s">
        <v>32</v>
      </c>
      <c r="G4" s="196"/>
      <c r="H4" s="196"/>
      <c r="I4" s="196"/>
      <c r="J4" s="196"/>
      <c r="K4" s="196"/>
      <c r="L4" s="196"/>
      <c r="M4" s="196"/>
      <c r="N4" s="202" t="s">
        <v>88</v>
      </c>
      <c r="O4" s="204" t="s">
        <v>89</v>
      </c>
      <c r="P4" s="206" t="s">
        <v>90</v>
      </c>
      <c r="Q4" s="191" t="s">
        <v>91</v>
      </c>
      <c r="R4" s="194"/>
    </row>
    <row r="5" spans="1:18" ht="22.5">
      <c r="A5" s="186"/>
      <c r="B5" s="52" t="s">
        <v>33</v>
      </c>
      <c r="C5" s="53" t="s">
        <v>34</v>
      </c>
      <c r="D5" s="52" t="s">
        <v>33</v>
      </c>
      <c r="E5" s="53" t="s">
        <v>34</v>
      </c>
      <c r="F5" s="52" t="s">
        <v>33</v>
      </c>
      <c r="G5" s="53" t="s">
        <v>35</v>
      </c>
      <c r="H5" s="52" t="s">
        <v>33</v>
      </c>
      <c r="I5" s="53" t="s">
        <v>36</v>
      </c>
      <c r="J5" s="52" t="s">
        <v>33</v>
      </c>
      <c r="K5" s="53" t="s">
        <v>37</v>
      </c>
      <c r="L5" s="52" t="s">
        <v>33</v>
      </c>
      <c r="M5" s="75" t="s">
        <v>92</v>
      </c>
      <c r="N5" s="203"/>
      <c r="O5" s="205"/>
      <c r="P5" s="207"/>
      <c r="Q5" s="208"/>
      <c r="R5" s="195"/>
    </row>
    <row r="6" spans="1:18" ht="13.5">
      <c r="A6" s="57"/>
      <c r="B6" s="58" t="s">
        <v>4</v>
      </c>
      <c r="C6" s="59" t="s">
        <v>5</v>
      </c>
      <c r="D6" s="58" t="s">
        <v>4</v>
      </c>
      <c r="E6" s="59" t="s">
        <v>5</v>
      </c>
      <c r="F6" s="58" t="s">
        <v>4</v>
      </c>
      <c r="G6" s="59" t="s">
        <v>5</v>
      </c>
      <c r="H6" s="58" t="s">
        <v>4</v>
      </c>
      <c r="I6" s="59" t="s">
        <v>5</v>
      </c>
      <c r="J6" s="58" t="s">
        <v>4</v>
      </c>
      <c r="K6" s="59" t="s">
        <v>5</v>
      </c>
      <c r="L6" s="58" t="s">
        <v>115</v>
      </c>
      <c r="M6" s="59" t="s">
        <v>5</v>
      </c>
      <c r="N6" s="58" t="s">
        <v>4</v>
      </c>
      <c r="O6" s="76" t="s">
        <v>4</v>
      </c>
      <c r="P6" s="76" t="s">
        <v>4</v>
      </c>
      <c r="Q6" s="77" t="s">
        <v>4</v>
      </c>
      <c r="R6" s="61"/>
    </row>
    <row r="7" spans="1:18" ht="13.5">
      <c r="A7" s="62" t="s">
        <v>39</v>
      </c>
      <c r="B7" s="98">
        <f>_xlfn.COMPOUNDVALUE(121)</f>
        <v>6109</v>
      </c>
      <c r="C7" s="99">
        <v>64514604</v>
      </c>
      <c r="D7" s="98">
        <f>_xlfn.COMPOUNDVALUE(122)</f>
        <v>3780</v>
      </c>
      <c r="E7" s="99">
        <v>2052642</v>
      </c>
      <c r="F7" s="98">
        <f>_xlfn.COMPOUNDVALUE(123)</f>
        <v>9889</v>
      </c>
      <c r="G7" s="99">
        <v>66567246</v>
      </c>
      <c r="H7" s="98">
        <f>_xlfn.COMPOUNDVALUE(124)</f>
        <v>609</v>
      </c>
      <c r="I7" s="100">
        <v>4774917</v>
      </c>
      <c r="J7" s="98">
        <v>737</v>
      </c>
      <c r="K7" s="100">
        <v>270809</v>
      </c>
      <c r="L7" s="98">
        <v>10660</v>
      </c>
      <c r="M7" s="100">
        <v>62063138</v>
      </c>
      <c r="N7" s="135">
        <v>10195</v>
      </c>
      <c r="O7" s="136">
        <v>369</v>
      </c>
      <c r="P7" s="136">
        <v>25</v>
      </c>
      <c r="Q7" s="137">
        <v>10589</v>
      </c>
      <c r="R7" s="81" t="s">
        <v>40</v>
      </c>
    </row>
    <row r="8" spans="1:18" ht="13.5">
      <c r="A8" s="64" t="s">
        <v>41</v>
      </c>
      <c r="B8" s="101">
        <f>_xlfn.COMPOUNDVALUE(125)</f>
        <v>4372</v>
      </c>
      <c r="C8" s="102">
        <v>32185437</v>
      </c>
      <c r="D8" s="101">
        <f>_xlfn.COMPOUNDVALUE(126)</f>
        <v>2831</v>
      </c>
      <c r="E8" s="102">
        <v>1422936</v>
      </c>
      <c r="F8" s="101">
        <f>_xlfn.COMPOUNDVALUE(127)</f>
        <v>7203</v>
      </c>
      <c r="G8" s="102">
        <v>33608373</v>
      </c>
      <c r="H8" s="101">
        <f>_xlfn.COMPOUNDVALUE(128)</f>
        <v>598</v>
      </c>
      <c r="I8" s="103">
        <v>3128663</v>
      </c>
      <c r="J8" s="101">
        <v>392</v>
      </c>
      <c r="K8" s="103">
        <v>-917974</v>
      </c>
      <c r="L8" s="101">
        <v>7887</v>
      </c>
      <c r="M8" s="103">
        <v>29561735</v>
      </c>
      <c r="N8" s="135">
        <v>7213</v>
      </c>
      <c r="O8" s="136">
        <v>368</v>
      </c>
      <c r="P8" s="136">
        <v>19</v>
      </c>
      <c r="Q8" s="137">
        <v>7600</v>
      </c>
      <c r="R8" s="65" t="s">
        <v>42</v>
      </c>
    </row>
    <row r="9" spans="1:18" ht="13.5">
      <c r="A9" s="64" t="s">
        <v>43</v>
      </c>
      <c r="B9" s="101">
        <f>_xlfn.COMPOUNDVALUE(129)</f>
        <v>2507</v>
      </c>
      <c r="C9" s="102">
        <v>14130148</v>
      </c>
      <c r="D9" s="101">
        <f>_xlfn.COMPOUNDVALUE(130)</f>
        <v>1775</v>
      </c>
      <c r="E9" s="102">
        <v>860318</v>
      </c>
      <c r="F9" s="101">
        <f>_xlfn.COMPOUNDVALUE(131)</f>
        <v>4282</v>
      </c>
      <c r="G9" s="102">
        <v>14990466</v>
      </c>
      <c r="H9" s="101">
        <f>_xlfn.COMPOUNDVALUE(132)</f>
        <v>239</v>
      </c>
      <c r="I9" s="103">
        <v>1817603</v>
      </c>
      <c r="J9" s="101">
        <v>288</v>
      </c>
      <c r="K9" s="103">
        <v>20106</v>
      </c>
      <c r="L9" s="101">
        <v>4576</v>
      </c>
      <c r="M9" s="103">
        <v>13192969</v>
      </c>
      <c r="N9" s="135">
        <v>4251</v>
      </c>
      <c r="O9" s="136">
        <v>187</v>
      </c>
      <c r="P9" s="136">
        <v>7</v>
      </c>
      <c r="Q9" s="137">
        <v>4445</v>
      </c>
      <c r="R9" s="65" t="s">
        <v>44</v>
      </c>
    </row>
    <row r="10" spans="1:18" ht="13.5">
      <c r="A10" s="64" t="s">
        <v>45</v>
      </c>
      <c r="B10" s="101">
        <f>_xlfn.COMPOUNDVALUE(133)</f>
        <v>1774</v>
      </c>
      <c r="C10" s="102">
        <v>12386920</v>
      </c>
      <c r="D10" s="101">
        <f>_xlfn.COMPOUNDVALUE(134)</f>
        <v>1191</v>
      </c>
      <c r="E10" s="102">
        <v>575013</v>
      </c>
      <c r="F10" s="101">
        <f>_xlfn.COMPOUNDVALUE(135)</f>
        <v>2965</v>
      </c>
      <c r="G10" s="102">
        <v>12961932</v>
      </c>
      <c r="H10" s="101">
        <f>_xlfn.COMPOUNDVALUE(136)</f>
        <v>223</v>
      </c>
      <c r="I10" s="103">
        <v>291659</v>
      </c>
      <c r="J10" s="101">
        <v>166</v>
      </c>
      <c r="K10" s="103">
        <v>43352</v>
      </c>
      <c r="L10" s="101">
        <v>3212</v>
      </c>
      <c r="M10" s="103">
        <v>12713625</v>
      </c>
      <c r="N10" s="135">
        <v>3188</v>
      </c>
      <c r="O10" s="136">
        <v>152</v>
      </c>
      <c r="P10" s="136">
        <v>2</v>
      </c>
      <c r="Q10" s="137">
        <v>3342</v>
      </c>
      <c r="R10" s="65" t="s">
        <v>46</v>
      </c>
    </row>
    <row r="11" spans="1:18" ht="13.5">
      <c r="A11" s="66" t="s">
        <v>47</v>
      </c>
      <c r="B11" s="104">
        <v>14762</v>
      </c>
      <c r="C11" s="105">
        <v>123217108</v>
      </c>
      <c r="D11" s="104">
        <v>9577</v>
      </c>
      <c r="E11" s="105">
        <v>4910909</v>
      </c>
      <c r="F11" s="104">
        <v>24339</v>
      </c>
      <c r="G11" s="105">
        <v>128128017</v>
      </c>
      <c r="H11" s="104">
        <v>1669</v>
      </c>
      <c r="I11" s="106">
        <v>10012843</v>
      </c>
      <c r="J11" s="104">
        <v>1583</v>
      </c>
      <c r="K11" s="106">
        <v>-583706</v>
      </c>
      <c r="L11" s="104">
        <v>26335</v>
      </c>
      <c r="M11" s="106">
        <v>117531467</v>
      </c>
      <c r="N11" s="138">
        <v>24847</v>
      </c>
      <c r="O11" s="139">
        <v>1076</v>
      </c>
      <c r="P11" s="139">
        <v>53</v>
      </c>
      <c r="Q11" s="140">
        <v>25976</v>
      </c>
      <c r="R11" s="67" t="s">
        <v>48</v>
      </c>
    </row>
    <row r="12" spans="1:18" ht="13.5">
      <c r="A12" s="68"/>
      <c r="B12" s="107"/>
      <c r="C12" s="108"/>
      <c r="D12" s="107"/>
      <c r="E12" s="108"/>
      <c r="F12" s="109"/>
      <c r="G12" s="108"/>
      <c r="H12" s="109"/>
      <c r="I12" s="108"/>
      <c r="J12" s="109"/>
      <c r="K12" s="108"/>
      <c r="L12" s="109"/>
      <c r="M12" s="108"/>
      <c r="N12" s="141"/>
      <c r="O12" s="142"/>
      <c r="P12" s="142"/>
      <c r="Q12" s="143"/>
      <c r="R12" s="78" t="s">
        <v>93</v>
      </c>
    </row>
    <row r="13" spans="1:18" ht="13.5">
      <c r="A13" s="62" t="s">
        <v>49</v>
      </c>
      <c r="B13" s="98">
        <f>_xlfn.COMPOUNDVALUE(137)</f>
        <v>9086</v>
      </c>
      <c r="C13" s="99">
        <v>64359454</v>
      </c>
      <c r="D13" s="98">
        <f>_xlfn.COMPOUNDVALUE(138)</f>
        <v>5616</v>
      </c>
      <c r="E13" s="99">
        <v>3028451</v>
      </c>
      <c r="F13" s="98">
        <f>_xlfn.COMPOUNDVALUE(139)</f>
        <v>14702</v>
      </c>
      <c r="G13" s="99">
        <v>67387904</v>
      </c>
      <c r="H13" s="98">
        <f>_xlfn.COMPOUNDVALUE(140)</f>
        <v>586</v>
      </c>
      <c r="I13" s="100">
        <v>4579697</v>
      </c>
      <c r="J13" s="98">
        <v>1150</v>
      </c>
      <c r="K13" s="100">
        <v>268615</v>
      </c>
      <c r="L13" s="98">
        <v>15492</v>
      </c>
      <c r="M13" s="100">
        <v>63076823</v>
      </c>
      <c r="N13" s="135">
        <v>15213</v>
      </c>
      <c r="O13" s="136">
        <v>411</v>
      </c>
      <c r="P13" s="136">
        <v>41</v>
      </c>
      <c r="Q13" s="137">
        <v>15665</v>
      </c>
      <c r="R13" s="65" t="s">
        <v>49</v>
      </c>
    </row>
    <row r="14" spans="1:18" ht="13.5">
      <c r="A14" s="64" t="s">
        <v>50</v>
      </c>
      <c r="B14" s="101">
        <f>_xlfn.COMPOUNDVALUE(141)</f>
        <v>1590</v>
      </c>
      <c r="C14" s="102">
        <v>7315063</v>
      </c>
      <c r="D14" s="101">
        <f>_xlfn.COMPOUNDVALUE(142)</f>
        <v>1251</v>
      </c>
      <c r="E14" s="102">
        <v>600952</v>
      </c>
      <c r="F14" s="101">
        <f>_xlfn.COMPOUNDVALUE(143)</f>
        <v>2841</v>
      </c>
      <c r="G14" s="102">
        <v>7916014</v>
      </c>
      <c r="H14" s="101">
        <f>_xlfn.COMPOUNDVALUE(144)</f>
        <v>103</v>
      </c>
      <c r="I14" s="103">
        <v>386820</v>
      </c>
      <c r="J14" s="101">
        <v>123</v>
      </c>
      <c r="K14" s="103">
        <v>14774</v>
      </c>
      <c r="L14" s="101">
        <v>2963</v>
      </c>
      <c r="M14" s="103">
        <v>7543968</v>
      </c>
      <c r="N14" s="135">
        <v>2860</v>
      </c>
      <c r="O14" s="136">
        <v>80</v>
      </c>
      <c r="P14" s="136">
        <v>6</v>
      </c>
      <c r="Q14" s="137">
        <v>2946</v>
      </c>
      <c r="R14" s="65" t="s">
        <v>50</v>
      </c>
    </row>
    <row r="15" spans="1:18" ht="13.5">
      <c r="A15" s="64" t="s">
        <v>51</v>
      </c>
      <c r="B15" s="101">
        <f>_xlfn.COMPOUNDVALUE(145)</f>
        <v>3328</v>
      </c>
      <c r="C15" s="102">
        <v>19420959</v>
      </c>
      <c r="D15" s="101">
        <f>_xlfn.COMPOUNDVALUE(146)</f>
        <v>2452</v>
      </c>
      <c r="E15" s="102">
        <v>1204565</v>
      </c>
      <c r="F15" s="101">
        <f>_xlfn.COMPOUNDVALUE(147)</f>
        <v>5780</v>
      </c>
      <c r="G15" s="102">
        <v>20625524</v>
      </c>
      <c r="H15" s="101">
        <f>_xlfn.COMPOUNDVALUE(148)</f>
        <v>185</v>
      </c>
      <c r="I15" s="103">
        <v>776241</v>
      </c>
      <c r="J15" s="101">
        <v>379</v>
      </c>
      <c r="K15" s="103">
        <v>61489</v>
      </c>
      <c r="L15" s="101">
        <v>6032</v>
      </c>
      <c r="M15" s="103">
        <v>19910772</v>
      </c>
      <c r="N15" s="135">
        <v>6025</v>
      </c>
      <c r="O15" s="136">
        <v>107</v>
      </c>
      <c r="P15" s="136">
        <v>9</v>
      </c>
      <c r="Q15" s="137">
        <v>6141</v>
      </c>
      <c r="R15" s="65" t="s">
        <v>51</v>
      </c>
    </row>
    <row r="16" spans="1:18" ht="13.5">
      <c r="A16" s="64" t="s">
        <v>52</v>
      </c>
      <c r="B16" s="101">
        <f>_xlfn.COMPOUNDVALUE(149)</f>
        <v>864</v>
      </c>
      <c r="C16" s="102">
        <v>2374685</v>
      </c>
      <c r="D16" s="101">
        <f>_xlfn.COMPOUNDVALUE(150)</f>
        <v>779</v>
      </c>
      <c r="E16" s="102">
        <v>328760</v>
      </c>
      <c r="F16" s="101">
        <f>_xlfn.COMPOUNDVALUE(151)</f>
        <v>1643</v>
      </c>
      <c r="G16" s="102">
        <v>2703445</v>
      </c>
      <c r="H16" s="101">
        <f>_xlfn.COMPOUNDVALUE(152)</f>
        <v>49</v>
      </c>
      <c r="I16" s="103">
        <v>134884</v>
      </c>
      <c r="J16" s="101">
        <v>86</v>
      </c>
      <c r="K16" s="103">
        <v>14246</v>
      </c>
      <c r="L16" s="101">
        <v>1717</v>
      </c>
      <c r="M16" s="103">
        <v>2582807</v>
      </c>
      <c r="N16" s="135">
        <v>1643</v>
      </c>
      <c r="O16" s="136">
        <v>30</v>
      </c>
      <c r="P16" s="136">
        <v>1</v>
      </c>
      <c r="Q16" s="137">
        <v>1674</v>
      </c>
      <c r="R16" s="65" t="s">
        <v>52</v>
      </c>
    </row>
    <row r="17" spans="1:18" ht="13.5">
      <c r="A17" s="64" t="s">
        <v>53</v>
      </c>
      <c r="B17" s="101">
        <f>_xlfn.COMPOUNDVALUE(153)</f>
        <v>2172</v>
      </c>
      <c r="C17" s="102">
        <v>18766767</v>
      </c>
      <c r="D17" s="101">
        <f>_xlfn.COMPOUNDVALUE(154)</f>
        <v>1477</v>
      </c>
      <c r="E17" s="102">
        <v>727043</v>
      </c>
      <c r="F17" s="101">
        <f>_xlfn.COMPOUNDVALUE(155)</f>
        <v>3649</v>
      </c>
      <c r="G17" s="102">
        <v>19493811</v>
      </c>
      <c r="H17" s="101">
        <f>_xlfn.COMPOUNDVALUE(156)</f>
        <v>144</v>
      </c>
      <c r="I17" s="103">
        <v>1347133</v>
      </c>
      <c r="J17" s="101">
        <v>292</v>
      </c>
      <c r="K17" s="103">
        <v>62908</v>
      </c>
      <c r="L17" s="101">
        <v>3858</v>
      </c>
      <c r="M17" s="103">
        <v>18209585</v>
      </c>
      <c r="N17" s="135">
        <v>3780</v>
      </c>
      <c r="O17" s="136">
        <v>102</v>
      </c>
      <c r="P17" s="136">
        <v>3</v>
      </c>
      <c r="Q17" s="137">
        <v>3885</v>
      </c>
      <c r="R17" s="65" t="s">
        <v>53</v>
      </c>
    </row>
    <row r="18" spans="1:18" ht="13.5">
      <c r="A18" s="66" t="s">
        <v>94</v>
      </c>
      <c r="B18" s="104">
        <v>17040</v>
      </c>
      <c r="C18" s="105">
        <v>112236928</v>
      </c>
      <c r="D18" s="104">
        <v>11575</v>
      </c>
      <c r="E18" s="105">
        <v>5889771</v>
      </c>
      <c r="F18" s="104">
        <v>28615</v>
      </c>
      <c r="G18" s="105">
        <v>118126699</v>
      </c>
      <c r="H18" s="104">
        <v>1067</v>
      </c>
      <c r="I18" s="106">
        <v>7224775</v>
      </c>
      <c r="J18" s="104">
        <v>2030</v>
      </c>
      <c r="K18" s="106">
        <v>422032</v>
      </c>
      <c r="L18" s="104">
        <v>30062</v>
      </c>
      <c r="M18" s="106">
        <v>111323955</v>
      </c>
      <c r="N18" s="138">
        <v>29521</v>
      </c>
      <c r="O18" s="139">
        <v>730</v>
      </c>
      <c r="P18" s="139">
        <v>60</v>
      </c>
      <c r="Q18" s="140">
        <v>30311</v>
      </c>
      <c r="R18" s="67" t="s">
        <v>54</v>
      </c>
    </row>
    <row r="19" spans="1:18" ht="13.5">
      <c r="A19" s="68"/>
      <c r="B19" s="107"/>
      <c r="C19" s="108"/>
      <c r="D19" s="107"/>
      <c r="E19" s="108"/>
      <c r="F19" s="109"/>
      <c r="G19" s="108"/>
      <c r="H19" s="109"/>
      <c r="I19" s="108"/>
      <c r="J19" s="109"/>
      <c r="K19" s="108"/>
      <c r="L19" s="109"/>
      <c r="M19" s="108"/>
      <c r="N19" s="141"/>
      <c r="O19" s="142"/>
      <c r="P19" s="142"/>
      <c r="Q19" s="143"/>
      <c r="R19" s="78" t="s">
        <v>93</v>
      </c>
    </row>
    <row r="20" spans="1:18" ht="13.5">
      <c r="A20" s="62" t="s">
        <v>55</v>
      </c>
      <c r="B20" s="98">
        <f>_xlfn.COMPOUNDVALUE(157)</f>
        <v>5418</v>
      </c>
      <c r="C20" s="99">
        <v>34317863</v>
      </c>
      <c r="D20" s="98">
        <f>_xlfn.COMPOUNDVALUE(158)</f>
        <v>3072</v>
      </c>
      <c r="E20" s="99">
        <v>1673662</v>
      </c>
      <c r="F20" s="98">
        <f>_xlfn.COMPOUNDVALUE(159)</f>
        <v>8490</v>
      </c>
      <c r="G20" s="99">
        <v>35991525</v>
      </c>
      <c r="H20" s="98">
        <f>_xlfn.COMPOUNDVALUE(160)</f>
        <v>398</v>
      </c>
      <c r="I20" s="100">
        <v>7037542</v>
      </c>
      <c r="J20" s="98">
        <v>763</v>
      </c>
      <c r="K20" s="100">
        <v>122156</v>
      </c>
      <c r="L20" s="98">
        <v>9053</v>
      </c>
      <c r="M20" s="100">
        <v>29076139</v>
      </c>
      <c r="N20" s="135">
        <v>8736</v>
      </c>
      <c r="O20" s="136">
        <v>247</v>
      </c>
      <c r="P20" s="136">
        <v>36</v>
      </c>
      <c r="Q20" s="137">
        <v>9019</v>
      </c>
      <c r="R20" s="65" t="s">
        <v>56</v>
      </c>
    </row>
    <row r="21" spans="1:18" ht="13.5">
      <c r="A21" s="64" t="s">
        <v>57</v>
      </c>
      <c r="B21" s="101">
        <f>_xlfn.COMPOUNDVALUE(161)</f>
        <v>1242</v>
      </c>
      <c r="C21" s="102">
        <v>6172397</v>
      </c>
      <c r="D21" s="101">
        <f>_xlfn.COMPOUNDVALUE(162)</f>
        <v>913</v>
      </c>
      <c r="E21" s="102">
        <v>494925</v>
      </c>
      <c r="F21" s="101">
        <f>_xlfn.COMPOUNDVALUE(163)</f>
        <v>2155</v>
      </c>
      <c r="G21" s="102">
        <v>6667322</v>
      </c>
      <c r="H21" s="101">
        <f>_xlfn.COMPOUNDVALUE(164)</f>
        <v>88</v>
      </c>
      <c r="I21" s="103">
        <v>351286</v>
      </c>
      <c r="J21" s="101">
        <v>150</v>
      </c>
      <c r="K21" s="103">
        <v>-318418</v>
      </c>
      <c r="L21" s="101">
        <v>2279</v>
      </c>
      <c r="M21" s="103">
        <v>5997619</v>
      </c>
      <c r="N21" s="135">
        <v>2185</v>
      </c>
      <c r="O21" s="136">
        <v>63</v>
      </c>
      <c r="P21" s="136">
        <v>6</v>
      </c>
      <c r="Q21" s="137">
        <v>2254</v>
      </c>
      <c r="R21" s="65" t="s">
        <v>58</v>
      </c>
    </row>
    <row r="22" spans="1:18" ht="13.5">
      <c r="A22" s="64" t="s">
        <v>59</v>
      </c>
      <c r="B22" s="101">
        <f>_xlfn.COMPOUNDVALUE(165)</f>
        <v>2791</v>
      </c>
      <c r="C22" s="102">
        <v>17732910</v>
      </c>
      <c r="D22" s="101">
        <f>_xlfn.COMPOUNDVALUE(166)</f>
        <v>1891</v>
      </c>
      <c r="E22" s="102">
        <v>909332</v>
      </c>
      <c r="F22" s="101">
        <f>_xlfn.COMPOUNDVALUE(167)</f>
        <v>4682</v>
      </c>
      <c r="G22" s="102">
        <v>18642243</v>
      </c>
      <c r="H22" s="101">
        <f>_xlfn.COMPOUNDVALUE(168)</f>
        <v>314</v>
      </c>
      <c r="I22" s="103">
        <v>1714992</v>
      </c>
      <c r="J22" s="101">
        <v>362</v>
      </c>
      <c r="K22" s="103">
        <v>14239</v>
      </c>
      <c r="L22" s="101">
        <v>5053</v>
      </c>
      <c r="M22" s="103">
        <v>16941490</v>
      </c>
      <c r="N22" s="135">
        <v>4843</v>
      </c>
      <c r="O22" s="136">
        <v>128</v>
      </c>
      <c r="P22" s="136">
        <v>7</v>
      </c>
      <c r="Q22" s="137">
        <v>4978</v>
      </c>
      <c r="R22" s="65" t="s">
        <v>60</v>
      </c>
    </row>
    <row r="23" spans="1:18" ht="13.5">
      <c r="A23" s="64" t="s">
        <v>61</v>
      </c>
      <c r="B23" s="101">
        <f>_xlfn.COMPOUNDVALUE(169)</f>
        <v>723</v>
      </c>
      <c r="C23" s="102">
        <v>2970325</v>
      </c>
      <c r="D23" s="101">
        <f>_xlfn.COMPOUNDVALUE(170)</f>
        <v>482</v>
      </c>
      <c r="E23" s="102">
        <v>234452</v>
      </c>
      <c r="F23" s="101">
        <f>_xlfn.COMPOUNDVALUE(171)</f>
        <v>1205</v>
      </c>
      <c r="G23" s="102">
        <v>3204777</v>
      </c>
      <c r="H23" s="101">
        <f>_xlfn.COMPOUNDVALUE(172)</f>
        <v>43</v>
      </c>
      <c r="I23" s="103">
        <v>99996</v>
      </c>
      <c r="J23" s="101">
        <v>78</v>
      </c>
      <c r="K23" s="103">
        <v>20657</v>
      </c>
      <c r="L23" s="101">
        <v>1266</v>
      </c>
      <c r="M23" s="103">
        <v>3125438</v>
      </c>
      <c r="N23" s="135">
        <v>1349</v>
      </c>
      <c r="O23" s="136">
        <v>36</v>
      </c>
      <c r="P23" s="136">
        <v>5</v>
      </c>
      <c r="Q23" s="137">
        <v>1390</v>
      </c>
      <c r="R23" s="65" t="s">
        <v>62</v>
      </c>
    </row>
    <row r="24" spans="1:18" ht="13.5">
      <c r="A24" s="64" t="s">
        <v>63</v>
      </c>
      <c r="B24" s="101">
        <f>_xlfn.COMPOUNDVALUE(173)</f>
        <v>808</v>
      </c>
      <c r="C24" s="102">
        <v>2763309</v>
      </c>
      <c r="D24" s="101">
        <f>_xlfn.COMPOUNDVALUE(174)</f>
        <v>609</v>
      </c>
      <c r="E24" s="102">
        <v>306401</v>
      </c>
      <c r="F24" s="101">
        <f>_xlfn.COMPOUNDVALUE(175)</f>
        <v>1417</v>
      </c>
      <c r="G24" s="102">
        <v>3069710</v>
      </c>
      <c r="H24" s="101">
        <f>_xlfn.COMPOUNDVALUE(176)</f>
        <v>59</v>
      </c>
      <c r="I24" s="103">
        <v>210462</v>
      </c>
      <c r="J24" s="101">
        <v>81</v>
      </c>
      <c r="K24" s="103">
        <v>3911</v>
      </c>
      <c r="L24" s="101">
        <v>1488</v>
      </c>
      <c r="M24" s="103">
        <v>2863160</v>
      </c>
      <c r="N24" s="135">
        <v>1435</v>
      </c>
      <c r="O24" s="136">
        <v>32</v>
      </c>
      <c r="P24" s="144">
        <v>0</v>
      </c>
      <c r="Q24" s="137">
        <v>1467</v>
      </c>
      <c r="R24" s="65" t="s">
        <v>64</v>
      </c>
    </row>
    <row r="25" spans="1:18" ht="13.5">
      <c r="A25" s="64" t="s">
        <v>65</v>
      </c>
      <c r="B25" s="101">
        <f>_xlfn.COMPOUNDVALUE(177)</f>
        <v>1704</v>
      </c>
      <c r="C25" s="102">
        <v>10122959</v>
      </c>
      <c r="D25" s="101">
        <f>_xlfn.COMPOUNDVALUE(178)</f>
        <v>1067</v>
      </c>
      <c r="E25" s="102">
        <v>571622</v>
      </c>
      <c r="F25" s="101">
        <f>_xlfn.COMPOUNDVALUE(179)</f>
        <v>2771</v>
      </c>
      <c r="G25" s="102">
        <v>10694581</v>
      </c>
      <c r="H25" s="101">
        <f>_xlfn.COMPOUNDVALUE(180)</f>
        <v>176</v>
      </c>
      <c r="I25" s="103">
        <v>710751</v>
      </c>
      <c r="J25" s="101">
        <v>186</v>
      </c>
      <c r="K25" s="103">
        <v>14876</v>
      </c>
      <c r="L25" s="101">
        <v>2978</v>
      </c>
      <c r="M25" s="103">
        <v>9998706</v>
      </c>
      <c r="N25" s="135">
        <v>2918</v>
      </c>
      <c r="O25" s="136">
        <v>95</v>
      </c>
      <c r="P25" s="136">
        <v>3</v>
      </c>
      <c r="Q25" s="137">
        <v>3016</v>
      </c>
      <c r="R25" s="65" t="s">
        <v>66</v>
      </c>
    </row>
    <row r="26" spans="1:18" ht="13.5">
      <c r="A26" s="66" t="s">
        <v>67</v>
      </c>
      <c r="B26" s="104">
        <v>12686</v>
      </c>
      <c r="C26" s="105">
        <v>74079763</v>
      </c>
      <c r="D26" s="104">
        <v>8034</v>
      </c>
      <c r="E26" s="105">
        <v>4190394</v>
      </c>
      <c r="F26" s="104">
        <v>20720</v>
      </c>
      <c r="G26" s="105">
        <v>78270157</v>
      </c>
      <c r="H26" s="104">
        <v>1078</v>
      </c>
      <c r="I26" s="106">
        <v>10125028</v>
      </c>
      <c r="J26" s="104">
        <v>1620</v>
      </c>
      <c r="K26" s="106">
        <v>-142578</v>
      </c>
      <c r="L26" s="104">
        <v>22117</v>
      </c>
      <c r="M26" s="106">
        <v>68002552</v>
      </c>
      <c r="N26" s="138">
        <v>21466</v>
      </c>
      <c r="O26" s="139">
        <v>601</v>
      </c>
      <c r="P26" s="139">
        <v>57</v>
      </c>
      <c r="Q26" s="140">
        <v>22124</v>
      </c>
      <c r="R26" s="67" t="s">
        <v>68</v>
      </c>
    </row>
    <row r="27" spans="1:18" ht="14.25" thickBot="1">
      <c r="A27" s="70"/>
      <c r="B27" s="110"/>
      <c r="C27" s="111"/>
      <c r="D27" s="110"/>
      <c r="E27" s="111"/>
      <c r="F27" s="112"/>
      <c r="G27" s="111"/>
      <c r="H27" s="112"/>
      <c r="I27" s="111"/>
      <c r="J27" s="112"/>
      <c r="K27" s="111"/>
      <c r="L27" s="112"/>
      <c r="M27" s="111"/>
      <c r="N27" s="145"/>
      <c r="O27" s="146"/>
      <c r="P27" s="146"/>
      <c r="Q27" s="147"/>
      <c r="R27" s="79" t="s">
        <v>93</v>
      </c>
    </row>
    <row r="28" spans="1:18" ht="15" thickBot="1" thickTop="1">
      <c r="A28" s="72" t="s">
        <v>70</v>
      </c>
      <c r="B28" s="113">
        <v>44488</v>
      </c>
      <c r="C28" s="114">
        <v>309533799</v>
      </c>
      <c r="D28" s="113">
        <v>29186</v>
      </c>
      <c r="E28" s="114">
        <v>14991074</v>
      </c>
      <c r="F28" s="113">
        <v>73674</v>
      </c>
      <c r="G28" s="114">
        <v>324524873</v>
      </c>
      <c r="H28" s="113">
        <v>3814</v>
      </c>
      <c r="I28" s="115">
        <v>27362646</v>
      </c>
      <c r="J28" s="113">
        <v>5233</v>
      </c>
      <c r="K28" s="115">
        <v>-304253</v>
      </c>
      <c r="L28" s="113">
        <v>78514</v>
      </c>
      <c r="M28" s="115">
        <v>296857974</v>
      </c>
      <c r="N28" s="148">
        <v>75834</v>
      </c>
      <c r="O28" s="149">
        <v>2407</v>
      </c>
      <c r="P28" s="149">
        <v>170</v>
      </c>
      <c r="Q28" s="150">
        <v>78411</v>
      </c>
      <c r="R28" s="80" t="s">
        <v>70</v>
      </c>
    </row>
    <row r="29" spans="1:18" ht="13.5">
      <c r="A29" s="198" t="s">
        <v>114</v>
      </c>
      <c r="B29" s="198"/>
      <c r="C29" s="198"/>
      <c r="D29" s="198"/>
      <c r="E29" s="198"/>
      <c r="F29" s="198"/>
      <c r="G29" s="198"/>
      <c r="H29" s="198"/>
      <c r="I29" s="198"/>
      <c r="J29" s="198"/>
      <c r="K29" s="97"/>
      <c r="L29" s="97"/>
      <c r="M29" s="97"/>
      <c r="N29" s="97"/>
      <c r="O29" s="97"/>
      <c r="P29" s="97"/>
      <c r="Q29" s="97"/>
      <c r="R29" s="97"/>
    </row>
  </sheetData>
  <sheetProtection/>
  <mergeCells count="16">
    <mergeCell ref="A29:J29"/>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headerFooter>
    <oddFooter>&amp;R&amp;K01+000金沢国税局
消費税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北嶋</cp:lastModifiedBy>
  <cp:lastPrinted>2021-06-03T06:24:39Z</cp:lastPrinted>
  <dcterms:created xsi:type="dcterms:W3CDTF">2003-07-09T01:05:10Z</dcterms:created>
  <dcterms:modified xsi:type="dcterms:W3CDTF">2021-06-03T06:24:41Z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