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01"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<sst xmlns="http://schemas.openxmlformats.org/spreadsheetml/2006/main" count="316" uniqueCount="136">
  <si>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</si>
  <si>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</si>
  <si>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</si>
  <si>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</si>
  <si>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</si>
  <si>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</si>
  <si>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</si>
  <si>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</si>
  <si>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</si>
  <si>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</si>
  <si>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</si>
  <si>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</si>
  <si>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</si>
  <si>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</si>
  <si>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</si>
  <si>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</si>
  <si>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</si>
  <si>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</si>
  <si>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</si>
  <si>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</si>
  <si>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</si>
  <si>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</si>
  <si>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</si>
  <si>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</si>
  <si>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</si>
  <si>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</si>
  <si>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</si>
  <si>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</si>
  <si>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</si>
  <si>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</si>
  <si>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</si>
  <si>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</si>
  <si>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</si>
  <si>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</si>
  <si>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</si>
  <si>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</si>
  <si>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</si>
  <si>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</si>
  <si>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</si>
  <si>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</si>
  <si>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</si>
  <si>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</si>
  <si>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</si>
  <si>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</si>
  <si>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</si>
  <si>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</si>
  <si>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</si>
  <si>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</si>
  <si>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</si>
  <si>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</si>
  <si>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</si>
  <si>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</si>
  <si>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</si>
  <si>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</si>
  <si>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</si>
  <si>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</si>
  <si>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</si>
  <si>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</si>
  <si>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</si>
  <si>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</si>
  <si>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</si>
  <si>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</si>
  <si>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</si>
  <si>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</si>
  <si>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</si>
  <si>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</si>
  <si>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</si>
  <si>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</si>
  <si>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</si>
  <si>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</si>
  <si>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</si>
  <si>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</si>
  <si>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</si>
  <si>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</si>
  <si>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</si>
  <si>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</si>
  <si>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</si>
  <si>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</si>
  <si>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</si>
  <si>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</si>
  <si>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</si>
  <si>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</si>
  <si>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</si>
  <si>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</si>
  <si>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</si>
  <si>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</si>
  <si>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</si>
  <si>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</si>
  <si>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</si>
  <si>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</si>
  <si>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</si>
  <si>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</si>
  <si>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</si>
  <si>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</si>
  <si>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</si>
  <si>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</si>
  <si>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</si>
  <si>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</si>
  <si>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</si>
  <si>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</si>
  <si>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調査対象等：</t>
  </si>
  <si>
    <t>（注）１</t>
  </si>
  <si>
    <t>税関分は含まない。</t>
  </si>
  <si>
    <t>　　　２</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</si>
  <si>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</si>
  <si>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</si>
  <si>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</si>
  <si>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</si>
  <si>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</si>
  <si>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</si>
  <si>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</si>
  <si>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</si>
  <si>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</si>
  <si>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</si>
  <si>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</si>
  <si>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</si>
  <si>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</si>
  <si>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</si>
  <si>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</si>
  <si>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</si>
  <si>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</si>
  <si>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</si>
  <si>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</si>
  <si>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</si>
  <si>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</si>
  <si>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「件数」欄の「実」は、実件数を示す。</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</si>
  <si>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</si>
  <si>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</si>
  <si>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</si>
  <si>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平成26年度</t>
  </si>
  <si>
    <t>平成27年度</t>
  </si>
  <si>
    <t>平成28年度</t>
  </si>
  <si>
    <t>平成29年度</t>
  </si>
  <si>
    <t>平成30年度</t>
  </si>
  <si>
    <t>実</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</si>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</sst>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1">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明朝"/>
      <family val="1"/>
    </font>
    <font>
      <b/>
      <sz val="9"/>
      <color indexed="8"/>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ＭＳ 明朝"/>
      <family val="1"/>
    </font>
    <font>
      <b/>
      <sz val="9"/>
      <color theme="1"/>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2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2" fillId="0" borderId="38" xfId="0" applyFont="1" applyBorder="1" applyAlignment="1">
      <alignment horizontal="left" vertical="top" wrapText="1"/>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9"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0" xfId="61" applyFont="1" applyBorder="1" applyAlignment="1">
      <alignment horizontal="distributed" vertical="center" indent="1"/>
      <protection/>
    </xf>
    <xf numFmtId="0" fontId="2" fillId="0" borderId="41" xfId="61" applyFont="1" applyBorder="1" applyAlignment="1">
      <alignment horizontal="distributed" vertical="center" indent="1"/>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2"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3"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8" fillId="0" borderId="50" xfId="61" applyFont="1" applyFill="1" applyBorder="1" applyAlignment="1">
      <alignment horizontal="distributed"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distributed" vertical="center"/>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41" xfId="61" applyFont="1" applyBorder="1" applyAlignment="1">
      <alignment horizontal="center" vertical="center" wrapText="1"/>
      <protection/>
    </xf>
    <xf numFmtId="0" fontId="7" fillId="34" borderId="29"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2" fillId="36" borderId="59" xfId="61" applyFont="1" applyFill="1" applyBorder="1" applyAlignment="1">
      <alignment horizontal="distributed"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177" fontId="8"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3" fontId="2" fillId="34" borderId="96"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4" borderId="98" xfId="0" applyNumberFormat="1" applyFont="1" applyFill="1" applyBorder="1" applyAlignment="1">
      <alignment vertical="center"/>
    </xf>
    <xf numFmtId="3" fontId="2" fillId="34" borderId="99" xfId="0" applyNumberFormat="1" applyFont="1" applyFill="1" applyBorder="1" applyAlignment="1">
      <alignment vertical="center"/>
    </xf>
    <xf numFmtId="3" fontId="2" fillId="34" borderId="100" xfId="0" applyNumberFormat="1" applyFont="1" applyFill="1" applyBorder="1" applyAlignment="1">
      <alignment vertical="center"/>
    </xf>
    <xf numFmtId="3" fontId="2" fillId="34" borderId="55" xfId="0" applyNumberFormat="1" applyFont="1" applyFill="1" applyBorder="1" applyAlignment="1">
      <alignment vertical="center"/>
    </xf>
    <xf numFmtId="0" fontId="47" fillId="0" borderId="24" xfId="0" applyFont="1" applyBorder="1" applyAlignment="1">
      <alignment horizontal="right" vertical="center"/>
    </xf>
    <xf numFmtId="177" fontId="48" fillId="33" borderId="30" xfId="61" applyNumberFormat="1" applyFont="1" applyFill="1" applyBorder="1" applyAlignment="1">
      <alignment horizontal="right" vertical="center"/>
      <protection/>
    </xf>
    <xf numFmtId="177" fontId="48" fillId="34" borderId="33" xfId="61" applyNumberFormat="1" applyFont="1" applyFill="1" applyBorder="1" applyAlignment="1">
      <alignment horizontal="right" vertical="center"/>
      <protection/>
    </xf>
    <xf numFmtId="177" fontId="48" fillId="33" borderId="73" xfId="61" applyNumberFormat="1" applyFont="1" applyFill="1" applyBorder="1" applyAlignment="1">
      <alignment horizontal="right" vertical="center"/>
      <protection/>
    </xf>
    <xf numFmtId="177" fontId="48" fillId="33" borderId="22" xfId="61" applyNumberFormat="1" applyFont="1" applyFill="1" applyBorder="1" applyAlignment="1">
      <alignment horizontal="right" vertical="center"/>
      <protection/>
    </xf>
    <xf numFmtId="177" fontId="48" fillId="34" borderId="74" xfId="61" applyNumberFormat="1" applyFont="1" applyFill="1" applyBorder="1" applyAlignment="1">
      <alignment horizontal="right" vertical="center"/>
      <protection/>
    </xf>
    <xf numFmtId="177" fontId="48" fillId="33" borderId="75" xfId="61" applyNumberFormat="1" applyFont="1" applyFill="1" applyBorder="1" applyAlignment="1">
      <alignment horizontal="right" vertical="center"/>
      <protection/>
    </xf>
    <xf numFmtId="177" fontId="47" fillId="33" borderId="77" xfId="61" applyNumberFormat="1" applyFont="1" applyFill="1" applyBorder="1" applyAlignment="1">
      <alignment horizontal="right" vertical="center"/>
      <protection/>
    </xf>
    <xf numFmtId="177" fontId="47" fillId="34" borderId="76" xfId="61" applyNumberFormat="1" applyFont="1" applyFill="1" applyBorder="1" applyAlignment="1">
      <alignment horizontal="right" vertical="center"/>
      <protection/>
    </xf>
    <xf numFmtId="177" fontId="47" fillId="33" borderId="78" xfId="61" applyNumberFormat="1" applyFont="1" applyFill="1" applyBorder="1" applyAlignment="1">
      <alignment horizontal="right" vertical="center"/>
      <protection/>
    </xf>
    <xf numFmtId="177" fontId="49" fillId="0" borderId="81" xfId="61" applyNumberFormat="1" applyFont="1" applyFill="1" applyBorder="1" applyAlignment="1">
      <alignment horizontal="right" vertical="center"/>
      <protection/>
    </xf>
    <xf numFmtId="177" fontId="49" fillId="0" borderId="80" xfId="61" applyNumberFormat="1" applyFont="1" applyFill="1" applyBorder="1" applyAlignment="1">
      <alignment horizontal="right" vertical="center"/>
      <protection/>
    </xf>
    <xf numFmtId="177" fontId="49" fillId="0" borderId="82" xfId="61" applyNumberFormat="1" applyFont="1" applyFill="1" applyBorder="1" applyAlignment="1">
      <alignment horizontal="right" vertical="center"/>
      <protection/>
    </xf>
    <xf numFmtId="0" fontId="2" fillId="0" borderId="101"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xf>
    <xf numFmtId="0" fontId="6" fillId="0" borderId="105" xfId="0" applyFont="1" applyBorder="1" applyAlignment="1">
      <alignment horizontal="distributed" vertical="center"/>
    </xf>
    <xf numFmtId="0" fontId="6" fillId="0" borderId="106" xfId="0" applyFont="1" applyBorder="1" applyAlignment="1">
      <alignment horizontal="distributed" vertical="center"/>
    </xf>
    <xf numFmtId="0" fontId="2" fillId="0" borderId="54" xfId="0" applyFont="1" applyBorder="1" applyAlignment="1">
      <alignment horizontal="distributed" vertical="center"/>
    </xf>
    <xf numFmtId="0" fontId="2" fillId="0" borderId="107" xfId="0" applyFont="1" applyBorder="1" applyAlignment="1">
      <alignment horizontal="distributed" vertical="center"/>
    </xf>
    <xf numFmtId="0" fontId="2" fillId="0" borderId="3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16" xfId="0" applyFont="1" applyBorder="1" applyAlignment="1">
      <alignment horizontal="center" vertical="center"/>
    </xf>
    <xf numFmtId="0" fontId="2" fillId="0" borderId="38" xfId="0" applyFont="1" applyBorder="1" applyAlignment="1">
      <alignment horizontal="center" vertical="center"/>
    </xf>
    <xf numFmtId="0" fontId="2" fillId="0" borderId="117" xfId="0" applyFont="1" applyBorder="1" applyAlignment="1">
      <alignment horizontal="center" vertical="center"/>
    </xf>
    <xf numFmtId="0" fontId="2" fillId="0" borderId="103"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12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39" xfId="61" applyFont="1" applyBorder="1" applyAlignment="1">
      <alignment horizontal="distributed" vertical="center" wrapText="1"/>
      <protection/>
    </xf>
    <xf numFmtId="0" fontId="2" fillId="0" borderId="125"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2" fillId="0" borderId="38" xfId="61" applyFont="1" applyBorder="1" applyAlignment="1">
      <alignment horizontal="left" vertical="center"/>
      <protection/>
    </xf>
    <xf numFmtId="0" fontId="2" fillId="0" borderId="0" xfId="61" applyFont="1" applyAlignment="1">
      <alignment horizontal="left" vertical="center"/>
      <protection/>
    </xf>
    <xf numFmtId="0" fontId="2" fillId="0" borderId="108" xfId="61" applyFont="1" applyBorder="1" applyAlignment="1">
      <alignment horizontal="distributed" vertical="center"/>
      <protection/>
    </xf>
    <xf numFmtId="0" fontId="2" fillId="0" borderId="110" xfId="61" applyFont="1" applyBorder="1" applyAlignment="1">
      <alignment horizontal="distributed" vertical="center"/>
      <protection/>
    </xf>
    <xf numFmtId="0" fontId="2" fillId="0" borderId="129" xfId="61" applyFont="1" applyBorder="1" applyAlignment="1">
      <alignment horizontal="distributed" vertical="center"/>
      <protection/>
    </xf>
    <xf numFmtId="0" fontId="2" fillId="0" borderId="130" xfId="61" applyFont="1" applyBorder="1" applyAlignment="1">
      <alignment horizontal="center" vertical="center"/>
      <protection/>
    </xf>
    <xf numFmtId="0" fontId="2" fillId="0" borderId="121" xfId="61" applyFont="1" applyBorder="1" applyAlignment="1">
      <alignment horizontal="center" vertical="center" wrapText="1"/>
      <protection/>
    </xf>
    <xf numFmtId="0" fontId="2" fillId="0" borderId="131" xfId="61" applyFont="1" applyBorder="1" applyAlignment="1">
      <alignment horizontal="left" vertical="center"/>
      <protection/>
    </xf>
    <xf numFmtId="0" fontId="2" fillId="0" borderId="130" xfId="61" applyFont="1" applyBorder="1" applyAlignment="1">
      <alignment horizontal="center" vertical="center" wrapText="1"/>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distributed" vertical="center" wrapText="1"/>
      <protection/>
    </xf>
    <xf numFmtId="0" fontId="2" fillId="0" borderId="135" xfId="61" applyFont="1" applyBorder="1" applyAlignment="1">
      <alignment horizontal="distributed" vertical="center"/>
      <protection/>
    </xf>
    <xf numFmtId="0" fontId="2" fillId="0" borderId="136" xfId="61" applyFont="1" applyBorder="1" applyAlignment="1">
      <alignment horizontal="distributed" vertical="center" wrapText="1"/>
      <protection/>
    </xf>
    <xf numFmtId="0" fontId="2" fillId="0" borderId="137" xfId="61" applyFont="1" applyBorder="1" applyAlignment="1">
      <alignment horizontal="distributed" vertical="center"/>
      <protection/>
    </xf>
    <xf numFmtId="0" fontId="2" fillId="0" borderId="138" xfId="61" applyFont="1" applyBorder="1" applyAlignment="1">
      <alignment horizontal="distributed" vertical="center" wrapText="1"/>
      <protection/>
    </xf>
    <xf numFmtId="0" fontId="2" fillId="0" borderId="139" xfId="61" applyFont="1" applyBorder="1" applyAlignment="1">
      <alignment horizontal="distributed" vertical="center" wrapText="1"/>
      <protection/>
    </xf>
    <xf numFmtId="0" fontId="2" fillId="0" borderId="42" xfId="61" applyFont="1" applyBorder="1" applyAlignment="1">
      <alignment horizontal="center" vertical="center"/>
      <protection/>
    </xf>
    <xf numFmtId="177" fontId="50" fillId="34" borderId="60"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workbookViewId="0" topLeftCell="A1">
      <selection activeCell="B36" sqref="B36"/>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75" t="s">
        <v>0</v>
      </c>
      <c r="B1" s="175"/>
      <c r="C1" s="175"/>
      <c r="D1" s="175"/>
      <c r="E1" s="175"/>
      <c r="F1" s="175"/>
      <c r="G1" s="175"/>
      <c r="H1" s="175"/>
      <c r="I1" s="175"/>
      <c r="J1" s="175"/>
      <c r="K1" s="175"/>
    </row>
    <row r="2" spans="1:11" ht="15">
      <c r="A2" s="54"/>
      <c r="B2" s="54"/>
      <c r="C2" s="54"/>
      <c r="D2" s="54"/>
      <c r="E2" s="54"/>
      <c r="F2" s="54"/>
      <c r="G2" s="54"/>
      <c r="H2" s="54"/>
      <c r="I2" s="54"/>
      <c r="J2" s="54"/>
      <c r="K2" s="54"/>
    </row>
    <row r="3" spans="1:11" ht="12" thickBot="1">
      <c r="A3" s="176" t="s">
        <v>24</v>
      </c>
      <c r="B3" s="176"/>
      <c r="C3" s="176"/>
      <c r="D3" s="176"/>
      <c r="E3" s="176"/>
      <c r="F3" s="176"/>
      <c r="G3" s="176"/>
      <c r="H3" s="176"/>
      <c r="I3" s="176"/>
      <c r="J3" s="176"/>
      <c r="K3" s="176"/>
    </row>
    <row r="4" spans="1:11" ht="24" customHeight="1">
      <c r="A4" s="177" t="s">
        <v>1</v>
      </c>
      <c r="B4" s="178"/>
      <c r="C4" s="181" t="s">
        <v>15</v>
      </c>
      <c r="D4" s="182"/>
      <c r="E4" s="183"/>
      <c r="F4" s="181" t="s">
        <v>16</v>
      </c>
      <c r="G4" s="182"/>
      <c r="H4" s="183"/>
      <c r="I4" s="181" t="s">
        <v>17</v>
      </c>
      <c r="J4" s="182"/>
      <c r="K4" s="184"/>
    </row>
    <row r="5" spans="1:11" ht="24" customHeight="1">
      <c r="A5" s="179"/>
      <c r="B5" s="180"/>
      <c r="C5" s="185" t="s">
        <v>2</v>
      </c>
      <c r="D5" s="186"/>
      <c r="E5" s="6" t="s">
        <v>3</v>
      </c>
      <c r="F5" s="185" t="s">
        <v>2</v>
      </c>
      <c r="G5" s="186"/>
      <c r="H5" s="6" t="s">
        <v>3</v>
      </c>
      <c r="I5" s="185" t="s">
        <v>2</v>
      </c>
      <c r="J5" s="186"/>
      <c r="K5" s="14" t="s">
        <v>3</v>
      </c>
    </row>
    <row r="6" spans="1:11" ht="12" customHeight="1">
      <c r="A6" s="40"/>
      <c r="B6" s="43"/>
      <c r="C6" s="41"/>
      <c r="D6" s="33" t="s">
        <v>26</v>
      </c>
      <c r="E6" s="32" t="s">
        <v>25</v>
      </c>
      <c r="F6" s="41"/>
      <c r="G6" s="33" t="s">
        <v>26</v>
      </c>
      <c r="H6" s="32" t="s">
        <v>25</v>
      </c>
      <c r="I6" s="41"/>
      <c r="J6" s="33" t="s">
        <v>26</v>
      </c>
      <c r="K6" s="42" t="s">
        <v>25</v>
      </c>
    </row>
    <row r="7" spans="1:11" ht="30" customHeight="1">
      <c r="A7" s="164" t="s">
        <v>27</v>
      </c>
      <c r="B7" s="37" t="s">
        <v>18</v>
      </c>
      <c r="C7" s="15"/>
      <c r="D7" s="93">
        <v>12099</v>
      </c>
      <c r="E7" s="38">
        <v>8352199</v>
      </c>
      <c r="F7" s="18"/>
      <c r="G7" s="93">
        <v>32962</v>
      </c>
      <c r="H7" s="38">
        <v>276951030</v>
      </c>
      <c r="I7" s="18"/>
      <c r="J7" s="93">
        <v>45061</v>
      </c>
      <c r="K7" s="39">
        <v>285303228</v>
      </c>
    </row>
    <row r="8" spans="1:11" ht="30" customHeight="1">
      <c r="A8" s="165"/>
      <c r="B8" s="23" t="s">
        <v>19</v>
      </c>
      <c r="C8" s="15"/>
      <c r="D8" s="94">
        <v>17839</v>
      </c>
      <c r="E8" s="95">
        <v>7227206</v>
      </c>
      <c r="F8" s="18"/>
      <c r="G8" s="94">
        <v>12155</v>
      </c>
      <c r="H8" s="95">
        <v>7292338</v>
      </c>
      <c r="I8" s="18"/>
      <c r="J8" s="94">
        <v>29994</v>
      </c>
      <c r="K8" s="96">
        <v>14519543</v>
      </c>
    </row>
    <row r="9" spans="1:11" s="3" customFormat="1" ht="30" customHeight="1">
      <c r="A9" s="165"/>
      <c r="B9" s="24" t="s">
        <v>20</v>
      </c>
      <c r="C9" s="16"/>
      <c r="D9" s="97">
        <v>29938</v>
      </c>
      <c r="E9" s="98">
        <v>15579404</v>
      </c>
      <c r="F9" s="16"/>
      <c r="G9" s="97">
        <v>45117</v>
      </c>
      <c r="H9" s="98">
        <v>284243368</v>
      </c>
      <c r="I9" s="16"/>
      <c r="J9" s="97">
        <v>75055</v>
      </c>
      <c r="K9" s="99">
        <v>299822772</v>
      </c>
    </row>
    <row r="10" spans="1:11" ht="30" customHeight="1">
      <c r="A10" s="166"/>
      <c r="B10" s="25" t="s">
        <v>21</v>
      </c>
      <c r="C10" s="15"/>
      <c r="D10" s="100">
        <v>879</v>
      </c>
      <c r="E10" s="101">
        <v>507545</v>
      </c>
      <c r="F10" s="15"/>
      <c r="G10" s="100">
        <v>2870</v>
      </c>
      <c r="H10" s="101">
        <v>18680379</v>
      </c>
      <c r="I10" s="15"/>
      <c r="J10" s="100">
        <v>3749</v>
      </c>
      <c r="K10" s="102">
        <v>19187924</v>
      </c>
    </row>
    <row r="11" spans="1:11" ht="30" customHeight="1">
      <c r="A11" s="167" t="s">
        <v>28</v>
      </c>
      <c r="B11" s="55" t="s">
        <v>22</v>
      </c>
      <c r="C11" s="9"/>
      <c r="D11" s="103">
        <v>2194</v>
      </c>
      <c r="E11" s="20">
        <v>473123</v>
      </c>
      <c r="F11" s="34"/>
      <c r="G11" s="104">
        <v>2562</v>
      </c>
      <c r="H11" s="20">
        <v>1143904</v>
      </c>
      <c r="I11" s="34"/>
      <c r="J11" s="104">
        <v>4756</v>
      </c>
      <c r="K11" s="21">
        <v>1617027</v>
      </c>
    </row>
    <row r="12" spans="1:11" ht="30" customHeight="1">
      <c r="A12" s="168"/>
      <c r="B12" s="56" t="s">
        <v>23</v>
      </c>
      <c r="C12" s="35"/>
      <c r="D12" s="94">
        <v>177</v>
      </c>
      <c r="E12" s="95">
        <v>27534</v>
      </c>
      <c r="F12" s="36"/>
      <c r="G12" s="105">
        <v>340</v>
      </c>
      <c r="H12" s="95">
        <v>537767</v>
      </c>
      <c r="I12" s="36"/>
      <c r="J12" s="105">
        <v>517</v>
      </c>
      <c r="K12" s="96">
        <v>565301</v>
      </c>
    </row>
    <row r="13" spans="1:11" s="3" customFormat="1" ht="30" customHeight="1">
      <c r="A13" s="169" t="s">
        <v>6</v>
      </c>
      <c r="B13" s="170"/>
      <c r="C13" s="26" t="s">
        <v>14</v>
      </c>
      <c r="D13" s="106">
        <v>31530</v>
      </c>
      <c r="E13" s="107">
        <v>15517447</v>
      </c>
      <c r="F13" s="151" t="s">
        <v>134</v>
      </c>
      <c r="G13" s="106">
        <v>48272</v>
      </c>
      <c r="H13" s="107">
        <v>266169126</v>
      </c>
      <c r="I13" s="151" t="s">
        <v>14</v>
      </c>
      <c r="J13" s="106">
        <v>79802</v>
      </c>
      <c r="K13" s="108">
        <v>281686574</v>
      </c>
    </row>
    <row r="14" spans="1:11" ht="30" customHeight="1" thickBot="1">
      <c r="A14" s="171" t="s">
        <v>7</v>
      </c>
      <c r="B14" s="172"/>
      <c r="C14" s="17"/>
      <c r="D14" s="109">
        <v>1977</v>
      </c>
      <c r="E14" s="110">
        <v>89665</v>
      </c>
      <c r="F14" s="19"/>
      <c r="G14" s="109">
        <v>1938</v>
      </c>
      <c r="H14" s="110">
        <v>225812</v>
      </c>
      <c r="I14" s="19"/>
      <c r="J14" s="109">
        <v>3915</v>
      </c>
      <c r="K14" s="111">
        <v>315477</v>
      </c>
    </row>
    <row r="15" spans="1:11" s="4" customFormat="1" ht="37.5" customHeight="1">
      <c r="A15" s="53" t="s">
        <v>100</v>
      </c>
      <c r="B15" s="173" t="s">
        <v>126</v>
      </c>
      <c r="C15" s="173"/>
      <c r="D15" s="173"/>
      <c r="E15" s="173"/>
      <c r="F15" s="173"/>
      <c r="G15" s="173"/>
      <c r="H15" s="173"/>
      <c r="I15" s="173"/>
      <c r="J15" s="173"/>
      <c r="K15" s="173"/>
    </row>
    <row r="16" spans="2:11" ht="45" customHeight="1">
      <c r="B16" s="174" t="s">
        <v>127</v>
      </c>
      <c r="C16" s="174"/>
      <c r="D16" s="174"/>
      <c r="E16" s="174"/>
      <c r="F16" s="174"/>
      <c r="G16" s="174"/>
      <c r="H16" s="174"/>
      <c r="I16" s="174"/>
      <c r="J16" s="174"/>
      <c r="K16" s="174"/>
    </row>
    <row r="17" spans="1:2" ht="14.25" customHeight="1">
      <c r="A17" s="1" t="s">
        <v>101</v>
      </c>
      <c r="B17" s="1" t="s">
        <v>102</v>
      </c>
    </row>
    <row r="18" spans="1:2" ht="11.25">
      <c r="A18" s="59" t="s">
        <v>103</v>
      </c>
      <c r="B18" s="1" t="s">
        <v>125</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&amp;R&amp;K01+000金沢国税局
消費税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35">
      <selection activeCell="B43" sqref="B43"/>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29</v>
      </c>
    </row>
    <row r="2" spans="1:8" s="1" customFormat="1" ht="15" customHeight="1">
      <c r="A2" s="177" t="s">
        <v>1</v>
      </c>
      <c r="B2" s="178"/>
      <c r="C2" s="187" t="s">
        <v>115</v>
      </c>
      <c r="D2" s="187"/>
      <c r="E2" s="187" t="s">
        <v>116</v>
      </c>
      <c r="F2" s="187"/>
      <c r="G2" s="188" t="s">
        <v>117</v>
      </c>
      <c r="H2" s="189"/>
    </row>
    <row r="3" spans="1:8" s="1" customFormat="1" ht="15" customHeight="1">
      <c r="A3" s="179"/>
      <c r="B3" s="180"/>
      <c r="C3" s="9" t="s">
        <v>118</v>
      </c>
      <c r="D3" s="6" t="s">
        <v>119</v>
      </c>
      <c r="E3" s="9" t="s">
        <v>118</v>
      </c>
      <c r="F3" s="7" t="s">
        <v>119</v>
      </c>
      <c r="G3" s="9" t="s">
        <v>118</v>
      </c>
      <c r="H3" s="8" t="s">
        <v>119</v>
      </c>
    </row>
    <row r="4" spans="1:8" s="10" customFormat="1" ht="15" customHeight="1">
      <c r="A4" s="45"/>
      <c r="B4" s="6"/>
      <c r="C4" s="46" t="s">
        <v>4</v>
      </c>
      <c r="D4" s="47" t="s">
        <v>5</v>
      </c>
      <c r="E4" s="46" t="s">
        <v>4</v>
      </c>
      <c r="F4" s="47" t="s">
        <v>5</v>
      </c>
      <c r="G4" s="46" t="s">
        <v>4</v>
      </c>
      <c r="H4" s="48" t="s">
        <v>5</v>
      </c>
    </row>
    <row r="5" spans="1:8" s="57" customFormat="1" ht="30" customHeight="1">
      <c r="A5" s="192" t="s">
        <v>129</v>
      </c>
      <c r="B5" s="37" t="s">
        <v>12</v>
      </c>
      <c r="C5" s="44">
        <v>31340</v>
      </c>
      <c r="D5" s="38">
        <v>14534512</v>
      </c>
      <c r="E5" s="44">
        <v>45329</v>
      </c>
      <c r="F5" s="38">
        <v>236925082</v>
      </c>
      <c r="G5" s="44">
        <v>76669</v>
      </c>
      <c r="H5" s="39">
        <v>251459594</v>
      </c>
    </row>
    <row r="6" spans="1:8" s="57" customFormat="1" ht="30" customHeight="1">
      <c r="A6" s="193"/>
      <c r="B6" s="25" t="s">
        <v>13</v>
      </c>
      <c r="C6" s="28">
        <v>788</v>
      </c>
      <c r="D6" s="29">
        <v>355536</v>
      </c>
      <c r="E6" s="28">
        <v>2426</v>
      </c>
      <c r="F6" s="29">
        <v>18794523</v>
      </c>
      <c r="G6" s="28">
        <v>3214</v>
      </c>
      <c r="H6" s="30">
        <v>19150059</v>
      </c>
    </row>
    <row r="7" spans="1:8" s="57" customFormat="1" ht="30" customHeight="1">
      <c r="A7" s="192" t="s">
        <v>130</v>
      </c>
      <c r="B7" s="22" t="s">
        <v>12</v>
      </c>
      <c r="C7" s="27">
        <v>31259</v>
      </c>
      <c r="D7" s="20">
        <v>16069693</v>
      </c>
      <c r="E7" s="27">
        <v>45221</v>
      </c>
      <c r="F7" s="20">
        <v>273245954</v>
      </c>
      <c r="G7" s="27">
        <v>76480</v>
      </c>
      <c r="H7" s="21">
        <v>289315647</v>
      </c>
    </row>
    <row r="8" spans="1:8" s="57" customFormat="1" ht="30" customHeight="1">
      <c r="A8" s="193"/>
      <c r="B8" s="25" t="s">
        <v>13</v>
      </c>
      <c r="C8" s="28">
        <v>793</v>
      </c>
      <c r="D8" s="29">
        <v>464040</v>
      </c>
      <c r="E8" s="28">
        <v>2564</v>
      </c>
      <c r="F8" s="29">
        <v>17450017</v>
      </c>
      <c r="G8" s="28">
        <v>3357</v>
      </c>
      <c r="H8" s="30">
        <v>17914056</v>
      </c>
    </row>
    <row r="9" spans="1:8" s="57" customFormat="1" ht="30" customHeight="1">
      <c r="A9" s="192" t="s">
        <v>131</v>
      </c>
      <c r="B9" s="22" t="s">
        <v>12</v>
      </c>
      <c r="C9" s="27">
        <v>31015</v>
      </c>
      <c r="D9" s="20">
        <v>16058452</v>
      </c>
      <c r="E9" s="27">
        <v>45371</v>
      </c>
      <c r="F9" s="20">
        <v>279162591</v>
      </c>
      <c r="G9" s="27">
        <v>76386</v>
      </c>
      <c r="H9" s="21">
        <v>295221042</v>
      </c>
    </row>
    <row r="10" spans="1:8" s="57" customFormat="1" ht="30" customHeight="1">
      <c r="A10" s="193"/>
      <c r="B10" s="25" t="s">
        <v>13</v>
      </c>
      <c r="C10" s="28">
        <v>727</v>
      </c>
      <c r="D10" s="29">
        <v>462986</v>
      </c>
      <c r="E10" s="28">
        <v>2607</v>
      </c>
      <c r="F10" s="29">
        <v>18831568</v>
      </c>
      <c r="G10" s="28">
        <v>3334</v>
      </c>
      <c r="H10" s="30">
        <v>19294554</v>
      </c>
    </row>
    <row r="11" spans="1:8" s="57" customFormat="1" ht="30" customHeight="1">
      <c r="A11" s="192" t="s">
        <v>132</v>
      </c>
      <c r="B11" s="22" t="s">
        <v>12</v>
      </c>
      <c r="C11" s="27">
        <v>30434</v>
      </c>
      <c r="D11" s="20">
        <v>15781037</v>
      </c>
      <c r="E11" s="27">
        <v>45189</v>
      </c>
      <c r="F11" s="20">
        <v>284589009</v>
      </c>
      <c r="G11" s="27">
        <v>75623</v>
      </c>
      <c r="H11" s="21">
        <v>300370046</v>
      </c>
    </row>
    <row r="12" spans="1:8" s="57" customFormat="1" ht="30" customHeight="1">
      <c r="A12" s="193"/>
      <c r="B12" s="25" t="s">
        <v>13</v>
      </c>
      <c r="C12" s="28">
        <v>792</v>
      </c>
      <c r="D12" s="29">
        <v>613265</v>
      </c>
      <c r="E12" s="28">
        <v>2767</v>
      </c>
      <c r="F12" s="29">
        <v>27853950</v>
      </c>
      <c r="G12" s="28">
        <v>3559</v>
      </c>
      <c r="H12" s="30">
        <v>28467215</v>
      </c>
    </row>
    <row r="13" spans="1:8" s="1" customFormat="1" ht="30" customHeight="1">
      <c r="A13" s="190" t="s">
        <v>133</v>
      </c>
      <c r="B13" s="22" t="s">
        <v>12</v>
      </c>
      <c r="C13" s="27">
        <v>29938</v>
      </c>
      <c r="D13" s="20">
        <v>15579404</v>
      </c>
      <c r="E13" s="27">
        <v>45117</v>
      </c>
      <c r="F13" s="20">
        <v>284243368</v>
      </c>
      <c r="G13" s="27">
        <v>75055</v>
      </c>
      <c r="H13" s="21">
        <v>299822772</v>
      </c>
    </row>
    <row r="14" spans="1:8" s="1" customFormat="1" ht="30" customHeight="1" thickBot="1">
      <c r="A14" s="191"/>
      <c r="B14" s="31" t="s">
        <v>13</v>
      </c>
      <c r="C14" s="144">
        <v>879</v>
      </c>
      <c r="D14" s="145">
        <v>507545</v>
      </c>
      <c r="E14" s="144">
        <v>2870</v>
      </c>
      <c r="F14" s="145">
        <v>18680379</v>
      </c>
      <c r="G14" s="144">
        <v>3749</v>
      </c>
      <c r="H14" s="146">
        <v>19187924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&amp;R&amp;K01+000金沢国税局
消費税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25">
      <selection activeCell="A46" sqref="A46"/>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113</v>
      </c>
    </row>
    <row r="2" spans="1:4" s="4" customFormat="1" ht="19.5" customHeight="1">
      <c r="A2" s="11" t="s">
        <v>8</v>
      </c>
      <c r="B2" s="12" t="s">
        <v>9</v>
      </c>
      <c r="C2" s="13" t="s">
        <v>10</v>
      </c>
      <c r="D2" s="60" t="s">
        <v>114</v>
      </c>
    </row>
    <row r="3" spans="1:4" s="10" customFormat="1" ht="15" customHeight="1">
      <c r="A3" s="49" t="s">
        <v>4</v>
      </c>
      <c r="B3" s="50" t="s">
        <v>4</v>
      </c>
      <c r="C3" s="51" t="s">
        <v>4</v>
      </c>
      <c r="D3" s="52" t="s">
        <v>4</v>
      </c>
    </row>
    <row r="4" spans="1:9" s="4" customFormat="1" ht="30" customHeight="1" thickBot="1">
      <c r="A4" s="147">
        <v>75921</v>
      </c>
      <c r="B4" s="148">
        <v>2377</v>
      </c>
      <c r="C4" s="149">
        <v>174</v>
      </c>
      <c r="D4" s="150">
        <v>78472</v>
      </c>
      <c r="E4" s="5"/>
      <c r="G4" s="5"/>
      <c r="I4" s="5"/>
    </row>
    <row r="5" spans="1:4" s="4" customFormat="1" ht="15" customHeight="1">
      <c r="A5" s="194" t="s">
        <v>128</v>
      </c>
      <c r="B5" s="194"/>
      <c r="C5" s="194"/>
      <c r="D5" s="194"/>
    </row>
    <row r="6" spans="1:4" s="4" customFormat="1" ht="15" customHeight="1">
      <c r="A6" s="195" t="s">
        <v>11</v>
      </c>
      <c r="B6" s="195"/>
      <c r="C6" s="195"/>
      <c r="D6" s="195"/>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&amp;R&amp;K01+000金沢国税局
消費税
(H30)</oddFooter>
  </headerFooter>
</worksheet>
</file>

<file path=xl/worksheets/sheet4.xml><?xml version="1.0" encoding="utf-8"?>
<worksheet xmlns="http://schemas.openxmlformats.org/spreadsheetml/2006/main" xmlns:r="http://schemas.openxmlformats.org/officeDocument/2006/relationships">
  <dimension ref="A1:N29"/>
  <sheetViews>
    <sheetView zoomScaleSheetLayoutView="100" workbookViewId="0" topLeftCell="B7">
      <selection activeCell="D49" sqref="D49"/>
    </sheetView>
  </sheetViews>
  <sheetFormatPr defaultColWidth="9.00390625" defaultRowHeight="13.5"/>
  <cols>
    <col min="1" max="1" width="11.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123</v>
      </c>
      <c r="B1" s="61"/>
      <c r="C1" s="61"/>
      <c r="D1" s="61"/>
      <c r="E1" s="61"/>
      <c r="F1" s="61"/>
      <c r="G1" s="61"/>
      <c r="H1" s="61"/>
      <c r="I1" s="61"/>
      <c r="J1" s="61"/>
      <c r="K1" s="61"/>
      <c r="L1" s="62"/>
      <c r="M1" s="62"/>
      <c r="N1" s="112"/>
    </row>
    <row r="2" spans="1:14" ht="14.25" thickBot="1">
      <c r="A2" s="206" t="s">
        <v>30</v>
      </c>
      <c r="B2" s="206"/>
      <c r="C2" s="206"/>
      <c r="D2" s="206"/>
      <c r="E2" s="206"/>
      <c r="F2" s="206"/>
      <c r="G2" s="206"/>
      <c r="H2" s="62"/>
      <c r="I2" s="62"/>
      <c r="J2" s="62"/>
      <c r="K2" s="62"/>
      <c r="L2" s="62"/>
      <c r="M2" s="62"/>
      <c r="N2" s="62"/>
    </row>
    <row r="3" spans="1:14" ht="13.5">
      <c r="A3" s="207" t="s">
        <v>104</v>
      </c>
      <c r="B3" s="210" t="s">
        <v>105</v>
      </c>
      <c r="C3" s="210"/>
      <c r="D3" s="210"/>
      <c r="E3" s="210"/>
      <c r="F3" s="210"/>
      <c r="G3" s="210"/>
      <c r="H3" s="196" t="s">
        <v>13</v>
      </c>
      <c r="I3" s="197"/>
      <c r="J3" s="211" t="s">
        <v>33</v>
      </c>
      <c r="K3" s="197"/>
      <c r="L3" s="196" t="s">
        <v>34</v>
      </c>
      <c r="M3" s="197"/>
      <c r="N3" s="200" t="s">
        <v>35</v>
      </c>
    </row>
    <row r="4" spans="1:14" ht="13.5">
      <c r="A4" s="208"/>
      <c r="B4" s="203" t="s">
        <v>106</v>
      </c>
      <c r="C4" s="203"/>
      <c r="D4" s="198" t="s">
        <v>36</v>
      </c>
      <c r="E4" s="204"/>
      <c r="F4" s="198" t="s">
        <v>37</v>
      </c>
      <c r="G4" s="204"/>
      <c r="H4" s="198"/>
      <c r="I4" s="199"/>
      <c r="J4" s="198"/>
      <c r="K4" s="199"/>
      <c r="L4" s="198"/>
      <c r="M4" s="199"/>
      <c r="N4" s="201"/>
    </row>
    <row r="5" spans="1:14" ht="22.5">
      <c r="A5" s="209"/>
      <c r="B5" s="63" t="s">
        <v>107</v>
      </c>
      <c r="C5" s="64" t="s">
        <v>108</v>
      </c>
      <c r="D5" s="63" t="s">
        <v>107</v>
      </c>
      <c r="E5" s="64" t="s">
        <v>108</v>
      </c>
      <c r="F5" s="63" t="s">
        <v>107</v>
      </c>
      <c r="G5" s="65" t="s">
        <v>109</v>
      </c>
      <c r="H5" s="63" t="s">
        <v>107</v>
      </c>
      <c r="I5" s="66" t="s">
        <v>110</v>
      </c>
      <c r="J5" s="63" t="s">
        <v>107</v>
      </c>
      <c r="K5" s="66" t="s">
        <v>111</v>
      </c>
      <c r="L5" s="63" t="s">
        <v>107</v>
      </c>
      <c r="M5" s="67" t="s">
        <v>112</v>
      </c>
      <c r="N5" s="202"/>
    </row>
    <row r="6" spans="1:14" ht="13.5">
      <c r="A6" s="68"/>
      <c r="B6" s="69" t="s">
        <v>4</v>
      </c>
      <c r="C6" s="70" t="s">
        <v>5</v>
      </c>
      <c r="D6" s="69" t="s">
        <v>4</v>
      </c>
      <c r="E6" s="70" t="s">
        <v>5</v>
      </c>
      <c r="F6" s="69" t="s">
        <v>4</v>
      </c>
      <c r="G6" s="70" t="s">
        <v>5</v>
      </c>
      <c r="H6" s="69" t="s">
        <v>4</v>
      </c>
      <c r="I6" s="71" t="s">
        <v>5</v>
      </c>
      <c r="J6" s="69" t="s">
        <v>4</v>
      </c>
      <c r="K6" s="71" t="s">
        <v>5</v>
      </c>
      <c r="L6" s="69" t="s">
        <v>122</v>
      </c>
      <c r="M6" s="71" t="s">
        <v>5</v>
      </c>
      <c r="N6" s="72"/>
    </row>
    <row r="7" spans="1:14" ht="13.5">
      <c r="A7" s="73" t="s">
        <v>44</v>
      </c>
      <c r="B7" s="113">
        <f>_xlfn.COMPOUNDVALUE(121)</f>
        <v>1496</v>
      </c>
      <c r="C7" s="152">
        <v>1162028</v>
      </c>
      <c r="D7" s="153">
        <f>_xlfn.COMPOUNDVALUE(122)</f>
        <v>2213</v>
      </c>
      <c r="E7" s="152">
        <v>950352</v>
      </c>
      <c r="F7" s="153">
        <f>_xlfn.COMPOUNDVALUE(123)</f>
        <v>3709</v>
      </c>
      <c r="G7" s="152">
        <v>2112380</v>
      </c>
      <c r="H7" s="153">
        <f>_xlfn.COMPOUNDVALUE(124)</f>
        <v>115</v>
      </c>
      <c r="I7" s="154">
        <v>53594</v>
      </c>
      <c r="J7" s="113">
        <v>263</v>
      </c>
      <c r="K7" s="115">
        <v>75637</v>
      </c>
      <c r="L7" s="113">
        <v>3874</v>
      </c>
      <c r="M7" s="115">
        <v>2134423</v>
      </c>
      <c r="N7" s="92" t="s">
        <v>45</v>
      </c>
    </row>
    <row r="8" spans="1:14" ht="13.5">
      <c r="A8" s="75" t="s">
        <v>46</v>
      </c>
      <c r="B8" s="118">
        <f>_xlfn.COMPOUNDVALUE(125)</f>
        <v>1227</v>
      </c>
      <c r="C8" s="155">
        <v>918041</v>
      </c>
      <c r="D8" s="156">
        <f>_xlfn.COMPOUNDVALUE(126)</f>
        <v>1777</v>
      </c>
      <c r="E8" s="155">
        <v>702394</v>
      </c>
      <c r="F8" s="156">
        <f>_xlfn.COMPOUNDVALUE(127)</f>
        <v>3004</v>
      </c>
      <c r="G8" s="155">
        <v>1620435</v>
      </c>
      <c r="H8" s="156">
        <f>_xlfn.COMPOUNDVALUE(128)</f>
        <v>84</v>
      </c>
      <c r="I8" s="157">
        <v>46178</v>
      </c>
      <c r="J8" s="118">
        <v>225</v>
      </c>
      <c r="K8" s="120">
        <v>39350</v>
      </c>
      <c r="L8" s="118">
        <v>3184</v>
      </c>
      <c r="M8" s="120">
        <v>1613607</v>
      </c>
      <c r="N8" s="76" t="s">
        <v>47</v>
      </c>
    </row>
    <row r="9" spans="1:14" ht="13.5">
      <c r="A9" s="75" t="s">
        <v>48</v>
      </c>
      <c r="B9" s="118">
        <f>_xlfn.COMPOUNDVALUE(129)</f>
        <v>722</v>
      </c>
      <c r="C9" s="155">
        <v>534354</v>
      </c>
      <c r="D9" s="156">
        <f>_xlfn.COMPOUNDVALUE(130)</f>
        <v>1236</v>
      </c>
      <c r="E9" s="155">
        <v>483728</v>
      </c>
      <c r="F9" s="156">
        <f>_xlfn.COMPOUNDVALUE(131)</f>
        <v>1958</v>
      </c>
      <c r="G9" s="155">
        <v>1018082</v>
      </c>
      <c r="H9" s="156">
        <f>_xlfn.COMPOUNDVALUE(132)</f>
        <v>63</v>
      </c>
      <c r="I9" s="157">
        <v>22476</v>
      </c>
      <c r="J9" s="118">
        <v>115</v>
      </c>
      <c r="K9" s="120">
        <v>21765</v>
      </c>
      <c r="L9" s="118">
        <v>2052</v>
      </c>
      <c r="M9" s="120">
        <v>1017371</v>
      </c>
      <c r="N9" s="76" t="s">
        <v>49</v>
      </c>
    </row>
    <row r="10" spans="1:14" ht="13.5">
      <c r="A10" s="75" t="s">
        <v>50</v>
      </c>
      <c r="B10" s="118">
        <f>_xlfn.COMPOUNDVALUE(133)</f>
        <v>502</v>
      </c>
      <c r="C10" s="155">
        <v>328010</v>
      </c>
      <c r="D10" s="156">
        <f>_xlfn.COMPOUNDVALUE(134)</f>
        <v>788</v>
      </c>
      <c r="E10" s="155">
        <v>302048</v>
      </c>
      <c r="F10" s="156">
        <f>_xlfn.COMPOUNDVALUE(135)</f>
        <v>1290</v>
      </c>
      <c r="G10" s="155">
        <v>630057</v>
      </c>
      <c r="H10" s="156">
        <f>_xlfn.COMPOUNDVALUE(136)</f>
        <v>42</v>
      </c>
      <c r="I10" s="157">
        <v>26169</v>
      </c>
      <c r="J10" s="118">
        <v>42</v>
      </c>
      <c r="K10" s="120">
        <v>6891</v>
      </c>
      <c r="L10" s="118">
        <v>1345</v>
      </c>
      <c r="M10" s="120">
        <v>610779</v>
      </c>
      <c r="N10" s="76" t="s">
        <v>51</v>
      </c>
    </row>
    <row r="11" spans="1:14" ht="13.5">
      <c r="A11" s="77" t="s">
        <v>52</v>
      </c>
      <c r="B11" s="121">
        <v>3947</v>
      </c>
      <c r="C11" s="158">
        <v>2942433</v>
      </c>
      <c r="D11" s="159">
        <v>6014</v>
      </c>
      <c r="E11" s="158">
        <v>2438521</v>
      </c>
      <c r="F11" s="159">
        <v>9961</v>
      </c>
      <c r="G11" s="158">
        <v>5380954</v>
      </c>
      <c r="H11" s="159">
        <v>304</v>
      </c>
      <c r="I11" s="160">
        <v>148416</v>
      </c>
      <c r="J11" s="121">
        <v>645</v>
      </c>
      <c r="K11" s="123">
        <v>143643</v>
      </c>
      <c r="L11" s="121">
        <v>10455</v>
      </c>
      <c r="M11" s="123">
        <v>5376181</v>
      </c>
      <c r="N11" s="78" t="s">
        <v>53</v>
      </c>
    </row>
    <row r="12" spans="1:14" ht="13.5">
      <c r="A12" s="79"/>
      <c r="B12" s="126"/>
      <c r="C12" s="161"/>
      <c r="D12" s="162"/>
      <c r="E12" s="161"/>
      <c r="F12" s="163"/>
      <c r="G12" s="161"/>
      <c r="H12" s="163"/>
      <c r="I12" s="161"/>
      <c r="J12" s="128"/>
      <c r="K12" s="127"/>
      <c r="L12" s="128"/>
      <c r="M12" s="127"/>
      <c r="N12" s="80"/>
    </row>
    <row r="13" spans="1:14" ht="13.5">
      <c r="A13" s="73" t="s">
        <v>54</v>
      </c>
      <c r="B13" s="113">
        <f>_xlfn.COMPOUNDVALUE(137)</f>
        <v>2301</v>
      </c>
      <c r="C13" s="152">
        <v>1503726</v>
      </c>
      <c r="D13" s="153">
        <f>_xlfn.COMPOUNDVALUE(138)</f>
        <v>3177</v>
      </c>
      <c r="E13" s="152">
        <v>1377137</v>
      </c>
      <c r="F13" s="153">
        <f>_xlfn.COMPOUNDVALUE(139)</f>
        <v>5478</v>
      </c>
      <c r="G13" s="152">
        <v>2880863</v>
      </c>
      <c r="H13" s="153">
        <f>_xlfn.COMPOUNDVALUE(140)</f>
        <v>146</v>
      </c>
      <c r="I13" s="154">
        <v>141470</v>
      </c>
      <c r="J13" s="113">
        <v>503</v>
      </c>
      <c r="K13" s="115">
        <v>104387</v>
      </c>
      <c r="L13" s="113">
        <v>5794</v>
      </c>
      <c r="M13" s="115">
        <v>2843780</v>
      </c>
      <c r="N13" s="74" t="s">
        <v>54</v>
      </c>
    </row>
    <row r="14" spans="1:14" ht="13.5">
      <c r="A14" s="75" t="s">
        <v>55</v>
      </c>
      <c r="B14" s="118">
        <f>_xlfn.COMPOUNDVALUE(141)</f>
        <v>461</v>
      </c>
      <c r="C14" s="155">
        <v>256632</v>
      </c>
      <c r="D14" s="156">
        <f>_xlfn.COMPOUNDVALUE(142)</f>
        <v>803</v>
      </c>
      <c r="E14" s="155">
        <v>298372</v>
      </c>
      <c r="F14" s="156">
        <f>_xlfn.COMPOUNDVALUE(143)</f>
        <v>1264</v>
      </c>
      <c r="G14" s="155">
        <v>555004</v>
      </c>
      <c r="H14" s="156">
        <f>_xlfn.COMPOUNDVALUE(144)</f>
        <v>39</v>
      </c>
      <c r="I14" s="157">
        <v>17954</v>
      </c>
      <c r="J14" s="118">
        <v>105</v>
      </c>
      <c r="K14" s="120">
        <v>14286</v>
      </c>
      <c r="L14" s="118">
        <v>1334</v>
      </c>
      <c r="M14" s="120">
        <v>551336</v>
      </c>
      <c r="N14" s="76" t="s">
        <v>55</v>
      </c>
    </row>
    <row r="15" spans="1:14" ht="13.5">
      <c r="A15" s="75" t="s">
        <v>56</v>
      </c>
      <c r="B15" s="118">
        <f>_xlfn.COMPOUNDVALUE(145)</f>
        <v>979</v>
      </c>
      <c r="C15" s="155">
        <v>917636</v>
      </c>
      <c r="D15" s="156">
        <f>_xlfn.COMPOUNDVALUE(146)</f>
        <v>1563</v>
      </c>
      <c r="E15" s="155">
        <v>609597</v>
      </c>
      <c r="F15" s="156">
        <f>_xlfn.COMPOUNDVALUE(147)</f>
        <v>2542</v>
      </c>
      <c r="G15" s="155">
        <v>1527233</v>
      </c>
      <c r="H15" s="156">
        <f>_xlfn.COMPOUNDVALUE(148)</f>
        <v>63</v>
      </c>
      <c r="I15" s="157">
        <v>32061</v>
      </c>
      <c r="J15" s="118">
        <v>222</v>
      </c>
      <c r="K15" s="120">
        <v>45041</v>
      </c>
      <c r="L15" s="118">
        <v>2669</v>
      </c>
      <c r="M15" s="120">
        <v>1540213</v>
      </c>
      <c r="N15" s="76" t="s">
        <v>56</v>
      </c>
    </row>
    <row r="16" spans="1:14" ht="13.5">
      <c r="A16" s="75" t="s">
        <v>57</v>
      </c>
      <c r="B16" s="118">
        <f>_xlfn.COMPOUNDVALUE(149)</f>
        <v>301</v>
      </c>
      <c r="C16" s="155">
        <v>201615</v>
      </c>
      <c r="D16" s="156">
        <f>_xlfn.COMPOUNDVALUE(150)</f>
        <v>597</v>
      </c>
      <c r="E16" s="155">
        <v>202364</v>
      </c>
      <c r="F16" s="156">
        <f>_xlfn.COMPOUNDVALUE(151)</f>
        <v>898</v>
      </c>
      <c r="G16" s="155">
        <v>403979</v>
      </c>
      <c r="H16" s="156">
        <f>_xlfn.COMPOUNDVALUE(152)</f>
        <v>18</v>
      </c>
      <c r="I16" s="157">
        <v>5845</v>
      </c>
      <c r="J16" s="118">
        <v>69</v>
      </c>
      <c r="K16" s="120">
        <v>5998</v>
      </c>
      <c r="L16" s="118">
        <v>921</v>
      </c>
      <c r="M16" s="120">
        <v>404132</v>
      </c>
      <c r="N16" s="76" t="s">
        <v>57</v>
      </c>
    </row>
    <row r="17" spans="1:14" ht="13.5">
      <c r="A17" s="75" t="s">
        <v>58</v>
      </c>
      <c r="B17" s="118">
        <f>_xlfn.COMPOUNDVALUE(153)</f>
        <v>590</v>
      </c>
      <c r="C17" s="155">
        <v>379685</v>
      </c>
      <c r="D17" s="156">
        <f>_xlfn.COMPOUNDVALUE(154)</f>
        <v>913</v>
      </c>
      <c r="E17" s="155">
        <v>367549</v>
      </c>
      <c r="F17" s="156">
        <f>_xlfn.COMPOUNDVALUE(155)</f>
        <v>1503</v>
      </c>
      <c r="G17" s="155">
        <v>747234</v>
      </c>
      <c r="H17" s="156">
        <f>_xlfn.COMPOUNDVALUE(156)</f>
        <v>49</v>
      </c>
      <c r="I17" s="157">
        <v>38267</v>
      </c>
      <c r="J17" s="118">
        <v>142</v>
      </c>
      <c r="K17" s="120">
        <v>27900</v>
      </c>
      <c r="L17" s="118">
        <v>1598</v>
      </c>
      <c r="M17" s="120">
        <v>736867</v>
      </c>
      <c r="N17" s="76" t="s">
        <v>58</v>
      </c>
    </row>
    <row r="18" spans="1:14" ht="13.5">
      <c r="A18" s="77" t="s">
        <v>59</v>
      </c>
      <c r="B18" s="121">
        <v>4632</v>
      </c>
      <c r="C18" s="158">
        <v>3259295</v>
      </c>
      <c r="D18" s="159">
        <v>7053</v>
      </c>
      <c r="E18" s="158">
        <v>2855018</v>
      </c>
      <c r="F18" s="159">
        <v>11685</v>
      </c>
      <c r="G18" s="158">
        <v>6114313</v>
      </c>
      <c r="H18" s="159">
        <v>315</v>
      </c>
      <c r="I18" s="160">
        <v>235598</v>
      </c>
      <c r="J18" s="121">
        <v>1041</v>
      </c>
      <c r="K18" s="123">
        <v>197613</v>
      </c>
      <c r="L18" s="121">
        <v>12316</v>
      </c>
      <c r="M18" s="123">
        <v>6076329</v>
      </c>
      <c r="N18" s="78" t="s">
        <v>59</v>
      </c>
    </row>
    <row r="19" spans="1:14" ht="13.5">
      <c r="A19" s="79"/>
      <c r="B19" s="126"/>
      <c r="C19" s="161"/>
      <c r="D19" s="162"/>
      <c r="E19" s="161"/>
      <c r="F19" s="163"/>
      <c r="G19" s="161"/>
      <c r="H19" s="163"/>
      <c r="I19" s="161"/>
      <c r="J19" s="128"/>
      <c r="K19" s="127"/>
      <c r="L19" s="128"/>
      <c r="M19" s="127"/>
      <c r="N19" s="80"/>
    </row>
    <row r="20" spans="1:14" ht="13.5">
      <c r="A20" s="73" t="s">
        <v>60</v>
      </c>
      <c r="B20" s="113">
        <f>_xlfn.COMPOUNDVALUE(157)</f>
        <v>1320</v>
      </c>
      <c r="C20" s="152">
        <v>825662</v>
      </c>
      <c r="D20" s="153">
        <f>_xlfn.COMPOUNDVALUE(158)</f>
        <v>1684</v>
      </c>
      <c r="E20" s="152">
        <v>705752</v>
      </c>
      <c r="F20" s="153">
        <f>_xlfn.COMPOUNDVALUE(159)</f>
        <v>3004</v>
      </c>
      <c r="G20" s="152">
        <v>1531414</v>
      </c>
      <c r="H20" s="153">
        <f>_xlfn.COMPOUNDVALUE(160)</f>
        <v>79</v>
      </c>
      <c r="I20" s="154">
        <v>35520</v>
      </c>
      <c r="J20" s="113">
        <v>254</v>
      </c>
      <c r="K20" s="115">
        <v>48493</v>
      </c>
      <c r="L20" s="113">
        <v>3169</v>
      </c>
      <c r="M20" s="115">
        <v>1544387</v>
      </c>
      <c r="N20" s="74" t="s">
        <v>61</v>
      </c>
    </row>
    <row r="21" spans="1:14" ht="13.5">
      <c r="A21" s="75" t="s">
        <v>62</v>
      </c>
      <c r="B21" s="118">
        <f>_xlfn.COMPOUNDVALUE(161)</f>
        <v>304</v>
      </c>
      <c r="C21" s="155">
        <v>183507</v>
      </c>
      <c r="D21" s="156">
        <f>_xlfn.COMPOUNDVALUE(162)</f>
        <v>531</v>
      </c>
      <c r="E21" s="155">
        <v>212187</v>
      </c>
      <c r="F21" s="156">
        <f>_xlfn.COMPOUNDVALUE(163)</f>
        <v>835</v>
      </c>
      <c r="G21" s="155">
        <v>395694</v>
      </c>
      <c r="H21" s="156">
        <f>_xlfn.COMPOUNDVALUE(164)</f>
        <v>38</v>
      </c>
      <c r="I21" s="157">
        <v>10532</v>
      </c>
      <c r="J21" s="118">
        <v>90</v>
      </c>
      <c r="K21" s="120">
        <v>11661</v>
      </c>
      <c r="L21" s="118">
        <v>901</v>
      </c>
      <c r="M21" s="120">
        <v>396823</v>
      </c>
      <c r="N21" s="76" t="s">
        <v>63</v>
      </c>
    </row>
    <row r="22" spans="1:14" ht="13.5">
      <c r="A22" s="75" t="s">
        <v>64</v>
      </c>
      <c r="B22" s="118">
        <f>_xlfn.COMPOUNDVALUE(165)</f>
        <v>911</v>
      </c>
      <c r="C22" s="155">
        <v>601206</v>
      </c>
      <c r="D22" s="156">
        <f>_xlfn.COMPOUNDVALUE(166)</f>
        <v>1232</v>
      </c>
      <c r="E22" s="155">
        <v>500196</v>
      </c>
      <c r="F22" s="156">
        <f>_xlfn.COMPOUNDVALUE(167)</f>
        <v>2143</v>
      </c>
      <c r="G22" s="155">
        <v>1101402</v>
      </c>
      <c r="H22" s="156">
        <f>_xlfn.COMPOUNDVALUE(168)</f>
        <v>69</v>
      </c>
      <c r="I22" s="157">
        <v>42295</v>
      </c>
      <c r="J22" s="118">
        <v>206</v>
      </c>
      <c r="K22" s="120">
        <v>26794</v>
      </c>
      <c r="L22" s="118">
        <v>2269</v>
      </c>
      <c r="M22" s="120">
        <v>1085901</v>
      </c>
      <c r="N22" s="76" t="s">
        <v>65</v>
      </c>
    </row>
    <row r="23" spans="1:14" ht="13.5">
      <c r="A23" s="75" t="s">
        <v>66</v>
      </c>
      <c r="B23" s="118">
        <f>_xlfn.COMPOUNDVALUE(169)</f>
        <v>217</v>
      </c>
      <c r="C23" s="155">
        <v>127586</v>
      </c>
      <c r="D23" s="156">
        <f>_xlfn.COMPOUNDVALUE(170)</f>
        <v>299</v>
      </c>
      <c r="E23" s="155">
        <v>112331</v>
      </c>
      <c r="F23" s="156">
        <f>_xlfn.COMPOUNDVALUE(171)</f>
        <v>516</v>
      </c>
      <c r="G23" s="155">
        <v>239917</v>
      </c>
      <c r="H23" s="156">
        <f>_xlfn.COMPOUNDVALUE(172)</f>
        <v>16</v>
      </c>
      <c r="I23" s="157">
        <v>7138</v>
      </c>
      <c r="J23" s="118">
        <v>30</v>
      </c>
      <c r="K23" s="120">
        <v>3063</v>
      </c>
      <c r="L23" s="118">
        <v>535</v>
      </c>
      <c r="M23" s="120">
        <v>235842</v>
      </c>
      <c r="N23" s="76" t="s">
        <v>67</v>
      </c>
    </row>
    <row r="24" spans="1:14" ht="13.5">
      <c r="A24" s="75" t="s">
        <v>68</v>
      </c>
      <c r="B24" s="118">
        <f>_xlfn.COMPOUNDVALUE(173)</f>
        <v>257</v>
      </c>
      <c r="C24" s="155">
        <v>131250</v>
      </c>
      <c r="D24" s="156">
        <f>_xlfn.COMPOUNDVALUE(174)</f>
        <v>355</v>
      </c>
      <c r="E24" s="155">
        <v>139223</v>
      </c>
      <c r="F24" s="156">
        <f>_xlfn.COMPOUNDVALUE(175)</f>
        <v>612</v>
      </c>
      <c r="G24" s="155">
        <v>270472</v>
      </c>
      <c r="H24" s="156">
        <f>_xlfn.COMPOUNDVALUE(176)</f>
        <v>12</v>
      </c>
      <c r="I24" s="157">
        <v>1645</v>
      </c>
      <c r="J24" s="118">
        <v>33</v>
      </c>
      <c r="K24" s="120">
        <v>3823</v>
      </c>
      <c r="L24" s="118">
        <v>631</v>
      </c>
      <c r="M24" s="120">
        <v>272650</v>
      </c>
      <c r="N24" s="76" t="s">
        <v>69</v>
      </c>
    </row>
    <row r="25" spans="1:14" ht="13.5">
      <c r="A25" s="75" t="s">
        <v>70</v>
      </c>
      <c r="B25" s="118">
        <f>_xlfn.COMPOUNDVALUE(177)</f>
        <v>511</v>
      </c>
      <c r="C25" s="155">
        <v>281261</v>
      </c>
      <c r="D25" s="156">
        <f>_xlfn.COMPOUNDVALUE(178)</f>
        <v>671</v>
      </c>
      <c r="E25" s="155">
        <v>263978</v>
      </c>
      <c r="F25" s="156">
        <f>_xlfn.COMPOUNDVALUE(179)</f>
        <v>1182</v>
      </c>
      <c r="G25" s="155">
        <v>545239</v>
      </c>
      <c r="H25" s="156">
        <f>_xlfn.COMPOUNDVALUE(180)</f>
        <v>46</v>
      </c>
      <c r="I25" s="157">
        <v>26401</v>
      </c>
      <c r="J25" s="118">
        <v>72</v>
      </c>
      <c r="K25" s="120">
        <v>10500</v>
      </c>
      <c r="L25" s="118">
        <v>1254</v>
      </c>
      <c r="M25" s="120">
        <v>529338</v>
      </c>
      <c r="N25" s="76" t="s">
        <v>71</v>
      </c>
    </row>
    <row r="26" spans="1:14" ht="13.5">
      <c r="A26" s="77" t="s">
        <v>72</v>
      </c>
      <c r="B26" s="121">
        <v>3520</v>
      </c>
      <c r="C26" s="158">
        <v>2150470</v>
      </c>
      <c r="D26" s="159">
        <v>4772</v>
      </c>
      <c r="E26" s="158">
        <v>1933667</v>
      </c>
      <c r="F26" s="159">
        <v>8292</v>
      </c>
      <c r="G26" s="158">
        <v>4084137</v>
      </c>
      <c r="H26" s="159">
        <v>260</v>
      </c>
      <c r="I26" s="160">
        <v>123531</v>
      </c>
      <c r="J26" s="121">
        <v>685</v>
      </c>
      <c r="K26" s="123">
        <v>104332</v>
      </c>
      <c r="L26" s="121">
        <v>8759</v>
      </c>
      <c r="M26" s="123">
        <v>4064938</v>
      </c>
      <c r="N26" s="78" t="s">
        <v>73</v>
      </c>
    </row>
    <row r="27" spans="1:14" ht="14.25" thickBot="1">
      <c r="A27" s="81"/>
      <c r="B27" s="132"/>
      <c r="C27" s="133"/>
      <c r="D27" s="132"/>
      <c r="E27" s="133"/>
      <c r="F27" s="134"/>
      <c r="G27" s="133"/>
      <c r="H27" s="134"/>
      <c r="I27" s="133"/>
      <c r="J27" s="134"/>
      <c r="K27" s="133"/>
      <c r="L27" s="134"/>
      <c r="M27" s="133"/>
      <c r="N27" s="82"/>
    </row>
    <row r="28" spans="1:14" ht="15" thickBot="1" thickTop="1">
      <c r="A28" s="83" t="s">
        <v>74</v>
      </c>
      <c r="B28" s="138">
        <v>12099</v>
      </c>
      <c r="C28" s="139">
        <v>8352199</v>
      </c>
      <c r="D28" s="138">
        <v>17839</v>
      </c>
      <c r="E28" s="139">
        <v>7227206</v>
      </c>
      <c r="F28" s="138">
        <v>29938</v>
      </c>
      <c r="G28" s="139">
        <v>15579404</v>
      </c>
      <c r="H28" s="138">
        <v>879</v>
      </c>
      <c r="I28" s="140">
        <v>507545</v>
      </c>
      <c r="J28" s="138">
        <v>2371</v>
      </c>
      <c r="K28" s="140">
        <v>445589</v>
      </c>
      <c r="L28" s="138">
        <v>31530</v>
      </c>
      <c r="M28" s="140">
        <v>15517447</v>
      </c>
      <c r="N28" s="84" t="s">
        <v>75</v>
      </c>
    </row>
    <row r="29" spans="1:14" ht="13.5">
      <c r="A29" s="205" t="s">
        <v>120</v>
      </c>
      <c r="B29" s="205"/>
      <c r="C29" s="205"/>
      <c r="D29" s="205"/>
      <c r="E29" s="205"/>
      <c r="F29" s="205"/>
      <c r="G29" s="205"/>
      <c r="H29" s="205"/>
      <c r="I29" s="205"/>
      <c r="J29" s="85"/>
      <c r="K29" s="85"/>
      <c r="L29" s="62"/>
      <c r="M29" s="62"/>
      <c r="N29" s="62"/>
    </row>
  </sheetData>
  <sheetProtection/>
  <mergeCells count="11">
    <mergeCell ref="A2:G2"/>
    <mergeCell ref="A3:A5"/>
    <mergeCell ref="B3:G3"/>
    <mergeCell ref="H3:I4"/>
    <mergeCell ref="J3:K4"/>
    <mergeCell ref="L3:M4"/>
    <mergeCell ref="N3:N5"/>
    <mergeCell ref="B4:C4"/>
    <mergeCell ref="D4:E4"/>
    <mergeCell ref="F4:G4"/>
    <mergeCell ref="A29:I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&amp;R&amp;K01+000金沢国税局
消費税
(H30)</oddFooter>
  </headerFooter>
</worksheet>
</file>

<file path=xl/worksheets/sheet5.xml><?xml version="1.0" encoding="utf-8"?>
<worksheet xmlns="http://schemas.openxmlformats.org/spreadsheetml/2006/main" xmlns:r="http://schemas.openxmlformats.org/officeDocument/2006/relationships">
  <dimension ref="A1:N29"/>
  <sheetViews>
    <sheetView zoomScaleSheetLayoutView="100" workbookViewId="0" topLeftCell="D1">
      <selection activeCell="F40" sqref="F40"/>
    </sheetView>
  </sheetViews>
  <sheetFormatPr defaultColWidth="9.00390625" defaultRowHeight="13.5"/>
  <cols>
    <col min="1" max="1" width="11.12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124</v>
      </c>
      <c r="B1" s="61"/>
      <c r="C1" s="61"/>
      <c r="D1" s="61"/>
      <c r="E1" s="61"/>
      <c r="F1" s="61"/>
      <c r="G1" s="61"/>
      <c r="H1" s="61"/>
      <c r="I1" s="61"/>
      <c r="J1" s="61"/>
      <c r="K1" s="61"/>
      <c r="L1" s="62"/>
      <c r="M1" s="62"/>
      <c r="N1" s="112"/>
    </row>
    <row r="2" spans="1:14" ht="14.25" thickBot="1">
      <c r="A2" s="212" t="s">
        <v>76</v>
      </c>
      <c r="B2" s="212"/>
      <c r="C2" s="212"/>
      <c r="D2" s="212"/>
      <c r="E2" s="212"/>
      <c r="F2" s="212"/>
      <c r="G2" s="212"/>
      <c r="H2" s="212"/>
      <c r="I2" s="212"/>
      <c r="J2" s="85"/>
      <c r="K2" s="85"/>
      <c r="L2" s="62"/>
      <c r="M2" s="62"/>
      <c r="N2" s="112"/>
    </row>
    <row r="3" spans="1:14" ht="13.5">
      <c r="A3" s="207" t="s">
        <v>31</v>
      </c>
      <c r="B3" s="210" t="s">
        <v>32</v>
      </c>
      <c r="C3" s="210"/>
      <c r="D3" s="210"/>
      <c r="E3" s="210"/>
      <c r="F3" s="210"/>
      <c r="G3" s="210"/>
      <c r="H3" s="196" t="s">
        <v>13</v>
      </c>
      <c r="I3" s="197"/>
      <c r="J3" s="211" t="s">
        <v>33</v>
      </c>
      <c r="K3" s="197"/>
      <c r="L3" s="196" t="s">
        <v>34</v>
      </c>
      <c r="M3" s="197"/>
      <c r="N3" s="200" t="s">
        <v>77</v>
      </c>
    </row>
    <row r="4" spans="1:14" ht="13.5">
      <c r="A4" s="208"/>
      <c r="B4" s="198" t="s">
        <v>18</v>
      </c>
      <c r="C4" s="204"/>
      <c r="D4" s="198" t="s">
        <v>36</v>
      </c>
      <c r="E4" s="204"/>
      <c r="F4" s="198" t="s">
        <v>37</v>
      </c>
      <c r="G4" s="204"/>
      <c r="H4" s="198"/>
      <c r="I4" s="199"/>
      <c r="J4" s="198"/>
      <c r="K4" s="199"/>
      <c r="L4" s="198"/>
      <c r="M4" s="199"/>
      <c r="N4" s="201"/>
    </row>
    <row r="5" spans="1:14" ht="22.5">
      <c r="A5" s="209"/>
      <c r="B5" s="63" t="s">
        <v>38</v>
      </c>
      <c r="C5" s="64" t="s">
        <v>39</v>
      </c>
      <c r="D5" s="63" t="s">
        <v>38</v>
      </c>
      <c r="E5" s="64" t="s">
        <v>39</v>
      </c>
      <c r="F5" s="63" t="s">
        <v>38</v>
      </c>
      <c r="G5" s="65" t="s">
        <v>40</v>
      </c>
      <c r="H5" s="63" t="s">
        <v>38</v>
      </c>
      <c r="I5" s="66" t="s">
        <v>41</v>
      </c>
      <c r="J5" s="63" t="s">
        <v>38</v>
      </c>
      <c r="K5" s="66" t="s">
        <v>42</v>
      </c>
      <c r="L5" s="63" t="s">
        <v>38</v>
      </c>
      <c r="M5" s="67" t="s">
        <v>43</v>
      </c>
      <c r="N5" s="202"/>
    </row>
    <row r="6" spans="1:14" ht="13.5">
      <c r="A6" s="68"/>
      <c r="B6" s="69" t="s">
        <v>4</v>
      </c>
      <c r="C6" s="70" t="s">
        <v>5</v>
      </c>
      <c r="D6" s="69" t="s">
        <v>4</v>
      </c>
      <c r="E6" s="70" t="s">
        <v>5</v>
      </c>
      <c r="F6" s="69" t="s">
        <v>4</v>
      </c>
      <c r="G6" s="70" t="s">
        <v>5</v>
      </c>
      <c r="H6" s="69" t="s">
        <v>4</v>
      </c>
      <c r="I6" s="71" t="s">
        <v>5</v>
      </c>
      <c r="J6" s="69" t="s">
        <v>4</v>
      </c>
      <c r="K6" s="71" t="s">
        <v>5</v>
      </c>
      <c r="L6" s="69" t="s">
        <v>122</v>
      </c>
      <c r="M6" s="71" t="s">
        <v>5</v>
      </c>
      <c r="N6" s="72"/>
    </row>
    <row r="7" spans="1:14" ht="13.5">
      <c r="A7" s="73" t="s">
        <v>78</v>
      </c>
      <c r="B7" s="113">
        <f>_xlfn.COMPOUNDVALUE(1)</f>
        <v>4702</v>
      </c>
      <c r="C7" s="114">
        <v>54020163</v>
      </c>
      <c r="D7" s="113">
        <f>_xlfn.COMPOUNDVALUE(2)</f>
        <v>1666</v>
      </c>
      <c r="E7" s="114">
        <v>1015368</v>
      </c>
      <c r="F7" s="113">
        <f>_xlfn.COMPOUNDVALUE(3)</f>
        <v>6368</v>
      </c>
      <c r="G7" s="114">
        <v>55035531</v>
      </c>
      <c r="H7" s="113">
        <f>_xlfn.COMPOUNDVALUE(4)</f>
        <v>470</v>
      </c>
      <c r="I7" s="115">
        <v>2863830</v>
      </c>
      <c r="J7" s="113">
        <v>439</v>
      </c>
      <c r="K7" s="115">
        <v>65199</v>
      </c>
      <c r="L7" s="113">
        <v>6890</v>
      </c>
      <c r="M7" s="115">
        <v>52236900</v>
      </c>
      <c r="N7" s="92" t="s">
        <v>45</v>
      </c>
    </row>
    <row r="8" spans="1:14" ht="13.5">
      <c r="A8" s="75" t="s">
        <v>79</v>
      </c>
      <c r="B8" s="118">
        <f>_xlfn.COMPOUNDVALUE(5)</f>
        <v>3287</v>
      </c>
      <c r="C8" s="119">
        <v>29488956</v>
      </c>
      <c r="D8" s="118">
        <f>_xlfn.COMPOUNDVALUE(6)</f>
        <v>1166</v>
      </c>
      <c r="E8" s="119">
        <v>689042</v>
      </c>
      <c r="F8" s="118">
        <f>_xlfn.COMPOUNDVALUE(7)</f>
        <v>4453</v>
      </c>
      <c r="G8" s="119">
        <v>30177998</v>
      </c>
      <c r="H8" s="118">
        <f>_xlfn.COMPOUNDVALUE(8)</f>
        <v>521</v>
      </c>
      <c r="I8" s="120">
        <v>3071307</v>
      </c>
      <c r="J8" s="118">
        <v>287</v>
      </c>
      <c r="K8" s="120">
        <v>-9975</v>
      </c>
      <c r="L8" s="118">
        <v>5021</v>
      </c>
      <c r="M8" s="120">
        <v>27096716</v>
      </c>
      <c r="N8" s="76" t="s">
        <v>47</v>
      </c>
    </row>
    <row r="9" spans="1:14" ht="13.5">
      <c r="A9" s="75" t="s">
        <v>80</v>
      </c>
      <c r="B9" s="118">
        <f>_xlfn.COMPOUNDVALUE(9)</f>
        <v>1807</v>
      </c>
      <c r="C9" s="119">
        <v>12939957</v>
      </c>
      <c r="D9" s="118">
        <f>_xlfn.COMPOUNDVALUE(10)</f>
        <v>627</v>
      </c>
      <c r="E9" s="119">
        <v>374675</v>
      </c>
      <c r="F9" s="118">
        <f>_xlfn.COMPOUNDVALUE(11)</f>
        <v>2434</v>
      </c>
      <c r="G9" s="119">
        <v>13314631</v>
      </c>
      <c r="H9" s="118">
        <f>_xlfn.COMPOUNDVALUE(12)</f>
        <v>186</v>
      </c>
      <c r="I9" s="120">
        <v>1467018</v>
      </c>
      <c r="J9" s="118">
        <v>120</v>
      </c>
      <c r="K9" s="120">
        <v>27012</v>
      </c>
      <c r="L9" s="118">
        <v>2628</v>
      </c>
      <c r="M9" s="120">
        <v>11874625</v>
      </c>
      <c r="N9" s="76" t="s">
        <v>49</v>
      </c>
    </row>
    <row r="10" spans="1:14" ht="13.5">
      <c r="A10" s="75" t="s">
        <v>81</v>
      </c>
      <c r="B10" s="118">
        <f>_xlfn.COMPOUNDVALUE(13)</f>
        <v>1315</v>
      </c>
      <c r="C10" s="119">
        <v>10577900</v>
      </c>
      <c r="D10" s="118">
        <f>_xlfn.COMPOUNDVALUE(14)</f>
        <v>450</v>
      </c>
      <c r="E10" s="119">
        <v>267974</v>
      </c>
      <c r="F10" s="118">
        <f>_xlfn.COMPOUNDVALUE(15)</f>
        <v>1765</v>
      </c>
      <c r="G10" s="119">
        <v>10845874</v>
      </c>
      <c r="H10" s="118">
        <f>_xlfn.COMPOUNDVALUE(16)</f>
        <v>174</v>
      </c>
      <c r="I10" s="120">
        <v>516575</v>
      </c>
      <c r="J10" s="118">
        <v>90</v>
      </c>
      <c r="K10" s="120">
        <v>274818</v>
      </c>
      <c r="L10" s="118">
        <v>1948</v>
      </c>
      <c r="M10" s="120">
        <v>10604117</v>
      </c>
      <c r="N10" s="76" t="s">
        <v>51</v>
      </c>
    </row>
    <row r="11" spans="1:14" ht="13.5">
      <c r="A11" s="77" t="s">
        <v>82</v>
      </c>
      <c r="B11" s="121">
        <v>11111</v>
      </c>
      <c r="C11" s="122">
        <v>107026976</v>
      </c>
      <c r="D11" s="121">
        <v>3909</v>
      </c>
      <c r="E11" s="122">
        <v>2347058</v>
      </c>
      <c r="F11" s="121">
        <v>15020</v>
      </c>
      <c r="G11" s="122">
        <v>109374034</v>
      </c>
      <c r="H11" s="121">
        <v>1351</v>
      </c>
      <c r="I11" s="123">
        <v>7918730</v>
      </c>
      <c r="J11" s="121">
        <v>936</v>
      </c>
      <c r="K11" s="123">
        <v>357053</v>
      </c>
      <c r="L11" s="121">
        <v>16487</v>
      </c>
      <c r="M11" s="123">
        <v>101812357</v>
      </c>
      <c r="N11" s="78" t="s">
        <v>53</v>
      </c>
    </row>
    <row r="12" spans="1:14" ht="13.5">
      <c r="A12" s="79"/>
      <c r="B12" s="126"/>
      <c r="C12" s="127"/>
      <c r="D12" s="126"/>
      <c r="E12" s="127"/>
      <c r="F12" s="128"/>
      <c r="G12" s="127"/>
      <c r="H12" s="128"/>
      <c r="I12" s="127"/>
      <c r="J12" s="128"/>
      <c r="K12" s="127"/>
      <c r="L12" s="128"/>
      <c r="M12" s="127"/>
      <c r="N12" s="80"/>
    </row>
    <row r="13" spans="1:14" ht="13.5">
      <c r="A13" s="73" t="s">
        <v>54</v>
      </c>
      <c r="B13" s="113">
        <f>_xlfn.COMPOUNDVALUE(17)</f>
        <v>6746</v>
      </c>
      <c r="C13" s="114">
        <v>59214301</v>
      </c>
      <c r="D13" s="113">
        <f>_xlfn.COMPOUNDVALUE(18)</f>
        <v>2553</v>
      </c>
      <c r="E13" s="114">
        <v>1545757</v>
      </c>
      <c r="F13" s="113">
        <f>_xlfn.COMPOUNDVALUE(19)</f>
        <v>9299</v>
      </c>
      <c r="G13" s="114">
        <v>60760058</v>
      </c>
      <c r="H13" s="113">
        <f>_xlfn.COMPOUNDVALUE(20)</f>
        <v>423</v>
      </c>
      <c r="I13" s="115">
        <v>3234971</v>
      </c>
      <c r="J13" s="113">
        <v>659</v>
      </c>
      <c r="K13" s="115">
        <v>221334</v>
      </c>
      <c r="L13" s="113">
        <v>9777</v>
      </c>
      <c r="M13" s="115">
        <v>57746421</v>
      </c>
      <c r="N13" s="74" t="s">
        <v>54</v>
      </c>
    </row>
    <row r="14" spans="1:14" ht="13.5">
      <c r="A14" s="75" t="s">
        <v>55</v>
      </c>
      <c r="B14" s="118">
        <f>_xlfn.COMPOUNDVALUE(21)</f>
        <v>1175</v>
      </c>
      <c r="C14" s="119">
        <v>7013101</v>
      </c>
      <c r="D14" s="118">
        <f>_xlfn.COMPOUNDVALUE(22)</f>
        <v>500</v>
      </c>
      <c r="E14" s="119">
        <v>285602</v>
      </c>
      <c r="F14" s="118">
        <f>_xlfn.COMPOUNDVALUE(23)</f>
        <v>1675</v>
      </c>
      <c r="G14" s="119">
        <v>7298703</v>
      </c>
      <c r="H14" s="118">
        <f>_xlfn.COMPOUNDVALUE(24)</f>
        <v>63</v>
      </c>
      <c r="I14" s="120">
        <v>88676</v>
      </c>
      <c r="J14" s="118">
        <v>107</v>
      </c>
      <c r="K14" s="120">
        <v>4499</v>
      </c>
      <c r="L14" s="118">
        <v>1748</v>
      </c>
      <c r="M14" s="120">
        <v>7214526</v>
      </c>
      <c r="N14" s="76" t="s">
        <v>55</v>
      </c>
    </row>
    <row r="15" spans="1:14" ht="13.5">
      <c r="A15" s="75" t="s">
        <v>56</v>
      </c>
      <c r="B15" s="118">
        <f>_xlfn.COMPOUNDVALUE(25)</f>
        <v>2437</v>
      </c>
      <c r="C15" s="119">
        <v>17720892</v>
      </c>
      <c r="D15" s="118">
        <f>_xlfn.COMPOUNDVALUE(26)</f>
        <v>984</v>
      </c>
      <c r="E15" s="119">
        <v>589463</v>
      </c>
      <c r="F15" s="118">
        <f>_xlfn.COMPOUNDVALUE(27)</f>
        <v>3421</v>
      </c>
      <c r="G15" s="119">
        <v>18310355</v>
      </c>
      <c r="H15" s="118">
        <f>_xlfn.COMPOUNDVALUE(28)</f>
        <v>109</v>
      </c>
      <c r="I15" s="120">
        <v>730894</v>
      </c>
      <c r="J15" s="118">
        <v>204</v>
      </c>
      <c r="K15" s="120">
        <v>67268</v>
      </c>
      <c r="L15" s="118">
        <v>3558</v>
      </c>
      <c r="M15" s="120">
        <v>17646729</v>
      </c>
      <c r="N15" s="76" t="s">
        <v>56</v>
      </c>
    </row>
    <row r="16" spans="1:14" ht="13.5">
      <c r="A16" s="75" t="s">
        <v>57</v>
      </c>
      <c r="B16" s="118">
        <f>_xlfn.COMPOUNDVALUE(29)</f>
        <v>593</v>
      </c>
      <c r="C16" s="119">
        <v>2085680</v>
      </c>
      <c r="D16" s="118">
        <f>_xlfn.COMPOUNDVALUE(30)</f>
        <v>214</v>
      </c>
      <c r="E16" s="119">
        <v>116537</v>
      </c>
      <c r="F16" s="118">
        <f>_xlfn.COMPOUNDVALUE(31)</f>
        <v>807</v>
      </c>
      <c r="G16" s="119">
        <v>2202218</v>
      </c>
      <c r="H16" s="118">
        <f>_xlfn.COMPOUNDVALUE(32)</f>
        <v>34</v>
      </c>
      <c r="I16" s="120">
        <v>228047</v>
      </c>
      <c r="J16" s="118">
        <v>64</v>
      </c>
      <c r="K16" s="120">
        <v>4292</v>
      </c>
      <c r="L16" s="118">
        <v>847</v>
      </c>
      <c r="M16" s="120">
        <v>1978463</v>
      </c>
      <c r="N16" s="76" t="s">
        <v>57</v>
      </c>
    </row>
    <row r="17" spans="1:14" ht="13.5">
      <c r="A17" s="75" t="s">
        <v>58</v>
      </c>
      <c r="B17" s="118">
        <f>_xlfn.COMPOUNDVALUE(33)</f>
        <v>1586</v>
      </c>
      <c r="C17" s="119">
        <v>13333792</v>
      </c>
      <c r="D17" s="118">
        <f>_xlfn.COMPOUNDVALUE(34)</f>
        <v>583</v>
      </c>
      <c r="E17" s="119">
        <v>358667</v>
      </c>
      <c r="F17" s="118">
        <f>_xlfn.COMPOUNDVALUE(35)</f>
        <v>2169</v>
      </c>
      <c r="G17" s="119">
        <v>13692460</v>
      </c>
      <c r="H17" s="118">
        <f>_xlfn.COMPOUNDVALUE(36)</f>
        <v>98</v>
      </c>
      <c r="I17" s="120">
        <v>1572691</v>
      </c>
      <c r="J17" s="118">
        <v>117</v>
      </c>
      <c r="K17" s="120">
        <v>-2808</v>
      </c>
      <c r="L17" s="118">
        <v>2276</v>
      </c>
      <c r="M17" s="120">
        <v>12116961</v>
      </c>
      <c r="N17" s="76" t="s">
        <v>58</v>
      </c>
    </row>
    <row r="18" spans="1:14" ht="13.5">
      <c r="A18" s="77" t="s">
        <v>59</v>
      </c>
      <c r="B18" s="121">
        <v>12537</v>
      </c>
      <c r="C18" s="122">
        <v>99367766</v>
      </c>
      <c r="D18" s="121">
        <v>4834</v>
      </c>
      <c r="E18" s="122">
        <v>2896027</v>
      </c>
      <c r="F18" s="121">
        <v>17371</v>
      </c>
      <c r="G18" s="122">
        <v>102263793</v>
      </c>
      <c r="H18" s="121">
        <v>727</v>
      </c>
      <c r="I18" s="123">
        <v>5855278</v>
      </c>
      <c r="J18" s="121">
        <v>1151</v>
      </c>
      <c r="K18" s="123">
        <v>294587</v>
      </c>
      <c r="L18" s="121">
        <v>18206</v>
      </c>
      <c r="M18" s="123">
        <v>96703102</v>
      </c>
      <c r="N18" s="78" t="s">
        <v>59</v>
      </c>
    </row>
    <row r="19" spans="1:14" ht="13.5">
      <c r="A19" s="79"/>
      <c r="B19" s="126"/>
      <c r="C19" s="127"/>
      <c r="D19" s="126"/>
      <c r="E19" s="127"/>
      <c r="F19" s="128"/>
      <c r="G19" s="127"/>
      <c r="H19" s="128"/>
      <c r="I19" s="127"/>
      <c r="J19" s="128"/>
      <c r="K19" s="127"/>
      <c r="L19" s="128"/>
      <c r="M19" s="127"/>
      <c r="N19" s="80"/>
    </row>
    <row r="20" spans="1:14" ht="13.5">
      <c r="A20" s="73" t="s">
        <v>83</v>
      </c>
      <c r="B20" s="113">
        <f>_xlfn.COMPOUNDVALUE(37)</f>
        <v>4136</v>
      </c>
      <c r="C20" s="114">
        <v>33625486</v>
      </c>
      <c r="D20" s="113">
        <f>_xlfn.COMPOUNDVALUE(38)</f>
        <v>1419</v>
      </c>
      <c r="E20" s="114">
        <v>883185</v>
      </c>
      <c r="F20" s="113">
        <f>_xlfn.COMPOUNDVALUE(39)</f>
        <v>5555</v>
      </c>
      <c r="G20" s="114">
        <v>34508670</v>
      </c>
      <c r="H20" s="113">
        <f>_xlfn.COMPOUNDVALUE(40)</f>
        <v>329</v>
      </c>
      <c r="I20" s="115">
        <v>2395617</v>
      </c>
      <c r="J20" s="113">
        <v>401</v>
      </c>
      <c r="K20" s="115">
        <v>-90614</v>
      </c>
      <c r="L20" s="113">
        <v>5915</v>
      </c>
      <c r="M20" s="115">
        <v>32022439</v>
      </c>
      <c r="N20" s="74" t="s">
        <v>61</v>
      </c>
    </row>
    <row r="21" spans="1:14" ht="13.5">
      <c r="A21" s="75" t="s">
        <v>84</v>
      </c>
      <c r="B21" s="118">
        <f>_xlfn.COMPOUNDVALUE(41)</f>
        <v>948</v>
      </c>
      <c r="C21" s="119">
        <v>5749316</v>
      </c>
      <c r="D21" s="118">
        <f>_xlfn.COMPOUNDVALUE(42)</f>
        <v>382</v>
      </c>
      <c r="E21" s="119">
        <v>238318</v>
      </c>
      <c r="F21" s="118">
        <f>_xlfn.COMPOUNDVALUE(43)</f>
        <v>1330</v>
      </c>
      <c r="G21" s="119">
        <v>5987635</v>
      </c>
      <c r="H21" s="118">
        <f>_xlfn.COMPOUNDVALUE(44)</f>
        <v>69</v>
      </c>
      <c r="I21" s="120">
        <v>424154</v>
      </c>
      <c r="J21" s="118">
        <v>130</v>
      </c>
      <c r="K21" s="120">
        <v>40975</v>
      </c>
      <c r="L21" s="118">
        <v>1403</v>
      </c>
      <c r="M21" s="120">
        <v>5604456</v>
      </c>
      <c r="N21" s="76" t="s">
        <v>63</v>
      </c>
    </row>
    <row r="22" spans="1:14" ht="13.5">
      <c r="A22" s="75" t="s">
        <v>85</v>
      </c>
      <c r="B22" s="118">
        <f>_xlfn.COMPOUNDVALUE(45)</f>
        <v>1920</v>
      </c>
      <c r="C22" s="119">
        <v>16130983</v>
      </c>
      <c r="D22" s="118">
        <f>_xlfn.COMPOUNDVALUE(46)</f>
        <v>733</v>
      </c>
      <c r="E22" s="119">
        <v>417893</v>
      </c>
      <c r="F22" s="118">
        <f>_xlfn.COMPOUNDVALUE(47)</f>
        <v>2653</v>
      </c>
      <c r="G22" s="119">
        <v>16548876</v>
      </c>
      <c r="H22" s="118">
        <f>_xlfn.COMPOUNDVALUE(48)</f>
        <v>234</v>
      </c>
      <c r="I22" s="120">
        <v>1283225</v>
      </c>
      <c r="J22" s="118">
        <v>85</v>
      </c>
      <c r="K22" s="120">
        <v>-6982</v>
      </c>
      <c r="L22" s="118">
        <v>2901</v>
      </c>
      <c r="M22" s="120">
        <v>15258669</v>
      </c>
      <c r="N22" s="76" t="s">
        <v>65</v>
      </c>
    </row>
    <row r="23" spans="1:14" ht="13.5">
      <c r="A23" s="75" t="s">
        <v>86</v>
      </c>
      <c r="B23" s="118">
        <f>_xlfn.COMPOUNDVALUE(49)</f>
        <v>511</v>
      </c>
      <c r="C23" s="119">
        <v>2692647</v>
      </c>
      <c r="D23" s="118">
        <f>_xlfn.COMPOUNDVALUE(50)</f>
        <v>188</v>
      </c>
      <c r="E23" s="119">
        <v>108209</v>
      </c>
      <c r="F23" s="118">
        <f>_xlfn.COMPOUNDVALUE(51)</f>
        <v>699</v>
      </c>
      <c r="G23" s="119">
        <v>2800856</v>
      </c>
      <c r="H23" s="118">
        <f>_xlfn.COMPOUNDVALUE(52)</f>
        <v>29</v>
      </c>
      <c r="I23" s="120">
        <v>244059</v>
      </c>
      <c r="J23" s="118">
        <v>54</v>
      </c>
      <c r="K23" s="120">
        <v>34986</v>
      </c>
      <c r="L23" s="118">
        <v>730</v>
      </c>
      <c r="M23" s="120">
        <v>2591783</v>
      </c>
      <c r="N23" s="76" t="s">
        <v>67</v>
      </c>
    </row>
    <row r="24" spans="1:14" ht="13.5">
      <c r="A24" s="75" t="s">
        <v>87</v>
      </c>
      <c r="B24" s="118">
        <f>_xlfn.COMPOUNDVALUE(53)</f>
        <v>581</v>
      </c>
      <c r="C24" s="119">
        <v>2704622</v>
      </c>
      <c r="D24" s="118">
        <f>_xlfn.COMPOUNDVALUE(54)</f>
        <v>250</v>
      </c>
      <c r="E24" s="119">
        <v>151101</v>
      </c>
      <c r="F24" s="118">
        <f>_xlfn.COMPOUNDVALUE(55)</f>
        <v>831</v>
      </c>
      <c r="G24" s="119">
        <v>2855723</v>
      </c>
      <c r="H24" s="118">
        <f>_xlfn.COMPOUNDVALUE(56)</f>
        <v>28</v>
      </c>
      <c r="I24" s="120">
        <v>118096</v>
      </c>
      <c r="J24" s="118">
        <v>47</v>
      </c>
      <c r="K24" s="120">
        <v>6709</v>
      </c>
      <c r="L24" s="118">
        <v>866</v>
      </c>
      <c r="M24" s="120">
        <v>2744336</v>
      </c>
      <c r="N24" s="76" t="s">
        <v>69</v>
      </c>
    </row>
    <row r="25" spans="1:14" ht="13.5">
      <c r="A25" s="75" t="s">
        <v>88</v>
      </c>
      <c r="B25" s="118">
        <f>_xlfn.COMPOUNDVALUE(57)</f>
        <v>1218</v>
      </c>
      <c r="C25" s="119">
        <v>9653233</v>
      </c>
      <c r="D25" s="118">
        <f>_xlfn.COMPOUNDVALUE(58)</f>
        <v>440</v>
      </c>
      <c r="E25" s="119">
        <v>250547</v>
      </c>
      <c r="F25" s="118">
        <f>_xlfn.COMPOUNDVALUE(59)</f>
        <v>1658</v>
      </c>
      <c r="G25" s="119">
        <v>9903780</v>
      </c>
      <c r="H25" s="118">
        <f>_xlfn.COMPOUNDVALUE(60)</f>
        <v>103</v>
      </c>
      <c r="I25" s="120">
        <v>441219</v>
      </c>
      <c r="J25" s="118">
        <v>98</v>
      </c>
      <c r="K25" s="120">
        <v>-30577</v>
      </c>
      <c r="L25" s="118">
        <v>1764</v>
      </c>
      <c r="M25" s="120">
        <v>9431984</v>
      </c>
      <c r="N25" s="76" t="s">
        <v>71</v>
      </c>
    </row>
    <row r="26" spans="1:14" ht="13.5">
      <c r="A26" s="77" t="s">
        <v>89</v>
      </c>
      <c r="B26" s="121">
        <v>9314</v>
      </c>
      <c r="C26" s="122">
        <v>70556287</v>
      </c>
      <c r="D26" s="121">
        <v>3412</v>
      </c>
      <c r="E26" s="122">
        <v>2049253</v>
      </c>
      <c r="F26" s="121">
        <v>12726</v>
      </c>
      <c r="G26" s="122">
        <v>72605540</v>
      </c>
      <c r="H26" s="121">
        <v>792</v>
      </c>
      <c r="I26" s="123">
        <v>4906371</v>
      </c>
      <c r="J26" s="121">
        <v>815</v>
      </c>
      <c r="K26" s="123">
        <v>-45503</v>
      </c>
      <c r="L26" s="121">
        <v>13579</v>
      </c>
      <c r="M26" s="123">
        <v>67653666</v>
      </c>
      <c r="N26" s="78" t="s">
        <v>73</v>
      </c>
    </row>
    <row r="27" spans="1:14" ht="14.25" thickBot="1">
      <c r="A27" s="81"/>
      <c r="B27" s="132"/>
      <c r="C27" s="133"/>
      <c r="D27" s="132"/>
      <c r="E27" s="133"/>
      <c r="F27" s="134"/>
      <c r="G27" s="133"/>
      <c r="H27" s="134"/>
      <c r="I27" s="133"/>
      <c r="J27" s="134"/>
      <c r="K27" s="133"/>
      <c r="L27" s="134"/>
      <c r="M27" s="133"/>
      <c r="N27" s="82"/>
    </row>
    <row r="28" spans="1:14" ht="15" thickBot="1" thickTop="1">
      <c r="A28" s="83" t="s">
        <v>90</v>
      </c>
      <c r="B28" s="138">
        <v>32962</v>
      </c>
      <c r="C28" s="139">
        <v>276951030</v>
      </c>
      <c r="D28" s="138">
        <v>12155</v>
      </c>
      <c r="E28" s="139">
        <v>7292338</v>
      </c>
      <c r="F28" s="138">
        <v>45117</v>
      </c>
      <c r="G28" s="139">
        <v>284243368</v>
      </c>
      <c r="H28" s="138">
        <v>2870</v>
      </c>
      <c r="I28" s="140">
        <v>18680379</v>
      </c>
      <c r="J28" s="138">
        <v>2902</v>
      </c>
      <c r="K28" s="140">
        <v>606137</v>
      </c>
      <c r="L28" s="138">
        <v>48272</v>
      </c>
      <c r="M28" s="140">
        <v>266169126</v>
      </c>
      <c r="N28" s="84" t="s">
        <v>75</v>
      </c>
    </row>
    <row r="29" spans="1:14" ht="13.5">
      <c r="A29" s="205" t="s">
        <v>120</v>
      </c>
      <c r="B29" s="205"/>
      <c r="C29" s="205"/>
      <c r="D29" s="205"/>
      <c r="E29" s="205"/>
      <c r="F29" s="205"/>
      <c r="G29" s="205"/>
      <c r="H29" s="205"/>
      <c r="I29" s="205"/>
      <c r="J29" s="85"/>
      <c r="K29" s="85"/>
      <c r="L29" s="62"/>
      <c r="M29" s="62"/>
      <c r="N29" s="62"/>
    </row>
  </sheetData>
  <sheetProtection/>
  <mergeCells count="11">
    <mergeCell ref="A2:I2"/>
    <mergeCell ref="A3:A5"/>
    <mergeCell ref="B3:G3"/>
    <mergeCell ref="H3:I4"/>
    <mergeCell ref="J3:K4"/>
    <mergeCell ref="L3:M4"/>
    <mergeCell ref="N3:N5"/>
    <mergeCell ref="B4:C4"/>
    <mergeCell ref="D4:E4"/>
    <mergeCell ref="F4:G4"/>
    <mergeCell ref="A29:I29"/>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&amp;R&amp;K01+000金沢国税局
消費税
(H30)</oddFooter>
  </headerFooter>
</worksheet>
</file>

<file path=xl/worksheets/sheet6.xml><?xml version="1.0" encoding="utf-8"?>
<worksheet xmlns="http://schemas.openxmlformats.org/spreadsheetml/2006/main" xmlns:r="http://schemas.openxmlformats.org/officeDocument/2006/relationships">
  <dimension ref="A1:R29"/>
  <sheetViews>
    <sheetView tabSelected="1" zoomScaleSheetLayoutView="100" workbookViewId="0" topLeftCell="H10">
      <selection activeCell="S29" sqref="S29"/>
    </sheetView>
  </sheetViews>
  <sheetFormatPr defaultColWidth="9.00390625" defaultRowHeight="13.5"/>
  <cols>
    <col min="1" max="1" width="10.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7" width="10.625" style="58" customWidth="1"/>
    <col min="18" max="18" width="10.375" style="58" customWidth="1"/>
    <col min="19" max="16384" width="9.00390625" style="58" customWidth="1"/>
  </cols>
  <sheetData>
    <row r="1" spans="1:18" ht="13.5">
      <c r="A1" s="61" t="s">
        <v>124</v>
      </c>
      <c r="B1" s="61"/>
      <c r="C1" s="61"/>
      <c r="D1" s="61"/>
      <c r="E1" s="61"/>
      <c r="F1" s="61"/>
      <c r="G1" s="61"/>
      <c r="H1" s="61"/>
      <c r="I1" s="61"/>
      <c r="J1" s="61"/>
      <c r="K1" s="61"/>
      <c r="L1" s="62"/>
      <c r="M1" s="62"/>
      <c r="N1" s="62"/>
      <c r="O1" s="62"/>
      <c r="P1" s="62"/>
      <c r="Q1" s="112"/>
      <c r="R1" s="112"/>
    </row>
    <row r="2" spans="1:18" ht="14.25" thickBot="1">
      <c r="A2" s="212" t="s">
        <v>91</v>
      </c>
      <c r="B2" s="212"/>
      <c r="C2" s="212"/>
      <c r="D2" s="212"/>
      <c r="E2" s="212"/>
      <c r="F2" s="212"/>
      <c r="G2" s="212"/>
      <c r="H2" s="212"/>
      <c r="I2" s="212"/>
      <c r="J2" s="85"/>
      <c r="K2" s="85"/>
      <c r="L2" s="62"/>
      <c r="M2" s="62"/>
      <c r="N2" s="62"/>
      <c r="O2" s="62"/>
      <c r="P2" s="62"/>
      <c r="Q2" s="112"/>
      <c r="R2" s="112"/>
    </row>
    <row r="3" spans="1:18" ht="13.5">
      <c r="A3" s="207" t="s">
        <v>31</v>
      </c>
      <c r="B3" s="210" t="s">
        <v>32</v>
      </c>
      <c r="C3" s="210"/>
      <c r="D3" s="210"/>
      <c r="E3" s="210"/>
      <c r="F3" s="210"/>
      <c r="G3" s="210"/>
      <c r="H3" s="210" t="s">
        <v>13</v>
      </c>
      <c r="I3" s="210"/>
      <c r="J3" s="213" t="s">
        <v>33</v>
      </c>
      <c r="K3" s="210"/>
      <c r="L3" s="210" t="s">
        <v>34</v>
      </c>
      <c r="M3" s="210"/>
      <c r="N3" s="214" t="s">
        <v>92</v>
      </c>
      <c r="O3" s="215"/>
      <c r="P3" s="215"/>
      <c r="Q3" s="215"/>
      <c r="R3" s="200" t="s">
        <v>77</v>
      </c>
    </row>
    <row r="4" spans="1:18" ht="13.5">
      <c r="A4" s="208"/>
      <c r="B4" s="203" t="s">
        <v>18</v>
      </c>
      <c r="C4" s="203"/>
      <c r="D4" s="203" t="s">
        <v>36</v>
      </c>
      <c r="E4" s="203"/>
      <c r="F4" s="203" t="s">
        <v>37</v>
      </c>
      <c r="G4" s="203"/>
      <c r="H4" s="203"/>
      <c r="I4" s="203"/>
      <c r="J4" s="203"/>
      <c r="K4" s="203"/>
      <c r="L4" s="203"/>
      <c r="M4" s="203"/>
      <c r="N4" s="216" t="s">
        <v>93</v>
      </c>
      <c r="O4" s="218" t="s">
        <v>94</v>
      </c>
      <c r="P4" s="220" t="s">
        <v>95</v>
      </c>
      <c r="Q4" s="199" t="s">
        <v>96</v>
      </c>
      <c r="R4" s="201"/>
    </row>
    <row r="5" spans="1:18" ht="22.5">
      <c r="A5" s="209"/>
      <c r="B5" s="63" t="s">
        <v>38</v>
      </c>
      <c r="C5" s="64" t="s">
        <v>39</v>
      </c>
      <c r="D5" s="63" t="s">
        <v>38</v>
      </c>
      <c r="E5" s="64" t="s">
        <v>39</v>
      </c>
      <c r="F5" s="63" t="s">
        <v>38</v>
      </c>
      <c r="G5" s="64" t="s">
        <v>40</v>
      </c>
      <c r="H5" s="63" t="s">
        <v>38</v>
      </c>
      <c r="I5" s="64" t="s">
        <v>41</v>
      </c>
      <c r="J5" s="63" t="s">
        <v>38</v>
      </c>
      <c r="K5" s="64" t="s">
        <v>42</v>
      </c>
      <c r="L5" s="63" t="s">
        <v>38</v>
      </c>
      <c r="M5" s="86" t="s">
        <v>97</v>
      </c>
      <c r="N5" s="217"/>
      <c r="O5" s="219"/>
      <c r="P5" s="221"/>
      <c r="Q5" s="222"/>
      <c r="R5" s="202"/>
    </row>
    <row r="6" spans="1:18" ht="13.5">
      <c r="A6" s="68"/>
      <c r="B6" s="69" t="s">
        <v>4</v>
      </c>
      <c r="C6" s="70" t="s">
        <v>5</v>
      </c>
      <c r="D6" s="69" t="s">
        <v>4</v>
      </c>
      <c r="E6" s="70" t="s">
        <v>5</v>
      </c>
      <c r="F6" s="69" t="s">
        <v>4</v>
      </c>
      <c r="G6" s="70" t="s">
        <v>5</v>
      </c>
      <c r="H6" s="69" t="s">
        <v>4</v>
      </c>
      <c r="I6" s="70" t="s">
        <v>5</v>
      </c>
      <c r="J6" s="69" t="s">
        <v>4</v>
      </c>
      <c r="K6" s="70" t="s">
        <v>5</v>
      </c>
      <c r="L6" s="69" t="s">
        <v>122</v>
      </c>
      <c r="M6" s="70" t="s">
        <v>5</v>
      </c>
      <c r="N6" s="69" t="s">
        <v>4</v>
      </c>
      <c r="O6" s="87" t="s">
        <v>4</v>
      </c>
      <c r="P6" s="87" t="s">
        <v>4</v>
      </c>
      <c r="Q6" s="88" t="s">
        <v>4</v>
      </c>
      <c r="R6" s="72"/>
    </row>
    <row r="7" spans="1:18" ht="13.5">
      <c r="A7" s="73" t="s">
        <v>44</v>
      </c>
      <c r="B7" s="113">
        <f>_xlfn.COMPOUNDVALUE(61)</f>
        <v>6198</v>
      </c>
      <c r="C7" s="114">
        <v>55182192</v>
      </c>
      <c r="D7" s="113">
        <f>_xlfn.COMPOUNDVALUE(62)</f>
        <v>3879</v>
      </c>
      <c r="E7" s="114">
        <v>1965720</v>
      </c>
      <c r="F7" s="113">
        <f>_xlfn.COMPOUNDVALUE(63)</f>
        <v>10077</v>
      </c>
      <c r="G7" s="114">
        <v>57147911</v>
      </c>
      <c r="H7" s="113">
        <f>_xlfn.COMPOUNDVALUE(64)</f>
        <v>585</v>
      </c>
      <c r="I7" s="115">
        <v>2917425</v>
      </c>
      <c r="J7" s="113">
        <v>702</v>
      </c>
      <c r="K7" s="115">
        <v>140836</v>
      </c>
      <c r="L7" s="113">
        <v>10764</v>
      </c>
      <c r="M7" s="115">
        <v>54371322</v>
      </c>
      <c r="N7" s="113">
        <v>10229</v>
      </c>
      <c r="O7" s="116">
        <v>371</v>
      </c>
      <c r="P7" s="116">
        <v>29</v>
      </c>
      <c r="Q7" s="117">
        <v>10629</v>
      </c>
      <c r="R7" s="92" t="s">
        <v>45</v>
      </c>
    </row>
    <row r="8" spans="1:18" ht="13.5">
      <c r="A8" s="75" t="s">
        <v>46</v>
      </c>
      <c r="B8" s="118">
        <f>_xlfn.COMPOUNDVALUE(65)</f>
        <v>4514</v>
      </c>
      <c r="C8" s="119">
        <v>30406997</v>
      </c>
      <c r="D8" s="118">
        <f>_xlfn.COMPOUNDVALUE(66)</f>
        <v>2943</v>
      </c>
      <c r="E8" s="119">
        <v>1391436</v>
      </c>
      <c r="F8" s="118">
        <f>_xlfn.COMPOUNDVALUE(67)</f>
        <v>7457</v>
      </c>
      <c r="G8" s="119">
        <v>31798433</v>
      </c>
      <c r="H8" s="118">
        <f>_xlfn.COMPOUNDVALUE(68)</f>
        <v>605</v>
      </c>
      <c r="I8" s="120">
        <v>3117484</v>
      </c>
      <c r="J8" s="118">
        <v>512</v>
      </c>
      <c r="K8" s="120">
        <v>29375</v>
      </c>
      <c r="L8" s="118">
        <v>8205</v>
      </c>
      <c r="M8" s="120">
        <v>28710324</v>
      </c>
      <c r="N8" s="113">
        <v>7300</v>
      </c>
      <c r="O8" s="116">
        <v>348</v>
      </c>
      <c r="P8" s="116">
        <v>23</v>
      </c>
      <c r="Q8" s="117">
        <v>7671</v>
      </c>
      <c r="R8" s="76" t="s">
        <v>47</v>
      </c>
    </row>
    <row r="9" spans="1:18" ht="13.5">
      <c r="A9" s="75" t="s">
        <v>48</v>
      </c>
      <c r="B9" s="118">
        <f>_xlfn.COMPOUNDVALUE(69)</f>
        <v>2529</v>
      </c>
      <c r="C9" s="119">
        <v>13474311</v>
      </c>
      <c r="D9" s="118">
        <f>_xlfn.COMPOUNDVALUE(70)</f>
        <v>1863</v>
      </c>
      <c r="E9" s="119">
        <v>858402</v>
      </c>
      <c r="F9" s="118">
        <f>_xlfn.COMPOUNDVALUE(71)</f>
        <v>4392</v>
      </c>
      <c r="G9" s="119">
        <v>14332713</v>
      </c>
      <c r="H9" s="118">
        <f>_xlfn.COMPOUNDVALUE(72)</f>
        <v>249</v>
      </c>
      <c r="I9" s="120">
        <v>1489493</v>
      </c>
      <c r="J9" s="118">
        <v>235</v>
      </c>
      <c r="K9" s="120">
        <v>48776</v>
      </c>
      <c r="L9" s="118">
        <v>4680</v>
      </c>
      <c r="M9" s="120">
        <v>12891996</v>
      </c>
      <c r="N9" s="113">
        <v>4363</v>
      </c>
      <c r="O9" s="116">
        <v>193</v>
      </c>
      <c r="P9" s="116">
        <v>6</v>
      </c>
      <c r="Q9" s="117">
        <v>4562</v>
      </c>
      <c r="R9" s="76" t="s">
        <v>49</v>
      </c>
    </row>
    <row r="10" spans="1:18" ht="13.5">
      <c r="A10" s="75" t="s">
        <v>50</v>
      </c>
      <c r="B10" s="118">
        <f>_xlfn.COMPOUNDVALUE(73)</f>
        <v>1817</v>
      </c>
      <c r="C10" s="119">
        <v>10905910</v>
      </c>
      <c r="D10" s="118">
        <f>_xlfn.COMPOUNDVALUE(74)</f>
        <v>1238</v>
      </c>
      <c r="E10" s="119">
        <v>570022</v>
      </c>
      <c r="F10" s="118">
        <f>_xlfn.COMPOUNDVALUE(75)</f>
        <v>3055</v>
      </c>
      <c r="G10" s="119">
        <v>11475931</v>
      </c>
      <c r="H10" s="118">
        <f>_xlfn.COMPOUNDVALUE(76)</f>
        <v>216</v>
      </c>
      <c r="I10" s="120">
        <v>542744</v>
      </c>
      <c r="J10" s="118">
        <v>132</v>
      </c>
      <c r="K10" s="120">
        <v>281709</v>
      </c>
      <c r="L10" s="118">
        <v>3293</v>
      </c>
      <c r="M10" s="120">
        <v>11214896</v>
      </c>
      <c r="N10" s="113">
        <v>3234</v>
      </c>
      <c r="O10" s="116">
        <v>146</v>
      </c>
      <c r="P10" s="116">
        <v>3</v>
      </c>
      <c r="Q10" s="117">
        <v>3383</v>
      </c>
      <c r="R10" s="76" t="s">
        <v>51</v>
      </c>
    </row>
    <row r="11" spans="1:18" ht="13.5">
      <c r="A11" s="77" t="s">
        <v>52</v>
      </c>
      <c r="B11" s="121">
        <v>15058</v>
      </c>
      <c r="C11" s="122">
        <v>109969409</v>
      </c>
      <c r="D11" s="121">
        <v>9923</v>
      </c>
      <c r="E11" s="122">
        <v>4785579</v>
      </c>
      <c r="F11" s="121">
        <v>24981</v>
      </c>
      <c r="G11" s="122">
        <v>114754988</v>
      </c>
      <c r="H11" s="121">
        <v>1655</v>
      </c>
      <c r="I11" s="123">
        <v>8067147</v>
      </c>
      <c r="J11" s="121">
        <v>1581</v>
      </c>
      <c r="K11" s="123">
        <v>500696</v>
      </c>
      <c r="L11" s="121">
        <v>26942</v>
      </c>
      <c r="M11" s="123">
        <v>107188538</v>
      </c>
      <c r="N11" s="121">
        <v>25126</v>
      </c>
      <c r="O11" s="124">
        <v>1058</v>
      </c>
      <c r="P11" s="124">
        <v>61</v>
      </c>
      <c r="Q11" s="125">
        <v>26245</v>
      </c>
      <c r="R11" s="78" t="s">
        <v>53</v>
      </c>
    </row>
    <row r="12" spans="1:18" ht="13.5">
      <c r="A12" s="79"/>
      <c r="B12" s="126"/>
      <c r="C12" s="127"/>
      <c r="D12" s="126"/>
      <c r="E12" s="127"/>
      <c r="F12" s="128"/>
      <c r="G12" s="127"/>
      <c r="H12" s="128"/>
      <c r="I12" s="127"/>
      <c r="J12" s="128"/>
      <c r="K12" s="127"/>
      <c r="L12" s="128"/>
      <c r="M12" s="127"/>
      <c r="N12" s="129"/>
      <c r="O12" s="130"/>
      <c r="P12" s="130"/>
      <c r="Q12" s="131"/>
      <c r="R12" s="89" t="s">
        <v>98</v>
      </c>
    </row>
    <row r="13" spans="1:18" ht="13.5">
      <c r="A13" s="73" t="s">
        <v>54</v>
      </c>
      <c r="B13" s="113">
        <f>_xlfn.COMPOUNDVALUE(77)</f>
        <v>9047</v>
      </c>
      <c r="C13" s="114">
        <v>60718028</v>
      </c>
      <c r="D13" s="113">
        <f>_xlfn.COMPOUNDVALUE(78)</f>
        <v>5730</v>
      </c>
      <c r="E13" s="114">
        <v>2922893</v>
      </c>
      <c r="F13" s="113">
        <f>_xlfn.COMPOUNDVALUE(79)</f>
        <v>14777</v>
      </c>
      <c r="G13" s="114">
        <v>63640921</v>
      </c>
      <c r="H13" s="113">
        <f>_xlfn.COMPOUNDVALUE(80)</f>
        <v>569</v>
      </c>
      <c r="I13" s="115">
        <v>3376441</v>
      </c>
      <c r="J13" s="113">
        <v>1162</v>
      </c>
      <c r="K13" s="115">
        <v>325721</v>
      </c>
      <c r="L13" s="113">
        <v>15571</v>
      </c>
      <c r="M13" s="115">
        <v>60590201</v>
      </c>
      <c r="N13" s="113">
        <v>15175</v>
      </c>
      <c r="O13" s="116">
        <v>400</v>
      </c>
      <c r="P13" s="116">
        <v>43</v>
      </c>
      <c r="Q13" s="117">
        <v>15618</v>
      </c>
      <c r="R13" s="76" t="s">
        <v>54</v>
      </c>
    </row>
    <row r="14" spans="1:18" ht="13.5">
      <c r="A14" s="75" t="s">
        <v>55</v>
      </c>
      <c r="B14" s="118">
        <f>_xlfn.COMPOUNDVALUE(81)</f>
        <v>1636</v>
      </c>
      <c r="C14" s="119">
        <v>7269733</v>
      </c>
      <c r="D14" s="118">
        <f>_xlfn.COMPOUNDVALUE(82)</f>
        <v>1303</v>
      </c>
      <c r="E14" s="119">
        <v>583974</v>
      </c>
      <c r="F14" s="118">
        <f>_xlfn.COMPOUNDVALUE(83)</f>
        <v>2939</v>
      </c>
      <c r="G14" s="119">
        <v>7853706</v>
      </c>
      <c r="H14" s="118">
        <f>_xlfn.COMPOUNDVALUE(84)</f>
        <v>102</v>
      </c>
      <c r="I14" s="120">
        <v>106630</v>
      </c>
      <c r="J14" s="118">
        <v>212</v>
      </c>
      <c r="K14" s="120">
        <v>18785</v>
      </c>
      <c r="L14" s="118">
        <v>3082</v>
      </c>
      <c r="M14" s="120">
        <v>7765861</v>
      </c>
      <c r="N14" s="113">
        <v>2878</v>
      </c>
      <c r="O14" s="116">
        <v>87</v>
      </c>
      <c r="P14" s="116">
        <v>4</v>
      </c>
      <c r="Q14" s="117">
        <v>2969</v>
      </c>
      <c r="R14" s="76" t="s">
        <v>55</v>
      </c>
    </row>
    <row r="15" spans="1:18" ht="13.5">
      <c r="A15" s="75" t="s">
        <v>56</v>
      </c>
      <c r="B15" s="118">
        <f>_xlfn.COMPOUNDVALUE(85)</f>
        <v>3416</v>
      </c>
      <c r="C15" s="119">
        <v>18638528</v>
      </c>
      <c r="D15" s="118">
        <f>_xlfn.COMPOUNDVALUE(86)</f>
        <v>2547</v>
      </c>
      <c r="E15" s="119">
        <v>1199061</v>
      </c>
      <c r="F15" s="118">
        <f>_xlfn.COMPOUNDVALUE(87)</f>
        <v>5963</v>
      </c>
      <c r="G15" s="119">
        <v>19837589</v>
      </c>
      <c r="H15" s="118">
        <f>_xlfn.COMPOUNDVALUE(88)</f>
        <v>172</v>
      </c>
      <c r="I15" s="120">
        <v>762955</v>
      </c>
      <c r="J15" s="118">
        <v>426</v>
      </c>
      <c r="K15" s="120">
        <v>112310</v>
      </c>
      <c r="L15" s="118">
        <v>6227</v>
      </c>
      <c r="M15" s="120">
        <v>19186944</v>
      </c>
      <c r="N15" s="113">
        <v>5969</v>
      </c>
      <c r="O15" s="116">
        <v>101</v>
      </c>
      <c r="P15" s="116">
        <v>11</v>
      </c>
      <c r="Q15" s="117">
        <v>6081</v>
      </c>
      <c r="R15" s="76" t="s">
        <v>56</v>
      </c>
    </row>
    <row r="16" spans="1:18" ht="13.5">
      <c r="A16" s="75" t="s">
        <v>57</v>
      </c>
      <c r="B16" s="118">
        <f>_xlfn.COMPOUNDVALUE(89)</f>
        <v>894</v>
      </c>
      <c r="C16" s="119">
        <v>2287296</v>
      </c>
      <c r="D16" s="118">
        <f>_xlfn.COMPOUNDVALUE(90)</f>
        <v>811</v>
      </c>
      <c r="E16" s="119">
        <v>318901</v>
      </c>
      <c r="F16" s="118">
        <f>_xlfn.COMPOUNDVALUE(91)</f>
        <v>1705</v>
      </c>
      <c r="G16" s="119">
        <v>2606197</v>
      </c>
      <c r="H16" s="118">
        <f>_xlfn.COMPOUNDVALUE(92)</f>
        <v>52</v>
      </c>
      <c r="I16" s="120">
        <v>233892</v>
      </c>
      <c r="J16" s="118">
        <v>133</v>
      </c>
      <c r="K16" s="120">
        <v>10291</v>
      </c>
      <c r="L16" s="118">
        <v>1768</v>
      </c>
      <c r="M16" s="120">
        <v>2382596</v>
      </c>
      <c r="N16" s="113">
        <v>1697</v>
      </c>
      <c r="O16" s="116">
        <v>33</v>
      </c>
      <c r="P16" s="116">
        <v>1</v>
      </c>
      <c r="Q16" s="117">
        <v>1731</v>
      </c>
      <c r="R16" s="76" t="s">
        <v>57</v>
      </c>
    </row>
    <row r="17" spans="1:18" ht="13.5">
      <c r="A17" s="75" t="s">
        <v>58</v>
      </c>
      <c r="B17" s="118">
        <f>_xlfn.COMPOUNDVALUE(93)</f>
        <v>2176</v>
      </c>
      <c r="C17" s="119">
        <v>13713478</v>
      </c>
      <c r="D17" s="118">
        <f>_xlfn.COMPOUNDVALUE(94)</f>
        <v>1496</v>
      </c>
      <c r="E17" s="119">
        <v>726216</v>
      </c>
      <c r="F17" s="118">
        <f>_xlfn.COMPOUNDVALUE(95)</f>
        <v>3672</v>
      </c>
      <c r="G17" s="119">
        <v>14439694</v>
      </c>
      <c r="H17" s="118">
        <f>_xlfn.COMPOUNDVALUE(96)</f>
        <v>147</v>
      </c>
      <c r="I17" s="120">
        <v>1610958</v>
      </c>
      <c r="J17" s="118">
        <v>259</v>
      </c>
      <c r="K17" s="120">
        <v>25092</v>
      </c>
      <c r="L17" s="118">
        <v>3874</v>
      </c>
      <c r="M17" s="120">
        <v>12853828</v>
      </c>
      <c r="N17" s="113">
        <v>3720</v>
      </c>
      <c r="O17" s="116">
        <v>101</v>
      </c>
      <c r="P17" s="116">
        <v>5</v>
      </c>
      <c r="Q17" s="117">
        <v>3826</v>
      </c>
      <c r="R17" s="76" t="s">
        <v>58</v>
      </c>
    </row>
    <row r="18" spans="1:18" ht="13.5">
      <c r="A18" s="77" t="s">
        <v>99</v>
      </c>
      <c r="B18" s="121">
        <v>17169</v>
      </c>
      <c r="C18" s="122">
        <v>102627062</v>
      </c>
      <c r="D18" s="121">
        <v>11887</v>
      </c>
      <c r="E18" s="122">
        <v>5751045</v>
      </c>
      <c r="F18" s="121">
        <v>29056</v>
      </c>
      <c r="G18" s="122">
        <v>108378107</v>
      </c>
      <c r="H18" s="121">
        <v>1042</v>
      </c>
      <c r="I18" s="123">
        <v>6090876</v>
      </c>
      <c r="J18" s="121">
        <v>2192</v>
      </c>
      <c r="K18" s="123">
        <v>492200</v>
      </c>
      <c r="L18" s="121">
        <v>30522</v>
      </c>
      <c r="M18" s="123">
        <v>102779431</v>
      </c>
      <c r="N18" s="121">
        <v>29439</v>
      </c>
      <c r="O18" s="124">
        <v>722</v>
      </c>
      <c r="P18" s="124">
        <v>64</v>
      </c>
      <c r="Q18" s="125">
        <v>30225</v>
      </c>
      <c r="R18" s="78" t="s">
        <v>59</v>
      </c>
    </row>
    <row r="19" spans="1:18" ht="13.5">
      <c r="A19" s="79"/>
      <c r="B19" s="126"/>
      <c r="C19" s="127"/>
      <c r="D19" s="126"/>
      <c r="E19" s="127"/>
      <c r="F19" s="128"/>
      <c r="G19" s="127"/>
      <c r="H19" s="128"/>
      <c r="I19" s="127"/>
      <c r="J19" s="128"/>
      <c r="K19" s="127"/>
      <c r="L19" s="128"/>
      <c r="M19" s="127"/>
      <c r="N19" s="129"/>
      <c r="O19" s="130"/>
      <c r="P19" s="130"/>
      <c r="Q19" s="131"/>
      <c r="R19" s="89" t="s">
        <v>98</v>
      </c>
    </row>
    <row r="20" spans="1:18" ht="13.5">
      <c r="A20" s="73" t="s">
        <v>60</v>
      </c>
      <c r="B20" s="113">
        <f>_xlfn.COMPOUNDVALUE(97)</f>
        <v>5456</v>
      </c>
      <c r="C20" s="114">
        <v>34451147</v>
      </c>
      <c r="D20" s="113">
        <f>_xlfn.COMPOUNDVALUE(98)</f>
        <v>3103</v>
      </c>
      <c r="E20" s="114">
        <v>1588937</v>
      </c>
      <c r="F20" s="113">
        <f>_xlfn.COMPOUNDVALUE(99)</f>
        <v>8559</v>
      </c>
      <c r="G20" s="114">
        <v>36040084</v>
      </c>
      <c r="H20" s="113">
        <f>_xlfn.COMPOUNDVALUE(100)</f>
        <v>408</v>
      </c>
      <c r="I20" s="115">
        <v>2431137</v>
      </c>
      <c r="J20" s="113">
        <v>655</v>
      </c>
      <c r="K20" s="115">
        <v>-42121</v>
      </c>
      <c r="L20" s="113">
        <v>9084</v>
      </c>
      <c r="M20" s="115">
        <v>33566826</v>
      </c>
      <c r="N20" s="113">
        <v>8658</v>
      </c>
      <c r="O20" s="116">
        <v>245</v>
      </c>
      <c r="P20" s="116">
        <v>25</v>
      </c>
      <c r="Q20" s="117">
        <v>8928</v>
      </c>
      <c r="R20" s="76" t="s">
        <v>61</v>
      </c>
    </row>
    <row r="21" spans="1:18" ht="13.5">
      <c r="A21" s="75" t="s">
        <v>62</v>
      </c>
      <c r="B21" s="118">
        <f>_xlfn.COMPOUNDVALUE(101)</f>
        <v>1252</v>
      </c>
      <c r="C21" s="119">
        <v>5932823</v>
      </c>
      <c r="D21" s="118">
        <f>_xlfn.COMPOUNDVALUE(102)</f>
        <v>913</v>
      </c>
      <c r="E21" s="119">
        <v>450505</v>
      </c>
      <c r="F21" s="118">
        <f>_xlfn.COMPOUNDVALUE(103)</f>
        <v>2165</v>
      </c>
      <c r="G21" s="119">
        <v>6383328</v>
      </c>
      <c r="H21" s="118">
        <f>_xlfn.COMPOUNDVALUE(104)</f>
        <v>107</v>
      </c>
      <c r="I21" s="120">
        <v>434686</v>
      </c>
      <c r="J21" s="118">
        <v>220</v>
      </c>
      <c r="K21" s="120">
        <v>52635</v>
      </c>
      <c r="L21" s="118">
        <v>2304</v>
      </c>
      <c r="M21" s="120">
        <v>6001277</v>
      </c>
      <c r="N21" s="113">
        <v>2185</v>
      </c>
      <c r="O21" s="116">
        <v>60</v>
      </c>
      <c r="P21" s="116">
        <v>8</v>
      </c>
      <c r="Q21" s="117">
        <v>2253</v>
      </c>
      <c r="R21" s="76" t="s">
        <v>63</v>
      </c>
    </row>
    <row r="22" spans="1:18" ht="13.5">
      <c r="A22" s="75" t="s">
        <v>64</v>
      </c>
      <c r="B22" s="118">
        <f>_xlfn.COMPOUNDVALUE(105)</f>
        <v>2831</v>
      </c>
      <c r="C22" s="119">
        <v>16732189</v>
      </c>
      <c r="D22" s="118">
        <f>_xlfn.COMPOUNDVALUE(106)</f>
        <v>1965</v>
      </c>
      <c r="E22" s="119">
        <v>918089</v>
      </c>
      <c r="F22" s="118">
        <f>_xlfn.COMPOUNDVALUE(107)</f>
        <v>4796</v>
      </c>
      <c r="G22" s="119">
        <v>17650278</v>
      </c>
      <c r="H22" s="118">
        <f>_xlfn.COMPOUNDVALUE(108)</f>
        <v>303</v>
      </c>
      <c r="I22" s="120">
        <v>1325520</v>
      </c>
      <c r="J22" s="118">
        <v>291</v>
      </c>
      <c r="K22" s="120">
        <v>19811</v>
      </c>
      <c r="L22" s="118">
        <v>5170</v>
      </c>
      <c r="M22" s="120">
        <v>16344569</v>
      </c>
      <c r="N22" s="113">
        <v>4810</v>
      </c>
      <c r="O22" s="116">
        <v>127</v>
      </c>
      <c r="P22" s="116">
        <v>8</v>
      </c>
      <c r="Q22" s="117">
        <v>4945</v>
      </c>
      <c r="R22" s="76" t="s">
        <v>65</v>
      </c>
    </row>
    <row r="23" spans="1:18" ht="13.5">
      <c r="A23" s="75" t="s">
        <v>66</v>
      </c>
      <c r="B23" s="118">
        <f>_xlfn.COMPOUNDVALUE(109)</f>
        <v>728</v>
      </c>
      <c r="C23" s="119">
        <v>2820233</v>
      </c>
      <c r="D23" s="118">
        <f>_xlfn.COMPOUNDVALUE(110)</f>
        <v>487</v>
      </c>
      <c r="E23" s="119">
        <v>220540</v>
      </c>
      <c r="F23" s="118">
        <f>_xlfn.COMPOUNDVALUE(111)</f>
        <v>1215</v>
      </c>
      <c r="G23" s="119">
        <v>3040773</v>
      </c>
      <c r="H23" s="118">
        <f>_xlfn.COMPOUNDVALUE(112)</f>
        <v>45</v>
      </c>
      <c r="I23" s="120">
        <v>251198</v>
      </c>
      <c r="J23" s="118">
        <v>84</v>
      </c>
      <c r="K23" s="120">
        <v>38049</v>
      </c>
      <c r="L23" s="118">
        <v>1265</v>
      </c>
      <c r="M23" s="120">
        <v>2827624</v>
      </c>
      <c r="N23" s="113">
        <v>1339</v>
      </c>
      <c r="O23" s="116">
        <v>32</v>
      </c>
      <c r="P23" s="116">
        <v>3</v>
      </c>
      <c r="Q23" s="117">
        <v>1374</v>
      </c>
      <c r="R23" s="76" t="s">
        <v>67</v>
      </c>
    </row>
    <row r="24" spans="1:18" ht="13.5">
      <c r="A24" s="75" t="s">
        <v>68</v>
      </c>
      <c r="B24" s="118">
        <f>_xlfn.COMPOUNDVALUE(113)</f>
        <v>838</v>
      </c>
      <c r="C24" s="119">
        <v>2835872</v>
      </c>
      <c r="D24" s="118">
        <f>_xlfn.COMPOUNDVALUE(114)</f>
        <v>605</v>
      </c>
      <c r="E24" s="119">
        <v>290323</v>
      </c>
      <c r="F24" s="118">
        <f>_xlfn.COMPOUNDVALUE(115)</f>
        <v>1443</v>
      </c>
      <c r="G24" s="119">
        <v>3126195</v>
      </c>
      <c r="H24" s="118">
        <f>_xlfn.COMPOUNDVALUE(116)</f>
        <v>40</v>
      </c>
      <c r="I24" s="120">
        <v>119741</v>
      </c>
      <c r="J24" s="118">
        <v>80</v>
      </c>
      <c r="K24" s="120">
        <v>10532</v>
      </c>
      <c r="L24" s="118">
        <v>1497</v>
      </c>
      <c r="M24" s="120">
        <v>3016986</v>
      </c>
      <c r="N24" s="113">
        <v>1449</v>
      </c>
      <c r="O24" s="116">
        <v>34</v>
      </c>
      <c r="P24" s="223" t="s">
        <v>135</v>
      </c>
      <c r="Q24" s="117">
        <v>1483</v>
      </c>
      <c r="R24" s="76" t="s">
        <v>69</v>
      </c>
    </row>
    <row r="25" spans="1:18" ht="13.5">
      <c r="A25" s="75" t="s">
        <v>70</v>
      </c>
      <c r="B25" s="118">
        <f>_xlfn.COMPOUNDVALUE(117)</f>
        <v>1729</v>
      </c>
      <c r="C25" s="119">
        <v>9934494</v>
      </c>
      <c r="D25" s="118">
        <f>_xlfn.COMPOUNDVALUE(118)</f>
        <v>1111</v>
      </c>
      <c r="E25" s="119">
        <v>514525</v>
      </c>
      <c r="F25" s="118">
        <f>_xlfn.COMPOUNDVALUE(119)</f>
        <v>2840</v>
      </c>
      <c r="G25" s="119">
        <v>10449019</v>
      </c>
      <c r="H25" s="118">
        <f>_xlfn.COMPOUNDVALUE(120)</f>
        <v>149</v>
      </c>
      <c r="I25" s="120">
        <v>467620</v>
      </c>
      <c r="J25" s="118">
        <v>170</v>
      </c>
      <c r="K25" s="120">
        <v>-20077</v>
      </c>
      <c r="L25" s="118">
        <v>3018</v>
      </c>
      <c r="M25" s="120">
        <v>9961322</v>
      </c>
      <c r="N25" s="113">
        <v>2915</v>
      </c>
      <c r="O25" s="116">
        <v>99</v>
      </c>
      <c r="P25" s="116">
        <v>5</v>
      </c>
      <c r="Q25" s="117">
        <v>3019</v>
      </c>
      <c r="R25" s="76" t="s">
        <v>71</v>
      </c>
    </row>
    <row r="26" spans="1:18" ht="13.5">
      <c r="A26" s="77" t="s">
        <v>72</v>
      </c>
      <c r="B26" s="121">
        <v>12834</v>
      </c>
      <c r="C26" s="122">
        <v>72706757</v>
      </c>
      <c r="D26" s="121">
        <v>8184</v>
      </c>
      <c r="E26" s="122">
        <v>3982919</v>
      </c>
      <c r="F26" s="121">
        <v>21018</v>
      </c>
      <c r="G26" s="122">
        <v>76689677</v>
      </c>
      <c r="H26" s="121">
        <v>1052</v>
      </c>
      <c r="I26" s="123">
        <v>5029902</v>
      </c>
      <c r="J26" s="121">
        <v>1500</v>
      </c>
      <c r="K26" s="123">
        <v>58830</v>
      </c>
      <c r="L26" s="121">
        <v>22338</v>
      </c>
      <c r="M26" s="123">
        <v>71718604</v>
      </c>
      <c r="N26" s="121">
        <v>21356</v>
      </c>
      <c r="O26" s="124">
        <v>597</v>
      </c>
      <c r="P26" s="124">
        <v>49</v>
      </c>
      <c r="Q26" s="125">
        <v>22002</v>
      </c>
      <c r="R26" s="78" t="s">
        <v>73</v>
      </c>
    </row>
    <row r="27" spans="1:18" ht="14.25" thickBot="1">
      <c r="A27" s="81"/>
      <c r="B27" s="132"/>
      <c r="C27" s="133"/>
      <c r="D27" s="132"/>
      <c r="E27" s="133"/>
      <c r="F27" s="134"/>
      <c r="G27" s="133"/>
      <c r="H27" s="134"/>
      <c r="I27" s="133"/>
      <c r="J27" s="134"/>
      <c r="K27" s="133"/>
      <c r="L27" s="134"/>
      <c r="M27" s="133"/>
      <c r="N27" s="135"/>
      <c r="O27" s="136"/>
      <c r="P27" s="136"/>
      <c r="Q27" s="137"/>
      <c r="R27" s="90" t="s">
        <v>98</v>
      </c>
    </row>
    <row r="28" spans="1:18" ht="15" thickBot="1" thickTop="1">
      <c r="A28" s="83" t="s">
        <v>75</v>
      </c>
      <c r="B28" s="138">
        <v>45061</v>
      </c>
      <c r="C28" s="139">
        <v>285303228</v>
      </c>
      <c r="D28" s="138">
        <v>29994</v>
      </c>
      <c r="E28" s="139">
        <v>14519543</v>
      </c>
      <c r="F28" s="138">
        <v>75055</v>
      </c>
      <c r="G28" s="139">
        <v>299822772</v>
      </c>
      <c r="H28" s="138">
        <v>3749</v>
      </c>
      <c r="I28" s="140">
        <v>19187924</v>
      </c>
      <c r="J28" s="138">
        <v>5273</v>
      </c>
      <c r="K28" s="140">
        <v>1051726</v>
      </c>
      <c r="L28" s="138">
        <v>79802</v>
      </c>
      <c r="M28" s="140">
        <v>281686574</v>
      </c>
      <c r="N28" s="141">
        <v>75921</v>
      </c>
      <c r="O28" s="142">
        <v>2377</v>
      </c>
      <c r="P28" s="142">
        <v>174</v>
      </c>
      <c r="Q28" s="143">
        <v>78472</v>
      </c>
      <c r="R28" s="91" t="s">
        <v>75</v>
      </c>
    </row>
    <row r="29" spans="1:18" ht="13.5">
      <c r="A29" s="205" t="s">
        <v>121</v>
      </c>
      <c r="B29" s="205"/>
      <c r="C29" s="205"/>
      <c r="D29" s="205"/>
      <c r="E29" s="205"/>
      <c r="F29" s="205"/>
      <c r="G29" s="205"/>
      <c r="H29" s="205"/>
      <c r="I29" s="205"/>
      <c r="J29" s="205"/>
      <c r="K29" s="112"/>
      <c r="L29" s="112"/>
      <c r="M29" s="112"/>
      <c r="N29" s="112"/>
      <c r="O29" s="112"/>
      <c r="P29" s="112"/>
      <c r="Q29" s="112"/>
      <c r="R29" s="112"/>
    </row>
  </sheetData>
  <sheetProtection/>
  <mergeCells count="16">
    <mergeCell ref="L3:M4"/>
    <mergeCell ref="N3:Q3"/>
    <mergeCell ref="R3:R5"/>
    <mergeCell ref="B4:C4"/>
    <mergeCell ref="D4:E4"/>
    <mergeCell ref="F4:G4"/>
    <mergeCell ref="N4:N5"/>
    <mergeCell ref="O4:O5"/>
    <mergeCell ref="P4:P5"/>
    <mergeCell ref="Q4:Q5"/>
    <mergeCell ref="A29:J29"/>
    <mergeCell ref="A2:I2"/>
    <mergeCell ref="A3:A5"/>
    <mergeCell ref="B3:G3"/>
    <mergeCell ref="H3:I4"/>
    <mergeCell ref="J3:K4"/>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&amp;R&amp;K01+000金沢国税局
消費税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2020-01-21T01:45:39Z</cp:lastPrinted>
  <dcterms:created xsi:type="dcterms:W3CDTF">2003-07-09T01:05:10Z</dcterms:created>
  <dcterms:modified xsi:type="dcterms:W3CDTF">2020-01-21T04:18:42Z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