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0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<sst xmlns="http://schemas.openxmlformats.org/spreadsheetml/2006/main" count="315" uniqueCount="134">
  <si>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</si>
  <si>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</si>
  <si>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</si>
  <si>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</si>
  <si>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</si>
  <si>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</si>
  <si>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</si>
  <si>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</si>
  <si>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</si>
  <si>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</si>
  <si>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</si>
  <si>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</si>
  <si>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</si>
  <si>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</si>
  <si>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</si>
  <si>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</si>
  <si>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</si>
  <si>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</si>
  <si>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</si>
  <si>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</si>
  <si>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</si>
  <si>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</si>
  <si>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</si>
  <si>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</si>
  <si>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</si>
  <si>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</si>
  <si>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</si>
  <si>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</si>
  <si>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</si>
  <si>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</si>
  <si>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</si>
  <si>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</si>
  <si>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</si>
  <si>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</si>
  <si>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</si>
  <si>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</si>
  <si>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</si>
  <si>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</si>
  <si>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</si>
  <si>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</si>
  <si>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</si>
  <si>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</si>
  <si>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</si>
  <si>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</si>
  <si>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</si>
  <si>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</si>
  <si>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</si>
  <si>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</si>
  <si>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</si>
  <si>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</si>
  <si>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</si>
  <si>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</si>
  <si>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</si>
  <si>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</si>
  <si>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</si>
  <si>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</si>
  <si>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</si>
  <si>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</si>
  <si>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</si>
  <si>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</si>
  <si>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</si>
  <si>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</si>
  <si>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</si>
  <si>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</si>
  <si>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</si>
  <si>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</si>
  <si>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</si>
  <si>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</si>
  <si>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</si>
  <si>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</si>
  <si>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</si>
  <si>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</si>
  <si>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</si>
  <si>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</si>
  <si>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</si>
  <si>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</si>
  <si>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</si>
  <si>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</si>
  <si>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</si>
  <si>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</si>
  <si>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</si>
  <si>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</si>
  <si>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</si>
  <si>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</si>
  <si>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</si>
  <si>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</si>
  <si>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</si>
  <si>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</si>
  <si>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</si>
  <si>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</si>
  <si>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</si>
  <si>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</si>
  <si>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</si>
  <si>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</si>
  <si>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</si>
  <si>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</si>
  <si>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</si>
  <si>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</si>
  <si>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</si>
  <si>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</si>
  <si>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調査対象等：</t>
  </si>
  <si>
    <t>（注）１</t>
  </si>
  <si>
    <t>税関分は含まない。</t>
  </si>
  <si>
    <t>　　　２</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</si>
  <si>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</si>
  <si>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</si>
  <si>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</si>
  <si>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</si>
  <si>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</si>
  <si>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</si>
  <si>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</si>
  <si>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</si>
  <si>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</si>
  <si>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</si>
  <si>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</si>
  <si>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</si>
  <si>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</si>
  <si>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</si>
  <si>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</si>
  <si>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</si>
  <si>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平成25年度</t>
  </si>
  <si>
    <t>平成26年度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</si>
  <si>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</si>
  <si>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</si>
  <si>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</si>
  <si>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</si>
  <si>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</si>
  <si>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</si>
  <si>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「件数」欄の「実」は、実件数を示す。</t>
  </si>
  <si>
    <t>　「現年分」は、平成29年４月１日から平成30年３月31日までに終了した課税期間について、平成30年６月30日現在の申告（国・地方公共団体等については平成30年９月30日までの申告を含む。）及び処理（更正、決定等）による課税事績を「申告書及び決議書」に基づいて作成した。</t>
  </si>
  <si>
    <t>　「既往年分」は、平成29年３月31日以前に終了した課税期間について、平成29年７月１日から平成30年６月30日までの間の申告（平成29年７月１日から同年９月30日までの間の国・地方公共団体等に係る申告を除く。）及び処理（更正、決定等）による課税事績を「申告書及び決議書」に基づいて作成した。</t>
  </si>
  <si>
    <t>平成28年度</t>
  </si>
  <si>
    <t>平成29年度</t>
  </si>
  <si>
    <t>調査対象等：平成29年度末（平成30年３月31日現在）の届出件数を示している。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</si>
</sst>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1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2" fillId="0" borderId="38" xfId="0" applyFont="1" applyBorder="1" applyAlignment="1">
      <alignment horizontal="left" vertical="top" wrapText="1"/>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9"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0" xfId="61" applyFont="1" applyBorder="1" applyAlignment="1">
      <alignment horizontal="distributed" vertical="center" indent="1"/>
      <protection/>
    </xf>
    <xf numFmtId="0" fontId="2" fillId="0" borderId="41" xfId="61" applyFont="1" applyBorder="1" applyAlignment="1">
      <alignment horizontal="distributed" vertical="center" indent="1"/>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2"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3"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8" fillId="0" borderId="50" xfId="61" applyFont="1" applyFill="1" applyBorder="1" applyAlignment="1">
      <alignment horizontal="distributed"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distributed" vertical="center"/>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41" xfId="61" applyFont="1" applyBorder="1" applyAlignment="1">
      <alignment horizontal="center" vertical="center" wrapText="1"/>
      <protection/>
    </xf>
    <xf numFmtId="0" fontId="7" fillId="34" borderId="29"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2" fillId="36" borderId="59" xfId="61" applyFont="1" applyFill="1" applyBorder="1" applyAlignment="1">
      <alignment horizontal="distributed"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177" fontId="8"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3" fontId="2" fillId="34" borderId="96"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4" borderId="98" xfId="0" applyNumberFormat="1" applyFont="1" applyFill="1" applyBorder="1" applyAlignment="1">
      <alignment vertical="center"/>
    </xf>
    <xf numFmtId="3" fontId="2" fillId="34" borderId="99" xfId="0" applyNumberFormat="1" applyFont="1" applyFill="1" applyBorder="1" applyAlignment="1">
      <alignment vertical="center"/>
    </xf>
    <xf numFmtId="3" fontId="2" fillId="34" borderId="100" xfId="0" applyNumberFormat="1" applyFont="1" applyFill="1" applyBorder="1" applyAlignment="1">
      <alignment vertical="center"/>
    </xf>
    <xf numFmtId="3" fontId="2" fillId="34" borderId="55" xfId="0" applyNumberFormat="1" applyFont="1" applyFill="1" applyBorder="1" applyAlignment="1">
      <alignment vertical="center"/>
    </xf>
    <xf numFmtId="0" fontId="2" fillId="0" borderId="101"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xf>
    <xf numFmtId="0" fontId="6" fillId="0" borderId="105" xfId="0" applyFont="1" applyBorder="1" applyAlignment="1">
      <alignment horizontal="distributed" vertical="center"/>
    </xf>
    <xf numFmtId="0" fontId="6" fillId="0" borderId="106" xfId="0" applyFont="1" applyBorder="1" applyAlignment="1">
      <alignment horizontal="distributed" vertical="center"/>
    </xf>
    <xf numFmtId="0" fontId="2" fillId="0" borderId="54" xfId="0" applyFont="1" applyBorder="1" applyAlignment="1">
      <alignment horizontal="distributed" vertical="center"/>
    </xf>
    <xf numFmtId="0" fontId="2" fillId="0" borderId="107" xfId="0" applyFont="1" applyBorder="1" applyAlignment="1">
      <alignment horizontal="distributed" vertical="center"/>
    </xf>
    <xf numFmtId="0" fontId="2" fillId="0" borderId="3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16" xfId="0" applyFont="1" applyBorder="1" applyAlignment="1">
      <alignment horizontal="center" vertical="center"/>
    </xf>
    <xf numFmtId="0" fontId="2" fillId="0" borderId="38"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02"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08" xfId="61" applyFont="1" applyBorder="1" applyAlignment="1">
      <alignment horizontal="distributed" vertical="center"/>
      <protection/>
    </xf>
    <xf numFmtId="0" fontId="2" fillId="0" borderId="110" xfId="61" applyFont="1" applyBorder="1" applyAlignment="1">
      <alignment horizontal="distributed" vertical="center"/>
      <protection/>
    </xf>
    <xf numFmtId="0" fontId="2" fillId="0" borderId="122" xfId="61" applyFont="1" applyBorder="1" applyAlignment="1">
      <alignment horizontal="distributed"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4" xfId="61" applyFont="1" applyBorder="1" applyAlignment="1">
      <alignment horizontal="center" vertical="center" wrapText="1"/>
      <protection/>
    </xf>
    <xf numFmtId="0" fontId="2" fillId="0" borderId="39" xfId="61" applyFont="1" applyBorder="1" applyAlignment="1">
      <alignment horizontal="distributed" vertical="center" wrapText="1"/>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2" fillId="0" borderId="38" xfId="61" applyFont="1" applyBorder="1" applyAlignment="1">
      <alignment horizontal="left" vertical="center"/>
      <protection/>
    </xf>
    <xf numFmtId="0" fontId="2" fillId="0" borderId="132" xfId="61" applyFont="1" applyBorder="1" applyAlignment="1">
      <alignment horizontal="left" vertical="center"/>
      <protection/>
    </xf>
    <xf numFmtId="0" fontId="2" fillId="0" borderId="123" xfId="61" applyFont="1" applyBorder="1" applyAlignment="1">
      <alignment horizontal="center" vertical="center" wrapText="1"/>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distributed" vertical="center" wrapText="1"/>
      <protection/>
    </xf>
    <xf numFmtId="0" fontId="2" fillId="0" borderId="136" xfId="61" applyFont="1" applyBorder="1" applyAlignment="1">
      <alignment horizontal="distributed" vertical="center"/>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distributed"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42"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62" t="s">
        <v>0</v>
      </c>
      <c r="B1" s="162"/>
      <c r="C1" s="162"/>
      <c r="D1" s="162"/>
      <c r="E1" s="162"/>
      <c r="F1" s="162"/>
      <c r="G1" s="162"/>
      <c r="H1" s="162"/>
      <c r="I1" s="162"/>
      <c r="J1" s="162"/>
      <c r="K1" s="162"/>
    </row>
    <row r="2" spans="1:11" ht="15">
      <c r="A2" s="54"/>
      <c r="B2" s="54"/>
      <c r="C2" s="54"/>
      <c r="D2" s="54"/>
      <c r="E2" s="54"/>
      <c r="F2" s="54"/>
      <c r="G2" s="54"/>
      <c r="H2" s="54"/>
      <c r="I2" s="54"/>
      <c r="J2" s="54"/>
      <c r="K2" s="54"/>
    </row>
    <row r="3" spans="1:11" ht="12" thickBot="1">
      <c r="A3" s="163" t="s">
        <v>24</v>
      </c>
      <c r="B3" s="163"/>
      <c r="C3" s="163"/>
      <c r="D3" s="163"/>
      <c r="E3" s="163"/>
      <c r="F3" s="163"/>
      <c r="G3" s="163"/>
      <c r="H3" s="163"/>
      <c r="I3" s="163"/>
      <c r="J3" s="163"/>
      <c r="K3" s="163"/>
    </row>
    <row r="4" spans="1:11" ht="24" customHeight="1">
      <c r="A4" s="164" t="s">
        <v>1</v>
      </c>
      <c r="B4" s="165"/>
      <c r="C4" s="168" t="s">
        <v>15</v>
      </c>
      <c r="D4" s="169"/>
      <c r="E4" s="170"/>
      <c r="F4" s="168" t="s">
        <v>16</v>
      </c>
      <c r="G4" s="169"/>
      <c r="H4" s="170"/>
      <c r="I4" s="168" t="s">
        <v>17</v>
      </c>
      <c r="J4" s="169"/>
      <c r="K4" s="171"/>
    </row>
    <row r="5" spans="1:11" ht="24" customHeight="1">
      <c r="A5" s="166"/>
      <c r="B5" s="167"/>
      <c r="C5" s="172" t="s">
        <v>2</v>
      </c>
      <c r="D5" s="173"/>
      <c r="E5" s="6" t="s">
        <v>3</v>
      </c>
      <c r="F5" s="172" t="s">
        <v>2</v>
      </c>
      <c r="G5" s="173"/>
      <c r="H5" s="6" t="s">
        <v>3</v>
      </c>
      <c r="I5" s="172" t="s">
        <v>2</v>
      </c>
      <c r="J5" s="173"/>
      <c r="K5" s="14" t="s">
        <v>3</v>
      </c>
    </row>
    <row r="6" spans="1:11" ht="12" customHeight="1">
      <c r="A6" s="40"/>
      <c r="B6" s="43"/>
      <c r="C6" s="41"/>
      <c r="D6" s="33" t="s">
        <v>26</v>
      </c>
      <c r="E6" s="32" t="s">
        <v>25</v>
      </c>
      <c r="F6" s="41"/>
      <c r="G6" s="33" t="s">
        <v>26</v>
      </c>
      <c r="H6" s="32" t="s">
        <v>25</v>
      </c>
      <c r="I6" s="41"/>
      <c r="J6" s="33" t="s">
        <v>26</v>
      </c>
      <c r="K6" s="42" t="s">
        <v>25</v>
      </c>
    </row>
    <row r="7" spans="1:11" ht="30" customHeight="1">
      <c r="A7" s="151" t="s">
        <v>27</v>
      </c>
      <c r="B7" s="37" t="s">
        <v>18</v>
      </c>
      <c r="C7" s="15"/>
      <c r="D7" s="93">
        <v>12305</v>
      </c>
      <c r="E7" s="38">
        <v>8547720</v>
      </c>
      <c r="F7" s="18"/>
      <c r="G7" s="93">
        <v>32970</v>
      </c>
      <c r="H7" s="38">
        <v>277330543</v>
      </c>
      <c r="I7" s="18"/>
      <c r="J7" s="93">
        <v>45275</v>
      </c>
      <c r="K7" s="39">
        <v>285878263</v>
      </c>
    </row>
    <row r="8" spans="1:11" ht="30" customHeight="1">
      <c r="A8" s="152"/>
      <c r="B8" s="23" t="s">
        <v>19</v>
      </c>
      <c r="C8" s="15"/>
      <c r="D8" s="94">
        <v>18129</v>
      </c>
      <c r="E8" s="95">
        <v>7233317</v>
      </c>
      <c r="F8" s="18"/>
      <c r="G8" s="94">
        <v>12219</v>
      </c>
      <c r="H8" s="95">
        <v>7258466</v>
      </c>
      <c r="I8" s="18"/>
      <c r="J8" s="94">
        <v>30348</v>
      </c>
      <c r="K8" s="96">
        <v>14491783</v>
      </c>
    </row>
    <row r="9" spans="1:11" s="3" customFormat="1" ht="30" customHeight="1">
      <c r="A9" s="152"/>
      <c r="B9" s="24" t="s">
        <v>20</v>
      </c>
      <c r="C9" s="16"/>
      <c r="D9" s="97">
        <v>30434</v>
      </c>
      <c r="E9" s="98">
        <v>15781037</v>
      </c>
      <c r="F9" s="16"/>
      <c r="G9" s="97">
        <v>45189</v>
      </c>
      <c r="H9" s="98">
        <v>284589009</v>
      </c>
      <c r="I9" s="16"/>
      <c r="J9" s="97">
        <v>75623</v>
      </c>
      <c r="K9" s="99">
        <v>300370046</v>
      </c>
    </row>
    <row r="10" spans="1:11" ht="30" customHeight="1">
      <c r="A10" s="153"/>
      <c r="B10" s="25" t="s">
        <v>21</v>
      </c>
      <c r="C10" s="15"/>
      <c r="D10" s="100">
        <v>792</v>
      </c>
      <c r="E10" s="101">
        <v>613265</v>
      </c>
      <c r="F10" s="15"/>
      <c r="G10" s="100">
        <v>2767</v>
      </c>
      <c r="H10" s="101">
        <v>27853950</v>
      </c>
      <c r="I10" s="15"/>
      <c r="J10" s="100">
        <v>3559</v>
      </c>
      <c r="K10" s="102">
        <v>28467215</v>
      </c>
    </row>
    <row r="11" spans="1:11" ht="30" customHeight="1">
      <c r="A11" s="154" t="s">
        <v>28</v>
      </c>
      <c r="B11" s="55" t="s">
        <v>22</v>
      </c>
      <c r="C11" s="9"/>
      <c r="D11" s="103">
        <v>1937</v>
      </c>
      <c r="E11" s="20">
        <v>364327</v>
      </c>
      <c r="F11" s="34"/>
      <c r="G11" s="104">
        <v>2345</v>
      </c>
      <c r="H11" s="20">
        <v>659763</v>
      </c>
      <c r="I11" s="34"/>
      <c r="J11" s="104">
        <v>4282</v>
      </c>
      <c r="K11" s="21">
        <v>1024090</v>
      </c>
    </row>
    <row r="12" spans="1:11" ht="30" customHeight="1">
      <c r="A12" s="155"/>
      <c r="B12" s="56" t="s">
        <v>23</v>
      </c>
      <c r="C12" s="35"/>
      <c r="D12" s="94">
        <v>193</v>
      </c>
      <c r="E12" s="95">
        <v>32362</v>
      </c>
      <c r="F12" s="36"/>
      <c r="G12" s="105">
        <v>321</v>
      </c>
      <c r="H12" s="95">
        <v>314279</v>
      </c>
      <c r="I12" s="36"/>
      <c r="J12" s="105">
        <v>514</v>
      </c>
      <c r="K12" s="96">
        <v>346641</v>
      </c>
    </row>
    <row r="13" spans="1:11" s="3" customFormat="1" ht="30" customHeight="1">
      <c r="A13" s="156" t="s">
        <v>6</v>
      </c>
      <c r="B13" s="157"/>
      <c r="C13" s="26" t="s">
        <v>14</v>
      </c>
      <c r="D13" s="106">
        <v>31870</v>
      </c>
      <c r="E13" s="107">
        <v>15499737</v>
      </c>
      <c r="F13" s="26" t="s">
        <v>14</v>
      </c>
      <c r="G13" s="106">
        <v>48241</v>
      </c>
      <c r="H13" s="107">
        <v>257080543</v>
      </c>
      <c r="I13" s="26" t="s">
        <v>14</v>
      </c>
      <c r="J13" s="106">
        <v>80111</v>
      </c>
      <c r="K13" s="108">
        <v>272580280</v>
      </c>
    </row>
    <row r="14" spans="1:11" ht="30" customHeight="1" thickBot="1">
      <c r="A14" s="158" t="s">
        <v>7</v>
      </c>
      <c r="B14" s="159"/>
      <c r="C14" s="17"/>
      <c r="D14" s="109">
        <v>1750</v>
      </c>
      <c r="E14" s="110">
        <v>70787</v>
      </c>
      <c r="F14" s="19"/>
      <c r="G14" s="109">
        <v>1843</v>
      </c>
      <c r="H14" s="110">
        <v>128410</v>
      </c>
      <c r="I14" s="19"/>
      <c r="J14" s="109">
        <v>3593</v>
      </c>
      <c r="K14" s="111">
        <v>199196</v>
      </c>
    </row>
    <row r="15" spans="1:11" s="4" customFormat="1" ht="37.5" customHeight="1">
      <c r="A15" s="53" t="s">
        <v>100</v>
      </c>
      <c r="B15" s="160" t="s">
        <v>129</v>
      </c>
      <c r="C15" s="160"/>
      <c r="D15" s="160"/>
      <c r="E15" s="160"/>
      <c r="F15" s="160"/>
      <c r="G15" s="160"/>
      <c r="H15" s="160"/>
      <c r="I15" s="160"/>
      <c r="J15" s="160"/>
      <c r="K15" s="160"/>
    </row>
    <row r="16" spans="2:11" ht="45" customHeight="1">
      <c r="B16" s="161" t="s">
        <v>130</v>
      </c>
      <c r="C16" s="161"/>
      <c r="D16" s="161"/>
      <c r="E16" s="161"/>
      <c r="F16" s="161"/>
      <c r="G16" s="161"/>
      <c r="H16" s="161"/>
      <c r="I16" s="161"/>
      <c r="J16" s="161"/>
      <c r="K16" s="161"/>
    </row>
    <row r="17" spans="1:2" ht="14.25" customHeight="1">
      <c r="A17" s="1" t="s">
        <v>101</v>
      </c>
      <c r="B17" s="1" t="s">
        <v>102</v>
      </c>
    </row>
    <row r="18" spans="1:2" ht="11.25">
      <c r="A18" s="59" t="s">
        <v>103</v>
      </c>
      <c r="B18" s="1" t="s">
        <v>128</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29</v>
      </c>
    </row>
    <row r="2" spans="1:8" s="1" customFormat="1" ht="15" customHeight="1">
      <c r="A2" s="164" t="s">
        <v>1</v>
      </c>
      <c r="B2" s="165"/>
      <c r="C2" s="174" t="s">
        <v>115</v>
      </c>
      <c r="D2" s="174"/>
      <c r="E2" s="174" t="s">
        <v>116</v>
      </c>
      <c r="F2" s="174"/>
      <c r="G2" s="175" t="s">
        <v>117</v>
      </c>
      <c r="H2" s="176"/>
    </row>
    <row r="3" spans="1:8" s="1" customFormat="1" ht="15" customHeight="1">
      <c r="A3" s="166"/>
      <c r="B3" s="167"/>
      <c r="C3" s="9" t="s">
        <v>118</v>
      </c>
      <c r="D3" s="6" t="s">
        <v>119</v>
      </c>
      <c r="E3" s="9" t="s">
        <v>118</v>
      </c>
      <c r="F3" s="7" t="s">
        <v>119</v>
      </c>
      <c r="G3" s="9" t="s">
        <v>118</v>
      </c>
      <c r="H3" s="8" t="s">
        <v>119</v>
      </c>
    </row>
    <row r="4" spans="1:8" s="10" customFormat="1" ht="15" customHeight="1">
      <c r="A4" s="45"/>
      <c r="B4" s="6"/>
      <c r="C4" s="46" t="s">
        <v>4</v>
      </c>
      <c r="D4" s="47" t="s">
        <v>5</v>
      </c>
      <c r="E4" s="46" t="s">
        <v>4</v>
      </c>
      <c r="F4" s="47" t="s">
        <v>5</v>
      </c>
      <c r="G4" s="46" t="s">
        <v>4</v>
      </c>
      <c r="H4" s="48" t="s">
        <v>5</v>
      </c>
    </row>
    <row r="5" spans="1:8" s="57" customFormat="1" ht="30" customHeight="1">
      <c r="A5" s="179" t="s">
        <v>120</v>
      </c>
      <c r="B5" s="37" t="s">
        <v>12</v>
      </c>
      <c r="C5" s="44">
        <v>31599</v>
      </c>
      <c r="D5" s="38">
        <v>10091012</v>
      </c>
      <c r="E5" s="44">
        <v>45677</v>
      </c>
      <c r="F5" s="38">
        <v>164837273</v>
      </c>
      <c r="G5" s="44">
        <v>77276</v>
      </c>
      <c r="H5" s="39">
        <v>174928284</v>
      </c>
    </row>
    <row r="6" spans="1:8" s="57" customFormat="1" ht="30" customHeight="1">
      <c r="A6" s="180"/>
      <c r="B6" s="25" t="s">
        <v>13</v>
      </c>
      <c r="C6" s="28">
        <v>679</v>
      </c>
      <c r="D6" s="29">
        <v>237137</v>
      </c>
      <c r="E6" s="28">
        <v>2188</v>
      </c>
      <c r="F6" s="29">
        <v>8927235</v>
      </c>
      <c r="G6" s="28">
        <v>2867</v>
      </c>
      <c r="H6" s="30">
        <v>9164372</v>
      </c>
    </row>
    <row r="7" spans="1:8" s="57" customFormat="1" ht="30" customHeight="1">
      <c r="A7" s="177" t="s">
        <v>121</v>
      </c>
      <c r="B7" s="22" t="s">
        <v>12</v>
      </c>
      <c r="C7" s="27">
        <v>31340</v>
      </c>
      <c r="D7" s="20">
        <v>14534512</v>
      </c>
      <c r="E7" s="27">
        <v>45329</v>
      </c>
      <c r="F7" s="20">
        <v>236925082</v>
      </c>
      <c r="G7" s="27">
        <v>76669</v>
      </c>
      <c r="H7" s="21">
        <v>251459594</v>
      </c>
    </row>
    <row r="8" spans="1:8" s="57" customFormat="1" ht="30" customHeight="1">
      <c r="A8" s="181"/>
      <c r="B8" s="25" t="s">
        <v>13</v>
      </c>
      <c r="C8" s="28">
        <v>788</v>
      </c>
      <c r="D8" s="29">
        <v>355536</v>
      </c>
      <c r="E8" s="28">
        <v>2426</v>
      </c>
      <c r="F8" s="29">
        <v>18794523</v>
      </c>
      <c r="G8" s="28">
        <v>3214</v>
      </c>
      <c r="H8" s="30">
        <v>19150059</v>
      </c>
    </row>
    <row r="9" spans="1:8" s="57" customFormat="1" ht="30" customHeight="1">
      <c r="A9" s="179" t="s">
        <v>124</v>
      </c>
      <c r="B9" s="22" t="s">
        <v>12</v>
      </c>
      <c r="C9" s="27">
        <v>31259</v>
      </c>
      <c r="D9" s="20">
        <v>16069693</v>
      </c>
      <c r="E9" s="27">
        <v>45221</v>
      </c>
      <c r="F9" s="20">
        <v>273245954</v>
      </c>
      <c r="G9" s="27">
        <v>76480</v>
      </c>
      <c r="H9" s="21">
        <v>289315647</v>
      </c>
    </row>
    <row r="10" spans="1:8" s="57" customFormat="1" ht="30" customHeight="1">
      <c r="A10" s="180"/>
      <c r="B10" s="25" t="s">
        <v>13</v>
      </c>
      <c r="C10" s="28">
        <v>793</v>
      </c>
      <c r="D10" s="29">
        <v>464040</v>
      </c>
      <c r="E10" s="28">
        <v>2564</v>
      </c>
      <c r="F10" s="29">
        <v>17450017</v>
      </c>
      <c r="G10" s="28">
        <v>3357</v>
      </c>
      <c r="H10" s="30">
        <v>17914056</v>
      </c>
    </row>
    <row r="11" spans="1:8" s="57" customFormat="1" ht="30" customHeight="1">
      <c r="A11" s="177" t="s">
        <v>131</v>
      </c>
      <c r="B11" s="22" t="s">
        <v>12</v>
      </c>
      <c r="C11" s="27">
        <v>31015</v>
      </c>
      <c r="D11" s="20">
        <v>16058452</v>
      </c>
      <c r="E11" s="27">
        <v>45371</v>
      </c>
      <c r="F11" s="20">
        <v>279162591</v>
      </c>
      <c r="G11" s="27">
        <v>76386</v>
      </c>
      <c r="H11" s="21">
        <v>295221042</v>
      </c>
    </row>
    <row r="12" spans="1:8" s="57" customFormat="1" ht="30" customHeight="1">
      <c r="A12" s="181"/>
      <c r="B12" s="25" t="s">
        <v>13</v>
      </c>
      <c r="C12" s="28">
        <v>727</v>
      </c>
      <c r="D12" s="29">
        <v>462986</v>
      </c>
      <c r="E12" s="28">
        <v>2607</v>
      </c>
      <c r="F12" s="29">
        <v>18831568</v>
      </c>
      <c r="G12" s="28">
        <v>3334</v>
      </c>
      <c r="H12" s="30">
        <v>19294554</v>
      </c>
    </row>
    <row r="13" spans="1:8" s="1" customFormat="1" ht="30" customHeight="1">
      <c r="A13" s="177" t="s">
        <v>132</v>
      </c>
      <c r="B13" s="22" t="s">
        <v>12</v>
      </c>
      <c r="C13" s="27">
        <v>30434</v>
      </c>
      <c r="D13" s="20">
        <v>15781037</v>
      </c>
      <c r="E13" s="27">
        <v>45189</v>
      </c>
      <c r="F13" s="20">
        <v>284589009</v>
      </c>
      <c r="G13" s="27">
        <v>75623</v>
      </c>
      <c r="H13" s="21">
        <v>300370046</v>
      </c>
    </row>
    <row r="14" spans="1:8" s="1" customFormat="1" ht="30" customHeight="1" thickBot="1">
      <c r="A14" s="178"/>
      <c r="B14" s="31" t="s">
        <v>13</v>
      </c>
      <c r="C14" s="144">
        <v>792</v>
      </c>
      <c r="D14" s="145">
        <v>613265</v>
      </c>
      <c r="E14" s="144">
        <v>2767</v>
      </c>
      <c r="F14" s="145">
        <v>27853950</v>
      </c>
      <c r="G14" s="144">
        <v>3559</v>
      </c>
      <c r="H14" s="146">
        <v>28467215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113</v>
      </c>
    </row>
    <row r="2" spans="1:4" s="4" customFormat="1" ht="19.5" customHeight="1">
      <c r="A2" s="11" t="s">
        <v>8</v>
      </c>
      <c r="B2" s="12" t="s">
        <v>9</v>
      </c>
      <c r="C2" s="13" t="s">
        <v>10</v>
      </c>
      <c r="D2" s="60" t="s">
        <v>114</v>
      </c>
    </row>
    <row r="3" spans="1:4" s="10" customFormat="1" ht="15" customHeight="1">
      <c r="A3" s="49" t="s">
        <v>4</v>
      </c>
      <c r="B3" s="50" t="s">
        <v>4</v>
      </c>
      <c r="C3" s="51" t="s">
        <v>4</v>
      </c>
      <c r="D3" s="52" t="s">
        <v>4</v>
      </c>
    </row>
    <row r="4" spans="1:9" s="4" customFormat="1" ht="30" customHeight="1" thickBot="1">
      <c r="A4" s="147">
        <v>76025</v>
      </c>
      <c r="B4" s="148">
        <v>2258</v>
      </c>
      <c r="C4" s="149">
        <v>192</v>
      </c>
      <c r="D4" s="150">
        <v>78475</v>
      </c>
      <c r="E4" s="5"/>
      <c r="G4" s="5"/>
      <c r="I4" s="5"/>
    </row>
    <row r="5" spans="1:4" s="4" customFormat="1" ht="15" customHeight="1">
      <c r="A5" s="182" t="s">
        <v>133</v>
      </c>
      <c r="B5" s="182"/>
      <c r="C5" s="182"/>
      <c r="D5" s="182"/>
    </row>
    <row r="6" spans="1:4" s="4" customFormat="1" ht="15" customHeight="1">
      <c r="A6" s="183" t="s">
        <v>11</v>
      </c>
      <c r="B6" s="183"/>
      <c r="C6" s="183"/>
      <c r="D6" s="18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(H29)</oddFooter>
  </headerFooter>
</worksheet>
</file>

<file path=xl/worksheets/sheet4.xml><?xml version="1.0" encoding="utf-8"?>
<worksheet xmlns="http://schemas.openxmlformats.org/spreadsheetml/2006/main" xmlns:r="http://schemas.openxmlformats.org/officeDocument/2006/relationships">
  <dimension ref="A1:N29"/>
  <sheetViews>
    <sheetView zoomScaleSheetLayoutView="100" workbookViewId="0" topLeftCell="A1">
      <selection activeCell="A1" sqref="A1"/>
    </sheetView>
  </sheetViews>
  <sheetFormatPr defaultColWidth="9.00390625" defaultRowHeight="13.5"/>
  <cols>
    <col min="1" max="1" width="11.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126</v>
      </c>
      <c r="B1" s="61"/>
      <c r="C1" s="61"/>
      <c r="D1" s="61"/>
      <c r="E1" s="61"/>
      <c r="F1" s="61"/>
      <c r="G1" s="61"/>
      <c r="H1" s="61"/>
      <c r="I1" s="61"/>
      <c r="J1" s="61"/>
      <c r="K1" s="61"/>
      <c r="L1" s="62"/>
      <c r="M1" s="62"/>
      <c r="N1" s="112"/>
    </row>
    <row r="2" spans="1:14" ht="14.25" thickBot="1">
      <c r="A2" s="184" t="s">
        <v>30</v>
      </c>
      <c r="B2" s="184"/>
      <c r="C2" s="184"/>
      <c r="D2" s="184"/>
      <c r="E2" s="184"/>
      <c r="F2" s="184"/>
      <c r="G2" s="184"/>
      <c r="H2" s="62"/>
      <c r="I2" s="62"/>
      <c r="J2" s="62"/>
      <c r="K2" s="62"/>
      <c r="L2" s="62"/>
      <c r="M2" s="62"/>
      <c r="N2" s="62"/>
    </row>
    <row r="3" spans="1:14" ht="13.5">
      <c r="A3" s="185" t="s">
        <v>104</v>
      </c>
      <c r="B3" s="188" t="s">
        <v>105</v>
      </c>
      <c r="C3" s="188"/>
      <c r="D3" s="188"/>
      <c r="E3" s="188"/>
      <c r="F3" s="188"/>
      <c r="G3" s="188"/>
      <c r="H3" s="189" t="s">
        <v>13</v>
      </c>
      <c r="I3" s="190"/>
      <c r="J3" s="193" t="s">
        <v>33</v>
      </c>
      <c r="K3" s="190"/>
      <c r="L3" s="189" t="s">
        <v>34</v>
      </c>
      <c r="M3" s="190"/>
      <c r="N3" s="194" t="s">
        <v>35</v>
      </c>
    </row>
    <row r="4" spans="1:14" ht="13.5">
      <c r="A4" s="186"/>
      <c r="B4" s="197" t="s">
        <v>106</v>
      </c>
      <c r="C4" s="197"/>
      <c r="D4" s="191" t="s">
        <v>36</v>
      </c>
      <c r="E4" s="198"/>
      <c r="F4" s="191" t="s">
        <v>37</v>
      </c>
      <c r="G4" s="198"/>
      <c r="H4" s="191"/>
      <c r="I4" s="192"/>
      <c r="J4" s="191"/>
      <c r="K4" s="192"/>
      <c r="L4" s="191"/>
      <c r="M4" s="192"/>
      <c r="N4" s="195"/>
    </row>
    <row r="5" spans="1:14" ht="22.5">
      <c r="A5" s="187"/>
      <c r="B5" s="63" t="s">
        <v>107</v>
      </c>
      <c r="C5" s="64" t="s">
        <v>108</v>
      </c>
      <c r="D5" s="63" t="s">
        <v>107</v>
      </c>
      <c r="E5" s="64" t="s">
        <v>108</v>
      </c>
      <c r="F5" s="63" t="s">
        <v>107</v>
      </c>
      <c r="G5" s="65" t="s">
        <v>109</v>
      </c>
      <c r="H5" s="63" t="s">
        <v>107</v>
      </c>
      <c r="I5" s="66" t="s">
        <v>110</v>
      </c>
      <c r="J5" s="63" t="s">
        <v>107</v>
      </c>
      <c r="K5" s="66" t="s">
        <v>111</v>
      </c>
      <c r="L5" s="63" t="s">
        <v>107</v>
      </c>
      <c r="M5" s="67" t="s">
        <v>112</v>
      </c>
      <c r="N5" s="196"/>
    </row>
    <row r="6" spans="1:14" ht="13.5">
      <c r="A6" s="68"/>
      <c r="B6" s="69" t="s">
        <v>4</v>
      </c>
      <c r="C6" s="70" t="s">
        <v>5</v>
      </c>
      <c r="D6" s="69" t="s">
        <v>4</v>
      </c>
      <c r="E6" s="70" t="s">
        <v>5</v>
      </c>
      <c r="F6" s="69" t="s">
        <v>4</v>
      </c>
      <c r="G6" s="70" t="s">
        <v>5</v>
      </c>
      <c r="H6" s="69" t="s">
        <v>4</v>
      </c>
      <c r="I6" s="71" t="s">
        <v>5</v>
      </c>
      <c r="J6" s="69" t="s">
        <v>4</v>
      </c>
      <c r="K6" s="71" t="s">
        <v>5</v>
      </c>
      <c r="L6" s="69" t="s">
        <v>125</v>
      </c>
      <c r="M6" s="71" t="s">
        <v>5</v>
      </c>
      <c r="N6" s="72"/>
    </row>
    <row r="7" spans="1:14" ht="13.5">
      <c r="A7" s="73" t="s">
        <v>44</v>
      </c>
      <c r="B7" s="113">
        <f>_xlfn.COMPOUNDVALUE(1)</f>
        <v>1503</v>
      </c>
      <c r="C7" s="114">
        <v>1172295</v>
      </c>
      <c r="D7" s="113">
        <f>_xlfn.COMPOUNDVALUE(2)</f>
        <v>2285</v>
      </c>
      <c r="E7" s="114">
        <v>960138</v>
      </c>
      <c r="F7" s="113">
        <f>_xlfn.COMPOUNDVALUE(3)</f>
        <v>3788</v>
      </c>
      <c r="G7" s="114">
        <v>2132433</v>
      </c>
      <c r="H7" s="113">
        <f>_xlfn.COMPOUNDVALUE(4)</f>
        <v>108</v>
      </c>
      <c r="I7" s="115">
        <v>90722</v>
      </c>
      <c r="J7" s="113">
        <v>192</v>
      </c>
      <c r="K7" s="115">
        <v>31600</v>
      </c>
      <c r="L7" s="113">
        <v>3964</v>
      </c>
      <c r="M7" s="115">
        <v>2073310</v>
      </c>
      <c r="N7" s="92" t="s">
        <v>45</v>
      </c>
    </row>
    <row r="8" spans="1:14" ht="13.5">
      <c r="A8" s="75" t="s">
        <v>46</v>
      </c>
      <c r="B8" s="118">
        <f>_xlfn.COMPOUNDVALUE(5)</f>
        <v>1261</v>
      </c>
      <c r="C8" s="119">
        <v>1018719</v>
      </c>
      <c r="D8" s="118">
        <f>_xlfn.COMPOUNDVALUE(6)</f>
        <v>1803</v>
      </c>
      <c r="E8" s="119">
        <v>704896</v>
      </c>
      <c r="F8" s="118">
        <f>_xlfn.COMPOUNDVALUE(7)</f>
        <v>3064</v>
      </c>
      <c r="G8" s="119">
        <v>1723615</v>
      </c>
      <c r="H8" s="118">
        <f>_xlfn.COMPOUNDVALUE(8)</f>
        <v>70</v>
      </c>
      <c r="I8" s="120">
        <v>95810</v>
      </c>
      <c r="J8" s="118">
        <v>249</v>
      </c>
      <c r="K8" s="120">
        <v>36135</v>
      </c>
      <c r="L8" s="118">
        <v>3185</v>
      </c>
      <c r="M8" s="120">
        <v>1663939</v>
      </c>
      <c r="N8" s="76" t="s">
        <v>47</v>
      </c>
    </row>
    <row r="9" spans="1:14" ht="13.5">
      <c r="A9" s="75" t="s">
        <v>48</v>
      </c>
      <c r="B9" s="118">
        <f>_xlfn.COMPOUNDVALUE(9)</f>
        <v>747</v>
      </c>
      <c r="C9" s="119">
        <v>541299</v>
      </c>
      <c r="D9" s="118">
        <f>_xlfn.COMPOUNDVALUE(10)</f>
        <v>1273</v>
      </c>
      <c r="E9" s="119">
        <v>487733</v>
      </c>
      <c r="F9" s="118">
        <f>_xlfn.COMPOUNDVALUE(11)</f>
        <v>2020</v>
      </c>
      <c r="G9" s="119">
        <v>1029032</v>
      </c>
      <c r="H9" s="118">
        <f>_xlfn.COMPOUNDVALUE(12)</f>
        <v>47</v>
      </c>
      <c r="I9" s="120">
        <v>30558</v>
      </c>
      <c r="J9" s="118">
        <v>167</v>
      </c>
      <c r="K9" s="120">
        <v>18465</v>
      </c>
      <c r="L9" s="118">
        <v>2127</v>
      </c>
      <c r="M9" s="120">
        <v>1016938</v>
      </c>
      <c r="N9" s="76" t="s">
        <v>49</v>
      </c>
    </row>
    <row r="10" spans="1:14" ht="13.5">
      <c r="A10" s="75" t="s">
        <v>50</v>
      </c>
      <c r="B10" s="118">
        <f>_xlfn.COMPOUNDVALUE(13)</f>
        <v>538</v>
      </c>
      <c r="C10" s="119">
        <v>339221</v>
      </c>
      <c r="D10" s="118">
        <f>_xlfn.COMPOUNDVALUE(14)</f>
        <v>830</v>
      </c>
      <c r="E10" s="119">
        <v>315837</v>
      </c>
      <c r="F10" s="118">
        <f>_xlfn.COMPOUNDVALUE(15)</f>
        <v>1368</v>
      </c>
      <c r="G10" s="119">
        <v>655058</v>
      </c>
      <c r="H10" s="118">
        <f>_xlfn.COMPOUNDVALUE(16)</f>
        <v>17</v>
      </c>
      <c r="I10" s="120">
        <v>43126</v>
      </c>
      <c r="J10" s="118">
        <v>107</v>
      </c>
      <c r="K10" s="120">
        <v>15216</v>
      </c>
      <c r="L10" s="118">
        <v>1417</v>
      </c>
      <c r="M10" s="120">
        <v>627148</v>
      </c>
      <c r="N10" s="76" t="s">
        <v>51</v>
      </c>
    </row>
    <row r="11" spans="1:14" ht="13.5">
      <c r="A11" s="77" t="s">
        <v>52</v>
      </c>
      <c r="B11" s="121">
        <v>4049</v>
      </c>
      <c r="C11" s="122">
        <v>3071534</v>
      </c>
      <c r="D11" s="121">
        <v>6191</v>
      </c>
      <c r="E11" s="122">
        <v>2468603</v>
      </c>
      <c r="F11" s="121">
        <v>10240</v>
      </c>
      <c r="G11" s="122">
        <v>5540137</v>
      </c>
      <c r="H11" s="121">
        <v>242</v>
      </c>
      <c r="I11" s="123">
        <v>260216</v>
      </c>
      <c r="J11" s="121">
        <v>715</v>
      </c>
      <c r="K11" s="123">
        <v>101415</v>
      </c>
      <c r="L11" s="121">
        <v>10693</v>
      </c>
      <c r="M11" s="123">
        <v>5381336</v>
      </c>
      <c r="N11" s="78" t="s">
        <v>53</v>
      </c>
    </row>
    <row r="12" spans="1:14" ht="13.5">
      <c r="A12" s="79"/>
      <c r="B12" s="126"/>
      <c r="C12" s="127"/>
      <c r="D12" s="126"/>
      <c r="E12" s="127"/>
      <c r="F12" s="128"/>
      <c r="G12" s="127"/>
      <c r="H12" s="128"/>
      <c r="I12" s="127"/>
      <c r="J12" s="128"/>
      <c r="K12" s="127"/>
      <c r="L12" s="128"/>
      <c r="M12" s="127"/>
      <c r="N12" s="80"/>
    </row>
    <row r="13" spans="1:14" ht="13.5">
      <c r="A13" s="73" t="s">
        <v>54</v>
      </c>
      <c r="B13" s="113">
        <f>_xlfn.COMPOUNDVALUE(17)</f>
        <v>2284</v>
      </c>
      <c r="C13" s="114">
        <v>1479984</v>
      </c>
      <c r="D13" s="113">
        <f>_xlfn.COMPOUNDVALUE(18)</f>
        <v>3198</v>
      </c>
      <c r="E13" s="114">
        <v>1372284</v>
      </c>
      <c r="F13" s="113">
        <f>_xlfn.COMPOUNDVALUE(19)</f>
        <v>5482</v>
      </c>
      <c r="G13" s="114">
        <v>2852269</v>
      </c>
      <c r="H13" s="113">
        <f>_xlfn.COMPOUNDVALUE(20)</f>
        <v>137</v>
      </c>
      <c r="I13" s="115">
        <v>121637</v>
      </c>
      <c r="J13" s="113">
        <v>379</v>
      </c>
      <c r="K13" s="115">
        <v>72304</v>
      </c>
      <c r="L13" s="113">
        <v>5742</v>
      </c>
      <c r="M13" s="115">
        <v>2802935</v>
      </c>
      <c r="N13" s="74" t="s">
        <v>54</v>
      </c>
    </row>
    <row r="14" spans="1:14" ht="13.5">
      <c r="A14" s="75" t="s">
        <v>55</v>
      </c>
      <c r="B14" s="118">
        <f>_xlfn.COMPOUNDVALUE(21)</f>
        <v>487</v>
      </c>
      <c r="C14" s="119">
        <v>293230</v>
      </c>
      <c r="D14" s="118">
        <f>_xlfn.COMPOUNDVALUE(22)</f>
        <v>818</v>
      </c>
      <c r="E14" s="119">
        <v>300694</v>
      </c>
      <c r="F14" s="118">
        <f>_xlfn.COMPOUNDVALUE(23)</f>
        <v>1305</v>
      </c>
      <c r="G14" s="119">
        <v>593924</v>
      </c>
      <c r="H14" s="118">
        <f>_xlfn.COMPOUNDVALUE(24)</f>
        <v>31</v>
      </c>
      <c r="I14" s="120">
        <v>12556</v>
      </c>
      <c r="J14" s="118">
        <v>72</v>
      </c>
      <c r="K14" s="120">
        <v>8187</v>
      </c>
      <c r="L14" s="118">
        <v>1342</v>
      </c>
      <c r="M14" s="120">
        <v>589555</v>
      </c>
      <c r="N14" s="76" t="s">
        <v>55</v>
      </c>
    </row>
    <row r="15" spans="1:14" ht="13.5">
      <c r="A15" s="75" t="s">
        <v>56</v>
      </c>
      <c r="B15" s="118">
        <f>_xlfn.COMPOUNDVALUE(25)</f>
        <v>969</v>
      </c>
      <c r="C15" s="119">
        <v>926576</v>
      </c>
      <c r="D15" s="118">
        <f>_xlfn.COMPOUNDVALUE(26)</f>
        <v>1529</v>
      </c>
      <c r="E15" s="119">
        <v>589952</v>
      </c>
      <c r="F15" s="118">
        <f>_xlfn.COMPOUNDVALUE(27)</f>
        <v>2498</v>
      </c>
      <c r="G15" s="119">
        <v>1516528</v>
      </c>
      <c r="H15" s="118">
        <f>_xlfn.COMPOUNDVALUE(28)</f>
        <v>58</v>
      </c>
      <c r="I15" s="120">
        <v>27823</v>
      </c>
      <c r="J15" s="118">
        <v>216</v>
      </c>
      <c r="K15" s="120">
        <v>24492</v>
      </c>
      <c r="L15" s="118">
        <v>2617</v>
      </c>
      <c r="M15" s="120">
        <v>1513197</v>
      </c>
      <c r="N15" s="76" t="s">
        <v>56</v>
      </c>
    </row>
    <row r="16" spans="1:14" ht="13.5">
      <c r="A16" s="75" t="s">
        <v>57</v>
      </c>
      <c r="B16" s="118">
        <f>_xlfn.COMPOUNDVALUE(29)</f>
        <v>307</v>
      </c>
      <c r="C16" s="119">
        <v>215190</v>
      </c>
      <c r="D16" s="118">
        <f>_xlfn.COMPOUNDVALUE(30)</f>
        <v>659</v>
      </c>
      <c r="E16" s="119">
        <v>220865</v>
      </c>
      <c r="F16" s="118">
        <f>_xlfn.COMPOUNDVALUE(31)</f>
        <v>966</v>
      </c>
      <c r="G16" s="119">
        <v>436056</v>
      </c>
      <c r="H16" s="118">
        <f>_xlfn.COMPOUNDVALUE(32)</f>
        <v>17</v>
      </c>
      <c r="I16" s="120">
        <v>9646</v>
      </c>
      <c r="J16" s="118">
        <v>43</v>
      </c>
      <c r="K16" s="120">
        <v>11765</v>
      </c>
      <c r="L16" s="118">
        <v>987</v>
      </c>
      <c r="M16" s="120">
        <v>438174</v>
      </c>
      <c r="N16" s="76" t="s">
        <v>57</v>
      </c>
    </row>
    <row r="17" spans="1:14" ht="13.5">
      <c r="A17" s="75" t="s">
        <v>58</v>
      </c>
      <c r="B17" s="118">
        <f>_xlfn.COMPOUNDVALUE(33)</f>
        <v>618</v>
      </c>
      <c r="C17" s="119">
        <v>391750</v>
      </c>
      <c r="D17" s="118">
        <f>_xlfn.COMPOUNDVALUE(34)</f>
        <v>898</v>
      </c>
      <c r="E17" s="119">
        <v>353228</v>
      </c>
      <c r="F17" s="118">
        <f>_xlfn.COMPOUNDVALUE(35)</f>
        <v>1516</v>
      </c>
      <c r="G17" s="119">
        <v>744977</v>
      </c>
      <c r="H17" s="118">
        <f>_xlfn.COMPOUNDVALUE(36)</f>
        <v>47</v>
      </c>
      <c r="I17" s="120">
        <v>20305</v>
      </c>
      <c r="J17" s="118">
        <v>88</v>
      </c>
      <c r="K17" s="120">
        <v>14823</v>
      </c>
      <c r="L17" s="118">
        <v>1605</v>
      </c>
      <c r="M17" s="120">
        <v>739496</v>
      </c>
      <c r="N17" s="76" t="s">
        <v>58</v>
      </c>
    </row>
    <row r="18" spans="1:14" ht="13.5">
      <c r="A18" s="77" t="s">
        <v>59</v>
      </c>
      <c r="B18" s="121">
        <v>4665</v>
      </c>
      <c r="C18" s="122">
        <v>3306731</v>
      </c>
      <c r="D18" s="121">
        <v>7102</v>
      </c>
      <c r="E18" s="122">
        <v>2837023</v>
      </c>
      <c r="F18" s="121">
        <v>11767</v>
      </c>
      <c r="G18" s="122">
        <v>6143754</v>
      </c>
      <c r="H18" s="121">
        <v>290</v>
      </c>
      <c r="I18" s="123">
        <v>191967</v>
      </c>
      <c r="J18" s="121">
        <v>798</v>
      </c>
      <c r="K18" s="123">
        <v>131570</v>
      </c>
      <c r="L18" s="121">
        <v>12293</v>
      </c>
      <c r="M18" s="123">
        <v>6083358</v>
      </c>
      <c r="N18" s="78" t="s">
        <v>59</v>
      </c>
    </row>
    <row r="19" spans="1:14" ht="13.5">
      <c r="A19" s="79"/>
      <c r="B19" s="126"/>
      <c r="C19" s="127"/>
      <c r="D19" s="126"/>
      <c r="E19" s="127"/>
      <c r="F19" s="128"/>
      <c r="G19" s="127"/>
      <c r="H19" s="128"/>
      <c r="I19" s="127"/>
      <c r="J19" s="128"/>
      <c r="K19" s="127"/>
      <c r="L19" s="128"/>
      <c r="M19" s="127"/>
      <c r="N19" s="80"/>
    </row>
    <row r="20" spans="1:14" ht="13.5">
      <c r="A20" s="73" t="s">
        <v>60</v>
      </c>
      <c r="B20" s="113">
        <f>_xlfn.COMPOUNDVALUE(37)</f>
        <v>1340</v>
      </c>
      <c r="C20" s="114">
        <v>829819</v>
      </c>
      <c r="D20" s="113">
        <f>_xlfn.COMPOUNDVALUE(38)</f>
        <v>1734</v>
      </c>
      <c r="E20" s="114">
        <v>711976</v>
      </c>
      <c r="F20" s="113">
        <f>_xlfn.COMPOUNDVALUE(39)</f>
        <v>3074</v>
      </c>
      <c r="G20" s="114">
        <v>1541794</v>
      </c>
      <c r="H20" s="113">
        <f>_xlfn.COMPOUNDVALUE(40)</f>
        <v>85</v>
      </c>
      <c r="I20" s="115">
        <v>67506</v>
      </c>
      <c r="J20" s="113">
        <v>229</v>
      </c>
      <c r="K20" s="115">
        <v>50234</v>
      </c>
      <c r="L20" s="113">
        <v>3254</v>
      </c>
      <c r="M20" s="115">
        <v>1524522</v>
      </c>
      <c r="N20" s="74" t="s">
        <v>61</v>
      </c>
    </row>
    <row r="21" spans="1:14" ht="13.5">
      <c r="A21" s="75" t="s">
        <v>62</v>
      </c>
      <c r="B21" s="118">
        <f>_xlfn.COMPOUNDVALUE(41)</f>
        <v>302</v>
      </c>
      <c r="C21" s="119">
        <v>177949</v>
      </c>
      <c r="D21" s="118">
        <f>_xlfn.COMPOUNDVALUE(42)</f>
        <v>539</v>
      </c>
      <c r="E21" s="119">
        <v>213788</v>
      </c>
      <c r="F21" s="118">
        <f>_xlfn.COMPOUNDVALUE(43)</f>
        <v>841</v>
      </c>
      <c r="G21" s="119">
        <v>391736</v>
      </c>
      <c r="H21" s="118">
        <f>_xlfn.COMPOUNDVALUE(44)</f>
        <v>30</v>
      </c>
      <c r="I21" s="120">
        <v>5171</v>
      </c>
      <c r="J21" s="118">
        <v>68</v>
      </c>
      <c r="K21" s="120">
        <v>7753</v>
      </c>
      <c r="L21" s="118">
        <v>883</v>
      </c>
      <c r="M21" s="120">
        <v>394318</v>
      </c>
      <c r="N21" s="76" t="s">
        <v>63</v>
      </c>
    </row>
    <row r="22" spans="1:14" ht="13.5">
      <c r="A22" s="75" t="s">
        <v>64</v>
      </c>
      <c r="B22" s="118">
        <f>_xlfn.COMPOUNDVALUE(45)</f>
        <v>934</v>
      </c>
      <c r="C22" s="119">
        <v>620699</v>
      </c>
      <c r="D22" s="118">
        <f>_xlfn.COMPOUNDVALUE(46)</f>
        <v>1219</v>
      </c>
      <c r="E22" s="119">
        <v>476508</v>
      </c>
      <c r="F22" s="118">
        <f>_xlfn.COMPOUNDVALUE(47)</f>
        <v>2153</v>
      </c>
      <c r="G22" s="119">
        <v>1097207</v>
      </c>
      <c r="H22" s="118">
        <f>_xlfn.COMPOUNDVALUE(48)</f>
        <v>77</v>
      </c>
      <c r="I22" s="120">
        <v>57980</v>
      </c>
      <c r="J22" s="118">
        <v>132</v>
      </c>
      <c r="K22" s="120">
        <v>22479</v>
      </c>
      <c r="L22" s="118">
        <v>2277</v>
      </c>
      <c r="M22" s="120">
        <v>1061705</v>
      </c>
      <c r="N22" s="76" t="s">
        <v>65</v>
      </c>
    </row>
    <row r="23" spans="1:14" ht="13.5">
      <c r="A23" s="75" t="s">
        <v>66</v>
      </c>
      <c r="B23" s="118">
        <f>_xlfn.COMPOUNDVALUE(49)</f>
        <v>243</v>
      </c>
      <c r="C23" s="119">
        <v>124133</v>
      </c>
      <c r="D23" s="118">
        <f>_xlfn.COMPOUNDVALUE(50)</f>
        <v>319</v>
      </c>
      <c r="E23" s="119">
        <v>119791</v>
      </c>
      <c r="F23" s="118">
        <f>_xlfn.COMPOUNDVALUE(51)</f>
        <v>562</v>
      </c>
      <c r="G23" s="119">
        <v>243924</v>
      </c>
      <c r="H23" s="118">
        <f>_xlfn.COMPOUNDVALUE(52)</f>
        <v>9</v>
      </c>
      <c r="I23" s="120">
        <v>3325</v>
      </c>
      <c r="J23" s="118">
        <v>59</v>
      </c>
      <c r="K23" s="120">
        <v>6221</v>
      </c>
      <c r="L23" s="118">
        <v>582</v>
      </c>
      <c r="M23" s="120">
        <v>246820</v>
      </c>
      <c r="N23" s="76" t="s">
        <v>67</v>
      </c>
    </row>
    <row r="24" spans="1:14" ht="13.5">
      <c r="A24" s="75" t="s">
        <v>68</v>
      </c>
      <c r="B24" s="118">
        <f>_xlfn.COMPOUNDVALUE(53)</f>
        <v>263</v>
      </c>
      <c r="C24" s="119">
        <v>140025</v>
      </c>
      <c r="D24" s="118">
        <f>_xlfn.COMPOUNDVALUE(54)</f>
        <v>368</v>
      </c>
      <c r="E24" s="119">
        <v>138364</v>
      </c>
      <c r="F24" s="118">
        <f>_xlfn.COMPOUNDVALUE(55)</f>
        <v>631</v>
      </c>
      <c r="G24" s="119">
        <v>278389</v>
      </c>
      <c r="H24" s="118">
        <f>_xlfn.COMPOUNDVALUE(56)</f>
        <v>17</v>
      </c>
      <c r="I24" s="120">
        <v>2578</v>
      </c>
      <c r="J24" s="118">
        <v>50</v>
      </c>
      <c r="K24" s="120">
        <v>2367</v>
      </c>
      <c r="L24" s="118">
        <v>651</v>
      </c>
      <c r="M24" s="120">
        <v>278177</v>
      </c>
      <c r="N24" s="76" t="s">
        <v>69</v>
      </c>
    </row>
    <row r="25" spans="1:14" ht="13.5">
      <c r="A25" s="75" t="s">
        <v>70</v>
      </c>
      <c r="B25" s="118">
        <f>_xlfn.COMPOUNDVALUE(57)</f>
        <v>509</v>
      </c>
      <c r="C25" s="119">
        <v>276831</v>
      </c>
      <c r="D25" s="118">
        <f>_xlfn.COMPOUNDVALUE(58)</f>
        <v>657</v>
      </c>
      <c r="E25" s="119">
        <v>267265</v>
      </c>
      <c r="F25" s="118">
        <f>_xlfn.COMPOUNDVALUE(59)</f>
        <v>1166</v>
      </c>
      <c r="G25" s="119">
        <v>544096</v>
      </c>
      <c r="H25" s="118">
        <f>_xlfn.COMPOUNDVALUE(60)</f>
        <v>42</v>
      </c>
      <c r="I25" s="120">
        <v>24521</v>
      </c>
      <c r="J25" s="118">
        <v>79</v>
      </c>
      <c r="K25" s="120">
        <v>9926</v>
      </c>
      <c r="L25" s="118">
        <v>1237</v>
      </c>
      <c r="M25" s="120">
        <v>529501</v>
      </c>
      <c r="N25" s="76" t="s">
        <v>71</v>
      </c>
    </row>
    <row r="26" spans="1:14" ht="13.5">
      <c r="A26" s="77" t="s">
        <v>72</v>
      </c>
      <c r="B26" s="121">
        <v>3591</v>
      </c>
      <c r="C26" s="122">
        <v>2169455</v>
      </c>
      <c r="D26" s="121">
        <v>4836</v>
      </c>
      <c r="E26" s="122">
        <v>1927692</v>
      </c>
      <c r="F26" s="121">
        <v>8427</v>
      </c>
      <c r="G26" s="122">
        <v>4097146</v>
      </c>
      <c r="H26" s="121">
        <v>260</v>
      </c>
      <c r="I26" s="123">
        <v>161082</v>
      </c>
      <c r="J26" s="121">
        <v>617</v>
      </c>
      <c r="K26" s="123">
        <v>98979</v>
      </c>
      <c r="L26" s="121">
        <v>8884</v>
      </c>
      <c r="M26" s="123">
        <v>4035043</v>
      </c>
      <c r="N26" s="78" t="s">
        <v>73</v>
      </c>
    </row>
    <row r="27" spans="1:14" ht="14.25" thickBot="1">
      <c r="A27" s="81"/>
      <c r="B27" s="132"/>
      <c r="C27" s="133"/>
      <c r="D27" s="132"/>
      <c r="E27" s="133"/>
      <c r="F27" s="134"/>
      <c r="G27" s="133"/>
      <c r="H27" s="134"/>
      <c r="I27" s="133"/>
      <c r="J27" s="134"/>
      <c r="K27" s="133"/>
      <c r="L27" s="134"/>
      <c r="M27" s="133"/>
      <c r="N27" s="82"/>
    </row>
    <row r="28" spans="1:14" ht="15" thickBot="1" thickTop="1">
      <c r="A28" s="83" t="s">
        <v>74</v>
      </c>
      <c r="B28" s="138">
        <v>12305</v>
      </c>
      <c r="C28" s="139">
        <v>8547720</v>
      </c>
      <c r="D28" s="138">
        <v>18129</v>
      </c>
      <c r="E28" s="139">
        <v>7233317</v>
      </c>
      <c r="F28" s="138">
        <v>30434</v>
      </c>
      <c r="G28" s="139">
        <v>15781037</v>
      </c>
      <c r="H28" s="138">
        <v>792</v>
      </c>
      <c r="I28" s="140">
        <v>613265</v>
      </c>
      <c r="J28" s="138">
        <v>2130</v>
      </c>
      <c r="K28" s="140">
        <v>331965</v>
      </c>
      <c r="L28" s="138">
        <v>31870</v>
      </c>
      <c r="M28" s="140">
        <v>15499737</v>
      </c>
      <c r="N28" s="84" t="s">
        <v>75</v>
      </c>
    </row>
    <row r="29" spans="1:14" ht="13.5">
      <c r="A29" s="199" t="s">
        <v>122</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G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&amp;R金沢国税局
消費税
(H29)</oddFooter>
  </headerFooter>
</worksheet>
</file>

<file path=xl/worksheets/sheet5.xml><?xml version="1.0" encoding="utf-8"?>
<worksheet xmlns="http://schemas.openxmlformats.org/spreadsheetml/2006/main" xmlns:r="http://schemas.openxmlformats.org/officeDocument/2006/relationships">
  <dimension ref="A1:N29"/>
  <sheetViews>
    <sheetView zoomScaleSheetLayoutView="100" workbookViewId="0" topLeftCell="A1">
      <selection activeCell="A1" sqref="A1"/>
    </sheetView>
  </sheetViews>
  <sheetFormatPr defaultColWidth="9.00390625" defaultRowHeight="13.5"/>
  <cols>
    <col min="1" max="1" width="11.12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127</v>
      </c>
      <c r="B1" s="61"/>
      <c r="C1" s="61"/>
      <c r="D1" s="61"/>
      <c r="E1" s="61"/>
      <c r="F1" s="61"/>
      <c r="G1" s="61"/>
      <c r="H1" s="61"/>
      <c r="I1" s="61"/>
      <c r="J1" s="61"/>
      <c r="K1" s="61"/>
      <c r="L1" s="62"/>
      <c r="M1" s="62"/>
      <c r="N1" s="112"/>
    </row>
    <row r="2" spans="1:14" ht="14.25" thickBot="1">
      <c r="A2" s="200" t="s">
        <v>76</v>
      </c>
      <c r="B2" s="200"/>
      <c r="C2" s="200"/>
      <c r="D2" s="200"/>
      <c r="E2" s="200"/>
      <c r="F2" s="200"/>
      <c r="G2" s="200"/>
      <c r="H2" s="200"/>
      <c r="I2" s="200"/>
      <c r="J2" s="85"/>
      <c r="K2" s="85"/>
      <c r="L2" s="62"/>
      <c r="M2" s="62"/>
      <c r="N2" s="112"/>
    </row>
    <row r="3" spans="1:14" ht="13.5">
      <c r="A3" s="185" t="s">
        <v>31</v>
      </c>
      <c r="B3" s="188" t="s">
        <v>32</v>
      </c>
      <c r="C3" s="188"/>
      <c r="D3" s="188"/>
      <c r="E3" s="188"/>
      <c r="F3" s="188"/>
      <c r="G3" s="188"/>
      <c r="H3" s="189" t="s">
        <v>13</v>
      </c>
      <c r="I3" s="190"/>
      <c r="J3" s="193" t="s">
        <v>33</v>
      </c>
      <c r="K3" s="190"/>
      <c r="L3" s="189" t="s">
        <v>34</v>
      </c>
      <c r="M3" s="190"/>
      <c r="N3" s="194" t="s">
        <v>77</v>
      </c>
    </row>
    <row r="4" spans="1:14" ht="13.5">
      <c r="A4" s="186"/>
      <c r="B4" s="191" t="s">
        <v>18</v>
      </c>
      <c r="C4" s="198"/>
      <c r="D4" s="191" t="s">
        <v>36</v>
      </c>
      <c r="E4" s="198"/>
      <c r="F4" s="191" t="s">
        <v>37</v>
      </c>
      <c r="G4" s="198"/>
      <c r="H4" s="191"/>
      <c r="I4" s="192"/>
      <c r="J4" s="191"/>
      <c r="K4" s="192"/>
      <c r="L4" s="191"/>
      <c r="M4" s="192"/>
      <c r="N4" s="195"/>
    </row>
    <row r="5" spans="1:14" ht="22.5">
      <c r="A5" s="187"/>
      <c r="B5" s="63" t="s">
        <v>38</v>
      </c>
      <c r="C5" s="64" t="s">
        <v>39</v>
      </c>
      <c r="D5" s="63" t="s">
        <v>38</v>
      </c>
      <c r="E5" s="64" t="s">
        <v>39</v>
      </c>
      <c r="F5" s="63" t="s">
        <v>38</v>
      </c>
      <c r="G5" s="65" t="s">
        <v>40</v>
      </c>
      <c r="H5" s="63" t="s">
        <v>38</v>
      </c>
      <c r="I5" s="66" t="s">
        <v>41</v>
      </c>
      <c r="J5" s="63" t="s">
        <v>38</v>
      </c>
      <c r="K5" s="66" t="s">
        <v>42</v>
      </c>
      <c r="L5" s="63" t="s">
        <v>38</v>
      </c>
      <c r="M5" s="67" t="s">
        <v>43</v>
      </c>
      <c r="N5" s="196"/>
    </row>
    <row r="6" spans="1:14" ht="13.5">
      <c r="A6" s="68"/>
      <c r="B6" s="69" t="s">
        <v>4</v>
      </c>
      <c r="C6" s="70" t="s">
        <v>5</v>
      </c>
      <c r="D6" s="69" t="s">
        <v>4</v>
      </c>
      <c r="E6" s="70" t="s">
        <v>5</v>
      </c>
      <c r="F6" s="69" t="s">
        <v>4</v>
      </c>
      <c r="G6" s="70" t="s">
        <v>5</v>
      </c>
      <c r="H6" s="69" t="s">
        <v>4</v>
      </c>
      <c r="I6" s="71" t="s">
        <v>5</v>
      </c>
      <c r="J6" s="69" t="s">
        <v>4</v>
      </c>
      <c r="K6" s="71" t="s">
        <v>5</v>
      </c>
      <c r="L6" s="69" t="s">
        <v>125</v>
      </c>
      <c r="M6" s="71" t="s">
        <v>5</v>
      </c>
      <c r="N6" s="72"/>
    </row>
    <row r="7" spans="1:14" ht="13.5">
      <c r="A7" s="73" t="s">
        <v>78</v>
      </c>
      <c r="B7" s="113">
        <f>_xlfn.COMPOUNDVALUE(61)</f>
        <v>4664</v>
      </c>
      <c r="C7" s="114">
        <v>56532173</v>
      </c>
      <c r="D7" s="113">
        <f>_xlfn.COMPOUNDVALUE(62)</f>
        <v>1681</v>
      </c>
      <c r="E7" s="114">
        <v>1020934</v>
      </c>
      <c r="F7" s="113">
        <f>_xlfn.COMPOUNDVALUE(63)</f>
        <v>6345</v>
      </c>
      <c r="G7" s="114">
        <v>57553107</v>
      </c>
      <c r="H7" s="113">
        <f>_xlfn.COMPOUNDVALUE(64)</f>
        <v>466</v>
      </c>
      <c r="I7" s="115">
        <v>9197921</v>
      </c>
      <c r="J7" s="113">
        <v>489</v>
      </c>
      <c r="K7" s="115">
        <v>104513</v>
      </c>
      <c r="L7" s="113">
        <v>6866</v>
      </c>
      <c r="M7" s="115">
        <v>48459699</v>
      </c>
      <c r="N7" s="92" t="s">
        <v>45</v>
      </c>
    </row>
    <row r="8" spans="1:14" ht="13.5">
      <c r="A8" s="75" t="s">
        <v>79</v>
      </c>
      <c r="B8" s="118">
        <f>_xlfn.COMPOUNDVALUE(65)</f>
        <v>3302</v>
      </c>
      <c r="C8" s="119">
        <v>30147014</v>
      </c>
      <c r="D8" s="118">
        <f>_xlfn.COMPOUNDVALUE(66)</f>
        <v>1121</v>
      </c>
      <c r="E8" s="119">
        <v>645312</v>
      </c>
      <c r="F8" s="118">
        <f>_xlfn.COMPOUNDVALUE(67)</f>
        <v>4423</v>
      </c>
      <c r="G8" s="119">
        <v>30792327</v>
      </c>
      <c r="H8" s="118">
        <f>_xlfn.COMPOUNDVALUE(68)</f>
        <v>527</v>
      </c>
      <c r="I8" s="120">
        <v>3108502</v>
      </c>
      <c r="J8" s="118">
        <v>274</v>
      </c>
      <c r="K8" s="120">
        <v>64245</v>
      </c>
      <c r="L8" s="118">
        <v>4998</v>
      </c>
      <c r="M8" s="120">
        <v>27748069</v>
      </c>
      <c r="N8" s="76" t="s">
        <v>47</v>
      </c>
    </row>
    <row r="9" spans="1:14" ht="13.5">
      <c r="A9" s="75" t="s">
        <v>80</v>
      </c>
      <c r="B9" s="118">
        <f>_xlfn.COMPOUNDVALUE(69)</f>
        <v>1839</v>
      </c>
      <c r="C9" s="119">
        <v>12811474</v>
      </c>
      <c r="D9" s="118">
        <f>_xlfn.COMPOUNDVALUE(70)</f>
        <v>614</v>
      </c>
      <c r="E9" s="119">
        <v>351960</v>
      </c>
      <c r="F9" s="118">
        <f>_xlfn.COMPOUNDVALUE(71)</f>
        <v>2453</v>
      </c>
      <c r="G9" s="119">
        <v>13163434</v>
      </c>
      <c r="H9" s="118">
        <f>_xlfn.COMPOUNDVALUE(72)</f>
        <v>168</v>
      </c>
      <c r="I9" s="120">
        <v>1134170</v>
      </c>
      <c r="J9" s="118">
        <v>128</v>
      </c>
      <c r="K9" s="120">
        <v>-6269</v>
      </c>
      <c r="L9" s="118">
        <v>2626</v>
      </c>
      <c r="M9" s="120">
        <v>12022995</v>
      </c>
      <c r="N9" s="76" t="s">
        <v>49</v>
      </c>
    </row>
    <row r="10" spans="1:14" ht="13.5">
      <c r="A10" s="75" t="s">
        <v>81</v>
      </c>
      <c r="B10" s="118">
        <f>_xlfn.COMPOUNDVALUE(73)</f>
        <v>1314</v>
      </c>
      <c r="C10" s="119">
        <v>10299193</v>
      </c>
      <c r="D10" s="118">
        <f>_xlfn.COMPOUNDVALUE(74)</f>
        <v>466</v>
      </c>
      <c r="E10" s="119">
        <v>270352</v>
      </c>
      <c r="F10" s="118">
        <f>_xlfn.COMPOUNDVALUE(75)</f>
        <v>1780</v>
      </c>
      <c r="G10" s="119">
        <v>10569545</v>
      </c>
      <c r="H10" s="118">
        <f>_xlfn.COMPOUNDVALUE(76)</f>
        <v>167</v>
      </c>
      <c r="I10" s="120">
        <v>1920368</v>
      </c>
      <c r="J10" s="118">
        <v>106</v>
      </c>
      <c r="K10" s="120">
        <v>18076</v>
      </c>
      <c r="L10" s="118">
        <v>1959</v>
      </c>
      <c r="M10" s="120">
        <v>8667252</v>
      </c>
      <c r="N10" s="76" t="s">
        <v>51</v>
      </c>
    </row>
    <row r="11" spans="1:14" ht="13.5">
      <c r="A11" s="77" t="s">
        <v>82</v>
      </c>
      <c r="B11" s="121">
        <v>11119</v>
      </c>
      <c r="C11" s="122">
        <v>109789853</v>
      </c>
      <c r="D11" s="121">
        <v>3882</v>
      </c>
      <c r="E11" s="122">
        <v>2288559</v>
      </c>
      <c r="F11" s="121">
        <v>15001</v>
      </c>
      <c r="G11" s="122">
        <v>112078412</v>
      </c>
      <c r="H11" s="121">
        <v>1328</v>
      </c>
      <c r="I11" s="123">
        <v>15360961</v>
      </c>
      <c r="J11" s="121">
        <v>997</v>
      </c>
      <c r="K11" s="123">
        <v>180564</v>
      </c>
      <c r="L11" s="121">
        <v>16449</v>
      </c>
      <c r="M11" s="123">
        <v>96898015</v>
      </c>
      <c r="N11" s="78" t="s">
        <v>53</v>
      </c>
    </row>
    <row r="12" spans="1:14" ht="13.5">
      <c r="A12" s="79"/>
      <c r="B12" s="126"/>
      <c r="C12" s="127"/>
      <c r="D12" s="126"/>
      <c r="E12" s="127"/>
      <c r="F12" s="128"/>
      <c r="G12" s="127"/>
      <c r="H12" s="128"/>
      <c r="I12" s="127"/>
      <c r="J12" s="128"/>
      <c r="K12" s="127"/>
      <c r="L12" s="128"/>
      <c r="M12" s="127"/>
      <c r="N12" s="80"/>
    </row>
    <row r="13" spans="1:14" ht="13.5">
      <c r="A13" s="73" t="s">
        <v>54</v>
      </c>
      <c r="B13" s="113">
        <f>_xlfn.COMPOUNDVALUE(77)</f>
        <v>6717</v>
      </c>
      <c r="C13" s="114">
        <v>58201194</v>
      </c>
      <c r="D13" s="113">
        <f>_xlfn.COMPOUNDVALUE(78)</f>
        <v>2594</v>
      </c>
      <c r="E13" s="114">
        <v>1639415</v>
      </c>
      <c r="F13" s="113">
        <f>_xlfn.COMPOUNDVALUE(79)</f>
        <v>9311</v>
      </c>
      <c r="G13" s="114">
        <v>59840609</v>
      </c>
      <c r="H13" s="113">
        <f>_xlfn.COMPOUNDVALUE(80)</f>
        <v>363</v>
      </c>
      <c r="I13" s="115">
        <v>3879583</v>
      </c>
      <c r="J13" s="113">
        <v>554</v>
      </c>
      <c r="K13" s="115">
        <v>113663</v>
      </c>
      <c r="L13" s="113">
        <v>9715</v>
      </c>
      <c r="M13" s="115">
        <v>56074688</v>
      </c>
      <c r="N13" s="74" t="s">
        <v>54</v>
      </c>
    </row>
    <row r="14" spans="1:14" ht="13.5">
      <c r="A14" s="75" t="s">
        <v>55</v>
      </c>
      <c r="B14" s="118">
        <f>_xlfn.COMPOUNDVALUE(81)</f>
        <v>1169</v>
      </c>
      <c r="C14" s="119">
        <v>7236192</v>
      </c>
      <c r="D14" s="118">
        <f>_xlfn.COMPOUNDVALUE(82)</f>
        <v>497</v>
      </c>
      <c r="E14" s="119">
        <v>277762</v>
      </c>
      <c r="F14" s="118">
        <f>_xlfn.COMPOUNDVALUE(83)</f>
        <v>1666</v>
      </c>
      <c r="G14" s="119">
        <v>7513953</v>
      </c>
      <c r="H14" s="118">
        <f>_xlfn.COMPOUNDVALUE(84)</f>
        <v>87</v>
      </c>
      <c r="I14" s="120">
        <v>529435</v>
      </c>
      <c r="J14" s="118">
        <v>135</v>
      </c>
      <c r="K14" s="120">
        <v>5162</v>
      </c>
      <c r="L14" s="118">
        <v>1763</v>
      </c>
      <c r="M14" s="120">
        <v>6989680</v>
      </c>
      <c r="N14" s="76" t="s">
        <v>55</v>
      </c>
    </row>
    <row r="15" spans="1:14" ht="13.5">
      <c r="A15" s="75" t="s">
        <v>56</v>
      </c>
      <c r="B15" s="118">
        <f>_xlfn.COMPOUNDVALUE(85)</f>
        <v>2444</v>
      </c>
      <c r="C15" s="119">
        <v>17641062</v>
      </c>
      <c r="D15" s="118">
        <f>_xlfn.COMPOUNDVALUE(86)</f>
        <v>989</v>
      </c>
      <c r="E15" s="119">
        <v>558935</v>
      </c>
      <c r="F15" s="118">
        <f>_xlfn.COMPOUNDVALUE(87)</f>
        <v>3433</v>
      </c>
      <c r="G15" s="119">
        <v>18199997</v>
      </c>
      <c r="H15" s="118">
        <f>_xlfn.COMPOUNDVALUE(88)</f>
        <v>109</v>
      </c>
      <c r="I15" s="120">
        <v>635308</v>
      </c>
      <c r="J15" s="118">
        <v>165</v>
      </c>
      <c r="K15" s="120">
        <v>28021</v>
      </c>
      <c r="L15" s="118">
        <v>3551</v>
      </c>
      <c r="M15" s="120">
        <v>17592710</v>
      </c>
      <c r="N15" s="76" t="s">
        <v>56</v>
      </c>
    </row>
    <row r="16" spans="1:14" ht="13.5">
      <c r="A16" s="75" t="s">
        <v>57</v>
      </c>
      <c r="B16" s="118">
        <f>_xlfn.COMPOUNDVALUE(89)</f>
        <v>596</v>
      </c>
      <c r="C16" s="119">
        <v>2274668</v>
      </c>
      <c r="D16" s="118">
        <f>_xlfn.COMPOUNDVALUE(90)</f>
        <v>226</v>
      </c>
      <c r="E16" s="119">
        <v>125094</v>
      </c>
      <c r="F16" s="118">
        <f>_xlfn.COMPOUNDVALUE(91)</f>
        <v>822</v>
      </c>
      <c r="G16" s="119">
        <v>2399762</v>
      </c>
      <c r="H16" s="118">
        <f>_xlfn.COMPOUNDVALUE(92)</f>
        <v>25</v>
      </c>
      <c r="I16" s="120">
        <v>43821</v>
      </c>
      <c r="J16" s="118">
        <v>52</v>
      </c>
      <c r="K16" s="120">
        <v>3113</v>
      </c>
      <c r="L16" s="118">
        <v>858</v>
      </c>
      <c r="M16" s="120">
        <v>2359055</v>
      </c>
      <c r="N16" s="76" t="s">
        <v>57</v>
      </c>
    </row>
    <row r="17" spans="1:14" ht="13.5">
      <c r="A17" s="75" t="s">
        <v>58</v>
      </c>
      <c r="B17" s="118">
        <f>_xlfn.COMPOUNDVALUE(93)</f>
        <v>1561</v>
      </c>
      <c r="C17" s="119">
        <v>15332647</v>
      </c>
      <c r="D17" s="118">
        <f>_xlfn.COMPOUNDVALUE(94)</f>
        <v>564</v>
      </c>
      <c r="E17" s="119">
        <v>324787</v>
      </c>
      <c r="F17" s="118">
        <f>_xlfn.COMPOUNDVALUE(95)</f>
        <v>2125</v>
      </c>
      <c r="G17" s="119">
        <v>15657434</v>
      </c>
      <c r="H17" s="118">
        <f>_xlfn.COMPOUNDVALUE(96)</f>
        <v>97</v>
      </c>
      <c r="I17" s="120">
        <v>1317147</v>
      </c>
      <c r="J17" s="118">
        <v>107</v>
      </c>
      <c r="K17" s="120">
        <v>-19516</v>
      </c>
      <c r="L17" s="118">
        <v>2241</v>
      </c>
      <c r="M17" s="120">
        <v>14320771</v>
      </c>
      <c r="N17" s="76" t="s">
        <v>58</v>
      </c>
    </row>
    <row r="18" spans="1:14" ht="13.5">
      <c r="A18" s="77" t="s">
        <v>59</v>
      </c>
      <c r="B18" s="121">
        <v>12487</v>
      </c>
      <c r="C18" s="122">
        <v>100685762</v>
      </c>
      <c r="D18" s="121">
        <v>4870</v>
      </c>
      <c r="E18" s="122">
        <v>2925993</v>
      </c>
      <c r="F18" s="121">
        <v>17357</v>
      </c>
      <c r="G18" s="122">
        <v>103611755</v>
      </c>
      <c r="H18" s="121">
        <v>681</v>
      </c>
      <c r="I18" s="123">
        <v>6405295</v>
      </c>
      <c r="J18" s="121">
        <v>1013</v>
      </c>
      <c r="K18" s="123">
        <v>130443</v>
      </c>
      <c r="L18" s="121">
        <v>18128</v>
      </c>
      <c r="M18" s="123">
        <v>97336904</v>
      </c>
      <c r="N18" s="78" t="s">
        <v>59</v>
      </c>
    </row>
    <row r="19" spans="1:14" ht="13.5">
      <c r="A19" s="79"/>
      <c r="B19" s="126"/>
      <c r="C19" s="127"/>
      <c r="D19" s="126"/>
      <c r="E19" s="127"/>
      <c r="F19" s="128"/>
      <c r="G19" s="127"/>
      <c r="H19" s="128"/>
      <c r="I19" s="127"/>
      <c r="J19" s="128"/>
      <c r="K19" s="127"/>
      <c r="L19" s="128"/>
      <c r="M19" s="127"/>
      <c r="N19" s="80"/>
    </row>
    <row r="20" spans="1:14" ht="13.5">
      <c r="A20" s="73" t="s">
        <v>83</v>
      </c>
      <c r="B20" s="113">
        <f>_xlfn.COMPOUNDVALUE(97)</f>
        <v>4126</v>
      </c>
      <c r="C20" s="114">
        <v>30778311</v>
      </c>
      <c r="D20" s="113">
        <f>_xlfn.COMPOUNDVALUE(98)</f>
        <v>1426</v>
      </c>
      <c r="E20" s="114">
        <v>877423</v>
      </c>
      <c r="F20" s="113">
        <f>_xlfn.COMPOUNDVALUE(99)</f>
        <v>5552</v>
      </c>
      <c r="G20" s="114">
        <v>31655735</v>
      </c>
      <c r="H20" s="113">
        <f>_xlfn.COMPOUNDVALUE(100)</f>
        <v>342</v>
      </c>
      <c r="I20" s="115">
        <v>3448997</v>
      </c>
      <c r="J20" s="113">
        <v>358</v>
      </c>
      <c r="K20" s="115">
        <v>57133</v>
      </c>
      <c r="L20" s="113">
        <v>5934</v>
      </c>
      <c r="M20" s="115">
        <v>28263870</v>
      </c>
      <c r="N20" s="74" t="s">
        <v>61</v>
      </c>
    </row>
    <row r="21" spans="1:14" ht="13.5">
      <c r="A21" s="75" t="s">
        <v>84</v>
      </c>
      <c r="B21" s="118">
        <f>_xlfn.COMPOUNDVALUE(101)</f>
        <v>972</v>
      </c>
      <c r="C21" s="119">
        <v>5681684</v>
      </c>
      <c r="D21" s="118">
        <f>_xlfn.COMPOUNDVALUE(102)</f>
        <v>402</v>
      </c>
      <c r="E21" s="119">
        <v>241670</v>
      </c>
      <c r="F21" s="118">
        <f>_xlfn.COMPOUNDVALUE(103)</f>
        <v>1374</v>
      </c>
      <c r="G21" s="119">
        <v>5923353</v>
      </c>
      <c r="H21" s="118">
        <f>_xlfn.COMPOUNDVALUE(104)</f>
        <v>61</v>
      </c>
      <c r="I21" s="120">
        <v>1073829</v>
      </c>
      <c r="J21" s="118">
        <v>61</v>
      </c>
      <c r="K21" s="120">
        <v>7043</v>
      </c>
      <c r="L21" s="118">
        <v>1440</v>
      </c>
      <c r="M21" s="120">
        <v>4856567</v>
      </c>
      <c r="N21" s="76" t="s">
        <v>63</v>
      </c>
    </row>
    <row r="22" spans="1:14" ht="13.5">
      <c r="A22" s="75" t="s">
        <v>85</v>
      </c>
      <c r="B22" s="118">
        <f>_xlfn.COMPOUNDVALUE(105)</f>
        <v>1980</v>
      </c>
      <c r="C22" s="119">
        <v>16107773</v>
      </c>
      <c r="D22" s="118">
        <f>_xlfn.COMPOUNDVALUE(106)</f>
        <v>750</v>
      </c>
      <c r="E22" s="119">
        <v>414095</v>
      </c>
      <c r="F22" s="118">
        <f>_xlfn.COMPOUNDVALUE(107)</f>
        <v>2730</v>
      </c>
      <c r="G22" s="119">
        <v>16521867</v>
      </c>
      <c r="H22" s="118">
        <f>_xlfn.COMPOUNDVALUE(108)</f>
        <v>201</v>
      </c>
      <c r="I22" s="120">
        <v>943850</v>
      </c>
      <c r="J22" s="118">
        <v>116</v>
      </c>
      <c r="K22" s="120">
        <v>-42000</v>
      </c>
      <c r="L22" s="118">
        <v>2942</v>
      </c>
      <c r="M22" s="120">
        <v>15536017</v>
      </c>
      <c r="N22" s="76" t="s">
        <v>65</v>
      </c>
    </row>
    <row r="23" spans="1:14" ht="13.5">
      <c r="A23" s="75" t="s">
        <v>86</v>
      </c>
      <c r="B23" s="118">
        <f>_xlfn.COMPOUNDVALUE(109)</f>
        <v>508</v>
      </c>
      <c r="C23" s="119">
        <v>2562784</v>
      </c>
      <c r="D23" s="118">
        <f>_xlfn.COMPOUNDVALUE(110)</f>
        <v>179</v>
      </c>
      <c r="E23" s="119">
        <v>102888</v>
      </c>
      <c r="F23" s="118">
        <f>_xlfn.COMPOUNDVALUE(111)</f>
        <v>687</v>
      </c>
      <c r="G23" s="119">
        <v>2665672</v>
      </c>
      <c r="H23" s="118">
        <f>_xlfn.COMPOUNDVALUE(112)</f>
        <v>25</v>
      </c>
      <c r="I23" s="120">
        <v>163849</v>
      </c>
      <c r="J23" s="118">
        <v>33</v>
      </c>
      <c r="K23" s="120">
        <v>-2516</v>
      </c>
      <c r="L23" s="118">
        <v>715</v>
      </c>
      <c r="M23" s="120">
        <v>2499307</v>
      </c>
      <c r="N23" s="76" t="s">
        <v>67</v>
      </c>
    </row>
    <row r="24" spans="1:14" ht="13.5">
      <c r="A24" s="75" t="s">
        <v>87</v>
      </c>
      <c r="B24" s="118">
        <f>_xlfn.COMPOUNDVALUE(113)</f>
        <v>579</v>
      </c>
      <c r="C24" s="119">
        <v>2591558</v>
      </c>
      <c r="D24" s="118">
        <f>_xlfn.COMPOUNDVALUE(114)</f>
        <v>259</v>
      </c>
      <c r="E24" s="119">
        <v>143216</v>
      </c>
      <c r="F24" s="118">
        <f>_xlfn.COMPOUNDVALUE(115)</f>
        <v>838</v>
      </c>
      <c r="G24" s="119">
        <v>2734774</v>
      </c>
      <c r="H24" s="118">
        <f>_xlfn.COMPOUNDVALUE(116)</f>
        <v>31</v>
      </c>
      <c r="I24" s="120">
        <v>156790</v>
      </c>
      <c r="J24" s="118">
        <v>10</v>
      </c>
      <c r="K24" s="120">
        <v>4464</v>
      </c>
      <c r="L24" s="118">
        <v>871</v>
      </c>
      <c r="M24" s="120">
        <v>2582447</v>
      </c>
      <c r="N24" s="76" t="s">
        <v>69</v>
      </c>
    </row>
    <row r="25" spans="1:14" ht="13.5">
      <c r="A25" s="75" t="s">
        <v>88</v>
      </c>
      <c r="B25" s="118">
        <f>_xlfn.COMPOUNDVALUE(117)</f>
        <v>1199</v>
      </c>
      <c r="C25" s="119">
        <v>9132819</v>
      </c>
      <c r="D25" s="118">
        <f>_xlfn.COMPOUNDVALUE(118)</f>
        <v>451</v>
      </c>
      <c r="E25" s="119">
        <v>264622</v>
      </c>
      <c r="F25" s="118">
        <f>_xlfn.COMPOUNDVALUE(119)</f>
        <v>1650</v>
      </c>
      <c r="G25" s="119">
        <v>9397441</v>
      </c>
      <c r="H25" s="118">
        <f>_xlfn.COMPOUNDVALUE(120)</f>
        <v>98</v>
      </c>
      <c r="I25" s="120">
        <v>300379</v>
      </c>
      <c r="J25" s="118">
        <v>78</v>
      </c>
      <c r="K25" s="120">
        <v>10353</v>
      </c>
      <c r="L25" s="118">
        <v>1762</v>
      </c>
      <c r="M25" s="120">
        <v>9107415</v>
      </c>
      <c r="N25" s="76" t="s">
        <v>71</v>
      </c>
    </row>
    <row r="26" spans="1:14" ht="13.5">
      <c r="A26" s="77" t="s">
        <v>89</v>
      </c>
      <c r="B26" s="121">
        <v>9364</v>
      </c>
      <c r="C26" s="122">
        <v>66854928</v>
      </c>
      <c r="D26" s="121">
        <v>3467</v>
      </c>
      <c r="E26" s="122">
        <v>2043914</v>
      </c>
      <c r="F26" s="121">
        <v>12831</v>
      </c>
      <c r="G26" s="122">
        <v>68898842</v>
      </c>
      <c r="H26" s="121">
        <v>758</v>
      </c>
      <c r="I26" s="123">
        <v>6087694</v>
      </c>
      <c r="J26" s="121">
        <v>656</v>
      </c>
      <c r="K26" s="123">
        <v>34477</v>
      </c>
      <c r="L26" s="121">
        <v>13664</v>
      </c>
      <c r="M26" s="123">
        <v>62845625</v>
      </c>
      <c r="N26" s="78" t="s">
        <v>73</v>
      </c>
    </row>
    <row r="27" spans="1:14" ht="14.25" thickBot="1">
      <c r="A27" s="81"/>
      <c r="B27" s="132"/>
      <c r="C27" s="133"/>
      <c r="D27" s="132"/>
      <c r="E27" s="133"/>
      <c r="F27" s="134"/>
      <c r="G27" s="133"/>
      <c r="H27" s="134"/>
      <c r="I27" s="133"/>
      <c r="J27" s="134"/>
      <c r="K27" s="133"/>
      <c r="L27" s="134"/>
      <c r="M27" s="133"/>
      <c r="N27" s="82"/>
    </row>
    <row r="28" spans="1:14" ht="15" thickBot="1" thickTop="1">
      <c r="A28" s="83" t="s">
        <v>90</v>
      </c>
      <c r="B28" s="138">
        <v>32970</v>
      </c>
      <c r="C28" s="139">
        <v>277330543</v>
      </c>
      <c r="D28" s="138">
        <v>12219</v>
      </c>
      <c r="E28" s="139">
        <v>7258466</v>
      </c>
      <c r="F28" s="138">
        <v>45189</v>
      </c>
      <c r="G28" s="139">
        <v>284589009</v>
      </c>
      <c r="H28" s="138">
        <v>2767</v>
      </c>
      <c r="I28" s="140">
        <v>27853950</v>
      </c>
      <c r="J28" s="138">
        <v>2666</v>
      </c>
      <c r="K28" s="140">
        <v>345484</v>
      </c>
      <c r="L28" s="138">
        <v>48241</v>
      </c>
      <c r="M28" s="140">
        <v>257080543</v>
      </c>
      <c r="N28" s="84" t="s">
        <v>75</v>
      </c>
    </row>
    <row r="29" spans="1:14" ht="13.5">
      <c r="A29" s="199" t="s">
        <v>122</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&amp;R金沢国税局
消費税
(H29)</oddFooter>
  </headerFooter>
</worksheet>
</file>

<file path=xl/worksheets/sheet6.xml><?xml version="1.0" encoding="utf-8"?>
<worksheet xmlns="http://schemas.openxmlformats.org/spreadsheetml/2006/main" xmlns:r="http://schemas.openxmlformats.org/officeDocument/2006/relationships">
  <dimension ref="A1:R29"/>
  <sheetViews>
    <sheetView zoomScaleSheetLayoutView="100" workbookViewId="0" topLeftCell="A1">
      <selection activeCell="A1" sqref="A1"/>
    </sheetView>
  </sheetViews>
  <sheetFormatPr defaultColWidth="9.00390625" defaultRowHeight="13.5"/>
  <cols>
    <col min="1" max="1" width="10.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7" width="10.625" style="58" customWidth="1"/>
    <col min="18" max="18" width="10.375" style="58" customWidth="1"/>
    <col min="19" max="16384" width="9.00390625" style="58" customWidth="1"/>
  </cols>
  <sheetData>
    <row r="1" spans="1:18" ht="13.5">
      <c r="A1" s="61" t="s">
        <v>127</v>
      </c>
      <c r="B1" s="61"/>
      <c r="C1" s="61"/>
      <c r="D1" s="61"/>
      <c r="E1" s="61"/>
      <c r="F1" s="61"/>
      <c r="G1" s="61"/>
      <c r="H1" s="61"/>
      <c r="I1" s="61"/>
      <c r="J1" s="61"/>
      <c r="K1" s="61"/>
      <c r="L1" s="62"/>
      <c r="M1" s="62"/>
      <c r="N1" s="62"/>
      <c r="O1" s="62"/>
      <c r="P1" s="62"/>
      <c r="Q1" s="112"/>
      <c r="R1" s="112"/>
    </row>
    <row r="2" spans="1:18" ht="14.25" thickBot="1">
      <c r="A2" s="200" t="s">
        <v>91</v>
      </c>
      <c r="B2" s="200"/>
      <c r="C2" s="200"/>
      <c r="D2" s="200"/>
      <c r="E2" s="200"/>
      <c r="F2" s="200"/>
      <c r="G2" s="200"/>
      <c r="H2" s="200"/>
      <c r="I2" s="200"/>
      <c r="J2" s="85"/>
      <c r="K2" s="85"/>
      <c r="L2" s="62"/>
      <c r="M2" s="62"/>
      <c r="N2" s="62"/>
      <c r="O2" s="62"/>
      <c r="P2" s="62"/>
      <c r="Q2" s="112"/>
      <c r="R2" s="112"/>
    </row>
    <row r="3" spans="1:18" ht="13.5">
      <c r="A3" s="185" t="s">
        <v>31</v>
      </c>
      <c r="B3" s="188" t="s">
        <v>32</v>
      </c>
      <c r="C3" s="188"/>
      <c r="D3" s="188"/>
      <c r="E3" s="188"/>
      <c r="F3" s="188"/>
      <c r="G3" s="188"/>
      <c r="H3" s="188" t="s">
        <v>13</v>
      </c>
      <c r="I3" s="188"/>
      <c r="J3" s="201" t="s">
        <v>33</v>
      </c>
      <c r="K3" s="188"/>
      <c r="L3" s="188" t="s">
        <v>34</v>
      </c>
      <c r="M3" s="188"/>
      <c r="N3" s="202" t="s">
        <v>92</v>
      </c>
      <c r="O3" s="203"/>
      <c r="P3" s="203"/>
      <c r="Q3" s="203"/>
      <c r="R3" s="194" t="s">
        <v>77</v>
      </c>
    </row>
    <row r="4" spans="1:18" ht="13.5">
      <c r="A4" s="186"/>
      <c r="B4" s="197" t="s">
        <v>18</v>
      </c>
      <c r="C4" s="197"/>
      <c r="D4" s="197" t="s">
        <v>36</v>
      </c>
      <c r="E4" s="197"/>
      <c r="F4" s="197" t="s">
        <v>37</v>
      </c>
      <c r="G4" s="197"/>
      <c r="H4" s="197"/>
      <c r="I4" s="197"/>
      <c r="J4" s="197"/>
      <c r="K4" s="197"/>
      <c r="L4" s="197"/>
      <c r="M4" s="197"/>
      <c r="N4" s="204" t="s">
        <v>93</v>
      </c>
      <c r="O4" s="206" t="s">
        <v>94</v>
      </c>
      <c r="P4" s="208" t="s">
        <v>95</v>
      </c>
      <c r="Q4" s="192" t="s">
        <v>96</v>
      </c>
      <c r="R4" s="195"/>
    </row>
    <row r="5" spans="1:18" ht="22.5">
      <c r="A5" s="187"/>
      <c r="B5" s="63" t="s">
        <v>38</v>
      </c>
      <c r="C5" s="64" t="s">
        <v>39</v>
      </c>
      <c r="D5" s="63" t="s">
        <v>38</v>
      </c>
      <c r="E5" s="64" t="s">
        <v>39</v>
      </c>
      <c r="F5" s="63" t="s">
        <v>38</v>
      </c>
      <c r="G5" s="64" t="s">
        <v>40</v>
      </c>
      <c r="H5" s="63" t="s">
        <v>38</v>
      </c>
      <c r="I5" s="64" t="s">
        <v>41</v>
      </c>
      <c r="J5" s="63" t="s">
        <v>38</v>
      </c>
      <c r="K5" s="64" t="s">
        <v>42</v>
      </c>
      <c r="L5" s="63" t="s">
        <v>38</v>
      </c>
      <c r="M5" s="86" t="s">
        <v>97</v>
      </c>
      <c r="N5" s="205"/>
      <c r="O5" s="207"/>
      <c r="P5" s="209"/>
      <c r="Q5" s="210"/>
      <c r="R5" s="196"/>
    </row>
    <row r="6" spans="1:18" ht="13.5">
      <c r="A6" s="68"/>
      <c r="B6" s="69" t="s">
        <v>4</v>
      </c>
      <c r="C6" s="70" t="s">
        <v>5</v>
      </c>
      <c r="D6" s="69" t="s">
        <v>4</v>
      </c>
      <c r="E6" s="70" t="s">
        <v>5</v>
      </c>
      <c r="F6" s="69" t="s">
        <v>4</v>
      </c>
      <c r="G6" s="70" t="s">
        <v>5</v>
      </c>
      <c r="H6" s="69" t="s">
        <v>4</v>
      </c>
      <c r="I6" s="70" t="s">
        <v>5</v>
      </c>
      <c r="J6" s="69" t="s">
        <v>4</v>
      </c>
      <c r="K6" s="70" t="s">
        <v>5</v>
      </c>
      <c r="L6" s="69" t="s">
        <v>125</v>
      </c>
      <c r="M6" s="70" t="s">
        <v>5</v>
      </c>
      <c r="N6" s="69" t="s">
        <v>4</v>
      </c>
      <c r="O6" s="87" t="s">
        <v>4</v>
      </c>
      <c r="P6" s="87" t="s">
        <v>4</v>
      </c>
      <c r="Q6" s="88" t="s">
        <v>4</v>
      </c>
      <c r="R6" s="72"/>
    </row>
    <row r="7" spans="1:18" ht="13.5">
      <c r="A7" s="73" t="s">
        <v>44</v>
      </c>
      <c r="B7" s="113">
        <f>_xlfn.COMPOUNDVALUE(121)</f>
        <v>6167</v>
      </c>
      <c r="C7" s="114">
        <v>57704468</v>
      </c>
      <c r="D7" s="113">
        <f>_xlfn.COMPOUNDVALUE(122)</f>
        <v>3966</v>
      </c>
      <c r="E7" s="114">
        <v>1981072</v>
      </c>
      <c r="F7" s="113">
        <f>_xlfn.COMPOUNDVALUE(123)</f>
        <v>10133</v>
      </c>
      <c r="G7" s="114">
        <v>59685539</v>
      </c>
      <c r="H7" s="113">
        <f>_xlfn.COMPOUNDVALUE(124)</f>
        <v>574</v>
      </c>
      <c r="I7" s="115">
        <v>9288643</v>
      </c>
      <c r="J7" s="113">
        <v>681</v>
      </c>
      <c r="K7" s="115">
        <v>136113</v>
      </c>
      <c r="L7" s="113">
        <v>10830</v>
      </c>
      <c r="M7" s="115">
        <v>50533009</v>
      </c>
      <c r="N7" s="113">
        <v>10272</v>
      </c>
      <c r="O7" s="116">
        <v>349</v>
      </c>
      <c r="P7" s="116">
        <v>37</v>
      </c>
      <c r="Q7" s="117">
        <v>10658</v>
      </c>
      <c r="R7" s="92" t="s">
        <v>45</v>
      </c>
    </row>
    <row r="8" spans="1:18" ht="13.5">
      <c r="A8" s="75" t="s">
        <v>46</v>
      </c>
      <c r="B8" s="118">
        <f>_xlfn.COMPOUNDVALUE(125)</f>
        <v>4563</v>
      </c>
      <c r="C8" s="119">
        <v>31165733</v>
      </c>
      <c r="D8" s="118">
        <f>_xlfn.COMPOUNDVALUE(126)</f>
        <v>2924</v>
      </c>
      <c r="E8" s="119">
        <v>1350208</v>
      </c>
      <c r="F8" s="118">
        <f>_xlfn.COMPOUNDVALUE(127)</f>
        <v>7487</v>
      </c>
      <c r="G8" s="119">
        <v>32515941</v>
      </c>
      <c r="H8" s="118">
        <f>_xlfn.COMPOUNDVALUE(128)</f>
        <v>597</v>
      </c>
      <c r="I8" s="120">
        <v>3204312</v>
      </c>
      <c r="J8" s="118">
        <v>523</v>
      </c>
      <c r="K8" s="120">
        <v>100379</v>
      </c>
      <c r="L8" s="118">
        <v>8183</v>
      </c>
      <c r="M8" s="120">
        <v>29412009</v>
      </c>
      <c r="N8" s="113">
        <v>7419</v>
      </c>
      <c r="O8" s="116">
        <v>333</v>
      </c>
      <c r="P8" s="116">
        <v>24</v>
      </c>
      <c r="Q8" s="117">
        <v>7776</v>
      </c>
      <c r="R8" s="76" t="s">
        <v>47</v>
      </c>
    </row>
    <row r="9" spans="1:18" ht="13.5">
      <c r="A9" s="75" t="s">
        <v>48</v>
      </c>
      <c r="B9" s="118">
        <f>_xlfn.COMPOUNDVALUE(129)</f>
        <v>2586</v>
      </c>
      <c r="C9" s="119">
        <v>13352773</v>
      </c>
      <c r="D9" s="118">
        <f>_xlfn.COMPOUNDVALUE(130)</f>
        <v>1887</v>
      </c>
      <c r="E9" s="119">
        <v>839693</v>
      </c>
      <c r="F9" s="118">
        <f>_xlfn.COMPOUNDVALUE(131)</f>
        <v>4473</v>
      </c>
      <c r="G9" s="119">
        <v>14192465</v>
      </c>
      <c r="H9" s="118">
        <f>_xlfn.COMPOUNDVALUE(132)</f>
        <v>215</v>
      </c>
      <c r="I9" s="120">
        <v>1164729</v>
      </c>
      <c r="J9" s="118">
        <v>295</v>
      </c>
      <c r="K9" s="120">
        <v>12196</v>
      </c>
      <c r="L9" s="118">
        <v>4753</v>
      </c>
      <c r="M9" s="120">
        <v>13039933</v>
      </c>
      <c r="N9" s="113">
        <v>4345</v>
      </c>
      <c r="O9" s="116">
        <v>192</v>
      </c>
      <c r="P9" s="116">
        <v>8</v>
      </c>
      <c r="Q9" s="117">
        <v>4545</v>
      </c>
      <c r="R9" s="76" t="s">
        <v>49</v>
      </c>
    </row>
    <row r="10" spans="1:18" ht="13.5">
      <c r="A10" s="75" t="s">
        <v>50</v>
      </c>
      <c r="B10" s="118">
        <f>_xlfn.COMPOUNDVALUE(133)</f>
        <v>1852</v>
      </c>
      <c r="C10" s="119">
        <v>10638414</v>
      </c>
      <c r="D10" s="118">
        <f>_xlfn.COMPOUNDVALUE(134)</f>
        <v>1296</v>
      </c>
      <c r="E10" s="119">
        <v>586189</v>
      </c>
      <c r="F10" s="118">
        <f>_xlfn.COMPOUNDVALUE(135)</f>
        <v>3148</v>
      </c>
      <c r="G10" s="119">
        <v>11224603</v>
      </c>
      <c r="H10" s="118">
        <f>_xlfn.COMPOUNDVALUE(136)</f>
        <v>184</v>
      </c>
      <c r="I10" s="120">
        <v>1963494</v>
      </c>
      <c r="J10" s="118">
        <v>213</v>
      </c>
      <c r="K10" s="120">
        <v>33292</v>
      </c>
      <c r="L10" s="118">
        <v>3376</v>
      </c>
      <c r="M10" s="120">
        <v>9294400</v>
      </c>
      <c r="N10" s="113">
        <v>3269</v>
      </c>
      <c r="O10" s="116">
        <v>140</v>
      </c>
      <c r="P10" s="116">
        <v>6</v>
      </c>
      <c r="Q10" s="117">
        <v>3415</v>
      </c>
      <c r="R10" s="76" t="s">
        <v>51</v>
      </c>
    </row>
    <row r="11" spans="1:18" ht="13.5">
      <c r="A11" s="77" t="s">
        <v>52</v>
      </c>
      <c r="B11" s="121">
        <v>15168</v>
      </c>
      <c r="C11" s="122">
        <v>112861387</v>
      </c>
      <c r="D11" s="121">
        <v>10073</v>
      </c>
      <c r="E11" s="122">
        <v>4757161</v>
      </c>
      <c r="F11" s="121">
        <v>25241</v>
      </c>
      <c r="G11" s="122">
        <v>117618548</v>
      </c>
      <c r="H11" s="121">
        <v>1570</v>
      </c>
      <c r="I11" s="123">
        <v>15621177</v>
      </c>
      <c r="J11" s="121">
        <v>1712</v>
      </c>
      <c r="K11" s="123">
        <v>281980</v>
      </c>
      <c r="L11" s="121">
        <v>27142</v>
      </c>
      <c r="M11" s="123">
        <v>102279351</v>
      </c>
      <c r="N11" s="121">
        <v>25305</v>
      </c>
      <c r="O11" s="124">
        <v>1014</v>
      </c>
      <c r="P11" s="124">
        <v>75</v>
      </c>
      <c r="Q11" s="125">
        <v>26394</v>
      </c>
      <c r="R11" s="78" t="s">
        <v>53</v>
      </c>
    </row>
    <row r="12" spans="1:18" ht="13.5">
      <c r="A12" s="79"/>
      <c r="B12" s="126"/>
      <c r="C12" s="127"/>
      <c r="D12" s="126"/>
      <c r="E12" s="127"/>
      <c r="F12" s="128"/>
      <c r="G12" s="127"/>
      <c r="H12" s="128"/>
      <c r="I12" s="127"/>
      <c r="J12" s="128"/>
      <c r="K12" s="127"/>
      <c r="L12" s="128"/>
      <c r="M12" s="127"/>
      <c r="N12" s="129"/>
      <c r="O12" s="130"/>
      <c r="P12" s="130"/>
      <c r="Q12" s="131"/>
      <c r="R12" s="89" t="s">
        <v>98</v>
      </c>
    </row>
    <row r="13" spans="1:18" ht="13.5">
      <c r="A13" s="73" t="s">
        <v>54</v>
      </c>
      <c r="B13" s="113">
        <f>_xlfn.COMPOUNDVALUE(137)</f>
        <v>9001</v>
      </c>
      <c r="C13" s="114">
        <v>59681178</v>
      </c>
      <c r="D13" s="113">
        <f>_xlfn.COMPOUNDVALUE(138)</f>
        <v>5792</v>
      </c>
      <c r="E13" s="114">
        <v>3011699</v>
      </c>
      <c r="F13" s="113">
        <f>_xlfn.COMPOUNDVALUE(139)</f>
        <v>14793</v>
      </c>
      <c r="G13" s="114">
        <v>62692877</v>
      </c>
      <c r="H13" s="113">
        <f>_xlfn.COMPOUNDVALUE(140)</f>
        <v>500</v>
      </c>
      <c r="I13" s="115">
        <v>4001220</v>
      </c>
      <c r="J13" s="113">
        <v>933</v>
      </c>
      <c r="K13" s="115">
        <v>185966</v>
      </c>
      <c r="L13" s="113">
        <v>15457</v>
      </c>
      <c r="M13" s="115">
        <v>58877623</v>
      </c>
      <c r="N13" s="113">
        <v>15190</v>
      </c>
      <c r="O13" s="116">
        <v>361</v>
      </c>
      <c r="P13" s="116">
        <v>42</v>
      </c>
      <c r="Q13" s="117">
        <v>15593</v>
      </c>
      <c r="R13" s="76" t="s">
        <v>54</v>
      </c>
    </row>
    <row r="14" spans="1:18" ht="13.5">
      <c r="A14" s="75" t="s">
        <v>55</v>
      </c>
      <c r="B14" s="118">
        <f>_xlfn.COMPOUNDVALUE(141)</f>
        <v>1656</v>
      </c>
      <c r="C14" s="119">
        <v>7529422</v>
      </c>
      <c r="D14" s="118">
        <f>_xlfn.COMPOUNDVALUE(142)</f>
        <v>1315</v>
      </c>
      <c r="E14" s="119">
        <v>578455</v>
      </c>
      <c r="F14" s="118">
        <f>_xlfn.COMPOUNDVALUE(143)</f>
        <v>2971</v>
      </c>
      <c r="G14" s="119">
        <v>8107877</v>
      </c>
      <c r="H14" s="118">
        <f>_xlfn.COMPOUNDVALUE(144)</f>
        <v>118</v>
      </c>
      <c r="I14" s="120">
        <v>541991</v>
      </c>
      <c r="J14" s="118">
        <v>207</v>
      </c>
      <c r="K14" s="120">
        <v>13349</v>
      </c>
      <c r="L14" s="118">
        <v>3105</v>
      </c>
      <c r="M14" s="120">
        <v>7579235</v>
      </c>
      <c r="N14" s="113">
        <v>2916</v>
      </c>
      <c r="O14" s="116">
        <v>85</v>
      </c>
      <c r="P14" s="116">
        <v>6</v>
      </c>
      <c r="Q14" s="117">
        <v>3007</v>
      </c>
      <c r="R14" s="76" t="s">
        <v>55</v>
      </c>
    </row>
    <row r="15" spans="1:18" ht="13.5">
      <c r="A15" s="75" t="s">
        <v>56</v>
      </c>
      <c r="B15" s="118">
        <f>_xlfn.COMPOUNDVALUE(145)</f>
        <v>3413</v>
      </c>
      <c r="C15" s="119">
        <v>18567638</v>
      </c>
      <c r="D15" s="118">
        <f>_xlfn.COMPOUNDVALUE(146)</f>
        <v>2518</v>
      </c>
      <c r="E15" s="119">
        <v>1148887</v>
      </c>
      <c r="F15" s="118">
        <f>_xlfn.COMPOUNDVALUE(147)</f>
        <v>5931</v>
      </c>
      <c r="G15" s="119">
        <v>19716525</v>
      </c>
      <c r="H15" s="118">
        <f>_xlfn.COMPOUNDVALUE(148)</f>
        <v>167</v>
      </c>
      <c r="I15" s="120">
        <v>663131</v>
      </c>
      <c r="J15" s="118">
        <v>381</v>
      </c>
      <c r="K15" s="120">
        <v>52513</v>
      </c>
      <c r="L15" s="118">
        <v>6168</v>
      </c>
      <c r="M15" s="120">
        <v>19105907</v>
      </c>
      <c r="N15" s="113">
        <v>5934</v>
      </c>
      <c r="O15" s="116">
        <v>94</v>
      </c>
      <c r="P15" s="116">
        <v>11</v>
      </c>
      <c r="Q15" s="117">
        <v>6039</v>
      </c>
      <c r="R15" s="76" t="s">
        <v>56</v>
      </c>
    </row>
    <row r="16" spans="1:18" ht="13.5">
      <c r="A16" s="75" t="s">
        <v>57</v>
      </c>
      <c r="B16" s="118">
        <f>_xlfn.COMPOUNDVALUE(149)</f>
        <v>903</v>
      </c>
      <c r="C16" s="119">
        <v>2489858</v>
      </c>
      <c r="D16" s="118">
        <f>_xlfn.COMPOUNDVALUE(150)</f>
        <v>885</v>
      </c>
      <c r="E16" s="119">
        <v>345960</v>
      </c>
      <c r="F16" s="118">
        <f>_xlfn.COMPOUNDVALUE(151)</f>
        <v>1788</v>
      </c>
      <c r="G16" s="119">
        <v>2835818</v>
      </c>
      <c r="H16" s="118">
        <f>_xlfn.COMPOUNDVALUE(152)</f>
        <v>42</v>
      </c>
      <c r="I16" s="120">
        <v>53467</v>
      </c>
      <c r="J16" s="118">
        <v>95</v>
      </c>
      <c r="K16" s="120">
        <v>14878</v>
      </c>
      <c r="L16" s="118">
        <v>1845</v>
      </c>
      <c r="M16" s="120">
        <v>2797229</v>
      </c>
      <c r="N16" s="113">
        <v>1723</v>
      </c>
      <c r="O16" s="116">
        <v>32</v>
      </c>
      <c r="P16" s="116">
        <v>1</v>
      </c>
      <c r="Q16" s="117">
        <v>1756</v>
      </c>
      <c r="R16" s="76" t="s">
        <v>57</v>
      </c>
    </row>
    <row r="17" spans="1:18" ht="13.5">
      <c r="A17" s="75" t="s">
        <v>58</v>
      </c>
      <c r="B17" s="118">
        <f>_xlfn.COMPOUNDVALUE(153)</f>
        <v>2179</v>
      </c>
      <c r="C17" s="119">
        <v>15724396</v>
      </c>
      <c r="D17" s="118">
        <f>_xlfn.COMPOUNDVALUE(154)</f>
        <v>1462</v>
      </c>
      <c r="E17" s="119">
        <v>678015</v>
      </c>
      <c r="F17" s="118">
        <f>_xlfn.COMPOUNDVALUE(155)</f>
        <v>3641</v>
      </c>
      <c r="G17" s="119">
        <v>16402412</v>
      </c>
      <c r="H17" s="118">
        <f>_xlfn.COMPOUNDVALUE(156)</f>
        <v>144</v>
      </c>
      <c r="I17" s="120">
        <v>1337452</v>
      </c>
      <c r="J17" s="118">
        <v>195</v>
      </c>
      <c r="K17" s="120">
        <v>-4693</v>
      </c>
      <c r="L17" s="118">
        <v>3846</v>
      </c>
      <c r="M17" s="120">
        <v>15060267</v>
      </c>
      <c r="N17" s="113">
        <v>3711</v>
      </c>
      <c r="O17" s="116">
        <v>85</v>
      </c>
      <c r="P17" s="116">
        <v>8</v>
      </c>
      <c r="Q17" s="117">
        <v>3804</v>
      </c>
      <c r="R17" s="76" t="s">
        <v>58</v>
      </c>
    </row>
    <row r="18" spans="1:18" ht="13.5">
      <c r="A18" s="77" t="s">
        <v>99</v>
      </c>
      <c r="B18" s="121">
        <v>17152</v>
      </c>
      <c r="C18" s="122">
        <v>103992493</v>
      </c>
      <c r="D18" s="121">
        <v>11972</v>
      </c>
      <c r="E18" s="122">
        <v>5763016</v>
      </c>
      <c r="F18" s="121">
        <v>29124</v>
      </c>
      <c r="G18" s="122">
        <v>109755509</v>
      </c>
      <c r="H18" s="121">
        <v>971</v>
      </c>
      <c r="I18" s="123">
        <v>6597261</v>
      </c>
      <c r="J18" s="121">
        <v>1811</v>
      </c>
      <c r="K18" s="123">
        <v>262013</v>
      </c>
      <c r="L18" s="121">
        <v>30421</v>
      </c>
      <c r="M18" s="123">
        <v>103420261</v>
      </c>
      <c r="N18" s="121">
        <v>29474</v>
      </c>
      <c r="O18" s="124">
        <v>657</v>
      </c>
      <c r="P18" s="124">
        <v>68</v>
      </c>
      <c r="Q18" s="125">
        <v>30199</v>
      </c>
      <c r="R18" s="78" t="s">
        <v>59</v>
      </c>
    </row>
    <row r="19" spans="1:18" ht="13.5">
      <c r="A19" s="79"/>
      <c r="B19" s="126"/>
      <c r="C19" s="127"/>
      <c r="D19" s="126"/>
      <c r="E19" s="127"/>
      <c r="F19" s="128"/>
      <c r="G19" s="127"/>
      <c r="H19" s="128"/>
      <c r="I19" s="127"/>
      <c r="J19" s="128"/>
      <c r="K19" s="127"/>
      <c r="L19" s="128"/>
      <c r="M19" s="127"/>
      <c r="N19" s="129"/>
      <c r="O19" s="130"/>
      <c r="P19" s="130"/>
      <c r="Q19" s="131"/>
      <c r="R19" s="89" t="s">
        <v>98</v>
      </c>
    </row>
    <row r="20" spans="1:18" ht="13.5">
      <c r="A20" s="73" t="s">
        <v>60</v>
      </c>
      <c r="B20" s="113">
        <f>_xlfn.COMPOUNDVALUE(157)</f>
        <v>5466</v>
      </c>
      <c r="C20" s="114">
        <v>31608130</v>
      </c>
      <c r="D20" s="113">
        <f>_xlfn.COMPOUNDVALUE(158)</f>
        <v>3160</v>
      </c>
      <c r="E20" s="114">
        <v>1589399</v>
      </c>
      <c r="F20" s="113">
        <f>_xlfn.COMPOUNDVALUE(159)</f>
        <v>8626</v>
      </c>
      <c r="G20" s="114">
        <v>33197529</v>
      </c>
      <c r="H20" s="113">
        <f>_xlfn.COMPOUNDVALUE(160)</f>
        <v>427</v>
      </c>
      <c r="I20" s="115">
        <v>3516504</v>
      </c>
      <c r="J20" s="113">
        <v>587</v>
      </c>
      <c r="K20" s="115">
        <v>107367</v>
      </c>
      <c r="L20" s="113">
        <v>9188</v>
      </c>
      <c r="M20" s="115">
        <v>29788393</v>
      </c>
      <c r="N20" s="113">
        <v>8609</v>
      </c>
      <c r="O20" s="116">
        <v>250</v>
      </c>
      <c r="P20" s="116">
        <v>22</v>
      </c>
      <c r="Q20" s="117">
        <v>8881</v>
      </c>
      <c r="R20" s="76" t="s">
        <v>61</v>
      </c>
    </row>
    <row r="21" spans="1:18" ht="13.5">
      <c r="A21" s="75" t="s">
        <v>62</v>
      </c>
      <c r="B21" s="118">
        <f>_xlfn.COMPOUNDVALUE(161)</f>
        <v>1274</v>
      </c>
      <c r="C21" s="119">
        <v>5859632</v>
      </c>
      <c r="D21" s="118">
        <f>_xlfn.COMPOUNDVALUE(162)</f>
        <v>941</v>
      </c>
      <c r="E21" s="119">
        <v>455457</v>
      </c>
      <c r="F21" s="118">
        <f>_xlfn.COMPOUNDVALUE(163)</f>
        <v>2215</v>
      </c>
      <c r="G21" s="119">
        <v>6315090</v>
      </c>
      <c r="H21" s="118">
        <f>_xlfn.COMPOUNDVALUE(164)</f>
        <v>91</v>
      </c>
      <c r="I21" s="120">
        <v>1079000</v>
      </c>
      <c r="J21" s="118">
        <v>129</v>
      </c>
      <c r="K21" s="120">
        <v>14796</v>
      </c>
      <c r="L21" s="118">
        <v>2323</v>
      </c>
      <c r="M21" s="120">
        <v>5250885</v>
      </c>
      <c r="N21" s="113">
        <v>2169</v>
      </c>
      <c r="O21" s="116">
        <v>57</v>
      </c>
      <c r="P21" s="116">
        <v>5</v>
      </c>
      <c r="Q21" s="117">
        <v>2231</v>
      </c>
      <c r="R21" s="76" t="s">
        <v>63</v>
      </c>
    </row>
    <row r="22" spans="1:18" ht="13.5">
      <c r="A22" s="75" t="s">
        <v>64</v>
      </c>
      <c r="B22" s="118">
        <f>_xlfn.COMPOUNDVALUE(165)</f>
        <v>2914</v>
      </c>
      <c r="C22" s="119">
        <v>16728472</v>
      </c>
      <c r="D22" s="118">
        <f>_xlfn.COMPOUNDVALUE(166)</f>
        <v>1969</v>
      </c>
      <c r="E22" s="119">
        <v>890603</v>
      </c>
      <c r="F22" s="118">
        <f>_xlfn.COMPOUNDVALUE(167)</f>
        <v>4883</v>
      </c>
      <c r="G22" s="119">
        <v>17619074</v>
      </c>
      <c r="H22" s="118">
        <f>_xlfn.COMPOUNDVALUE(168)</f>
        <v>278</v>
      </c>
      <c r="I22" s="120">
        <v>1001831</v>
      </c>
      <c r="J22" s="118">
        <v>248</v>
      </c>
      <c r="K22" s="120">
        <v>-19521</v>
      </c>
      <c r="L22" s="118">
        <v>5219</v>
      </c>
      <c r="M22" s="120">
        <v>16597722</v>
      </c>
      <c r="N22" s="113">
        <v>4834</v>
      </c>
      <c r="O22" s="116">
        <v>124</v>
      </c>
      <c r="P22" s="116">
        <v>11</v>
      </c>
      <c r="Q22" s="117">
        <v>4969</v>
      </c>
      <c r="R22" s="76" t="s">
        <v>65</v>
      </c>
    </row>
    <row r="23" spans="1:18" ht="13.5">
      <c r="A23" s="75" t="s">
        <v>66</v>
      </c>
      <c r="B23" s="118">
        <f>_xlfn.COMPOUNDVALUE(169)</f>
        <v>751</v>
      </c>
      <c r="C23" s="119">
        <v>2686917</v>
      </c>
      <c r="D23" s="118">
        <f>_xlfn.COMPOUNDVALUE(170)</f>
        <v>498</v>
      </c>
      <c r="E23" s="119">
        <v>222679</v>
      </c>
      <c r="F23" s="118">
        <f>_xlfn.COMPOUNDVALUE(171)</f>
        <v>1249</v>
      </c>
      <c r="G23" s="119">
        <v>2909596</v>
      </c>
      <c r="H23" s="118">
        <f>_xlfn.COMPOUNDVALUE(172)</f>
        <v>34</v>
      </c>
      <c r="I23" s="120">
        <v>167174</v>
      </c>
      <c r="J23" s="118">
        <v>92</v>
      </c>
      <c r="K23" s="120">
        <v>3705</v>
      </c>
      <c r="L23" s="118">
        <v>1297</v>
      </c>
      <c r="M23" s="120">
        <v>2746128</v>
      </c>
      <c r="N23" s="113">
        <v>1326</v>
      </c>
      <c r="O23" s="116">
        <v>29</v>
      </c>
      <c r="P23" s="116">
        <v>2</v>
      </c>
      <c r="Q23" s="117">
        <v>1357</v>
      </c>
      <c r="R23" s="76" t="s">
        <v>67</v>
      </c>
    </row>
    <row r="24" spans="1:18" ht="13.5">
      <c r="A24" s="75" t="s">
        <v>68</v>
      </c>
      <c r="B24" s="118">
        <f>_xlfn.COMPOUNDVALUE(173)</f>
        <v>842</v>
      </c>
      <c r="C24" s="119">
        <v>2731583</v>
      </c>
      <c r="D24" s="118">
        <f>_xlfn.COMPOUNDVALUE(174)</f>
        <v>627</v>
      </c>
      <c r="E24" s="119">
        <v>281580</v>
      </c>
      <c r="F24" s="118">
        <f>_xlfn.COMPOUNDVALUE(175)</f>
        <v>1469</v>
      </c>
      <c r="G24" s="119">
        <v>3013163</v>
      </c>
      <c r="H24" s="118">
        <f>_xlfn.COMPOUNDVALUE(176)</f>
        <v>48</v>
      </c>
      <c r="I24" s="120">
        <v>159368</v>
      </c>
      <c r="J24" s="118">
        <v>60</v>
      </c>
      <c r="K24" s="120">
        <v>6830</v>
      </c>
      <c r="L24" s="118">
        <v>1522</v>
      </c>
      <c r="M24" s="120">
        <v>2860625</v>
      </c>
      <c r="N24" s="113">
        <v>1436</v>
      </c>
      <c r="O24" s="116">
        <v>36</v>
      </c>
      <c r="P24" s="116">
        <v>1</v>
      </c>
      <c r="Q24" s="117">
        <v>1473</v>
      </c>
      <c r="R24" s="76" t="s">
        <v>69</v>
      </c>
    </row>
    <row r="25" spans="1:18" ht="13.5">
      <c r="A25" s="75" t="s">
        <v>70</v>
      </c>
      <c r="B25" s="118">
        <f>_xlfn.COMPOUNDVALUE(177)</f>
        <v>1708</v>
      </c>
      <c r="C25" s="119">
        <v>9409649</v>
      </c>
      <c r="D25" s="118">
        <f>_xlfn.COMPOUNDVALUE(178)</f>
        <v>1108</v>
      </c>
      <c r="E25" s="119">
        <v>531887</v>
      </c>
      <c r="F25" s="118">
        <f>_xlfn.COMPOUNDVALUE(179)</f>
        <v>2816</v>
      </c>
      <c r="G25" s="119">
        <v>9941537</v>
      </c>
      <c r="H25" s="118">
        <f>_xlfn.COMPOUNDVALUE(180)</f>
        <v>140</v>
      </c>
      <c r="I25" s="120">
        <v>324899</v>
      </c>
      <c r="J25" s="118">
        <v>157</v>
      </c>
      <c r="K25" s="120">
        <v>20278</v>
      </c>
      <c r="L25" s="118">
        <v>2999</v>
      </c>
      <c r="M25" s="120">
        <v>9636916</v>
      </c>
      <c r="N25" s="113">
        <v>2872</v>
      </c>
      <c r="O25" s="116">
        <v>91</v>
      </c>
      <c r="P25" s="116">
        <v>8</v>
      </c>
      <c r="Q25" s="117">
        <v>2971</v>
      </c>
      <c r="R25" s="76" t="s">
        <v>71</v>
      </c>
    </row>
    <row r="26" spans="1:18" ht="13.5">
      <c r="A26" s="77" t="s">
        <v>72</v>
      </c>
      <c r="B26" s="121">
        <v>12955</v>
      </c>
      <c r="C26" s="122">
        <v>69024383</v>
      </c>
      <c r="D26" s="121">
        <v>8303</v>
      </c>
      <c r="E26" s="122">
        <v>3971606</v>
      </c>
      <c r="F26" s="121">
        <v>21258</v>
      </c>
      <c r="G26" s="122">
        <v>72995988</v>
      </c>
      <c r="H26" s="121">
        <v>1018</v>
      </c>
      <c r="I26" s="123">
        <v>6248776</v>
      </c>
      <c r="J26" s="121">
        <v>1273</v>
      </c>
      <c r="K26" s="123">
        <v>133456</v>
      </c>
      <c r="L26" s="121">
        <v>22548</v>
      </c>
      <c r="M26" s="123">
        <v>66880668</v>
      </c>
      <c r="N26" s="121">
        <v>21246</v>
      </c>
      <c r="O26" s="124">
        <v>587</v>
      </c>
      <c r="P26" s="124">
        <v>49</v>
      </c>
      <c r="Q26" s="125">
        <v>21882</v>
      </c>
      <c r="R26" s="78" t="s">
        <v>73</v>
      </c>
    </row>
    <row r="27" spans="1:18" ht="14.25" thickBot="1">
      <c r="A27" s="81"/>
      <c r="B27" s="132"/>
      <c r="C27" s="133"/>
      <c r="D27" s="132"/>
      <c r="E27" s="133"/>
      <c r="F27" s="134"/>
      <c r="G27" s="133"/>
      <c r="H27" s="134"/>
      <c r="I27" s="133"/>
      <c r="J27" s="134"/>
      <c r="K27" s="133"/>
      <c r="L27" s="134"/>
      <c r="M27" s="133"/>
      <c r="N27" s="135"/>
      <c r="O27" s="136"/>
      <c r="P27" s="136"/>
      <c r="Q27" s="137"/>
      <c r="R27" s="90" t="s">
        <v>98</v>
      </c>
    </row>
    <row r="28" spans="1:18" ht="15" thickBot="1" thickTop="1">
      <c r="A28" s="83" t="s">
        <v>75</v>
      </c>
      <c r="B28" s="138">
        <v>45275</v>
      </c>
      <c r="C28" s="139">
        <v>285878263</v>
      </c>
      <c r="D28" s="138">
        <v>30348</v>
      </c>
      <c r="E28" s="139">
        <v>14491783</v>
      </c>
      <c r="F28" s="138">
        <v>75623</v>
      </c>
      <c r="G28" s="139">
        <v>300370046</v>
      </c>
      <c r="H28" s="138">
        <v>3559</v>
      </c>
      <c r="I28" s="140">
        <v>28467215</v>
      </c>
      <c r="J28" s="138">
        <v>4796</v>
      </c>
      <c r="K28" s="140">
        <v>677449</v>
      </c>
      <c r="L28" s="138">
        <v>80111</v>
      </c>
      <c r="M28" s="140">
        <v>272580280</v>
      </c>
      <c r="N28" s="141">
        <v>76025</v>
      </c>
      <c r="O28" s="142">
        <v>2258</v>
      </c>
      <c r="P28" s="142">
        <v>192</v>
      </c>
      <c r="Q28" s="143">
        <v>78475</v>
      </c>
      <c r="R28" s="91" t="s">
        <v>75</v>
      </c>
    </row>
    <row r="29" spans="1:18" ht="13.5">
      <c r="A29" s="199" t="s">
        <v>123</v>
      </c>
      <c r="B29" s="199"/>
      <c r="C29" s="199"/>
      <c r="D29" s="199"/>
      <c r="E29" s="199"/>
      <c r="F29" s="199"/>
      <c r="G29" s="199"/>
      <c r="H29" s="199"/>
      <c r="I29" s="199"/>
      <c r="J29" s="199"/>
      <c r="K29" s="112"/>
      <c r="L29" s="112"/>
      <c r="M29" s="112"/>
      <c r="N29" s="112"/>
      <c r="O29" s="112"/>
      <c r="P29" s="112"/>
      <c r="Q29" s="112"/>
      <c r="R29" s="112"/>
    </row>
  </sheetData>
  <sheetProtection/>
  <mergeCells count="16">
    <mergeCell ref="L3:M4"/>
    <mergeCell ref="N3:Q3"/>
    <mergeCell ref="R3:R5"/>
    <mergeCell ref="B4:C4"/>
    <mergeCell ref="D4:E4"/>
    <mergeCell ref="F4:G4"/>
    <mergeCell ref="N4:N5"/>
    <mergeCell ref="O4:O5"/>
    <mergeCell ref="P4:P5"/>
    <mergeCell ref="Q4:Q5"/>
    <mergeCell ref="A29:J29"/>
    <mergeCell ref="A2:I2"/>
    <mergeCell ref="A3:A5"/>
    <mergeCell ref="B3:G3"/>
    <mergeCell ref="H3:I4"/>
    <mergeCell ref="J3:K4"/>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&amp;R金沢国税局
消費税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2017-12-01T05:51:44Z</cp:lastPrinted>
  <dcterms:created xsi:type="dcterms:W3CDTF">2003-07-09T01:05:10Z</dcterms:created>
  <dcterms:modified xsi:type="dcterms:W3CDTF">2018-12-03T05:09:18Z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