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20550" windowHeight="417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<sst xmlns="http://schemas.openxmlformats.org/spreadsheetml/2006/main" count="315" uniqueCount="123">
  <si>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</si>
  <si>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</si>
  <si>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</si>
  <si>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</si>
  <si>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</si>
  <si>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</si>
  <si>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</si>
  <si>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</si>
  <si>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</si>
  <si>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</si>
  <si>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</si>
  <si>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</si>
  <si>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</si>
  <si>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</si>
  <si>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</si>
  <si>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</si>
  <si>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</si>
  <si>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</si>
  <si>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</si>
  <si>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</si>
  <si>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</si>
  <si>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</si>
  <si>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</si>
  <si>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</si>
  <si>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</si>
  <si>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</si>
  <si>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</si>
  <si>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</si>
  <si>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</si>
  <si>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</si>
  <si>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</si>
  <si>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</si>
  <si>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</si>
  <si>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</si>
  <si>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</si>
  <si>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</si>
  <si>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平成22年度</t>
  </si>
  <si>
    <t>（注）１</t>
  </si>
  <si>
    <t>税関分は含まない。</t>
  </si>
  <si>
    <t>　　　２</t>
  </si>
  <si>
    <t>「件数欄」の「実」は、実件数を示す。</t>
  </si>
  <si>
    <t>平成23年度</t>
  </si>
  <si>
    <t>合計</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</si>
  <si>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</si>
  <si>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</si>
  <si>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</si>
  <si>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</si>
  <si>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</si>
  <si>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</si>
  <si>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</si>
  <si>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</si>
  <si>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</si>
  <si>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</si>
  <si>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</si>
  <si>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</si>
  <si>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</si>
  <si>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</si>
  <si>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</si>
  <si>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</si>
  <si>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</si>
  <si>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</si>
  <si>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</si>
  <si>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</si>
  <si>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</si>
  <si>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</si>
  <si>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</si>
  <si>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</si>
  <si>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</si>
  <si>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</si>
  <si>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</si>
  <si>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</si>
  <si>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</si>
  <si>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</si>
  <si>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</si>
  <si>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</si>
  <si>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</si>
  <si>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</si>
  <si>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</si>
  <si>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</si>
  <si>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</si>
  <si>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</si>
  <si>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</si>
  <si>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</si>
  <si>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</si>
  <si>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</si>
  <si>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</si>
  <si>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</si>
  <si>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</si>
  <si>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</si>
  <si>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（注）この表は「(1)　課税状況」の現年分を税務署別に示したものである（加算税を除く。）。</t>
  </si>
  <si>
    <t>(4)　税務署別課税状況（続）</t>
  </si>
  <si>
    <t>　ロ　法　　　人</t>
  </si>
  <si>
    <t>税務署名</t>
  </si>
  <si>
    <t>富山</t>
  </si>
  <si>
    <t>高岡</t>
  </si>
  <si>
    <t>魚津</t>
  </si>
  <si>
    <t>砺波</t>
  </si>
  <si>
    <t>富山県計</t>
  </si>
  <si>
    <t>福井</t>
  </si>
  <si>
    <t>敦賀</t>
  </si>
  <si>
    <t>武生</t>
  </si>
  <si>
    <t>小浜</t>
  </si>
  <si>
    <t>大野</t>
  </si>
  <si>
    <t>三国</t>
  </si>
  <si>
    <t>福井県計</t>
  </si>
  <si>
    <t>総　計</t>
  </si>
  <si>
    <t>　ハ　個人事業者と法人の合計</t>
  </si>
  <si>
    <t>課　税　事　業　者　等　届　出　件　数</t>
  </si>
  <si>
    <t>課税事業者
届出</t>
  </si>
  <si>
    <t>課税事業者
選択届出</t>
  </si>
  <si>
    <t>新設法人に
該当する旨
の届出</t>
  </si>
  <si>
    <t>合　　　計</t>
  </si>
  <si>
    <t>税　　額
(①－②＋③)</t>
  </si>
  <si>
    <t/>
  </si>
  <si>
    <t>石川県計</t>
  </si>
  <si>
    <t>（注）この表は「(1)　課税状況」の現年分及び「(3)　課税事業者等届出件数」を税務署別に示したものである（加算税を除く。）。</t>
  </si>
  <si>
    <t>(4)　税務署別課税状況</t>
  </si>
  <si>
    <t>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</si>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</sst>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color indexed="63"/>
      </right>
      <top>
        <color indexed="63"/>
      </top>
      <bottom style="medium"/>
    </border>
    <border>
      <left style="hair"/>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medium"/>
      <top style="thin">
        <color indexed="23"/>
      </top>
      <bottom style="thin">
        <color indexed="23"/>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thin"/>
      <right style="medium"/>
      <top>
        <color indexed="63"/>
      </top>
      <bottom style="hair">
        <color indexed="55"/>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 fillId="0" borderId="0" applyNumberFormat="0" applyFill="0" applyBorder="0" applyAlignment="0" applyProtection="0"/>
    <xf numFmtId="0" fontId="42" fillId="32" borderId="0" applyNumberFormat="0" applyBorder="0" applyAlignment="0" applyProtection="0"/>
  </cellStyleXfs>
  <cellXfs count="21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2" fillId="0" borderId="57" xfId="0" applyFont="1" applyBorder="1" applyAlignment="1">
      <alignment horizontal="left" vertical="top" wrapText="1"/>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8"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59" xfId="61" applyFont="1" applyBorder="1" applyAlignment="1">
      <alignment horizontal="distributed" vertical="center" indent="1"/>
      <protection/>
    </xf>
    <xf numFmtId="0" fontId="2" fillId="0" borderId="60" xfId="61" applyFont="1" applyBorder="1" applyAlignment="1">
      <alignment horizontal="distributed" vertical="center" inden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1" xfId="61" applyFont="1" applyBorder="1" applyAlignment="1">
      <alignment horizontal="centerContinuous" vertical="center" wrapText="1"/>
      <protection/>
    </xf>
    <xf numFmtId="0" fontId="7" fillId="35" borderId="51"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2"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2" fillId="36" borderId="63" xfId="61" applyFont="1" applyFill="1" applyBorder="1" applyAlignment="1">
      <alignment horizontal="distributed" vertical="center"/>
      <protection/>
    </xf>
    <xf numFmtId="177" fontId="2" fillId="33" borderId="52" xfId="61" applyNumberFormat="1" applyFont="1" applyFill="1" applyBorder="1" applyAlignment="1">
      <alignment horizontal="right" vertical="center"/>
      <protection/>
    </xf>
    <xf numFmtId="177" fontId="2" fillId="34" borderId="48"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177" fontId="2" fillId="33" borderId="67" xfId="61" applyNumberFormat="1" applyFont="1" applyFill="1" applyBorder="1" applyAlignment="1">
      <alignment horizontal="right" vertical="center"/>
      <protection/>
    </xf>
    <xf numFmtId="177" fontId="2" fillId="34" borderId="26"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0" fontId="2" fillId="36" borderId="69" xfId="61" applyFont="1" applyFill="1" applyBorder="1" applyAlignment="1">
      <alignment horizontal="distributed" vertical="center"/>
      <protection/>
    </xf>
    <xf numFmtId="0" fontId="6" fillId="36" borderId="70" xfId="61" applyFont="1" applyFill="1" applyBorder="1" applyAlignment="1">
      <alignment horizontal="distributed" vertical="center"/>
      <protection/>
    </xf>
    <xf numFmtId="177" fontId="6" fillId="33" borderId="71" xfId="61" applyNumberFormat="1" applyFont="1" applyFill="1" applyBorder="1" applyAlignment="1">
      <alignment horizontal="right" vertical="center"/>
      <protection/>
    </xf>
    <xf numFmtId="177" fontId="6" fillId="34" borderId="72" xfId="61" applyNumberFormat="1" applyFont="1" applyFill="1" applyBorder="1" applyAlignment="1">
      <alignment horizontal="right" vertical="center"/>
      <protection/>
    </xf>
    <xf numFmtId="177" fontId="6" fillId="34" borderId="73" xfId="61" applyNumberFormat="1" applyFont="1" applyFill="1" applyBorder="1" applyAlignment="1">
      <alignment horizontal="right" vertical="center"/>
      <protection/>
    </xf>
    <xf numFmtId="0" fontId="6" fillId="36" borderId="74" xfId="61" applyFont="1" applyFill="1" applyBorder="1" applyAlignment="1">
      <alignment horizontal="distributed" vertical="center"/>
      <protection/>
    </xf>
    <xf numFmtId="0" fontId="8" fillId="0" borderId="75" xfId="61" applyFont="1" applyFill="1" applyBorder="1" applyAlignment="1">
      <alignment horizontal="distributed" vertical="center"/>
      <protection/>
    </xf>
    <xf numFmtId="177" fontId="8" fillId="0" borderId="76" xfId="61" applyNumberFormat="1" applyFont="1" applyFill="1" applyBorder="1" applyAlignment="1">
      <alignment horizontal="right" vertical="center"/>
      <protection/>
    </xf>
    <xf numFmtId="177" fontId="8" fillId="0" borderId="77" xfId="61" applyNumberFormat="1" applyFont="1" applyFill="1" applyBorder="1" applyAlignment="1">
      <alignment horizontal="right" vertical="center"/>
      <protection/>
    </xf>
    <xf numFmtId="177" fontId="8" fillId="0" borderId="78" xfId="61" applyNumberFormat="1" applyFont="1" applyFill="1" applyBorder="1" applyAlignment="1">
      <alignment horizontal="right" vertical="center"/>
      <protection/>
    </xf>
    <xf numFmtId="0" fontId="8" fillId="0" borderId="79" xfId="61" applyFont="1" applyFill="1" applyBorder="1" applyAlignment="1">
      <alignment horizontal="center" vertical="center"/>
      <protection/>
    </xf>
    <xf numFmtId="0" fontId="8" fillId="0" borderId="80" xfId="61" applyFont="1" applyFill="1" applyBorder="1" applyAlignment="1">
      <alignment horizontal="distributed" vertical="center"/>
      <protection/>
    </xf>
    <xf numFmtId="177" fontId="2" fillId="0" borderId="81"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0" fontId="8" fillId="0" borderId="84" xfId="61" applyFont="1" applyFill="1" applyBorder="1" applyAlignment="1">
      <alignment horizontal="center" vertical="center"/>
      <protection/>
    </xf>
    <xf numFmtId="0" fontId="6" fillId="0" borderId="85" xfId="61" applyFont="1" applyBorder="1" applyAlignment="1">
      <alignment horizontal="center" vertical="center"/>
      <protection/>
    </xf>
    <xf numFmtId="177" fontId="6" fillId="33" borderId="23" xfId="61" applyNumberFormat="1" applyFont="1" applyFill="1" applyBorder="1" applyAlignment="1">
      <alignment horizontal="right" vertical="center"/>
      <protection/>
    </xf>
    <xf numFmtId="177" fontId="6" fillId="34" borderId="34"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2" fillId="0" borderId="0" xfId="61" applyFont="1" applyBorder="1" applyAlignment="1">
      <alignment horizontal="left" vertical="center"/>
      <protection/>
    </xf>
    <xf numFmtId="0" fontId="0" fillId="0" borderId="0" xfId="61" applyFont="1">
      <alignment/>
      <protection/>
    </xf>
    <xf numFmtId="0" fontId="2" fillId="0" borderId="60" xfId="61" applyFont="1" applyBorder="1" applyAlignment="1">
      <alignment horizontal="center" vertical="center" wrapText="1"/>
      <protection/>
    </xf>
    <xf numFmtId="0" fontId="7" fillId="33" borderId="46" xfId="61" applyFont="1" applyFill="1" applyBorder="1" applyAlignment="1">
      <alignment horizontal="right" vertical="top"/>
      <protection/>
    </xf>
    <xf numFmtId="0" fontId="7" fillId="33" borderId="62" xfId="61" applyFont="1" applyFill="1" applyBorder="1" applyAlignment="1">
      <alignment horizontal="right" vertical="top"/>
      <protection/>
    </xf>
    <xf numFmtId="177" fontId="2" fillId="33" borderId="49" xfId="61" applyNumberFormat="1" applyFont="1" applyFill="1" applyBorder="1" applyAlignment="1">
      <alignment horizontal="right" vertical="center"/>
      <protection/>
    </xf>
    <xf numFmtId="177" fontId="2" fillId="33" borderId="64" xfId="61" applyNumberFormat="1" applyFont="1" applyFill="1" applyBorder="1" applyAlignment="1">
      <alignment horizontal="right" vertical="center"/>
      <protection/>
    </xf>
    <xf numFmtId="177" fontId="6" fillId="33" borderId="87" xfId="61" applyNumberFormat="1" applyFont="1" applyFill="1" applyBorder="1" applyAlignment="1">
      <alignment horizontal="right" vertical="center"/>
      <protection/>
    </xf>
    <xf numFmtId="177" fontId="6" fillId="33" borderId="73" xfId="61" applyNumberFormat="1" applyFont="1" applyFill="1" applyBorder="1" applyAlignment="1">
      <alignment horizontal="right" vertical="center"/>
      <protection/>
    </xf>
    <xf numFmtId="177" fontId="2" fillId="0" borderId="88" xfId="61" applyNumberFormat="1" applyFont="1" applyFill="1" applyBorder="1" applyAlignment="1">
      <alignment horizontal="right" vertical="center"/>
      <protection/>
    </xf>
    <xf numFmtId="177" fontId="2" fillId="0"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0" fontId="8" fillId="0" borderId="91" xfId="61" applyFont="1" applyFill="1" applyBorder="1" applyAlignment="1">
      <alignment horizontal="center"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0" fontId="8" fillId="0" borderId="95" xfId="61" applyFont="1" applyFill="1" applyBorder="1" applyAlignment="1">
      <alignment horizontal="center" vertical="center"/>
      <protection/>
    </xf>
    <xf numFmtId="177" fontId="6" fillId="33" borderId="96" xfId="61" applyNumberFormat="1" applyFont="1" applyFill="1" applyBorder="1" applyAlignment="1">
      <alignment horizontal="right" vertical="center"/>
      <protection/>
    </xf>
    <xf numFmtId="177" fontId="6" fillId="33" borderId="97" xfId="61" applyNumberFormat="1" applyFont="1" applyFill="1" applyBorder="1" applyAlignment="1">
      <alignment horizontal="right" vertical="center"/>
      <protection/>
    </xf>
    <xf numFmtId="177" fontId="6" fillId="33" borderId="98" xfId="61" applyNumberFormat="1" applyFont="1" applyFill="1" applyBorder="1" applyAlignment="1">
      <alignment horizontal="right" vertical="center"/>
      <protection/>
    </xf>
    <xf numFmtId="0" fontId="6" fillId="0" borderId="99" xfId="61" applyFont="1" applyBorder="1" applyAlignment="1">
      <alignment horizontal="center" vertical="center"/>
      <protection/>
    </xf>
    <xf numFmtId="0" fontId="2" fillId="36" borderId="100" xfId="61" applyFont="1" applyFill="1" applyBorder="1" applyAlignment="1">
      <alignment horizontal="distributed"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09" xfId="0" applyFont="1" applyBorder="1" applyAlignment="1">
      <alignment horizontal="distributed" vertical="center" wrapText="1"/>
    </xf>
    <xf numFmtId="0" fontId="2" fillId="0" borderId="109" xfId="0" applyFont="1" applyBorder="1" applyAlignment="1">
      <alignment horizontal="distributed"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wrapText="1"/>
    </xf>
    <xf numFmtId="0" fontId="2" fillId="0" borderId="112" xfId="0" applyFont="1" applyBorder="1" applyAlignment="1">
      <alignment horizontal="distributed" vertical="center"/>
    </xf>
    <xf numFmtId="0" fontId="6" fillId="0" borderId="113" xfId="0" applyFont="1" applyBorder="1" applyAlignment="1">
      <alignment horizontal="distributed" vertical="center"/>
    </xf>
    <xf numFmtId="0" fontId="6" fillId="0" borderId="114" xfId="0" applyFont="1" applyBorder="1" applyAlignment="1">
      <alignment horizontal="distributed" vertical="center"/>
    </xf>
    <xf numFmtId="0" fontId="2" fillId="0" borderId="85" xfId="0" applyFont="1" applyBorder="1" applyAlignment="1">
      <alignment horizontal="distributed" vertical="center"/>
    </xf>
    <xf numFmtId="0" fontId="2" fillId="0" borderId="115" xfId="0" applyFont="1" applyBorder="1" applyAlignment="1">
      <alignment horizontal="distributed" vertical="center"/>
    </xf>
    <xf numFmtId="0" fontId="2" fillId="0" borderId="57" xfId="0" applyFont="1" applyBorder="1" applyAlignment="1">
      <alignment horizontal="left" vertical="top" wrapText="1"/>
    </xf>
    <xf numFmtId="0" fontId="2" fillId="0" borderId="0" xfId="0" applyFont="1" applyAlignment="1">
      <alignment horizontal="left" vertical="top" wrapText="1"/>
    </xf>
    <xf numFmtId="0" fontId="2" fillId="0" borderId="116" xfId="0" applyFont="1" applyBorder="1" applyAlignment="1">
      <alignment horizontal="center" vertical="center"/>
    </xf>
    <xf numFmtId="0" fontId="2" fillId="0" borderId="57" xfId="0" applyFont="1" applyBorder="1" applyAlignment="1">
      <alignment horizontal="center" vertical="center"/>
    </xf>
    <xf numFmtId="0" fontId="2" fillId="0" borderId="117" xfId="0" applyFont="1" applyBorder="1" applyAlignment="1">
      <alignment horizontal="center" vertical="center"/>
    </xf>
    <xf numFmtId="0" fontId="2" fillId="0" borderId="111"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10" xfId="0" applyFont="1" applyBorder="1" applyAlignment="1">
      <alignment horizontal="center" vertical="center"/>
    </xf>
    <xf numFmtId="0" fontId="2" fillId="0" borderId="57" xfId="0" applyFont="1" applyBorder="1" applyAlignment="1">
      <alignment horizontal="left" vertical="center"/>
    </xf>
    <xf numFmtId="0" fontId="2" fillId="0" borderId="0" xfId="0" applyFont="1" applyAlignment="1">
      <alignment horizontal="left" vertical="center"/>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58"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57" xfId="61" applyFont="1" applyBorder="1" applyAlignment="1">
      <alignment horizontal="left" vertical="center"/>
      <protection/>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30" xfId="61" applyFont="1" applyBorder="1" applyAlignment="1">
      <alignment horizontal="distributed" vertical="center"/>
      <protection/>
    </xf>
    <xf numFmtId="0" fontId="2" fillId="0" borderId="131" xfId="61" applyFont="1" applyBorder="1" applyAlignment="1">
      <alignment horizontal="center" vertical="center"/>
      <protection/>
    </xf>
    <xf numFmtId="0" fontId="2" fillId="0" borderId="122" xfId="61" applyFont="1" applyBorder="1" applyAlignment="1">
      <alignment horizontal="center" vertical="center" wrapText="1"/>
      <protection/>
    </xf>
    <xf numFmtId="0" fontId="2" fillId="0" borderId="132" xfId="61" applyFont="1" applyBorder="1" applyAlignment="1">
      <alignment horizontal="left"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protection/>
    </xf>
    <xf numFmtId="0" fontId="2" fillId="0" borderId="137" xfId="61" applyFont="1" applyBorder="1" applyAlignment="1">
      <alignment horizontal="distributed" vertical="center" wrapText="1"/>
      <protection/>
    </xf>
    <xf numFmtId="0" fontId="2" fillId="0" borderId="138" xfId="61" applyFont="1" applyBorder="1" applyAlignment="1">
      <alignment horizontal="distributed"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61" xfId="61" applyFont="1" applyBorder="1" applyAlignment="1">
      <alignment horizontal="center" vertical="center"/>
      <protection/>
    </xf>
    <xf numFmtId="0" fontId="2" fillId="0" borderId="131"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4">
      <selection activeCell="O7" sqref="O7"/>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51" t="s">
        <v>0</v>
      </c>
      <c r="B1" s="151"/>
      <c r="C1" s="151"/>
      <c r="D1" s="151"/>
      <c r="E1" s="151"/>
      <c r="F1" s="151"/>
      <c r="G1" s="151"/>
      <c r="H1" s="151"/>
      <c r="I1" s="151"/>
      <c r="J1" s="151"/>
      <c r="K1" s="151"/>
    </row>
    <row r="2" spans="1:11" ht="15">
      <c r="A2" s="80"/>
      <c r="B2" s="80"/>
      <c r="C2" s="80"/>
      <c r="D2" s="80"/>
      <c r="E2" s="80"/>
      <c r="F2" s="80"/>
      <c r="G2" s="80"/>
      <c r="H2" s="80"/>
      <c r="I2" s="80"/>
      <c r="J2" s="80"/>
      <c r="K2" s="80"/>
    </row>
    <row r="3" spans="1:11" ht="12" thickBot="1">
      <c r="A3" s="152" t="s">
        <v>29</v>
      </c>
      <c r="B3" s="152"/>
      <c r="C3" s="152"/>
      <c r="D3" s="152"/>
      <c r="E3" s="152"/>
      <c r="F3" s="152"/>
      <c r="G3" s="152"/>
      <c r="H3" s="152"/>
      <c r="I3" s="152"/>
      <c r="J3" s="152"/>
      <c r="K3" s="152"/>
    </row>
    <row r="4" spans="1:11" ht="24" customHeight="1">
      <c r="A4" s="153" t="s">
        <v>1</v>
      </c>
      <c r="B4" s="154"/>
      <c r="C4" s="157" t="s">
        <v>15</v>
      </c>
      <c r="D4" s="158"/>
      <c r="E4" s="159"/>
      <c r="F4" s="157" t="s">
        <v>16</v>
      </c>
      <c r="G4" s="158"/>
      <c r="H4" s="159"/>
      <c r="I4" s="157" t="s">
        <v>17</v>
      </c>
      <c r="J4" s="158"/>
      <c r="K4" s="160"/>
    </row>
    <row r="5" spans="1:11" ht="24" customHeight="1">
      <c r="A5" s="155"/>
      <c r="B5" s="156"/>
      <c r="C5" s="161" t="s">
        <v>2</v>
      </c>
      <c r="D5" s="162"/>
      <c r="E5" s="6" t="s">
        <v>3</v>
      </c>
      <c r="F5" s="161" t="s">
        <v>2</v>
      </c>
      <c r="G5" s="162"/>
      <c r="H5" s="6" t="s">
        <v>3</v>
      </c>
      <c r="I5" s="161" t="s">
        <v>2</v>
      </c>
      <c r="J5" s="162"/>
      <c r="K5" s="18" t="s">
        <v>3</v>
      </c>
    </row>
    <row r="6" spans="1:11" ht="12" customHeight="1">
      <c r="A6" s="65"/>
      <c r="B6" s="68"/>
      <c r="C6" s="66"/>
      <c r="D6" s="55" t="s">
        <v>31</v>
      </c>
      <c r="E6" s="54" t="s">
        <v>30</v>
      </c>
      <c r="F6" s="66"/>
      <c r="G6" s="55" t="s">
        <v>31</v>
      </c>
      <c r="H6" s="54" t="s">
        <v>30</v>
      </c>
      <c r="I6" s="66"/>
      <c r="J6" s="55" t="s">
        <v>31</v>
      </c>
      <c r="K6" s="67" t="s">
        <v>30</v>
      </c>
    </row>
    <row r="7" spans="1:11" ht="30" customHeight="1">
      <c r="A7" s="163" t="s">
        <v>32</v>
      </c>
      <c r="B7" s="61" t="s">
        <v>18</v>
      </c>
      <c r="C7" s="19"/>
      <c r="D7" s="62">
        <v>11956</v>
      </c>
      <c r="E7" s="63">
        <v>5310131</v>
      </c>
      <c r="F7" s="22"/>
      <c r="G7" s="62">
        <v>32730</v>
      </c>
      <c r="H7" s="63">
        <v>157986643</v>
      </c>
      <c r="I7" s="22"/>
      <c r="J7" s="62">
        <v>44686</v>
      </c>
      <c r="K7" s="64">
        <v>163296775</v>
      </c>
    </row>
    <row r="8" spans="1:11" ht="30" customHeight="1">
      <c r="A8" s="164"/>
      <c r="B8" s="36" t="s">
        <v>19</v>
      </c>
      <c r="C8" s="19"/>
      <c r="D8" s="25">
        <v>19849</v>
      </c>
      <c r="E8" s="26">
        <v>4987430</v>
      </c>
      <c r="F8" s="22"/>
      <c r="G8" s="25">
        <v>13326</v>
      </c>
      <c r="H8" s="26">
        <v>4958776</v>
      </c>
      <c r="I8" s="22"/>
      <c r="J8" s="25">
        <v>33175</v>
      </c>
      <c r="K8" s="32">
        <v>9946206</v>
      </c>
    </row>
    <row r="9" spans="1:11" s="3" customFormat="1" ht="30" customHeight="1">
      <c r="A9" s="164"/>
      <c r="B9" s="37" t="s">
        <v>20</v>
      </c>
      <c r="C9" s="20"/>
      <c r="D9" s="27">
        <v>31805</v>
      </c>
      <c r="E9" s="28">
        <v>10297561</v>
      </c>
      <c r="F9" s="20"/>
      <c r="G9" s="27">
        <v>46056</v>
      </c>
      <c r="H9" s="28">
        <v>162945419</v>
      </c>
      <c r="I9" s="20"/>
      <c r="J9" s="27">
        <v>77861</v>
      </c>
      <c r="K9" s="33">
        <v>173242980</v>
      </c>
    </row>
    <row r="10" spans="1:11" ht="30" customHeight="1">
      <c r="A10" s="165"/>
      <c r="B10" s="38" t="s">
        <v>21</v>
      </c>
      <c r="C10" s="19"/>
      <c r="D10" s="29">
        <v>629</v>
      </c>
      <c r="E10" s="30">
        <v>170931</v>
      </c>
      <c r="F10" s="19"/>
      <c r="G10" s="29">
        <v>1938</v>
      </c>
      <c r="H10" s="30">
        <v>9284777</v>
      </c>
      <c r="I10" s="19"/>
      <c r="J10" s="29">
        <v>2567</v>
      </c>
      <c r="K10" s="34">
        <v>9455708</v>
      </c>
    </row>
    <row r="11" spans="1:11" ht="30" customHeight="1">
      <c r="A11" s="166" t="s">
        <v>33</v>
      </c>
      <c r="B11" s="81" t="s">
        <v>22</v>
      </c>
      <c r="C11" s="9"/>
      <c r="D11" s="78">
        <v>1932</v>
      </c>
      <c r="E11" s="24">
        <v>329101</v>
      </c>
      <c r="F11" s="56"/>
      <c r="G11" s="58">
        <v>2390</v>
      </c>
      <c r="H11" s="24">
        <v>523668</v>
      </c>
      <c r="I11" s="56"/>
      <c r="J11" s="58">
        <v>4322</v>
      </c>
      <c r="K11" s="31">
        <v>852769</v>
      </c>
    </row>
    <row r="12" spans="1:11" ht="30" customHeight="1">
      <c r="A12" s="167"/>
      <c r="B12" s="82" t="s">
        <v>23</v>
      </c>
      <c r="C12" s="57"/>
      <c r="D12" s="25">
        <v>132</v>
      </c>
      <c r="E12" s="26">
        <v>14417</v>
      </c>
      <c r="F12" s="60"/>
      <c r="G12" s="59">
        <v>357</v>
      </c>
      <c r="H12" s="26">
        <v>212693</v>
      </c>
      <c r="I12" s="60"/>
      <c r="J12" s="59">
        <v>489</v>
      </c>
      <c r="K12" s="32">
        <v>227110</v>
      </c>
    </row>
    <row r="13" spans="1:11" s="3" customFormat="1" ht="30" customHeight="1">
      <c r="A13" s="168" t="s">
        <v>6</v>
      </c>
      <c r="B13" s="169"/>
      <c r="C13" s="45" t="s">
        <v>14</v>
      </c>
      <c r="D13" s="42">
        <v>32996</v>
      </c>
      <c r="E13" s="43">
        <v>10441315</v>
      </c>
      <c r="F13" s="45" t="s">
        <v>14</v>
      </c>
      <c r="G13" s="42">
        <v>48324</v>
      </c>
      <c r="H13" s="43">
        <v>153971617</v>
      </c>
      <c r="I13" s="45" t="s">
        <v>14</v>
      </c>
      <c r="J13" s="42">
        <v>81320</v>
      </c>
      <c r="K13" s="44">
        <v>164412932</v>
      </c>
    </row>
    <row r="14" spans="1:11" ht="30" customHeight="1" thickBot="1">
      <c r="A14" s="170" t="s">
        <v>7</v>
      </c>
      <c r="B14" s="171"/>
      <c r="C14" s="21"/>
      <c r="D14" s="39">
        <v>1615</v>
      </c>
      <c r="E14" s="40">
        <v>85668</v>
      </c>
      <c r="F14" s="23"/>
      <c r="G14" s="39">
        <v>1673</v>
      </c>
      <c r="H14" s="40">
        <v>84186</v>
      </c>
      <c r="I14" s="23"/>
      <c r="J14" s="39">
        <v>3288</v>
      </c>
      <c r="K14" s="41">
        <v>169854</v>
      </c>
    </row>
    <row r="15" spans="1:11" s="4" customFormat="1" ht="37.5" customHeight="1">
      <c r="A15" s="79" t="s">
        <v>35</v>
      </c>
      <c r="B15" s="172" t="s">
        <v>117</v>
      </c>
      <c r="C15" s="172"/>
      <c r="D15" s="172"/>
      <c r="E15" s="172"/>
      <c r="F15" s="172"/>
      <c r="G15" s="172"/>
      <c r="H15" s="172"/>
      <c r="I15" s="172"/>
      <c r="J15" s="172"/>
      <c r="K15" s="172"/>
    </row>
    <row r="16" spans="2:11" ht="45" customHeight="1">
      <c r="B16" s="173" t="s">
        <v>118</v>
      </c>
      <c r="C16" s="173"/>
      <c r="D16" s="173"/>
      <c r="E16" s="173"/>
      <c r="F16" s="173"/>
      <c r="G16" s="173"/>
      <c r="H16" s="173"/>
      <c r="I16" s="173"/>
      <c r="J16" s="173"/>
      <c r="K16" s="173"/>
    </row>
    <row r="17" spans="1:2" ht="14.25" customHeight="1">
      <c r="A17" s="1" t="s">
        <v>37</v>
      </c>
      <c r="B17" s="1" t="s">
        <v>38</v>
      </c>
    </row>
    <row r="18" spans="1:2" ht="11.25">
      <c r="A18" s="85" t="s">
        <v>39</v>
      </c>
      <c r="B18" s="1" t="s">
        <v>40</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&amp;R金沢国税局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view="pageBreakPreview" zoomScale="60" zoomScalePageLayoutView="0" workbookViewId="0" topLeftCell="A1">
      <selection activeCell="A1" sqref="A1:K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153" t="s">
        <v>1</v>
      </c>
      <c r="B2" s="154"/>
      <c r="C2" s="174" t="s">
        <v>15</v>
      </c>
      <c r="D2" s="174"/>
      <c r="E2" s="174" t="s">
        <v>24</v>
      </c>
      <c r="F2" s="174"/>
      <c r="G2" s="175" t="s">
        <v>25</v>
      </c>
      <c r="H2" s="176"/>
    </row>
    <row r="3" spans="1:8" s="1" customFormat="1" ht="15" customHeight="1">
      <c r="A3" s="155"/>
      <c r="B3" s="156"/>
      <c r="C3" s="9" t="s">
        <v>26</v>
      </c>
      <c r="D3" s="6" t="s">
        <v>27</v>
      </c>
      <c r="E3" s="9" t="s">
        <v>26</v>
      </c>
      <c r="F3" s="7" t="s">
        <v>27</v>
      </c>
      <c r="G3" s="9" t="s">
        <v>26</v>
      </c>
      <c r="H3" s="8" t="s">
        <v>27</v>
      </c>
    </row>
    <row r="4" spans="1:8" s="10" customFormat="1" ht="15" customHeight="1">
      <c r="A4" s="70"/>
      <c r="B4" s="6"/>
      <c r="C4" s="71" t="s">
        <v>4</v>
      </c>
      <c r="D4" s="72" t="s">
        <v>5</v>
      </c>
      <c r="E4" s="71" t="s">
        <v>4</v>
      </c>
      <c r="F4" s="72" t="s">
        <v>5</v>
      </c>
      <c r="G4" s="71" t="s">
        <v>4</v>
      </c>
      <c r="H4" s="73" t="s">
        <v>5</v>
      </c>
    </row>
    <row r="5" spans="1:8" s="83" customFormat="1" ht="30" customHeight="1">
      <c r="A5" s="179" t="s">
        <v>119</v>
      </c>
      <c r="B5" s="61" t="s">
        <v>12</v>
      </c>
      <c r="C5" s="69">
        <v>40264</v>
      </c>
      <c r="D5" s="63">
        <v>12596912</v>
      </c>
      <c r="E5" s="69">
        <v>49260</v>
      </c>
      <c r="F5" s="63">
        <v>171621471</v>
      </c>
      <c r="G5" s="69">
        <v>89524</v>
      </c>
      <c r="H5" s="64">
        <v>184218383</v>
      </c>
    </row>
    <row r="6" spans="1:8" s="83" customFormat="1" ht="30" customHeight="1">
      <c r="A6" s="180"/>
      <c r="B6" s="38" t="s">
        <v>13</v>
      </c>
      <c r="C6" s="47">
        <v>895</v>
      </c>
      <c r="D6" s="48">
        <v>474927</v>
      </c>
      <c r="E6" s="47">
        <v>2366</v>
      </c>
      <c r="F6" s="48">
        <v>10887555</v>
      </c>
      <c r="G6" s="47">
        <v>3261</v>
      </c>
      <c r="H6" s="49">
        <v>11362481</v>
      </c>
    </row>
    <row r="7" spans="1:8" s="83" customFormat="1" ht="30" customHeight="1">
      <c r="A7" s="181" t="s">
        <v>120</v>
      </c>
      <c r="B7" s="35" t="s">
        <v>12</v>
      </c>
      <c r="C7" s="46">
        <v>38700</v>
      </c>
      <c r="D7" s="24">
        <v>11250357</v>
      </c>
      <c r="E7" s="46">
        <v>48788</v>
      </c>
      <c r="F7" s="24">
        <v>171504941</v>
      </c>
      <c r="G7" s="46">
        <v>87488</v>
      </c>
      <c r="H7" s="31">
        <v>182755298</v>
      </c>
    </row>
    <row r="8" spans="1:8" s="83" customFormat="1" ht="30" customHeight="1">
      <c r="A8" s="182"/>
      <c r="B8" s="38" t="s">
        <v>13</v>
      </c>
      <c r="C8" s="47">
        <v>849</v>
      </c>
      <c r="D8" s="48">
        <v>357178</v>
      </c>
      <c r="E8" s="47">
        <v>2195</v>
      </c>
      <c r="F8" s="48">
        <v>6251067</v>
      </c>
      <c r="G8" s="47">
        <v>3044</v>
      </c>
      <c r="H8" s="49">
        <v>6608245</v>
      </c>
    </row>
    <row r="9" spans="1:8" s="83" customFormat="1" ht="30" customHeight="1">
      <c r="A9" s="177" t="s">
        <v>36</v>
      </c>
      <c r="B9" s="35" t="s">
        <v>12</v>
      </c>
      <c r="C9" s="46">
        <v>36530</v>
      </c>
      <c r="D9" s="24">
        <v>11004442</v>
      </c>
      <c r="E9" s="46">
        <v>47786</v>
      </c>
      <c r="F9" s="24">
        <v>166358354</v>
      </c>
      <c r="G9" s="46">
        <v>84316</v>
      </c>
      <c r="H9" s="31">
        <v>177362796</v>
      </c>
    </row>
    <row r="10" spans="1:8" s="83" customFormat="1" ht="30" customHeight="1">
      <c r="A10" s="180"/>
      <c r="B10" s="38" t="s">
        <v>13</v>
      </c>
      <c r="C10" s="47">
        <v>754</v>
      </c>
      <c r="D10" s="48">
        <v>242445</v>
      </c>
      <c r="E10" s="47">
        <v>2145</v>
      </c>
      <c r="F10" s="48">
        <v>7848045</v>
      </c>
      <c r="G10" s="47">
        <v>2899</v>
      </c>
      <c r="H10" s="49">
        <v>8090490</v>
      </c>
    </row>
    <row r="11" spans="1:8" s="83" customFormat="1" ht="30" customHeight="1">
      <c r="A11" s="177" t="s">
        <v>41</v>
      </c>
      <c r="B11" s="35" t="s">
        <v>12</v>
      </c>
      <c r="C11" s="46">
        <v>32759</v>
      </c>
      <c r="D11" s="24">
        <v>10345484</v>
      </c>
      <c r="E11" s="46">
        <v>46674</v>
      </c>
      <c r="F11" s="24">
        <v>164480756</v>
      </c>
      <c r="G11" s="46">
        <v>79433</v>
      </c>
      <c r="H11" s="31">
        <v>174826241</v>
      </c>
    </row>
    <row r="12" spans="1:8" s="83" customFormat="1" ht="30" customHeight="1">
      <c r="A12" s="180"/>
      <c r="B12" s="38" t="s">
        <v>13</v>
      </c>
      <c r="C12" s="47">
        <v>650</v>
      </c>
      <c r="D12" s="48">
        <v>208236</v>
      </c>
      <c r="E12" s="47">
        <v>2080</v>
      </c>
      <c r="F12" s="48">
        <v>9155011</v>
      </c>
      <c r="G12" s="47">
        <v>2730</v>
      </c>
      <c r="H12" s="49">
        <v>9363247</v>
      </c>
    </row>
    <row r="13" spans="1:8" s="1" customFormat="1" ht="30" customHeight="1">
      <c r="A13" s="177" t="s">
        <v>121</v>
      </c>
      <c r="B13" s="35" t="s">
        <v>12</v>
      </c>
      <c r="C13" s="46">
        <v>31805</v>
      </c>
      <c r="D13" s="24">
        <v>10297561</v>
      </c>
      <c r="E13" s="46">
        <v>46056</v>
      </c>
      <c r="F13" s="24">
        <v>162945419</v>
      </c>
      <c r="G13" s="46">
        <v>77861</v>
      </c>
      <c r="H13" s="31">
        <v>173242980</v>
      </c>
    </row>
    <row r="14" spans="1:8" s="1" customFormat="1" ht="30" customHeight="1" thickBot="1">
      <c r="A14" s="178"/>
      <c r="B14" s="50" t="s">
        <v>13</v>
      </c>
      <c r="C14" s="51">
        <v>629</v>
      </c>
      <c r="D14" s="52">
        <v>170931</v>
      </c>
      <c r="E14" s="51">
        <v>1938</v>
      </c>
      <c r="F14" s="52">
        <v>9284777</v>
      </c>
      <c r="G14" s="51">
        <v>2567</v>
      </c>
      <c r="H14" s="53">
        <v>9455708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&amp;R金沢国税局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view="pageBreakPreview" zoomScale="60" zoomScalePageLayoutView="0" workbookViewId="0" topLeftCell="A1">
      <selection activeCell="A1" sqref="A1:K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6" t="s">
        <v>10</v>
      </c>
      <c r="D2" s="86" t="s">
        <v>42</v>
      </c>
    </row>
    <row r="3" spans="1:4" s="10" customFormat="1" ht="15" customHeight="1">
      <c r="A3" s="74" t="s">
        <v>4</v>
      </c>
      <c r="B3" s="75" t="s">
        <v>4</v>
      </c>
      <c r="C3" s="76" t="s">
        <v>4</v>
      </c>
      <c r="D3" s="77" t="s">
        <v>4</v>
      </c>
    </row>
    <row r="4" spans="1:9" s="4" customFormat="1" ht="30" customHeight="1" thickBot="1">
      <c r="A4" s="11">
        <v>78622</v>
      </c>
      <c r="B4" s="12">
        <v>1641</v>
      </c>
      <c r="C4" s="17">
        <v>166</v>
      </c>
      <c r="D4" s="13">
        <v>80429</v>
      </c>
      <c r="E4" s="5"/>
      <c r="G4" s="5"/>
      <c r="I4" s="5"/>
    </row>
    <row r="5" spans="1:4" s="4" customFormat="1" ht="15" customHeight="1">
      <c r="A5" s="183" t="s">
        <v>122</v>
      </c>
      <c r="B5" s="183"/>
      <c r="C5" s="183"/>
      <c r="D5" s="183"/>
    </row>
    <row r="6" spans="1:4" s="4" customFormat="1" ht="15" customHeight="1">
      <c r="A6" s="184" t="s">
        <v>11</v>
      </c>
      <c r="B6" s="184"/>
      <c r="C6" s="184"/>
      <c r="D6" s="184"/>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(H24)</oddFooter>
  </headerFooter>
</worksheet>
</file>

<file path=xl/worksheets/sheet4.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K1"/>
    </sheetView>
  </sheetViews>
  <sheetFormatPr defaultColWidth="9.00390625" defaultRowHeight="13.5"/>
  <cols>
    <col min="1" max="1" width="11.375" style="0" customWidth="1"/>
    <col min="2" max="2" width="10.625" style="0" customWidth="1"/>
    <col min="3" max="3" width="12.625" style="0" customWidth="1"/>
    <col min="4" max="4" width="10.625" style="0" customWidth="1"/>
    <col min="5" max="5" width="12.625" style="0" customWidth="1"/>
    <col min="6" max="6" width="10.625" style="0" customWidth="1"/>
    <col min="7" max="7" width="12.625" style="0" customWidth="1"/>
    <col min="8" max="8" width="10.625" style="0" customWidth="1"/>
    <col min="9" max="9" width="12.625" style="0" customWidth="1"/>
    <col min="10" max="10" width="10.625" style="0" customWidth="1"/>
    <col min="11" max="11" width="12.625" style="0" customWidth="1"/>
    <col min="12" max="12" width="10.625" style="0" customWidth="1"/>
    <col min="13" max="13" width="12.625" style="0" customWidth="1"/>
    <col min="14" max="14" width="11.375" style="0" customWidth="1"/>
  </cols>
  <sheetData>
    <row r="1" spans="1:14" ht="13.5">
      <c r="A1" s="87" t="s">
        <v>116</v>
      </c>
      <c r="B1" s="87"/>
      <c r="C1" s="87"/>
      <c r="D1" s="87"/>
      <c r="E1" s="87"/>
      <c r="F1" s="87"/>
      <c r="G1" s="87"/>
      <c r="H1" s="87"/>
      <c r="I1" s="87"/>
      <c r="J1" s="87"/>
      <c r="K1" s="87"/>
      <c r="L1" s="88"/>
      <c r="M1" s="88"/>
      <c r="N1" s="130"/>
    </row>
    <row r="2" spans="1:14" ht="14.25" thickBot="1">
      <c r="A2" s="195" t="s">
        <v>43</v>
      </c>
      <c r="B2" s="195"/>
      <c r="C2" s="195"/>
      <c r="D2" s="195"/>
      <c r="E2" s="195"/>
      <c r="F2" s="195"/>
      <c r="G2" s="195"/>
      <c r="H2" s="88"/>
      <c r="I2" s="88"/>
      <c r="J2" s="88"/>
      <c r="K2" s="88"/>
      <c r="L2" s="88"/>
      <c r="M2" s="88"/>
      <c r="N2" s="88"/>
    </row>
    <row r="3" spans="1:14" ht="13.5">
      <c r="A3" s="196" t="s">
        <v>44</v>
      </c>
      <c r="B3" s="199" t="s">
        <v>45</v>
      </c>
      <c r="C3" s="199"/>
      <c r="D3" s="199"/>
      <c r="E3" s="199"/>
      <c r="F3" s="199"/>
      <c r="G3" s="199"/>
      <c r="H3" s="185" t="s">
        <v>13</v>
      </c>
      <c r="I3" s="186"/>
      <c r="J3" s="200" t="s">
        <v>46</v>
      </c>
      <c r="K3" s="186"/>
      <c r="L3" s="185" t="s">
        <v>47</v>
      </c>
      <c r="M3" s="186"/>
      <c r="N3" s="189" t="s">
        <v>48</v>
      </c>
    </row>
    <row r="4" spans="1:14" ht="13.5">
      <c r="A4" s="197"/>
      <c r="B4" s="192" t="s">
        <v>18</v>
      </c>
      <c r="C4" s="192"/>
      <c r="D4" s="187" t="s">
        <v>49</v>
      </c>
      <c r="E4" s="193"/>
      <c r="F4" s="187" t="s">
        <v>50</v>
      </c>
      <c r="G4" s="193"/>
      <c r="H4" s="187"/>
      <c r="I4" s="188"/>
      <c r="J4" s="187"/>
      <c r="K4" s="188"/>
      <c r="L4" s="187"/>
      <c r="M4" s="188"/>
      <c r="N4" s="190"/>
    </row>
    <row r="5" spans="1:14" ht="22.5">
      <c r="A5" s="198"/>
      <c r="B5" s="89" t="s">
        <v>51</v>
      </c>
      <c r="C5" s="90" t="s">
        <v>52</v>
      </c>
      <c r="D5" s="89" t="s">
        <v>51</v>
      </c>
      <c r="E5" s="90" t="s">
        <v>52</v>
      </c>
      <c r="F5" s="89" t="s">
        <v>51</v>
      </c>
      <c r="G5" s="91" t="s">
        <v>53</v>
      </c>
      <c r="H5" s="89" t="s">
        <v>51</v>
      </c>
      <c r="I5" s="92" t="s">
        <v>54</v>
      </c>
      <c r="J5" s="89" t="s">
        <v>51</v>
      </c>
      <c r="K5" s="92" t="s">
        <v>55</v>
      </c>
      <c r="L5" s="89" t="s">
        <v>51</v>
      </c>
      <c r="M5" s="93" t="s">
        <v>56</v>
      </c>
      <c r="N5" s="191"/>
    </row>
    <row r="6" spans="1:14" ht="13.5">
      <c r="A6" s="94"/>
      <c r="B6" s="95" t="s">
        <v>4</v>
      </c>
      <c r="C6" s="96" t="s">
        <v>5</v>
      </c>
      <c r="D6" s="95" t="s">
        <v>4</v>
      </c>
      <c r="E6" s="96" t="s">
        <v>5</v>
      </c>
      <c r="F6" s="95" t="s">
        <v>4</v>
      </c>
      <c r="G6" s="96" t="s">
        <v>5</v>
      </c>
      <c r="H6" s="95" t="s">
        <v>4</v>
      </c>
      <c r="I6" s="97" t="s">
        <v>5</v>
      </c>
      <c r="J6" s="95" t="s">
        <v>4</v>
      </c>
      <c r="K6" s="97" t="s">
        <v>5</v>
      </c>
      <c r="L6" s="95" t="s">
        <v>4</v>
      </c>
      <c r="M6" s="97" t="s">
        <v>5</v>
      </c>
      <c r="N6" s="98"/>
    </row>
    <row r="7" spans="1:14" ht="13.5">
      <c r="A7" s="99" t="s">
        <v>57</v>
      </c>
      <c r="B7" s="100">
        <f>_xlfn.COMPOUNDVALUE(1)</f>
        <v>1452</v>
      </c>
      <c r="C7" s="101">
        <v>789908</v>
      </c>
      <c r="D7" s="100">
        <f>_xlfn.COMPOUNDVALUE(2)</f>
        <v>2505</v>
      </c>
      <c r="E7" s="101">
        <v>654259</v>
      </c>
      <c r="F7" s="100">
        <f>_xlfn.COMPOUNDVALUE(3)</f>
        <v>3957</v>
      </c>
      <c r="G7" s="101">
        <v>1444167</v>
      </c>
      <c r="H7" s="100">
        <f>_xlfn.COMPOUNDVALUE(4)</f>
        <v>80</v>
      </c>
      <c r="I7" s="102">
        <v>26307</v>
      </c>
      <c r="J7" s="100">
        <v>257</v>
      </c>
      <c r="K7" s="102">
        <v>40327</v>
      </c>
      <c r="L7" s="100">
        <v>4138</v>
      </c>
      <c r="M7" s="102">
        <v>1458187</v>
      </c>
      <c r="N7" s="150" t="s">
        <v>58</v>
      </c>
    </row>
    <row r="8" spans="1:14" ht="13.5">
      <c r="A8" s="104" t="s">
        <v>59</v>
      </c>
      <c r="B8" s="105">
        <f>_xlfn.COMPOUNDVALUE(5)</f>
        <v>1321</v>
      </c>
      <c r="C8" s="106">
        <v>626263</v>
      </c>
      <c r="D8" s="105">
        <f>_xlfn.COMPOUNDVALUE(6)</f>
        <v>2050</v>
      </c>
      <c r="E8" s="106">
        <v>504125</v>
      </c>
      <c r="F8" s="105">
        <f>_xlfn.COMPOUNDVALUE(7)</f>
        <v>3371</v>
      </c>
      <c r="G8" s="106">
        <v>1130388</v>
      </c>
      <c r="H8" s="105">
        <f>_xlfn.COMPOUNDVALUE(8)</f>
        <v>70</v>
      </c>
      <c r="I8" s="107">
        <v>14959</v>
      </c>
      <c r="J8" s="105">
        <v>194</v>
      </c>
      <c r="K8" s="107">
        <v>36960</v>
      </c>
      <c r="L8" s="105">
        <v>3489</v>
      </c>
      <c r="M8" s="107">
        <v>1152390</v>
      </c>
      <c r="N8" s="108" t="s">
        <v>60</v>
      </c>
    </row>
    <row r="9" spans="1:14" ht="13.5">
      <c r="A9" s="104" t="s">
        <v>61</v>
      </c>
      <c r="B9" s="105">
        <f>_xlfn.COMPOUNDVALUE(9)</f>
        <v>767</v>
      </c>
      <c r="C9" s="106">
        <v>356063</v>
      </c>
      <c r="D9" s="105">
        <f>_xlfn.COMPOUNDVALUE(10)</f>
        <v>1443</v>
      </c>
      <c r="E9" s="106">
        <v>356894</v>
      </c>
      <c r="F9" s="105">
        <f>_xlfn.COMPOUNDVALUE(11)</f>
        <v>2210</v>
      </c>
      <c r="G9" s="106">
        <v>712957</v>
      </c>
      <c r="H9" s="105">
        <f>_xlfn.COMPOUNDVALUE(12)</f>
        <v>45</v>
      </c>
      <c r="I9" s="107">
        <v>7219</v>
      </c>
      <c r="J9" s="105">
        <v>156</v>
      </c>
      <c r="K9" s="107">
        <v>6804</v>
      </c>
      <c r="L9" s="105">
        <v>2285</v>
      </c>
      <c r="M9" s="107">
        <v>712542</v>
      </c>
      <c r="N9" s="108" t="s">
        <v>62</v>
      </c>
    </row>
    <row r="10" spans="1:14" ht="13.5">
      <c r="A10" s="104" t="s">
        <v>63</v>
      </c>
      <c r="B10" s="105">
        <f>_xlfn.COMPOUNDVALUE(13)</f>
        <v>521</v>
      </c>
      <c r="C10" s="106">
        <v>229536</v>
      </c>
      <c r="D10" s="105">
        <f>_xlfn.COMPOUNDVALUE(14)</f>
        <v>972</v>
      </c>
      <c r="E10" s="106">
        <v>249553</v>
      </c>
      <c r="F10" s="105">
        <f>_xlfn.COMPOUNDVALUE(15)</f>
        <v>1493</v>
      </c>
      <c r="G10" s="106">
        <v>479089</v>
      </c>
      <c r="H10" s="105">
        <f>_xlfn.COMPOUNDVALUE(16)</f>
        <v>20</v>
      </c>
      <c r="I10" s="107">
        <v>5408</v>
      </c>
      <c r="J10" s="105">
        <v>101</v>
      </c>
      <c r="K10" s="107">
        <v>14621</v>
      </c>
      <c r="L10" s="105">
        <v>1525</v>
      </c>
      <c r="M10" s="107">
        <v>488301</v>
      </c>
      <c r="N10" s="108" t="s">
        <v>64</v>
      </c>
    </row>
    <row r="11" spans="1:14" ht="13.5">
      <c r="A11" s="109" t="s">
        <v>65</v>
      </c>
      <c r="B11" s="110">
        <v>4061</v>
      </c>
      <c r="C11" s="111">
        <v>2001771</v>
      </c>
      <c r="D11" s="110">
        <v>6970</v>
      </c>
      <c r="E11" s="111">
        <v>1764831</v>
      </c>
      <c r="F11" s="110">
        <v>11031</v>
      </c>
      <c r="G11" s="111">
        <v>3766602</v>
      </c>
      <c r="H11" s="110">
        <v>215</v>
      </c>
      <c r="I11" s="112">
        <v>53893</v>
      </c>
      <c r="J11" s="110">
        <v>708</v>
      </c>
      <c r="K11" s="112">
        <v>98712</v>
      </c>
      <c r="L11" s="110">
        <v>11437</v>
      </c>
      <c r="M11" s="112">
        <v>3811420</v>
      </c>
      <c r="N11" s="113" t="s">
        <v>66</v>
      </c>
    </row>
    <row r="12" spans="1:14" ht="13.5">
      <c r="A12" s="114"/>
      <c r="B12" s="115"/>
      <c r="C12" s="116"/>
      <c r="D12" s="115"/>
      <c r="E12" s="116"/>
      <c r="F12" s="117"/>
      <c r="G12" s="116"/>
      <c r="H12" s="117"/>
      <c r="I12" s="116"/>
      <c r="J12" s="117"/>
      <c r="K12" s="116"/>
      <c r="L12" s="117"/>
      <c r="M12" s="116"/>
      <c r="N12" s="118"/>
    </row>
    <row r="13" spans="1:14" ht="13.5">
      <c r="A13" s="99" t="s">
        <v>67</v>
      </c>
      <c r="B13" s="100">
        <f>_xlfn.COMPOUNDVALUE(17)</f>
        <v>2038</v>
      </c>
      <c r="C13" s="101">
        <v>844292</v>
      </c>
      <c r="D13" s="100">
        <f>_xlfn.COMPOUNDVALUE(18)</f>
        <v>3313</v>
      </c>
      <c r="E13" s="101">
        <v>886841</v>
      </c>
      <c r="F13" s="100">
        <f>_xlfn.COMPOUNDVALUE(19)</f>
        <v>5351</v>
      </c>
      <c r="G13" s="101">
        <v>1731133</v>
      </c>
      <c r="H13" s="100">
        <f>_xlfn.COMPOUNDVALUE(20)</f>
        <v>108</v>
      </c>
      <c r="I13" s="102">
        <v>34483</v>
      </c>
      <c r="J13" s="100">
        <v>253</v>
      </c>
      <c r="K13" s="102">
        <v>112153</v>
      </c>
      <c r="L13" s="100">
        <v>5553</v>
      </c>
      <c r="M13" s="102">
        <v>1808802</v>
      </c>
      <c r="N13" s="103" t="s">
        <v>67</v>
      </c>
    </row>
    <row r="14" spans="1:14" ht="13.5">
      <c r="A14" s="104" t="s">
        <v>68</v>
      </c>
      <c r="B14" s="105">
        <f>_xlfn.COMPOUNDVALUE(21)</f>
        <v>464</v>
      </c>
      <c r="C14" s="106">
        <v>185611</v>
      </c>
      <c r="D14" s="105">
        <f>_xlfn.COMPOUNDVALUE(22)</f>
        <v>898</v>
      </c>
      <c r="E14" s="106">
        <v>214936</v>
      </c>
      <c r="F14" s="105">
        <f>_xlfn.COMPOUNDVALUE(23)</f>
        <v>1362</v>
      </c>
      <c r="G14" s="106">
        <v>400547</v>
      </c>
      <c r="H14" s="105">
        <f>_xlfn.COMPOUNDVALUE(24)</f>
        <v>17</v>
      </c>
      <c r="I14" s="107">
        <v>9034</v>
      </c>
      <c r="J14" s="105">
        <v>94</v>
      </c>
      <c r="K14" s="107">
        <v>6716</v>
      </c>
      <c r="L14" s="105">
        <v>1390</v>
      </c>
      <c r="M14" s="107">
        <v>398229</v>
      </c>
      <c r="N14" s="108" t="s">
        <v>68</v>
      </c>
    </row>
    <row r="15" spans="1:14" ht="13.5">
      <c r="A15" s="104" t="s">
        <v>69</v>
      </c>
      <c r="B15" s="105">
        <f>_xlfn.COMPOUNDVALUE(25)</f>
        <v>955</v>
      </c>
      <c r="C15" s="106">
        <v>603857</v>
      </c>
      <c r="D15" s="105">
        <f>_xlfn.COMPOUNDVALUE(26)</f>
        <v>1649</v>
      </c>
      <c r="E15" s="106">
        <v>395774</v>
      </c>
      <c r="F15" s="105">
        <f>_xlfn.COMPOUNDVALUE(27)</f>
        <v>2604</v>
      </c>
      <c r="G15" s="106">
        <v>999630</v>
      </c>
      <c r="H15" s="105">
        <f>_xlfn.COMPOUNDVALUE(28)</f>
        <v>49</v>
      </c>
      <c r="I15" s="107">
        <v>7405</v>
      </c>
      <c r="J15" s="105">
        <v>157</v>
      </c>
      <c r="K15" s="107">
        <v>15963</v>
      </c>
      <c r="L15" s="105">
        <v>2678</v>
      </c>
      <c r="M15" s="107">
        <v>1008189</v>
      </c>
      <c r="N15" s="108" t="s">
        <v>69</v>
      </c>
    </row>
    <row r="16" spans="1:14" ht="13.5">
      <c r="A16" s="104" t="s">
        <v>70</v>
      </c>
      <c r="B16" s="105">
        <f>_xlfn.COMPOUNDVALUE(29)</f>
        <v>321</v>
      </c>
      <c r="C16" s="106">
        <v>142951</v>
      </c>
      <c r="D16" s="105">
        <f>_xlfn.COMPOUNDVALUE(30)</f>
        <v>757</v>
      </c>
      <c r="E16" s="106">
        <v>159998</v>
      </c>
      <c r="F16" s="105">
        <f>_xlfn.COMPOUNDVALUE(31)</f>
        <v>1078</v>
      </c>
      <c r="G16" s="106">
        <v>302950</v>
      </c>
      <c r="H16" s="105">
        <f>_xlfn.COMPOUNDVALUE(32)</f>
        <v>16</v>
      </c>
      <c r="I16" s="107">
        <v>4655</v>
      </c>
      <c r="J16" s="105">
        <v>95</v>
      </c>
      <c r="K16" s="107">
        <v>6710</v>
      </c>
      <c r="L16" s="105">
        <v>1105</v>
      </c>
      <c r="M16" s="107">
        <v>305004</v>
      </c>
      <c r="N16" s="108" t="s">
        <v>70</v>
      </c>
    </row>
    <row r="17" spans="1:14" ht="13.5">
      <c r="A17" s="104" t="s">
        <v>71</v>
      </c>
      <c r="B17" s="105">
        <f>_xlfn.COMPOUNDVALUE(33)</f>
        <v>517</v>
      </c>
      <c r="C17" s="106">
        <v>185907</v>
      </c>
      <c r="D17" s="105">
        <f>_xlfn.COMPOUNDVALUE(34)</f>
        <v>883</v>
      </c>
      <c r="E17" s="106">
        <v>227119</v>
      </c>
      <c r="F17" s="105">
        <f>_xlfn.COMPOUNDVALUE(35)</f>
        <v>1400</v>
      </c>
      <c r="G17" s="106">
        <v>413026</v>
      </c>
      <c r="H17" s="105">
        <f>_xlfn.COMPOUNDVALUE(36)</f>
        <v>27</v>
      </c>
      <c r="I17" s="107">
        <v>5987</v>
      </c>
      <c r="J17" s="105">
        <v>140</v>
      </c>
      <c r="K17" s="107">
        <v>14255</v>
      </c>
      <c r="L17" s="105">
        <v>1467</v>
      </c>
      <c r="M17" s="107">
        <v>421294</v>
      </c>
      <c r="N17" s="108" t="s">
        <v>71</v>
      </c>
    </row>
    <row r="18" spans="1:14" ht="13.5">
      <c r="A18" s="109" t="s">
        <v>72</v>
      </c>
      <c r="B18" s="110">
        <v>4295</v>
      </c>
      <c r="C18" s="111">
        <v>1962617</v>
      </c>
      <c r="D18" s="110">
        <v>7500</v>
      </c>
      <c r="E18" s="111">
        <v>1884668</v>
      </c>
      <c r="F18" s="110">
        <v>11795</v>
      </c>
      <c r="G18" s="111">
        <v>3847286</v>
      </c>
      <c r="H18" s="110">
        <v>217</v>
      </c>
      <c r="I18" s="112">
        <v>61565</v>
      </c>
      <c r="J18" s="110">
        <v>739</v>
      </c>
      <c r="K18" s="112">
        <v>155797</v>
      </c>
      <c r="L18" s="110">
        <v>12193</v>
      </c>
      <c r="M18" s="112">
        <v>3941518</v>
      </c>
      <c r="N18" s="113" t="s">
        <v>72</v>
      </c>
    </row>
    <row r="19" spans="1:14" ht="13.5">
      <c r="A19" s="114"/>
      <c r="B19" s="115"/>
      <c r="C19" s="116"/>
      <c r="D19" s="115"/>
      <c r="E19" s="116"/>
      <c r="F19" s="117"/>
      <c r="G19" s="116"/>
      <c r="H19" s="117"/>
      <c r="I19" s="116"/>
      <c r="J19" s="117"/>
      <c r="K19" s="116"/>
      <c r="L19" s="117"/>
      <c r="M19" s="116"/>
      <c r="N19" s="118"/>
    </row>
    <row r="20" spans="1:14" ht="13.5">
      <c r="A20" s="99" t="s">
        <v>73</v>
      </c>
      <c r="B20" s="100">
        <f>_xlfn.COMPOUNDVALUE(37)</f>
        <v>1269</v>
      </c>
      <c r="C20" s="101">
        <v>520428</v>
      </c>
      <c r="D20" s="100">
        <f>_xlfn.COMPOUNDVALUE(38)</f>
        <v>1860</v>
      </c>
      <c r="E20" s="101">
        <v>482903</v>
      </c>
      <c r="F20" s="100">
        <f>_xlfn.COMPOUNDVALUE(39)</f>
        <v>3129</v>
      </c>
      <c r="G20" s="101">
        <v>1003330</v>
      </c>
      <c r="H20" s="100">
        <f>_xlfn.COMPOUNDVALUE(40)</f>
        <v>68</v>
      </c>
      <c r="I20" s="102">
        <v>9173</v>
      </c>
      <c r="J20" s="100">
        <v>257</v>
      </c>
      <c r="K20" s="102">
        <v>20907</v>
      </c>
      <c r="L20" s="100">
        <v>3275</v>
      </c>
      <c r="M20" s="102">
        <v>1015064</v>
      </c>
      <c r="N20" s="103" t="s">
        <v>74</v>
      </c>
    </row>
    <row r="21" spans="1:14" ht="13.5">
      <c r="A21" s="104" t="s">
        <v>75</v>
      </c>
      <c r="B21" s="105">
        <f>_xlfn.COMPOUNDVALUE(41)</f>
        <v>358</v>
      </c>
      <c r="C21" s="106">
        <v>129597</v>
      </c>
      <c r="D21" s="105">
        <f>_xlfn.COMPOUNDVALUE(42)</f>
        <v>631</v>
      </c>
      <c r="E21" s="106">
        <v>151340</v>
      </c>
      <c r="F21" s="105">
        <f>_xlfn.COMPOUNDVALUE(43)</f>
        <v>989</v>
      </c>
      <c r="G21" s="106">
        <v>280937</v>
      </c>
      <c r="H21" s="105">
        <f>_xlfn.COMPOUNDVALUE(44)</f>
        <v>18</v>
      </c>
      <c r="I21" s="107">
        <v>7558</v>
      </c>
      <c r="J21" s="105">
        <v>72</v>
      </c>
      <c r="K21" s="107">
        <v>9167</v>
      </c>
      <c r="L21" s="105">
        <v>1040</v>
      </c>
      <c r="M21" s="107">
        <v>282545</v>
      </c>
      <c r="N21" s="108" t="s">
        <v>76</v>
      </c>
    </row>
    <row r="22" spans="1:14" ht="13.5">
      <c r="A22" s="104" t="s">
        <v>77</v>
      </c>
      <c r="B22" s="105">
        <f>_xlfn.COMPOUNDVALUE(45)</f>
        <v>918</v>
      </c>
      <c r="C22" s="106">
        <v>347959</v>
      </c>
      <c r="D22" s="105">
        <f>_xlfn.COMPOUNDVALUE(46)</f>
        <v>1327</v>
      </c>
      <c r="E22" s="106">
        <v>323440</v>
      </c>
      <c r="F22" s="105">
        <f>_xlfn.COMPOUNDVALUE(47)</f>
        <v>2245</v>
      </c>
      <c r="G22" s="106">
        <v>671399</v>
      </c>
      <c r="H22" s="105">
        <f>_xlfn.COMPOUNDVALUE(48)</f>
        <v>49</v>
      </c>
      <c r="I22" s="107">
        <v>23777</v>
      </c>
      <c r="J22" s="105">
        <v>97</v>
      </c>
      <c r="K22" s="107">
        <v>10822</v>
      </c>
      <c r="L22" s="105">
        <v>2323</v>
      </c>
      <c r="M22" s="107">
        <v>658445</v>
      </c>
      <c r="N22" s="108" t="s">
        <v>78</v>
      </c>
    </row>
    <row r="23" spans="1:14" ht="13.5">
      <c r="A23" s="104" t="s">
        <v>79</v>
      </c>
      <c r="B23" s="105">
        <f>_xlfn.COMPOUNDVALUE(49)</f>
        <v>252</v>
      </c>
      <c r="C23" s="106">
        <v>77821</v>
      </c>
      <c r="D23" s="105">
        <f>_xlfn.COMPOUNDVALUE(50)</f>
        <v>375</v>
      </c>
      <c r="E23" s="106">
        <v>90494</v>
      </c>
      <c r="F23" s="105">
        <f>_xlfn.COMPOUNDVALUE(51)</f>
        <v>627</v>
      </c>
      <c r="G23" s="106">
        <v>168315</v>
      </c>
      <c r="H23" s="105">
        <f>_xlfn.COMPOUNDVALUE(52)</f>
        <v>15</v>
      </c>
      <c r="I23" s="107">
        <v>1485</v>
      </c>
      <c r="J23" s="105">
        <v>58</v>
      </c>
      <c r="K23" s="107">
        <v>8544</v>
      </c>
      <c r="L23" s="105">
        <v>670</v>
      </c>
      <c r="M23" s="107">
        <v>175374</v>
      </c>
      <c r="N23" s="108" t="s">
        <v>80</v>
      </c>
    </row>
    <row r="24" spans="1:14" ht="13.5">
      <c r="A24" s="104" t="s">
        <v>81</v>
      </c>
      <c r="B24" s="105">
        <f>_xlfn.COMPOUNDVALUE(53)</f>
        <v>279</v>
      </c>
      <c r="C24" s="106">
        <v>86907</v>
      </c>
      <c r="D24" s="105">
        <f>_xlfn.COMPOUNDVALUE(54)</f>
        <v>434</v>
      </c>
      <c r="E24" s="106">
        <v>107036</v>
      </c>
      <c r="F24" s="105">
        <f>_xlfn.COMPOUNDVALUE(55)</f>
        <v>713</v>
      </c>
      <c r="G24" s="106">
        <v>193943</v>
      </c>
      <c r="H24" s="105">
        <f>_xlfn.COMPOUNDVALUE(56)</f>
        <v>19</v>
      </c>
      <c r="I24" s="107">
        <v>4997</v>
      </c>
      <c r="J24" s="105">
        <v>41</v>
      </c>
      <c r="K24" s="107">
        <v>3726</v>
      </c>
      <c r="L24" s="105">
        <v>741</v>
      </c>
      <c r="M24" s="107">
        <v>192671</v>
      </c>
      <c r="N24" s="108" t="s">
        <v>82</v>
      </c>
    </row>
    <row r="25" spans="1:14" ht="13.5">
      <c r="A25" s="104" t="s">
        <v>83</v>
      </c>
      <c r="B25" s="105">
        <f>_xlfn.COMPOUNDVALUE(57)</f>
        <v>524</v>
      </c>
      <c r="C25" s="106">
        <v>183032</v>
      </c>
      <c r="D25" s="105">
        <f>_xlfn.COMPOUNDVALUE(58)</f>
        <v>752</v>
      </c>
      <c r="E25" s="106">
        <v>182719</v>
      </c>
      <c r="F25" s="105">
        <f>_xlfn.COMPOUNDVALUE(59)</f>
        <v>1276</v>
      </c>
      <c r="G25" s="106">
        <v>365750</v>
      </c>
      <c r="H25" s="105">
        <f>_xlfn.COMPOUNDVALUE(60)</f>
        <v>28</v>
      </c>
      <c r="I25" s="107">
        <v>8483</v>
      </c>
      <c r="J25" s="105">
        <v>92</v>
      </c>
      <c r="K25" s="107">
        <v>7010</v>
      </c>
      <c r="L25" s="105">
        <v>1317</v>
      </c>
      <c r="M25" s="107">
        <v>364277</v>
      </c>
      <c r="N25" s="108" t="s">
        <v>84</v>
      </c>
    </row>
    <row r="26" spans="1:14" ht="13.5">
      <c r="A26" s="109" t="s">
        <v>85</v>
      </c>
      <c r="B26" s="110">
        <v>3600</v>
      </c>
      <c r="C26" s="111">
        <v>1345744</v>
      </c>
      <c r="D26" s="110">
        <v>5379</v>
      </c>
      <c r="E26" s="111">
        <v>1337930</v>
      </c>
      <c r="F26" s="110">
        <v>8979</v>
      </c>
      <c r="G26" s="111">
        <v>2683674</v>
      </c>
      <c r="H26" s="110">
        <v>197</v>
      </c>
      <c r="I26" s="112">
        <v>55473</v>
      </c>
      <c r="J26" s="110">
        <v>617</v>
      </c>
      <c r="K26" s="112">
        <v>60176</v>
      </c>
      <c r="L26" s="110">
        <v>9366</v>
      </c>
      <c r="M26" s="112">
        <v>2688377</v>
      </c>
      <c r="N26" s="113" t="s">
        <v>86</v>
      </c>
    </row>
    <row r="27" spans="1:14" ht="14.25" thickBot="1">
      <c r="A27" s="119"/>
      <c r="B27" s="120"/>
      <c r="C27" s="121"/>
      <c r="D27" s="120"/>
      <c r="E27" s="121"/>
      <c r="F27" s="122"/>
      <c r="G27" s="121"/>
      <c r="H27" s="122"/>
      <c r="I27" s="121"/>
      <c r="J27" s="122"/>
      <c r="K27" s="121"/>
      <c r="L27" s="122"/>
      <c r="M27" s="121"/>
      <c r="N27" s="123"/>
    </row>
    <row r="28" spans="1:14" ht="15" thickBot="1" thickTop="1">
      <c r="A28" s="124" t="s">
        <v>87</v>
      </c>
      <c r="B28" s="125">
        <v>11956</v>
      </c>
      <c r="C28" s="126">
        <v>5310131</v>
      </c>
      <c r="D28" s="125">
        <v>19849</v>
      </c>
      <c r="E28" s="126">
        <v>4987430</v>
      </c>
      <c r="F28" s="125">
        <v>31805</v>
      </c>
      <c r="G28" s="126">
        <v>10297561</v>
      </c>
      <c r="H28" s="125">
        <v>629</v>
      </c>
      <c r="I28" s="127">
        <v>170931</v>
      </c>
      <c r="J28" s="125">
        <v>2064</v>
      </c>
      <c r="K28" s="127">
        <v>314685</v>
      </c>
      <c r="L28" s="125">
        <v>32996</v>
      </c>
      <c r="M28" s="127">
        <v>10441315</v>
      </c>
      <c r="N28" s="128" t="s">
        <v>88</v>
      </c>
    </row>
    <row r="29" spans="1:14" ht="13.5">
      <c r="A29" s="194" t="s">
        <v>89</v>
      </c>
      <c r="B29" s="194"/>
      <c r="C29" s="194"/>
      <c r="D29" s="194"/>
      <c r="E29" s="194"/>
      <c r="F29" s="194"/>
      <c r="G29" s="194"/>
      <c r="H29" s="194"/>
      <c r="I29" s="194"/>
      <c r="J29" s="129"/>
      <c r="K29" s="129"/>
      <c r="L29" s="88"/>
      <c r="M29" s="88"/>
      <c r="N29" s="88"/>
    </row>
  </sheetData>
  <sheetProtection/>
  <mergeCells count="11">
    <mergeCell ref="A2:G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&amp;R金沢国税局
消費税
(H24)</oddFooter>
  </headerFooter>
</worksheet>
</file>

<file path=xl/worksheets/sheet5.xml><?xml version="1.0" encoding="utf-8"?>
<worksheet xmlns="http://schemas.openxmlformats.org/spreadsheetml/2006/main" xmlns:r="http://schemas.openxmlformats.org/officeDocument/2006/relationships">
  <dimension ref="A1:N29"/>
  <sheetViews>
    <sheetView view="pageBreakPreview" zoomScaleSheetLayoutView="100" zoomScalePageLayoutView="0" workbookViewId="0" topLeftCell="A1">
      <selection activeCell="A1" sqref="A1:K1"/>
    </sheetView>
  </sheetViews>
  <sheetFormatPr defaultColWidth="9.00390625" defaultRowHeight="13.5"/>
  <cols>
    <col min="1" max="1" width="11.125" style="0" customWidth="1"/>
    <col min="2" max="2" width="10.625" style="0" customWidth="1"/>
    <col min="3" max="3" width="12.625" style="0" customWidth="1"/>
    <col min="4" max="4" width="10.625" style="0" customWidth="1"/>
    <col min="5" max="5" width="12.625" style="0" customWidth="1"/>
    <col min="6" max="6" width="10.625" style="0" customWidth="1"/>
    <col min="7" max="7" width="12.625" style="0" customWidth="1"/>
    <col min="8" max="8" width="10.625" style="0" customWidth="1"/>
    <col min="9" max="9" width="12.625" style="0" customWidth="1"/>
    <col min="10" max="10" width="10.625" style="0" customWidth="1"/>
    <col min="11" max="11" width="12.625" style="0" customWidth="1"/>
    <col min="12" max="12" width="10.625" style="0" customWidth="1"/>
    <col min="13" max="13" width="12.625" style="0" customWidth="1"/>
    <col min="14" max="14" width="11.375" style="0" customWidth="1"/>
  </cols>
  <sheetData>
    <row r="1" spans="1:14" ht="13.5">
      <c r="A1" s="87" t="s">
        <v>90</v>
      </c>
      <c r="B1" s="87"/>
      <c r="C1" s="87"/>
      <c r="D1" s="87"/>
      <c r="E1" s="87"/>
      <c r="F1" s="87"/>
      <c r="G1" s="87"/>
      <c r="H1" s="87"/>
      <c r="I1" s="87"/>
      <c r="J1" s="87"/>
      <c r="K1" s="87"/>
      <c r="L1" s="88"/>
      <c r="M1" s="88"/>
      <c r="N1" s="130"/>
    </row>
    <row r="2" spans="1:14" ht="14.25" thickBot="1">
      <c r="A2" s="201" t="s">
        <v>91</v>
      </c>
      <c r="B2" s="201"/>
      <c r="C2" s="201"/>
      <c r="D2" s="201"/>
      <c r="E2" s="201"/>
      <c r="F2" s="201"/>
      <c r="G2" s="201"/>
      <c r="H2" s="201"/>
      <c r="I2" s="201"/>
      <c r="J2" s="129"/>
      <c r="K2" s="129"/>
      <c r="L2" s="88"/>
      <c r="M2" s="88"/>
      <c r="N2" s="130"/>
    </row>
    <row r="3" spans="1:14" ht="13.5">
      <c r="A3" s="196" t="s">
        <v>44</v>
      </c>
      <c r="B3" s="199" t="s">
        <v>45</v>
      </c>
      <c r="C3" s="199"/>
      <c r="D3" s="199"/>
      <c r="E3" s="199"/>
      <c r="F3" s="199"/>
      <c r="G3" s="199"/>
      <c r="H3" s="185" t="s">
        <v>13</v>
      </c>
      <c r="I3" s="186"/>
      <c r="J3" s="200" t="s">
        <v>46</v>
      </c>
      <c r="K3" s="186"/>
      <c r="L3" s="185" t="s">
        <v>47</v>
      </c>
      <c r="M3" s="186"/>
      <c r="N3" s="189" t="s">
        <v>92</v>
      </c>
    </row>
    <row r="4" spans="1:14" ht="13.5">
      <c r="A4" s="197"/>
      <c r="B4" s="187" t="s">
        <v>18</v>
      </c>
      <c r="C4" s="193"/>
      <c r="D4" s="187" t="s">
        <v>49</v>
      </c>
      <c r="E4" s="193"/>
      <c r="F4" s="187" t="s">
        <v>50</v>
      </c>
      <c r="G4" s="193"/>
      <c r="H4" s="187"/>
      <c r="I4" s="188"/>
      <c r="J4" s="187"/>
      <c r="K4" s="188"/>
      <c r="L4" s="187"/>
      <c r="M4" s="188"/>
      <c r="N4" s="190"/>
    </row>
    <row r="5" spans="1:14" ht="22.5">
      <c r="A5" s="198"/>
      <c r="B5" s="89" t="s">
        <v>51</v>
      </c>
      <c r="C5" s="90" t="s">
        <v>52</v>
      </c>
      <c r="D5" s="89" t="s">
        <v>51</v>
      </c>
      <c r="E5" s="90" t="s">
        <v>52</v>
      </c>
      <c r="F5" s="89" t="s">
        <v>51</v>
      </c>
      <c r="G5" s="91" t="s">
        <v>53</v>
      </c>
      <c r="H5" s="89" t="s">
        <v>51</v>
      </c>
      <c r="I5" s="92" t="s">
        <v>54</v>
      </c>
      <c r="J5" s="89" t="s">
        <v>51</v>
      </c>
      <c r="K5" s="92" t="s">
        <v>55</v>
      </c>
      <c r="L5" s="89" t="s">
        <v>51</v>
      </c>
      <c r="M5" s="93" t="s">
        <v>56</v>
      </c>
      <c r="N5" s="191"/>
    </row>
    <row r="6" spans="1:14" ht="13.5">
      <c r="A6" s="94"/>
      <c r="B6" s="95" t="s">
        <v>4</v>
      </c>
      <c r="C6" s="96" t="s">
        <v>5</v>
      </c>
      <c r="D6" s="95" t="s">
        <v>4</v>
      </c>
      <c r="E6" s="96" t="s">
        <v>5</v>
      </c>
      <c r="F6" s="95" t="s">
        <v>4</v>
      </c>
      <c r="G6" s="96" t="s">
        <v>5</v>
      </c>
      <c r="H6" s="95" t="s">
        <v>4</v>
      </c>
      <c r="I6" s="97" t="s">
        <v>5</v>
      </c>
      <c r="J6" s="95" t="s">
        <v>4</v>
      </c>
      <c r="K6" s="97" t="s">
        <v>5</v>
      </c>
      <c r="L6" s="95" t="s">
        <v>4</v>
      </c>
      <c r="M6" s="97" t="s">
        <v>5</v>
      </c>
      <c r="N6" s="98"/>
    </row>
    <row r="7" spans="1:14" ht="13.5">
      <c r="A7" s="99" t="s">
        <v>93</v>
      </c>
      <c r="B7" s="100">
        <f>_xlfn.COMPOUNDVALUE(61)</f>
        <v>4653</v>
      </c>
      <c r="C7" s="101">
        <v>30798496</v>
      </c>
      <c r="D7" s="100">
        <f>_xlfn.COMPOUNDVALUE(62)</f>
        <v>1767</v>
      </c>
      <c r="E7" s="101">
        <v>651521</v>
      </c>
      <c r="F7" s="100">
        <f>_xlfn.COMPOUNDVALUE(63)</f>
        <v>6420</v>
      </c>
      <c r="G7" s="101">
        <v>31450017</v>
      </c>
      <c r="H7" s="100">
        <f>_xlfn.COMPOUNDVALUE(64)</f>
        <v>354</v>
      </c>
      <c r="I7" s="102">
        <v>2402215</v>
      </c>
      <c r="J7" s="100">
        <v>446</v>
      </c>
      <c r="K7" s="102">
        <v>51662</v>
      </c>
      <c r="L7" s="100">
        <v>6829</v>
      </c>
      <c r="M7" s="102">
        <v>29099463</v>
      </c>
      <c r="N7" s="150" t="s">
        <v>58</v>
      </c>
    </row>
    <row r="8" spans="1:14" ht="13.5">
      <c r="A8" s="104" t="s">
        <v>94</v>
      </c>
      <c r="B8" s="105">
        <f>_xlfn.COMPOUNDVALUE(65)</f>
        <v>3282</v>
      </c>
      <c r="C8" s="106">
        <v>17973178</v>
      </c>
      <c r="D8" s="105">
        <f>_xlfn.COMPOUNDVALUE(66)</f>
        <v>1250</v>
      </c>
      <c r="E8" s="106">
        <v>447109</v>
      </c>
      <c r="F8" s="105">
        <f>_xlfn.COMPOUNDVALUE(67)</f>
        <v>4532</v>
      </c>
      <c r="G8" s="106">
        <v>18420287</v>
      </c>
      <c r="H8" s="105">
        <f>_xlfn.COMPOUNDVALUE(68)</f>
        <v>415</v>
      </c>
      <c r="I8" s="107">
        <v>1663268</v>
      </c>
      <c r="J8" s="105">
        <v>247</v>
      </c>
      <c r="K8" s="107">
        <v>24021</v>
      </c>
      <c r="L8" s="105">
        <v>4991</v>
      </c>
      <c r="M8" s="107">
        <v>16781040</v>
      </c>
      <c r="N8" s="108" t="s">
        <v>60</v>
      </c>
    </row>
    <row r="9" spans="1:14" ht="13.5">
      <c r="A9" s="104" t="s">
        <v>95</v>
      </c>
      <c r="B9" s="105">
        <f>_xlfn.COMPOUNDVALUE(69)</f>
        <v>1822</v>
      </c>
      <c r="C9" s="106">
        <v>7559793</v>
      </c>
      <c r="D9" s="105">
        <f>_xlfn.COMPOUNDVALUE(70)</f>
        <v>660</v>
      </c>
      <c r="E9" s="106">
        <v>251435</v>
      </c>
      <c r="F9" s="105">
        <f>_xlfn.COMPOUNDVALUE(71)</f>
        <v>2482</v>
      </c>
      <c r="G9" s="106">
        <v>7811229</v>
      </c>
      <c r="H9" s="105">
        <f>_xlfn.COMPOUNDVALUE(72)</f>
        <v>101</v>
      </c>
      <c r="I9" s="107">
        <v>356708</v>
      </c>
      <c r="J9" s="105">
        <v>125</v>
      </c>
      <c r="K9" s="107">
        <v>7742</v>
      </c>
      <c r="L9" s="105">
        <v>2593</v>
      </c>
      <c r="M9" s="107">
        <v>7462263</v>
      </c>
      <c r="N9" s="108" t="s">
        <v>62</v>
      </c>
    </row>
    <row r="10" spans="1:14" ht="13.5">
      <c r="A10" s="104" t="s">
        <v>96</v>
      </c>
      <c r="B10" s="105">
        <f>_xlfn.COMPOUNDVALUE(73)</f>
        <v>1305</v>
      </c>
      <c r="C10" s="106">
        <v>6457222</v>
      </c>
      <c r="D10" s="105">
        <f>_xlfn.COMPOUNDVALUE(74)</f>
        <v>523</v>
      </c>
      <c r="E10" s="106">
        <v>203493</v>
      </c>
      <c r="F10" s="105">
        <f>_xlfn.COMPOUNDVALUE(75)</f>
        <v>1828</v>
      </c>
      <c r="G10" s="106">
        <v>6660715</v>
      </c>
      <c r="H10" s="105">
        <f>_xlfn.COMPOUNDVALUE(76)</f>
        <v>63</v>
      </c>
      <c r="I10" s="107">
        <v>856839</v>
      </c>
      <c r="J10" s="105">
        <v>64</v>
      </c>
      <c r="K10" s="107">
        <v>46835</v>
      </c>
      <c r="L10" s="105">
        <v>1903</v>
      </c>
      <c r="M10" s="107">
        <v>5850711</v>
      </c>
      <c r="N10" s="108" t="s">
        <v>64</v>
      </c>
    </row>
    <row r="11" spans="1:14" ht="13.5">
      <c r="A11" s="109" t="s">
        <v>97</v>
      </c>
      <c r="B11" s="110">
        <v>11062</v>
      </c>
      <c r="C11" s="111">
        <v>62788689</v>
      </c>
      <c r="D11" s="110">
        <v>4200</v>
      </c>
      <c r="E11" s="111">
        <v>1553558</v>
      </c>
      <c r="F11" s="110">
        <v>15262</v>
      </c>
      <c r="G11" s="111">
        <v>64342247</v>
      </c>
      <c r="H11" s="110">
        <v>933</v>
      </c>
      <c r="I11" s="112">
        <v>5279030</v>
      </c>
      <c r="J11" s="110">
        <v>882</v>
      </c>
      <c r="K11" s="112">
        <v>130260</v>
      </c>
      <c r="L11" s="110">
        <v>16316</v>
      </c>
      <c r="M11" s="112">
        <v>59193477</v>
      </c>
      <c r="N11" s="113" t="s">
        <v>66</v>
      </c>
    </row>
    <row r="12" spans="1:14" ht="13.5">
      <c r="A12" s="114"/>
      <c r="B12" s="115"/>
      <c r="C12" s="116"/>
      <c r="D12" s="115"/>
      <c r="E12" s="116"/>
      <c r="F12" s="117"/>
      <c r="G12" s="116"/>
      <c r="H12" s="117"/>
      <c r="I12" s="116"/>
      <c r="J12" s="117"/>
      <c r="K12" s="116"/>
      <c r="L12" s="117"/>
      <c r="M12" s="116"/>
      <c r="N12" s="118"/>
    </row>
    <row r="13" spans="1:14" ht="13.5">
      <c r="A13" s="99" t="s">
        <v>67</v>
      </c>
      <c r="B13" s="100">
        <f>_xlfn.COMPOUNDVALUE(77)</f>
        <v>6481</v>
      </c>
      <c r="C13" s="101">
        <v>31903489</v>
      </c>
      <c r="D13" s="100">
        <f>_xlfn.COMPOUNDVALUE(78)</f>
        <v>2777</v>
      </c>
      <c r="E13" s="101">
        <v>1058473</v>
      </c>
      <c r="F13" s="100">
        <f>_xlfn.COMPOUNDVALUE(79)</f>
        <v>9258</v>
      </c>
      <c r="G13" s="101">
        <v>32961962</v>
      </c>
      <c r="H13" s="100">
        <f>_xlfn.COMPOUNDVALUE(80)</f>
        <v>263</v>
      </c>
      <c r="I13" s="102">
        <v>743325</v>
      </c>
      <c r="J13" s="100">
        <v>577</v>
      </c>
      <c r="K13" s="102">
        <v>40318</v>
      </c>
      <c r="L13" s="100">
        <v>9593</v>
      </c>
      <c r="M13" s="102">
        <v>32258955</v>
      </c>
      <c r="N13" s="103" t="s">
        <v>67</v>
      </c>
    </row>
    <row r="14" spans="1:14" ht="13.5">
      <c r="A14" s="104" t="s">
        <v>68</v>
      </c>
      <c r="B14" s="105">
        <f>_xlfn.COMPOUNDVALUE(81)</f>
        <v>1174</v>
      </c>
      <c r="C14" s="106">
        <v>4035431</v>
      </c>
      <c r="D14" s="105">
        <f>_xlfn.COMPOUNDVALUE(82)</f>
        <v>572</v>
      </c>
      <c r="E14" s="106">
        <v>205098</v>
      </c>
      <c r="F14" s="105">
        <f>_xlfn.COMPOUNDVALUE(83)</f>
        <v>1746</v>
      </c>
      <c r="G14" s="106">
        <v>4240530</v>
      </c>
      <c r="H14" s="105">
        <f>_xlfn.COMPOUNDVALUE(84)</f>
        <v>50</v>
      </c>
      <c r="I14" s="107">
        <v>170457</v>
      </c>
      <c r="J14" s="105">
        <v>132</v>
      </c>
      <c r="K14" s="107">
        <v>13517</v>
      </c>
      <c r="L14" s="105">
        <v>1816</v>
      </c>
      <c r="M14" s="107">
        <v>4083590</v>
      </c>
      <c r="N14" s="108" t="s">
        <v>68</v>
      </c>
    </row>
    <row r="15" spans="1:14" ht="13.5">
      <c r="A15" s="104" t="s">
        <v>69</v>
      </c>
      <c r="B15" s="105">
        <f>_xlfn.COMPOUNDVALUE(85)</f>
        <v>2486</v>
      </c>
      <c r="C15" s="106">
        <v>10391175</v>
      </c>
      <c r="D15" s="105">
        <f>_xlfn.COMPOUNDVALUE(86)</f>
        <v>1101</v>
      </c>
      <c r="E15" s="106">
        <v>414706</v>
      </c>
      <c r="F15" s="105">
        <f>_xlfn.COMPOUNDVALUE(87)</f>
        <v>3587</v>
      </c>
      <c r="G15" s="106">
        <v>10805880</v>
      </c>
      <c r="H15" s="105">
        <f>_xlfn.COMPOUNDVALUE(88)</f>
        <v>81</v>
      </c>
      <c r="I15" s="107">
        <v>471288</v>
      </c>
      <c r="J15" s="105">
        <v>162</v>
      </c>
      <c r="K15" s="107">
        <v>14935</v>
      </c>
      <c r="L15" s="105">
        <v>3680</v>
      </c>
      <c r="M15" s="107">
        <v>10349527</v>
      </c>
      <c r="N15" s="108" t="s">
        <v>69</v>
      </c>
    </row>
    <row r="16" spans="1:14" ht="13.5">
      <c r="A16" s="104" t="s">
        <v>70</v>
      </c>
      <c r="B16" s="105">
        <f>_xlfn.COMPOUNDVALUE(89)</f>
        <v>604</v>
      </c>
      <c r="C16" s="106">
        <v>1376835</v>
      </c>
      <c r="D16" s="105">
        <f>_xlfn.COMPOUNDVALUE(90)</f>
        <v>286</v>
      </c>
      <c r="E16" s="106">
        <v>101364</v>
      </c>
      <c r="F16" s="105">
        <f>_xlfn.COMPOUNDVALUE(91)</f>
        <v>890</v>
      </c>
      <c r="G16" s="106">
        <v>1478199</v>
      </c>
      <c r="H16" s="105">
        <f>_xlfn.COMPOUNDVALUE(92)</f>
        <v>17</v>
      </c>
      <c r="I16" s="107">
        <v>17074</v>
      </c>
      <c r="J16" s="105">
        <v>44</v>
      </c>
      <c r="K16" s="107">
        <v>3654</v>
      </c>
      <c r="L16" s="105">
        <v>912</v>
      </c>
      <c r="M16" s="107">
        <v>1464780</v>
      </c>
      <c r="N16" s="108" t="s">
        <v>70</v>
      </c>
    </row>
    <row r="17" spans="1:14" ht="13.5">
      <c r="A17" s="104" t="s">
        <v>71</v>
      </c>
      <c r="B17" s="105">
        <f>_xlfn.COMPOUNDVALUE(93)</f>
        <v>1514</v>
      </c>
      <c r="C17" s="106">
        <v>7678308</v>
      </c>
      <c r="D17" s="105">
        <f>_xlfn.COMPOUNDVALUE(94)</f>
        <v>591</v>
      </c>
      <c r="E17" s="106">
        <v>225784</v>
      </c>
      <c r="F17" s="105">
        <f>_xlfn.COMPOUNDVALUE(95)</f>
        <v>2105</v>
      </c>
      <c r="G17" s="106">
        <v>7904093</v>
      </c>
      <c r="H17" s="105">
        <f>_xlfn.COMPOUNDVALUE(96)</f>
        <v>59</v>
      </c>
      <c r="I17" s="107">
        <v>333013</v>
      </c>
      <c r="J17" s="105">
        <v>120</v>
      </c>
      <c r="K17" s="107">
        <v>-4026</v>
      </c>
      <c r="L17" s="105">
        <v>2186</v>
      </c>
      <c r="M17" s="107">
        <v>7567054</v>
      </c>
      <c r="N17" s="108" t="s">
        <v>71</v>
      </c>
    </row>
    <row r="18" spans="1:14" ht="13.5">
      <c r="A18" s="109" t="s">
        <v>72</v>
      </c>
      <c r="B18" s="110">
        <v>12259</v>
      </c>
      <c r="C18" s="111">
        <v>55385238</v>
      </c>
      <c r="D18" s="110">
        <v>5327</v>
      </c>
      <c r="E18" s="111">
        <v>2005425</v>
      </c>
      <c r="F18" s="110">
        <v>17586</v>
      </c>
      <c r="G18" s="111">
        <v>57390663</v>
      </c>
      <c r="H18" s="110">
        <v>470</v>
      </c>
      <c r="I18" s="112">
        <v>1735156</v>
      </c>
      <c r="J18" s="110">
        <v>1035</v>
      </c>
      <c r="K18" s="112">
        <v>68398</v>
      </c>
      <c r="L18" s="110">
        <v>18187</v>
      </c>
      <c r="M18" s="112">
        <v>55723905</v>
      </c>
      <c r="N18" s="113" t="s">
        <v>72</v>
      </c>
    </row>
    <row r="19" spans="1:14" ht="13.5">
      <c r="A19" s="114"/>
      <c r="B19" s="115"/>
      <c r="C19" s="116"/>
      <c r="D19" s="115"/>
      <c r="E19" s="116"/>
      <c r="F19" s="117"/>
      <c r="G19" s="116"/>
      <c r="H19" s="117"/>
      <c r="I19" s="116"/>
      <c r="J19" s="117"/>
      <c r="K19" s="116"/>
      <c r="L19" s="117"/>
      <c r="M19" s="116"/>
      <c r="N19" s="118"/>
    </row>
    <row r="20" spans="1:14" ht="13.5">
      <c r="A20" s="99" t="s">
        <v>98</v>
      </c>
      <c r="B20" s="100">
        <f>_xlfn.COMPOUNDVALUE(97)</f>
        <v>4144</v>
      </c>
      <c r="C20" s="101">
        <v>19279370</v>
      </c>
      <c r="D20" s="100">
        <f>_xlfn.COMPOUNDVALUE(98)</f>
        <v>1570</v>
      </c>
      <c r="E20" s="101">
        <v>594310</v>
      </c>
      <c r="F20" s="100">
        <f>_xlfn.COMPOUNDVALUE(99)</f>
        <v>5714</v>
      </c>
      <c r="G20" s="101">
        <v>19873680</v>
      </c>
      <c r="H20" s="100">
        <f>_xlfn.COMPOUNDVALUE(100)</f>
        <v>231</v>
      </c>
      <c r="I20" s="102">
        <v>1060668</v>
      </c>
      <c r="J20" s="100">
        <v>375</v>
      </c>
      <c r="K20" s="102">
        <v>61055</v>
      </c>
      <c r="L20" s="100">
        <v>5979</v>
      </c>
      <c r="M20" s="102">
        <v>18874067</v>
      </c>
      <c r="N20" s="103" t="s">
        <v>74</v>
      </c>
    </row>
    <row r="21" spans="1:14" ht="13.5">
      <c r="A21" s="104" t="s">
        <v>99</v>
      </c>
      <c r="B21" s="105">
        <f>_xlfn.COMPOUNDVALUE(101)</f>
        <v>986</v>
      </c>
      <c r="C21" s="106">
        <v>3233172</v>
      </c>
      <c r="D21" s="105">
        <f>_xlfn.COMPOUNDVALUE(102)</f>
        <v>443</v>
      </c>
      <c r="E21" s="106">
        <v>162345</v>
      </c>
      <c r="F21" s="105">
        <f>_xlfn.COMPOUNDVALUE(103)</f>
        <v>1429</v>
      </c>
      <c r="G21" s="106">
        <v>3395518</v>
      </c>
      <c r="H21" s="105">
        <f>_xlfn.COMPOUNDVALUE(104)</f>
        <v>44</v>
      </c>
      <c r="I21" s="107">
        <v>103245</v>
      </c>
      <c r="J21" s="105">
        <v>89</v>
      </c>
      <c r="K21" s="107">
        <v>19951</v>
      </c>
      <c r="L21" s="105">
        <v>1482</v>
      </c>
      <c r="M21" s="107">
        <v>3312223</v>
      </c>
      <c r="N21" s="108" t="s">
        <v>76</v>
      </c>
    </row>
    <row r="22" spans="1:14" ht="13.5">
      <c r="A22" s="104" t="s">
        <v>100</v>
      </c>
      <c r="B22" s="105">
        <f>_xlfn.COMPOUNDVALUE(105)</f>
        <v>1979</v>
      </c>
      <c r="C22" s="106">
        <v>9328264</v>
      </c>
      <c r="D22" s="105">
        <f>_xlfn.COMPOUNDVALUE(106)</f>
        <v>823</v>
      </c>
      <c r="E22" s="106">
        <v>293878</v>
      </c>
      <c r="F22" s="105">
        <f>_xlfn.COMPOUNDVALUE(107)</f>
        <v>2802</v>
      </c>
      <c r="G22" s="106">
        <v>9622142</v>
      </c>
      <c r="H22" s="105">
        <f>_xlfn.COMPOUNDVALUE(108)</f>
        <v>156</v>
      </c>
      <c r="I22" s="107">
        <v>431626</v>
      </c>
      <c r="J22" s="105">
        <v>177</v>
      </c>
      <c r="K22" s="107">
        <v>10105</v>
      </c>
      <c r="L22" s="105">
        <v>2974</v>
      </c>
      <c r="M22" s="107">
        <v>9200620</v>
      </c>
      <c r="N22" s="108" t="s">
        <v>78</v>
      </c>
    </row>
    <row r="23" spans="1:14" ht="13.5">
      <c r="A23" s="104" t="s">
        <v>101</v>
      </c>
      <c r="B23" s="105">
        <f>_xlfn.COMPOUNDVALUE(109)</f>
        <v>545</v>
      </c>
      <c r="C23" s="106">
        <v>1500577</v>
      </c>
      <c r="D23" s="105">
        <f>_xlfn.COMPOUNDVALUE(110)</f>
        <v>199</v>
      </c>
      <c r="E23" s="106">
        <v>61486</v>
      </c>
      <c r="F23" s="105">
        <f>_xlfn.COMPOUNDVALUE(111)</f>
        <v>744</v>
      </c>
      <c r="G23" s="106">
        <v>1562063</v>
      </c>
      <c r="H23" s="105">
        <f>_xlfn.COMPOUNDVALUE(112)</f>
        <v>19</v>
      </c>
      <c r="I23" s="107">
        <v>161438</v>
      </c>
      <c r="J23" s="105">
        <v>42</v>
      </c>
      <c r="K23" s="107">
        <v>6366</v>
      </c>
      <c r="L23" s="105">
        <v>773</v>
      </c>
      <c r="M23" s="107">
        <v>1406991</v>
      </c>
      <c r="N23" s="108" t="s">
        <v>80</v>
      </c>
    </row>
    <row r="24" spans="1:14" ht="13.5">
      <c r="A24" s="104" t="s">
        <v>102</v>
      </c>
      <c r="B24" s="105">
        <f>_xlfn.COMPOUNDVALUE(113)</f>
        <v>605</v>
      </c>
      <c r="C24" s="106">
        <v>1481399</v>
      </c>
      <c r="D24" s="105">
        <f>_xlfn.COMPOUNDVALUE(114)</f>
        <v>281</v>
      </c>
      <c r="E24" s="106">
        <v>106456</v>
      </c>
      <c r="F24" s="105">
        <f>_xlfn.COMPOUNDVALUE(115)</f>
        <v>886</v>
      </c>
      <c r="G24" s="106">
        <v>1587855</v>
      </c>
      <c r="H24" s="105">
        <f>_xlfn.COMPOUNDVALUE(116)</f>
        <v>19</v>
      </c>
      <c r="I24" s="107">
        <v>65080</v>
      </c>
      <c r="J24" s="105">
        <v>69</v>
      </c>
      <c r="K24" s="107">
        <v>5417</v>
      </c>
      <c r="L24" s="105">
        <v>908</v>
      </c>
      <c r="M24" s="107">
        <v>1528193</v>
      </c>
      <c r="N24" s="108" t="s">
        <v>82</v>
      </c>
    </row>
    <row r="25" spans="1:14" ht="13.5">
      <c r="A25" s="104" t="s">
        <v>103</v>
      </c>
      <c r="B25" s="105">
        <f>_xlfn.COMPOUNDVALUE(117)</f>
        <v>1150</v>
      </c>
      <c r="C25" s="106">
        <v>4989934</v>
      </c>
      <c r="D25" s="105">
        <f>_xlfn.COMPOUNDVALUE(118)</f>
        <v>483</v>
      </c>
      <c r="E25" s="106">
        <v>181318</v>
      </c>
      <c r="F25" s="105">
        <f>_xlfn.COMPOUNDVALUE(119)</f>
        <v>1633</v>
      </c>
      <c r="G25" s="106">
        <v>5171252</v>
      </c>
      <c r="H25" s="105">
        <f>_xlfn.COMPOUNDVALUE(120)</f>
        <v>66</v>
      </c>
      <c r="I25" s="107">
        <v>448533</v>
      </c>
      <c r="J25" s="105">
        <v>78</v>
      </c>
      <c r="K25" s="107">
        <v>9423</v>
      </c>
      <c r="L25" s="105">
        <v>1705</v>
      </c>
      <c r="M25" s="107">
        <v>4732141</v>
      </c>
      <c r="N25" s="108" t="s">
        <v>84</v>
      </c>
    </row>
    <row r="26" spans="1:14" ht="13.5">
      <c r="A26" s="109" t="s">
        <v>104</v>
      </c>
      <c r="B26" s="110">
        <v>9409</v>
      </c>
      <c r="C26" s="111">
        <v>39812717</v>
      </c>
      <c r="D26" s="110">
        <v>3799</v>
      </c>
      <c r="E26" s="111">
        <v>1399793</v>
      </c>
      <c r="F26" s="110">
        <v>13208</v>
      </c>
      <c r="G26" s="111">
        <v>41212509</v>
      </c>
      <c r="H26" s="110">
        <v>535</v>
      </c>
      <c r="I26" s="112">
        <v>2270591</v>
      </c>
      <c r="J26" s="110">
        <v>830</v>
      </c>
      <c r="K26" s="112">
        <v>112317</v>
      </c>
      <c r="L26" s="110">
        <v>13821</v>
      </c>
      <c r="M26" s="112">
        <v>39054235</v>
      </c>
      <c r="N26" s="113" t="s">
        <v>86</v>
      </c>
    </row>
    <row r="27" spans="1:14" ht="14.25" thickBot="1">
      <c r="A27" s="119"/>
      <c r="B27" s="120"/>
      <c r="C27" s="121"/>
      <c r="D27" s="120"/>
      <c r="E27" s="121"/>
      <c r="F27" s="122"/>
      <c r="G27" s="121"/>
      <c r="H27" s="122"/>
      <c r="I27" s="121"/>
      <c r="J27" s="122"/>
      <c r="K27" s="121"/>
      <c r="L27" s="122"/>
      <c r="M27" s="121"/>
      <c r="N27" s="123"/>
    </row>
    <row r="28" spans="1:14" ht="15" thickBot="1" thickTop="1">
      <c r="A28" s="124" t="s">
        <v>105</v>
      </c>
      <c r="B28" s="125">
        <v>32730</v>
      </c>
      <c r="C28" s="126">
        <v>157986643</v>
      </c>
      <c r="D28" s="125">
        <v>13326</v>
      </c>
      <c r="E28" s="126">
        <v>4958776</v>
      </c>
      <c r="F28" s="125">
        <v>46056</v>
      </c>
      <c r="G28" s="126">
        <v>162945419</v>
      </c>
      <c r="H28" s="125">
        <v>1938</v>
      </c>
      <c r="I28" s="127">
        <v>9284777</v>
      </c>
      <c r="J28" s="125">
        <v>2747</v>
      </c>
      <c r="K28" s="127">
        <v>310975</v>
      </c>
      <c r="L28" s="125">
        <v>48324</v>
      </c>
      <c r="M28" s="127">
        <v>153971617</v>
      </c>
      <c r="N28" s="128" t="s">
        <v>88</v>
      </c>
    </row>
    <row r="29" spans="1:14" ht="13.5">
      <c r="A29" s="194" t="s">
        <v>89</v>
      </c>
      <c r="B29" s="194"/>
      <c r="C29" s="194"/>
      <c r="D29" s="194"/>
      <c r="E29" s="194"/>
      <c r="F29" s="194"/>
      <c r="G29" s="194"/>
      <c r="H29" s="194"/>
      <c r="I29" s="194"/>
      <c r="J29" s="129"/>
      <c r="K29" s="129"/>
      <c r="L29" s="88"/>
      <c r="M29" s="88"/>
      <c r="N29" s="88"/>
    </row>
  </sheetData>
  <sheetProtection/>
  <mergeCells count="11">
    <mergeCell ref="A2:I2"/>
    <mergeCell ref="A3:A5"/>
    <mergeCell ref="B3:G3"/>
    <mergeCell ref="H3:I4"/>
    <mergeCell ref="J3:K4"/>
    <mergeCell ref="L3:M4"/>
    <mergeCell ref="N3:N5"/>
    <mergeCell ref="B4:C4"/>
    <mergeCell ref="D4:E4"/>
    <mergeCell ref="F4:G4"/>
    <mergeCell ref="A29:I29"/>
  </mergeCells>
  <printOptions/>
  <pageMargins left="0.7086614173228347" right="0.7086614173228347" top="0.7480314960629921" bottom="0.7480314960629921" header="0.31496062992125984" footer="0.31496062992125984"/>
  <pageSetup horizontalDpi="600" verticalDpi="600" orientation="landscape" paperSize="9" scale="82" r:id="rId1"/>
  <headerFooter>
    <oddFooter>&amp;R金沢国税局
消費税
(H24)</oddFooter>
  </headerFooter>
</worksheet>
</file>

<file path=xl/worksheets/sheet6.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A1" sqref="A1:K1"/>
    </sheetView>
  </sheetViews>
  <sheetFormatPr defaultColWidth="9.00390625" defaultRowHeight="13.5"/>
  <cols>
    <col min="1" max="1" width="10.375" style="0" customWidth="1"/>
    <col min="2" max="2" width="10.625" style="0" customWidth="1"/>
    <col min="3" max="3" width="12.625" style="0" customWidth="1"/>
    <col min="4" max="4" width="10.625" style="0" customWidth="1"/>
    <col min="5" max="5" width="12.625" style="0" customWidth="1"/>
    <col min="6" max="6" width="10.625" style="0" customWidth="1"/>
    <col min="7" max="7" width="12.625" style="0" customWidth="1"/>
    <col min="8" max="8" width="10.625" style="0" customWidth="1"/>
    <col min="9" max="9" width="12.625" style="0" customWidth="1"/>
    <col min="10" max="10" width="10.625" style="0" customWidth="1"/>
    <col min="11" max="11" width="12.625" style="0" customWidth="1"/>
    <col min="12" max="12" width="10.625" style="0" customWidth="1"/>
    <col min="13" max="13" width="12.625" style="0" customWidth="1"/>
    <col min="14" max="17" width="10.625" style="0" customWidth="1"/>
    <col min="18" max="18" width="10.375" style="0" customWidth="1"/>
  </cols>
  <sheetData>
    <row r="1" spans="1:18" ht="13.5">
      <c r="A1" s="87" t="s">
        <v>90</v>
      </c>
      <c r="B1" s="87"/>
      <c r="C1" s="87"/>
      <c r="D1" s="87"/>
      <c r="E1" s="87"/>
      <c r="F1" s="87"/>
      <c r="G1" s="87"/>
      <c r="H1" s="87"/>
      <c r="I1" s="87"/>
      <c r="J1" s="87"/>
      <c r="K1" s="87"/>
      <c r="L1" s="88"/>
      <c r="M1" s="88"/>
      <c r="N1" s="88"/>
      <c r="O1" s="88"/>
      <c r="P1" s="88"/>
      <c r="Q1" s="130"/>
      <c r="R1" s="130"/>
    </row>
    <row r="2" spans="1:18" ht="14.25" thickBot="1">
      <c r="A2" s="201" t="s">
        <v>106</v>
      </c>
      <c r="B2" s="201"/>
      <c r="C2" s="201"/>
      <c r="D2" s="201"/>
      <c r="E2" s="201"/>
      <c r="F2" s="201"/>
      <c r="G2" s="201"/>
      <c r="H2" s="201"/>
      <c r="I2" s="201"/>
      <c r="J2" s="129"/>
      <c r="K2" s="129"/>
      <c r="L2" s="88"/>
      <c r="M2" s="88"/>
      <c r="N2" s="88"/>
      <c r="O2" s="88"/>
      <c r="P2" s="88"/>
      <c r="Q2" s="130"/>
      <c r="R2" s="130"/>
    </row>
    <row r="3" spans="1:18" ht="13.5">
      <c r="A3" s="196" t="s">
        <v>44</v>
      </c>
      <c r="B3" s="199" t="s">
        <v>45</v>
      </c>
      <c r="C3" s="199"/>
      <c r="D3" s="199"/>
      <c r="E3" s="199"/>
      <c r="F3" s="199"/>
      <c r="G3" s="199"/>
      <c r="H3" s="199" t="s">
        <v>13</v>
      </c>
      <c r="I3" s="199"/>
      <c r="J3" s="211" t="s">
        <v>46</v>
      </c>
      <c r="K3" s="199"/>
      <c r="L3" s="199" t="s">
        <v>47</v>
      </c>
      <c r="M3" s="199"/>
      <c r="N3" s="202" t="s">
        <v>107</v>
      </c>
      <c r="O3" s="203"/>
      <c r="P3" s="203"/>
      <c r="Q3" s="203"/>
      <c r="R3" s="189" t="s">
        <v>92</v>
      </c>
    </row>
    <row r="4" spans="1:18" ht="13.5">
      <c r="A4" s="197"/>
      <c r="B4" s="192" t="s">
        <v>18</v>
      </c>
      <c r="C4" s="192"/>
      <c r="D4" s="192" t="s">
        <v>49</v>
      </c>
      <c r="E4" s="192"/>
      <c r="F4" s="192" t="s">
        <v>50</v>
      </c>
      <c r="G4" s="192"/>
      <c r="H4" s="192"/>
      <c r="I4" s="192"/>
      <c r="J4" s="192"/>
      <c r="K4" s="192"/>
      <c r="L4" s="192"/>
      <c r="M4" s="192"/>
      <c r="N4" s="204" t="s">
        <v>108</v>
      </c>
      <c r="O4" s="206" t="s">
        <v>109</v>
      </c>
      <c r="P4" s="208" t="s">
        <v>110</v>
      </c>
      <c r="Q4" s="188" t="s">
        <v>111</v>
      </c>
      <c r="R4" s="190"/>
    </row>
    <row r="5" spans="1:18" ht="22.5">
      <c r="A5" s="198"/>
      <c r="B5" s="89" t="s">
        <v>51</v>
      </c>
      <c r="C5" s="90" t="s">
        <v>52</v>
      </c>
      <c r="D5" s="89" t="s">
        <v>51</v>
      </c>
      <c r="E5" s="90" t="s">
        <v>52</v>
      </c>
      <c r="F5" s="89" t="s">
        <v>51</v>
      </c>
      <c r="G5" s="90" t="s">
        <v>53</v>
      </c>
      <c r="H5" s="89" t="s">
        <v>51</v>
      </c>
      <c r="I5" s="90" t="s">
        <v>54</v>
      </c>
      <c r="J5" s="89" t="s">
        <v>51</v>
      </c>
      <c r="K5" s="90" t="s">
        <v>55</v>
      </c>
      <c r="L5" s="89" t="s">
        <v>51</v>
      </c>
      <c r="M5" s="131" t="s">
        <v>112</v>
      </c>
      <c r="N5" s="205"/>
      <c r="O5" s="207"/>
      <c r="P5" s="209"/>
      <c r="Q5" s="210"/>
      <c r="R5" s="191"/>
    </row>
    <row r="6" spans="1:18" ht="13.5">
      <c r="A6" s="94"/>
      <c r="B6" s="95" t="s">
        <v>4</v>
      </c>
      <c r="C6" s="96" t="s">
        <v>5</v>
      </c>
      <c r="D6" s="95" t="s">
        <v>4</v>
      </c>
      <c r="E6" s="96" t="s">
        <v>5</v>
      </c>
      <c r="F6" s="95" t="s">
        <v>4</v>
      </c>
      <c r="G6" s="96" t="s">
        <v>5</v>
      </c>
      <c r="H6" s="95" t="s">
        <v>4</v>
      </c>
      <c r="I6" s="96" t="s">
        <v>5</v>
      </c>
      <c r="J6" s="95" t="s">
        <v>4</v>
      </c>
      <c r="K6" s="96" t="s">
        <v>5</v>
      </c>
      <c r="L6" s="95" t="s">
        <v>4</v>
      </c>
      <c r="M6" s="96" t="s">
        <v>5</v>
      </c>
      <c r="N6" s="95" t="s">
        <v>4</v>
      </c>
      <c r="O6" s="132" t="s">
        <v>4</v>
      </c>
      <c r="P6" s="132" t="s">
        <v>4</v>
      </c>
      <c r="Q6" s="133" t="s">
        <v>4</v>
      </c>
      <c r="R6" s="98"/>
    </row>
    <row r="7" spans="1:18" ht="13.5">
      <c r="A7" s="99" t="s">
        <v>57</v>
      </c>
      <c r="B7" s="100">
        <f>_xlfn.COMPOUNDVALUE(121)</f>
        <v>6105</v>
      </c>
      <c r="C7" s="101">
        <v>31588404</v>
      </c>
      <c r="D7" s="100">
        <f>_xlfn.COMPOUNDVALUE(122)</f>
        <v>4272</v>
      </c>
      <c r="E7" s="101">
        <v>1305780</v>
      </c>
      <c r="F7" s="100">
        <f>_xlfn.COMPOUNDVALUE(123)</f>
        <v>10377</v>
      </c>
      <c r="G7" s="101">
        <v>32894184</v>
      </c>
      <c r="H7" s="100">
        <f>_xlfn.COMPOUNDVALUE(124)</f>
        <v>434</v>
      </c>
      <c r="I7" s="102">
        <v>2428523</v>
      </c>
      <c r="J7" s="100">
        <v>703</v>
      </c>
      <c r="K7" s="102">
        <v>91989</v>
      </c>
      <c r="L7" s="100">
        <v>10967</v>
      </c>
      <c r="M7" s="102">
        <v>30557650</v>
      </c>
      <c r="N7" s="100">
        <v>10496</v>
      </c>
      <c r="O7" s="134">
        <v>283</v>
      </c>
      <c r="P7" s="134">
        <v>18</v>
      </c>
      <c r="Q7" s="135">
        <v>10797</v>
      </c>
      <c r="R7" s="150" t="s">
        <v>58</v>
      </c>
    </row>
    <row r="8" spans="1:18" ht="13.5">
      <c r="A8" s="104" t="s">
        <v>59</v>
      </c>
      <c r="B8" s="105">
        <f>_xlfn.COMPOUNDVALUE(125)</f>
        <v>4603</v>
      </c>
      <c r="C8" s="106">
        <v>18599441</v>
      </c>
      <c r="D8" s="105">
        <f>_xlfn.COMPOUNDVALUE(126)</f>
        <v>3300</v>
      </c>
      <c r="E8" s="106">
        <v>951234</v>
      </c>
      <c r="F8" s="105">
        <f>_xlfn.COMPOUNDVALUE(127)</f>
        <v>7903</v>
      </c>
      <c r="G8" s="106">
        <v>19550675</v>
      </c>
      <c r="H8" s="105">
        <f>_xlfn.COMPOUNDVALUE(128)</f>
        <v>485</v>
      </c>
      <c r="I8" s="107">
        <v>1678227</v>
      </c>
      <c r="J8" s="105">
        <v>441</v>
      </c>
      <c r="K8" s="107">
        <v>60981</v>
      </c>
      <c r="L8" s="105">
        <v>8480</v>
      </c>
      <c r="M8" s="107">
        <v>17933430</v>
      </c>
      <c r="N8" s="100">
        <v>7916</v>
      </c>
      <c r="O8" s="134">
        <v>238</v>
      </c>
      <c r="P8" s="134">
        <v>19</v>
      </c>
      <c r="Q8" s="135">
        <v>8173</v>
      </c>
      <c r="R8" s="108" t="s">
        <v>60</v>
      </c>
    </row>
    <row r="9" spans="1:18" ht="13.5">
      <c r="A9" s="104" t="s">
        <v>61</v>
      </c>
      <c r="B9" s="105">
        <f>_xlfn.COMPOUNDVALUE(129)</f>
        <v>2589</v>
      </c>
      <c r="C9" s="106">
        <v>7915857</v>
      </c>
      <c r="D9" s="105">
        <f>_xlfn.COMPOUNDVALUE(130)</f>
        <v>2103</v>
      </c>
      <c r="E9" s="106">
        <v>608329</v>
      </c>
      <c r="F9" s="105">
        <f>_xlfn.COMPOUNDVALUE(131)</f>
        <v>4692</v>
      </c>
      <c r="G9" s="106">
        <v>8524186</v>
      </c>
      <c r="H9" s="105">
        <f>_xlfn.COMPOUNDVALUE(132)</f>
        <v>146</v>
      </c>
      <c r="I9" s="107">
        <v>363927</v>
      </c>
      <c r="J9" s="105">
        <v>281</v>
      </c>
      <c r="K9" s="107">
        <v>14546</v>
      </c>
      <c r="L9" s="105">
        <v>4878</v>
      </c>
      <c r="M9" s="107">
        <v>8174805</v>
      </c>
      <c r="N9" s="100">
        <v>4630</v>
      </c>
      <c r="O9" s="134">
        <v>135</v>
      </c>
      <c r="P9" s="134">
        <v>9</v>
      </c>
      <c r="Q9" s="135">
        <v>4774</v>
      </c>
      <c r="R9" s="108" t="s">
        <v>62</v>
      </c>
    </row>
    <row r="10" spans="1:18" ht="13.5">
      <c r="A10" s="104" t="s">
        <v>63</v>
      </c>
      <c r="B10" s="105">
        <f>_xlfn.COMPOUNDVALUE(133)</f>
        <v>1826</v>
      </c>
      <c r="C10" s="106">
        <v>6686757</v>
      </c>
      <c r="D10" s="105">
        <f>_xlfn.COMPOUNDVALUE(134)</f>
        <v>1495</v>
      </c>
      <c r="E10" s="106">
        <v>453046</v>
      </c>
      <c r="F10" s="105">
        <f>_xlfn.COMPOUNDVALUE(135)</f>
        <v>3321</v>
      </c>
      <c r="G10" s="106">
        <v>7139804</v>
      </c>
      <c r="H10" s="105">
        <f>_xlfn.COMPOUNDVALUE(136)</f>
        <v>83</v>
      </c>
      <c r="I10" s="107">
        <v>862247</v>
      </c>
      <c r="J10" s="105">
        <v>165</v>
      </c>
      <c r="K10" s="107">
        <v>61456</v>
      </c>
      <c r="L10" s="105">
        <v>3428</v>
      </c>
      <c r="M10" s="107">
        <v>6339013</v>
      </c>
      <c r="N10" s="100">
        <v>3325</v>
      </c>
      <c r="O10" s="134">
        <v>72</v>
      </c>
      <c r="P10" s="134">
        <v>3</v>
      </c>
      <c r="Q10" s="135">
        <v>3400</v>
      </c>
      <c r="R10" s="108" t="s">
        <v>64</v>
      </c>
    </row>
    <row r="11" spans="1:18" ht="13.5">
      <c r="A11" s="109" t="s">
        <v>65</v>
      </c>
      <c r="B11" s="110">
        <v>15123</v>
      </c>
      <c r="C11" s="111">
        <v>64790459</v>
      </c>
      <c r="D11" s="110">
        <v>11170</v>
      </c>
      <c r="E11" s="111">
        <v>3318389</v>
      </c>
      <c r="F11" s="110">
        <v>26293</v>
      </c>
      <c r="G11" s="111">
        <v>68108848</v>
      </c>
      <c r="H11" s="110">
        <v>1148</v>
      </c>
      <c r="I11" s="112">
        <v>5332923</v>
      </c>
      <c r="J11" s="110">
        <v>1590</v>
      </c>
      <c r="K11" s="112">
        <v>228972</v>
      </c>
      <c r="L11" s="110">
        <v>27753</v>
      </c>
      <c r="M11" s="112">
        <v>63004897</v>
      </c>
      <c r="N11" s="110">
        <v>26367</v>
      </c>
      <c r="O11" s="136">
        <v>728</v>
      </c>
      <c r="P11" s="136">
        <v>49</v>
      </c>
      <c r="Q11" s="137">
        <v>27144</v>
      </c>
      <c r="R11" s="113" t="s">
        <v>66</v>
      </c>
    </row>
    <row r="12" spans="1:18" ht="13.5">
      <c r="A12" s="114"/>
      <c r="B12" s="115"/>
      <c r="C12" s="116"/>
      <c r="D12" s="115"/>
      <c r="E12" s="116"/>
      <c r="F12" s="117"/>
      <c r="G12" s="116"/>
      <c r="H12" s="117"/>
      <c r="I12" s="116"/>
      <c r="J12" s="117"/>
      <c r="K12" s="116"/>
      <c r="L12" s="117"/>
      <c r="M12" s="116"/>
      <c r="N12" s="138"/>
      <c r="O12" s="139"/>
      <c r="P12" s="139"/>
      <c r="Q12" s="140"/>
      <c r="R12" s="141" t="s">
        <v>113</v>
      </c>
    </row>
    <row r="13" spans="1:18" ht="13.5">
      <c r="A13" s="99" t="s">
        <v>67</v>
      </c>
      <c r="B13" s="100">
        <f>_xlfn.COMPOUNDVALUE(137)</f>
        <v>8519</v>
      </c>
      <c r="C13" s="101">
        <v>32747780</v>
      </c>
      <c r="D13" s="100">
        <f>_xlfn.COMPOUNDVALUE(138)</f>
        <v>6090</v>
      </c>
      <c r="E13" s="101">
        <v>1945314</v>
      </c>
      <c r="F13" s="100">
        <f>_xlfn.COMPOUNDVALUE(139)</f>
        <v>14609</v>
      </c>
      <c r="G13" s="101">
        <v>34693095</v>
      </c>
      <c r="H13" s="100">
        <f>_xlfn.COMPOUNDVALUE(140)</f>
        <v>371</v>
      </c>
      <c r="I13" s="102">
        <v>777808</v>
      </c>
      <c r="J13" s="100">
        <v>830</v>
      </c>
      <c r="K13" s="102">
        <v>152471</v>
      </c>
      <c r="L13" s="100">
        <v>15146</v>
      </c>
      <c r="M13" s="102">
        <v>34067757</v>
      </c>
      <c r="N13" s="100">
        <v>15047</v>
      </c>
      <c r="O13" s="134">
        <v>234</v>
      </c>
      <c r="P13" s="134">
        <v>59</v>
      </c>
      <c r="Q13" s="135">
        <v>15340</v>
      </c>
      <c r="R13" s="108" t="s">
        <v>67</v>
      </c>
    </row>
    <row r="14" spans="1:18" ht="13.5">
      <c r="A14" s="104" t="s">
        <v>68</v>
      </c>
      <c r="B14" s="105">
        <f>_xlfn.COMPOUNDVALUE(141)</f>
        <v>1638</v>
      </c>
      <c r="C14" s="106">
        <v>4221043</v>
      </c>
      <c r="D14" s="105">
        <f>_xlfn.COMPOUNDVALUE(142)</f>
        <v>1470</v>
      </c>
      <c r="E14" s="106">
        <v>420034</v>
      </c>
      <c r="F14" s="105">
        <f>_xlfn.COMPOUNDVALUE(143)</f>
        <v>3108</v>
      </c>
      <c r="G14" s="106">
        <v>4641077</v>
      </c>
      <c r="H14" s="105">
        <f>_xlfn.COMPOUNDVALUE(144)</f>
        <v>67</v>
      </c>
      <c r="I14" s="107">
        <v>179491</v>
      </c>
      <c r="J14" s="105">
        <v>226</v>
      </c>
      <c r="K14" s="107">
        <v>20233</v>
      </c>
      <c r="L14" s="105">
        <v>3206</v>
      </c>
      <c r="M14" s="107">
        <v>4481819</v>
      </c>
      <c r="N14" s="100">
        <v>3066</v>
      </c>
      <c r="O14" s="134">
        <v>52</v>
      </c>
      <c r="P14" s="134">
        <v>8</v>
      </c>
      <c r="Q14" s="135">
        <v>3126</v>
      </c>
      <c r="R14" s="108" t="s">
        <v>68</v>
      </c>
    </row>
    <row r="15" spans="1:18" ht="13.5">
      <c r="A15" s="104" t="s">
        <v>69</v>
      </c>
      <c r="B15" s="105">
        <f>_xlfn.COMPOUNDVALUE(145)</f>
        <v>3441</v>
      </c>
      <c r="C15" s="106">
        <v>10995031</v>
      </c>
      <c r="D15" s="105">
        <f>_xlfn.COMPOUNDVALUE(146)</f>
        <v>2750</v>
      </c>
      <c r="E15" s="106">
        <v>810479</v>
      </c>
      <c r="F15" s="105">
        <f>_xlfn.COMPOUNDVALUE(147)</f>
        <v>6191</v>
      </c>
      <c r="G15" s="106">
        <v>11805511</v>
      </c>
      <c r="H15" s="105">
        <f>_xlfn.COMPOUNDVALUE(148)</f>
        <v>130</v>
      </c>
      <c r="I15" s="107">
        <v>478692</v>
      </c>
      <c r="J15" s="105">
        <v>319</v>
      </c>
      <c r="K15" s="107">
        <v>30898</v>
      </c>
      <c r="L15" s="105">
        <v>6358</v>
      </c>
      <c r="M15" s="107">
        <v>11357716</v>
      </c>
      <c r="N15" s="100">
        <v>6301</v>
      </c>
      <c r="O15" s="134">
        <v>95</v>
      </c>
      <c r="P15" s="134">
        <v>9</v>
      </c>
      <c r="Q15" s="135">
        <v>6405</v>
      </c>
      <c r="R15" s="108" t="s">
        <v>69</v>
      </c>
    </row>
    <row r="16" spans="1:18" ht="13.5">
      <c r="A16" s="104" t="s">
        <v>70</v>
      </c>
      <c r="B16" s="105">
        <f>_xlfn.COMPOUNDVALUE(149)</f>
        <v>925</v>
      </c>
      <c r="C16" s="106">
        <v>1519786</v>
      </c>
      <c r="D16" s="105">
        <f>_xlfn.COMPOUNDVALUE(150)</f>
        <v>1043</v>
      </c>
      <c r="E16" s="106">
        <v>261363</v>
      </c>
      <c r="F16" s="105">
        <f>_xlfn.COMPOUNDVALUE(151)</f>
        <v>1968</v>
      </c>
      <c r="G16" s="106">
        <v>1781149</v>
      </c>
      <c r="H16" s="105">
        <f>_xlfn.COMPOUNDVALUE(152)</f>
        <v>33</v>
      </c>
      <c r="I16" s="107">
        <v>21729</v>
      </c>
      <c r="J16" s="105">
        <v>139</v>
      </c>
      <c r="K16" s="107">
        <v>10364</v>
      </c>
      <c r="L16" s="105">
        <v>2017</v>
      </c>
      <c r="M16" s="107">
        <v>1769784</v>
      </c>
      <c r="N16" s="100">
        <v>1884</v>
      </c>
      <c r="O16" s="134">
        <v>39</v>
      </c>
      <c r="P16" s="134">
        <v>5</v>
      </c>
      <c r="Q16" s="135">
        <v>1928</v>
      </c>
      <c r="R16" s="108" t="s">
        <v>70</v>
      </c>
    </row>
    <row r="17" spans="1:18" ht="13.5">
      <c r="A17" s="104" t="s">
        <v>71</v>
      </c>
      <c r="B17" s="105">
        <f>_xlfn.COMPOUNDVALUE(153)</f>
        <v>2031</v>
      </c>
      <c r="C17" s="106">
        <v>7864215</v>
      </c>
      <c r="D17" s="105">
        <f>_xlfn.COMPOUNDVALUE(154)</f>
        <v>1474</v>
      </c>
      <c r="E17" s="106">
        <v>452903</v>
      </c>
      <c r="F17" s="105">
        <f>_xlfn.COMPOUNDVALUE(155)</f>
        <v>3505</v>
      </c>
      <c r="G17" s="106">
        <v>8317118</v>
      </c>
      <c r="H17" s="105">
        <f>_xlfn.COMPOUNDVALUE(156)</f>
        <v>86</v>
      </c>
      <c r="I17" s="107">
        <v>339000</v>
      </c>
      <c r="J17" s="105">
        <v>260</v>
      </c>
      <c r="K17" s="107">
        <v>10229</v>
      </c>
      <c r="L17" s="105">
        <v>3653</v>
      </c>
      <c r="M17" s="107">
        <v>7988348</v>
      </c>
      <c r="N17" s="100">
        <v>3583</v>
      </c>
      <c r="O17" s="134">
        <v>65</v>
      </c>
      <c r="P17" s="134">
        <v>4</v>
      </c>
      <c r="Q17" s="135">
        <v>3652</v>
      </c>
      <c r="R17" s="108" t="s">
        <v>71</v>
      </c>
    </row>
    <row r="18" spans="1:18" ht="13.5">
      <c r="A18" s="109" t="s">
        <v>114</v>
      </c>
      <c r="B18" s="110">
        <v>16554</v>
      </c>
      <c r="C18" s="111">
        <v>57347855</v>
      </c>
      <c r="D18" s="110">
        <v>12827</v>
      </c>
      <c r="E18" s="111">
        <v>3890094</v>
      </c>
      <c r="F18" s="110">
        <v>29381</v>
      </c>
      <c r="G18" s="111">
        <v>61237949</v>
      </c>
      <c r="H18" s="110">
        <v>687</v>
      </c>
      <c r="I18" s="112">
        <v>1796721</v>
      </c>
      <c r="J18" s="110">
        <v>1774</v>
      </c>
      <c r="K18" s="112">
        <v>224195</v>
      </c>
      <c r="L18" s="110">
        <v>30380</v>
      </c>
      <c r="M18" s="112">
        <v>59665424</v>
      </c>
      <c r="N18" s="110">
        <v>29881</v>
      </c>
      <c r="O18" s="136">
        <v>485</v>
      </c>
      <c r="P18" s="136">
        <v>85</v>
      </c>
      <c r="Q18" s="137">
        <v>30451</v>
      </c>
      <c r="R18" s="113" t="s">
        <v>72</v>
      </c>
    </row>
    <row r="19" spans="1:18" ht="13.5">
      <c r="A19" s="114"/>
      <c r="B19" s="115"/>
      <c r="C19" s="116"/>
      <c r="D19" s="115"/>
      <c r="E19" s="116"/>
      <c r="F19" s="117"/>
      <c r="G19" s="116"/>
      <c r="H19" s="117"/>
      <c r="I19" s="116"/>
      <c r="J19" s="117"/>
      <c r="K19" s="116"/>
      <c r="L19" s="117"/>
      <c r="M19" s="116"/>
      <c r="N19" s="138"/>
      <c r="O19" s="139"/>
      <c r="P19" s="139"/>
      <c r="Q19" s="140"/>
      <c r="R19" s="141" t="s">
        <v>113</v>
      </c>
    </row>
    <row r="20" spans="1:18" ht="13.5">
      <c r="A20" s="99" t="s">
        <v>73</v>
      </c>
      <c r="B20" s="100">
        <f>_xlfn.COMPOUNDVALUE(157)</f>
        <v>5413</v>
      </c>
      <c r="C20" s="101">
        <v>19799798</v>
      </c>
      <c r="D20" s="100">
        <f>_xlfn.COMPOUNDVALUE(158)</f>
        <v>3430</v>
      </c>
      <c r="E20" s="101">
        <v>1077212</v>
      </c>
      <c r="F20" s="100">
        <f>_xlfn.COMPOUNDVALUE(159)</f>
        <v>8843</v>
      </c>
      <c r="G20" s="101">
        <v>20877010</v>
      </c>
      <c r="H20" s="100">
        <f>_xlfn.COMPOUNDVALUE(160)</f>
        <v>299</v>
      </c>
      <c r="I20" s="102">
        <v>1069841</v>
      </c>
      <c r="J20" s="100">
        <v>632</v>
      </c>
      <c r="K20" s="102">
        <v>81962</v>
      </c>
      <c r="L20" s="100">
        <v>9254</v>
      </c>
      <c r="M20" s="102">
        <v>19889131</v>
      </c>
      <c r="N20" s="100">
        <v>9013</v>
      </c>
      <c r="O20" s="134">
        <v>147</v>
      </c>
      <c r="P20" s="134">
        <v>20</v>
      </c>
      <c r="Q20" s="135">
        <v>9180</v>
      </c>
      <c r="R20" s="108" t="s">
        <v>74</v>
      </c>
    </row>
    <row r="21" spans="1:18" ht="13.5">
      <c r="A21" s="104" t="s">
        <v>75</v>
      </c>
      <c r="B21" s="105">
        <f>_xlfn.COMPOUNDVALUE(161)</f>
        <v>1344</v>
      </c>
      <c r="C21" s="106">
        <v>3362769</v>
      </c>
      <c r="D21" s="105">
        <f>_xlfn.COMPOUNDVALUE(162)</f>
        <v>1074</v>
      </c>
      <c r="E21" s="106">
        <v>313685</v>
      </c>
      <c r="F21" s="105">
        <f>_xlfn.COMPOUNDVALUE(163)</f>
        <v>2418</v>
      </c>
      <c r="G21" s="106">
        <v>3676454</v>
      </c>
      <c r="H21" s="105">
        <f>_xlfn.COMPOUNDVALUE(164)</f>
        <v>62</v>
      </c>
      <c r="I21" s="107">
        <v>110804</v>
      </c>
      <c r="J21" s="105">
        <v>161</v>
      </c>
      <c r="K21" s="107">
        <v>29117</v>
      </c>
      <c r="L21" s="105">
        <v>2522</v>
      </c>
      <c r="M21" s="107">
        <v>3594768</v>
      </c>
      <c r="N21" s="100">
        <v>2395</v>
      </c>
      <c r="O21" s="134">
        <v>51</v>
      </c>
      <c r="P21" s="134">
        <v>4</v>
      </c>
      <c r="Q21" s="135">
        <v>2450</v>
      </c>
      <c r="R21" s="108" t="s">
        <v>76</v>
      </c>
    </row>
    <row r="22" spans="1:18" ht="13.5">
      <c r="A22" s="104" t="s">
        <v>77</v>
      </c>
      <c r="B22" s="105">
        <f>_xlfn.COMPOUNDVALUE(165)</f>
        <v>2897</v>
      </c>
      <c r="C22" s="106">
        <v>9676223</v>
      </c>
      <c r="D22" s="105">
        <f>_xlfn.COMPOUNDVALUE(166)</f>
        <v>2150</v>
      </c>
      <c r="E22" s="106">
        <v>617318</v>
      </c>
      <c r="F22" s="105">
        <f>_xlfn.COMPOUNDVALUE(167)</f>
        <v>5047</v>
      </c>
      <c r="G22" s="106">
        <v>10293541</v>
      </c>
      <c r="H22" s="105">
        <f>_xlfn.COMPOUNDVALUE(168)</f>
        <v>205</v>
      </c>
      <c r="I22" s="107">
        <v>455403</v>
      </c>
      <c r="J22" s="105">
        <v>274</v>
      </c>
      <c r="K22" s="107">
        <v>20927</v>
      </c>
      <c r="L22" s="105">
        <v>5297</v>
      </c>
      <c r="M22" s="107">
        <v>9859065</v>
      </c>
      <c r="N22" s="100">
        <v>5063</v>
      </c>
      <c r="O22" s="134">
        <v>96</v>
      </c>
      <c r="P22" s="134">
        <v>7</v>
      </c>
      <c r="Q22" s="135">
        <v>5166</v>
      </c>
      <c r="R22" s="108" t="s">
        <v>78</v>
      </c>
    </row>
    <row r="23" spans="1:18" ht="13.5">
      <c r="A23" s="104" t="s">
        <v>79</v>
      </c>
      <c r="B23" s="105">
        <f>_xlfn.COMPOUNDVALUE(169)</f>
        <v>797</v>
      </c>
      <c r="C23" s="106">
        <v>1578399</v>
      </c>
      <c r="D23" s="105">
        <f>_xlfn.COMPOUNDVALUE(170)</f>
        <v>574</v>
      </c>
      <c r="E23" s="106">
        <v>151980</v>
      </c>
      <c r="F23" s="105">
        <f>_xlfn.COMPOUNDVALUE(171)</f>
        <v>1371</v>
      </c>
      <c r="G23" s="106">
        <v>1730378</v>
      </c>
      <c r="H23" s="105">
        <f>_xlfn.COMPOUNDVALUE(172)</f>
        <v>34</v>
      </c>
      <c r="I23" s="107">
        <v>162923</v>
      </c>
      <c r="J23" s="105">
        <v>100</v>
      </c>
      <c r="K23" s="107">
        <v>14910</v>
      </c>
      <c r="L23" s="105">
        <v>1443</v>
      </c>
      <c r="M23" s="107">
        <v>1582365</v>
      </c>
      <c r="N23" s="100">
        <v>1360</v>
      </c>
      <c r="O23" s="134">
        <v>28</v>
      </c>
      <c r="P23" s="134">
        <v>1</v>
      </c>
      <c r="Q23" s="135">
        <v>1389</v>
      </c>
      <c r="R23" s="108" t="s">
        <v>80</v>
      </c>
    </row>
    <row r="24" spans="1:18" ht="13.5">
      <c r="A24" s="104" t="s">
        <v>81</v>
      </c>
      <c r="B24" s="105">
        <f>_xlfn.COMPOUNDVALUE(173)</f>
        <v>884</v>
      </c>
      <c r="C24" s="106">
        <v>1568306</v>
      </c>
      <c r="D24" s="105">
        <f>_xlfn.COMPOUNDVALUE(174)</f>
        <v>715</v>
      </c>
      <c r="E24" s="106">
        <v>213492</v>
      </c>
      <c r="F24" s="105">
        <f>_xlfn.COMPOUNDVALUE(175)</f>
        <v>1599</v>
      </c>
      <c r="G24" s="106">
        <v>1781798</v>
      </c>
      <c r="H24" s="105">
        <f>_xlfn.COMPOUNDVALUE(176)</f>
        <v>38</v>
      </c>
      <c r="I24" s="107">
        <v>70077</v>
      </c>
      <c r="J24" s="105">
        <v>110</v>
      </c>
      <c r="K24" s="107">
        <v>9143</v>
      </c>
      <c r="L24" s="105">
        <v>1649</v>
      </c>
      <c r="M24" s="107">
        <v>1720864</v>
      </c>
      <c r="N24" s="100">
        <v>1595</v>
      </c>
      <c r="O24" s="134">
        <v>40</v>
      </c>
      <c r="P24" s="134">
        <v>0</v>
      </c>
      <c r="Q24" s="135">
        <v>1635</v>
      </c>
      <c r="R24" s="108" t="s">
        <v>82</v>
      </c>
    </row>
    <row r="25" spans="1:18" ht="13.5">
      <c r="A25" s="104" t="s">
        <v>83</v>
      </c>
      <c r="B25" s="105">
        <f>_xlfn.COMPOUNDVALUE(177)</f>
        <v>1674</v>
      </c>
      <c r="C25" s="106">
        <v>5172966</v>
      </c>
      <c r="D25" s="105">
        <f>_xlfn.COMPOUNDVALUE(178)</f>
        <v>1235</v>
      </c>
      <c r="E25" s="106">
        <v>364036</v>
      </c>
      <c r="F25" s="105">
        <f>_xlfn.COMPOUNDVALUE(179)</f>
        <v>2909</v>
      </c>
      <c r="G25" s="106">
        <v>5537002</v>
      </c>
      <c r="H25" s="105">
        <f>_xlfn.COMPOUNDVALUE(180)</f>
        <v>94</v>
      </c>
      <c r="I25" s="107">
        <v>457016</v>
      </c>
      <c r="J25" s="105">
        <v>170</v>
      </c>
      <c r="K25" s="107">
        <v>16433</v>
      </c>
      <c r="L25" s="105">
        <v>3022</v>
      </c>
      <c r="M25" s="107">
        <v>5096419</v>
      </c>
      <c r="N25" s="100">
        <v>2948</v>
      </c>
      <c r="O25" s="134">
        <v>66</v>
      </c>
      <c r="P25" s="134">
        <v>0</v>
      </c>
      <c r="Q25" s="135">
        <v>3014</v>
      </c>
      <c r="R25" s="108" t="s">
        <v>84</v>
      </c>
    </row>
    <row r="26" spans="1:18" ht="13.5">
      <c r="A26" s="109" t="s">
        <v>85</v>
      </c>
      <c r="B26" s="110">
        <v>13009</v>
      </c>
      <c r="C26" s="111">
        <v>41158460</v>
      </c>
      <c r="D26" s="110">
        <v>9178</v>
      </c>
      <c r="E26" s="111">
        <v>2737723</v>
      </c>
      <c r="F26" s="110">
        <v>22187</v>
      </c>
      <c r="G26" s="111">
        <v>43896183</v>
      </c>
      <c r="H26" s="110">
        <v>732</v>
      </c>
      <c r="I26" s="112">
        <v>2326064</v>
      </c>
      <c r="J26" s="110">
        <v>1447</v>
      </c>
      <c r="K26" s="112">
        <v>172492</v>
      </c>
      <c r="L26" s="110">
        <v>23187</v>
      </c>
      <c r="M26" s="112">
        <v>41742612</v>
      </c>
      <c r="N26" s="110">
        <v>22374</v>
      </c>
      <c r="O26" s="136">
        <v>428</v>
      </c>
      <c r="P26" s="136">
        <v>32</v>
      </c>
      <c r="Q26" s="137">
        <v>22834</v>
      </c>
      <c r="R26" s="113" t="s">
        <v>86</v>
      </c>
    </row>
    <row r="27" spans="1:18" ht="14.25" thickBot="1">
      <c r="A27" s="119"/>
      <c r="B27" s="120"/>
      <c r="C27" s="121"/>
      <c r="D27" s="120"/>
      <c r="E27" s="121"/>
      <c r="F27" s="122"/>
      <c r="G27" s="121"/>
      <c r="H27" s="122"/>
      <c r="I27" s="121"/>
      <c r="J27" s="122"/>
      <c r="K27" s="121"/>
      <c r="L27" s="122"/>
      <c r="M27" s="121"/>
      <c r="N27" s="142"/>
      <c r="O27" s="143"/>
      <c r="P27" s="143"/>
      <c r="Q27" s="144"/>
      <c r="R27" s="145" t="s">
        <v>113</v>
      </c>
    </row>
    <row r="28" spans="1:18" ht="15" thickBot="1" thickTop="1">
      <c r="A28" s="124" t="s">
        <v>88</v>
      </c>
      <c r="B28" s="125">
        <v>44686</v>
      </c>
      <c r="C28" s="126">
        <v>163296775</v>
      </c>
      <c r="D28" s="125">
        <v>33175</v>
      </c>
      <c r="E28" s="126">
        <v>9946206</v>
      </c>
      <c r="F28" s="125">
        <v>77861</v>
      </c>
      <c r="G28" s="126">
        <v>173242980</v>
      </c>
      <c r="H28" s="125">
        <v>2567</v>
      </c>
      <c r="I28" s="127">
        <v>9455708</v>
      </c>
      <c r="J28" s="125">
        <v>4811</v>
      </c>
      <c r="K28" s="127">
        <v>625660</v>
      </c>
      <c r="L28" s="125">
        <v>81320</v>
      </c>
      <c r="M28" s="127">
        <v>164412932</v>
      </c>
      <c r="N28" s="146">
        <v>78622</v>
      </c>
      <c r="O28" s="147">
        <v>1641</v>
      </c>
      <c r="P28" s="147">
        <v>166</v>
      </c>
      <c r="Q28" s="148">
        <v>80429</v>
      </c>
      <c r="R28" s="149" t="s">
        <v>88</v>
      </c>
    </row>
    <row r="29" spans="1:18" ht="13.5">
      <c r="A29" s="194" t="s">
        <v>115</v>
      </c>
      <c r="B29" s="194"/>
      <c r="C29" s="194"/>
      <c r="D29" s="194"/>
      <c r="E29" s="194"/>
      <c r="F29" s="194"/>
      <c r="G29" s="194"/>
      <c r="H29" s="194"/>
      <c r="I29" s="194"/>
      <c r="J29" s="130"/>
      <c r="K29" s="130"/>
      <c r="L29" s="130"/>
      <c r="M29" s="130"/>
      <c r="N29" s="130"/>
      <c r="O29" s="130"/>
      <c r="P29" s="130"/>
      <c r="Q29" s="130"/>
      <c r="R29" s="130"/>
    </row>
  </sheetData>
  <sheetProtection/>
  <mergeCells count="16">
    <mergeCell ref="A2:I2"/>
    <mergeCell ref="A3:A5"/>
    <mergeCell ref="B3:G3"/>
    <mergeCell ref="H3:I4"/>
    <mergeCell ref="J3:K4"/>
    <mergeCell ref="L3:M4"/>
    <mergeCell ref="A29:I29"/>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&amp;R金沢国税局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2014-06-10T02:01:09Z</cp:lastPrinted>
  <dcterms:created xsi:type="dcterms:W3CDTF">2003-07-09T01:05:10Z</dcterms:created>
  <dcterms:modified xsi:type="dcterms:W3CDTF">2014-06-10T02:01:20Z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