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<sst xmlns="http://schemas.openxmlformats.org/spreadsheetml/2006/main" count="315" uniqueCount="133">
  <si>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</si>
  <si>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</si>
  <si>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</si>
  <si>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</si>
  <si>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</si>
  <si>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</si>
  <si>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</si>
  <si>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</si>
  <si>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</si>
  <si>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</si>
  <si>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</si>
  <si>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</si>
  <si>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</si>
  <si>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</si>
  <si>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</si>
  <si>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</si>
  <si>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</si>
  <si>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</si>
  <si>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</si>
  <si>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</si>
  <si>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</si>
  <si>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</si>
  <si>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</si>
  <si>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</si>
  <si>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</si>
  <si>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</si>
  <si>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</si>
  <si>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</si>
  <si>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</si>
  <si>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</si>
  <si>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平成23年度</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</si>
  <si>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</si>
  <si>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</si>
  <si>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</si>
  <si>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</si>
  <si>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</si>
  <si>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</si>
  <si>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</si>
  <si>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</si>
  <si>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</si>
  <si>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</si>
  <si>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</si>
  <si>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</si>
  <si>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</si>
  <si>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</si>
  <si>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</si>
  <si>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</si>
  <si>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</si>
  <si>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</si>
  <si>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</si>
  <si>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</si>
  <si>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</si>
  <si>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</si>
  <si>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</si>
  <si>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</si>
  <si>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</si>
  <si>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</si>
  <si>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</si>
  <si>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</si>
  <si>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</si>
  <si>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</si>
  <si>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</si>
  <si>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</si>
  <si>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</si>
  <si>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</si>
  <si>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</si>
  <si>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</si>
  <si>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</si>
  <si>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</si>
  <si>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</si>
  <si>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</si>
  <si>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</si>
  <si>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</si>
  <si>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</si>
  <si>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</si>
  <si>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</si>
  <si>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</si>
  <si>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(4)　税務署別課税状況（続）</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</si>
  <si>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</si>
  <si>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</si>
  <si>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</si>
  <si>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</si>
  <si>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</si>
  <si>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</si>
  <si>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</si>
  <si>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</si>
  <si>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</si>
  <si>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</si>
  <si>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</si>
  <si>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</si>
  <si>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</si>
  <si>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</si>
  <si>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</si>
  <si>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</si>
  <si>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</si>
  <si>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</si>
  <si>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</si>
  <si>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</si>
  <si>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</si>
  <si>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</si>
  <si>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</si>
  <si>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</si>
  <si>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平成24年度</t>
  </si>
  <si>
    <t>調査対象等：</t>
  </si>
  <si>
    <t>（注）１</t>
  </si>
  <si>
    <t>税関分は含まない。</t>
  </si>
  <si>
    <t>　　　２</t>
  </si>
  <si>
    <t>「件数欄」の「実」は、実件数を示す。</t>
  </si>
  <si>
    <t>(4)　税務署別課税状況</t>
  </si>
  <si>
    <t>税務署名</t>
  </si>
  <si>
    <t>納　　　税　　　申　　　告　　　及　　　び　　　処　　　理</t>
  </si>
  <si>
    <t>一般申告及び処理</t>
  </si>
  <si>
    <t>件数</t>
  </si>
  <si>
    <t>税額</t>
  </si>
  <si>
    <t>税　額　①</t>
  </si>
  <si>
    <t>税　額　②</t>
  </si>
  <si>
    <t>税　額　③</t>
  </si>
  <si>
    <t>税　　　額
(①－②＋③)</t>
  </si>
  <si>
    <t>(3)　課税事業者等届出件数</t>
  </si>
  <si>
    <t>合計</t>
  </si>
  <si>
    <t>個　人　事　業　者</t>
  </si>
  <si>
    <t>法　　　　　　　人</t>
  </si>
  <si>
    <t>合　　　　　　　計</t>
  </si>
  <si>
    <t>件　　数</t>
  </si>
  <si>
    <t>税　　額</t>
  </si>
  <si>
    <t>平成25年度</t>
  </si>
  <si>
    <t>　「現年分」は、平成27年４月１日から平成28年３月31日までに終了した課税期間について、平成28年６月30日現在の申告（国・地方公共団体等については平成28年９月30日までの申告を含む。）及び処理（更正、決定等）による課税事績を「申告書及び決議書」に基づいて作成した。</t>
  </si>
  <si>
    <t>　「既往年分」は、平成27年３月31日以前に終了した課税期間について、平成27年７月１日から平成28年６月30日までの間の申告（平成27年７月１日から同年９月30日までの間の国・地方公共団体等に係る申告を除く。）及び処理（更正、決定等）による課税事績を「申告書及び決議書」に基づいて作成した。</t>
  </si>
  <si>
    <t>平成26年度</t>
  </si>
  <si>
    <t>平成27年度</t>
  </si>
  <si>
    <t>調査対象等：平成27年度末（平成28年３月31日現在）の届出件数を示している。</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</si>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</sst>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hair"/>
      <top style="hair">
        <color indexed="55"/>
      </top>
      <bottom style="medium"/>
    </border>
    <border>
      <left style="hair"/>
      <right style="medium"/>
      <top style="hair">
        <color indexed="55"/>
      </top>
      <bottom style="mediu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1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2" fillId="0" borderId="38" xfId="0" applyFont="1" applyBorder="1" applyAlignment="1">
      <alignment horizontal="left" vertical="top" wrapText="1"/>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9"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0" xfId="61" applyFont="1" applyBorder="1" applyAlignment="1">
      <alignment horizontal="distributed" vertical="center" indent="1"/>
      <protection/>
    </xf>
    <xf numFmtId="0" fontId="2" fillId="0" borderId="41" xfId="61" applyFont="1" applyBorder="1" applyAlignment="1">
      <alignment horizontal="distributed" vertical="center" indent="1"/>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2"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3"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8" fillId="0" borderId="50" xfId="61" applyFont="1" applyFill="1" applyBorder="1" applyAlignment="1">
      <alignment horizontal="distributed"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distributed" vertical="center"/>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41" xfId="61" applyFont="1" applyBorder="1" applyAlignment="1">
      <alignment horizontal="center" vertical="center" wrapText="1"/>
      <protection/>
    </xf>
    <xf numFmtId="0" fontId="7" fillId="34" borderId="29" xfId="61" applyFont="1" applyFill="1" applyBorder="1" applyAlignment="1">
      <alignment horizontal="right" vertical="top"/>
      <protection/>
    </xf>
    <xf numFmtId="0" fontId="7" fillId="34" borderId="43" xfId="61" applyFont="1" applyFill="1" applyBorder="1" applyAlignment="1">
      <alignment horizontal="right" vertical="top"/>
      <protection/>
    </xf>
    <xf numFmtId="0" fontId="8" fillId="0" borderId="56" xfId="61" applyFont="1" applyFill="1" applyBorder="1" applyAlignment="1">
      <alignment horizontal="center" vertical="center"/>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2" fillId="36" borderId="59" xfId="61" applyFont="1" applyFill="1" applyBorder="1" applyAlignment="1">
      <alignment horizontal="distributed"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177" fontId="8" fillId="0" borderId="81" xfId="61" applyNumberFormat="1" applyFont="1" applyFill="1" applyBorder="1" applyAlignment="1">
      <alignment horizontal="right" vertical="center"/>
      <protection/>
    </xf>
    <xf numFmtId="177" fontId="8"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177" fontId="2" fillId="0"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3" fontId="2" fillId="34" borderId="96" xfId="0" applyNumberFormat="1" applyFont="1" applyFill="1" applyBorder="1" applyAlignment="1">
      <alignment horizontal="right" vertical="center" indent="1"/>
    </xf>
    <xf numFmtId="3" fontId="2" fillId="34" borderId="97" xfId="0" applyNumberFormat="1" applyFont="1" applyFill="1" applyBorder="1" applyAlignment="1">
      <alignment horizontal="right" vertical="center" indent="1"/>
    </xf>
    <xf numFmtId="3" fontId="2" fillId="34" borderId="98" xfId="0" applyNumberFormat="1" applyFont="1" applyFill="1" applyBorder="1" applyAlignment="1">
      <alignment horizontal="right" vertical="center" indent="1"/>
    </xf>
    <xf numFmtId="3" fontId="2" fillId="34" borderId="55" xfId="0" applyNumberFormat="1" applyFont="1" applyFill="1" applyBorder="1" applyAlignment="1">
      <alignment horizontal="right" vertical="center" indent="1"/>
    </xf>
    <xf numFmtId="3" fontId="2" fillId="34" borderId="9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0" fontId="2" fillId="0" borderId="101" xfId="0" applyFont="1" applyBorder="1" applyAlignment="1">
      <alignment horizontal="distributed" vertical="center" wrapText="1"/>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xf>
    <xf numFmtId="0" fontId="6" fillId="0" borderId="105" xfId="0" applyFont="1" applyBorder="1" applyAlignment="1">
      <alignment horizontal="distributed" vertical="center"/>
    </xf>
    <xf numFmtId="0" fontId="6" fillId="0" borderId="106" xfId="0" applyFont="1" applyBorder="1" applyAlignment="1">
      <alignment horizontal="distributed" vertical="center"/>
    </xf>
    <xf numFmtId="0" fontId="2" fillId="0" borderId="54" xfId="0" applyFont="1" applyBorder="1" applyAlignment="1">
      <alignment horizontal="distributed" vertical="center"/>
    </xf>
    <xf numFmtId="0" fontId="2" fillId="0" borderId="107" xfId="0" applyFont="1" applyBorder="1" applyAlignment="1">
      <alignment horizontal="distributed" vertical="center"/>
    </xf>
    <xf numFmtId="0" fontId="2" fillId="0" borderId="3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16" xfId="0" applyFont="1" applyBorder="1" applyAlignment="1">
      <alignment horizontal="center" vertical="center"/>
    </xf>
    <xf numFmtId="0" fontId="2" fillId="0" borderId="38"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02" xfId="0" applyFont="1" applyBorder="1" applyAlignment="1">
      <alignment horizontal="center"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39" xfId="61" applyFont="1" applyBorder="1" applyAlignment="1">
      <alignment horizontal="distributed" vertical="center" wrapText="1"/>
      <protection/>
    </xf>
    <xf numFmtId="0" fontId="2" fillId="0" borderId="126" xfId="61" applyFont="1" applyBorder="1" applyAlignment="1">
      <alignment horizontal="distributed" vertical="center" wrapText="1"/>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38" xfId="61" applyFont="1" applyBorder="1" applyAlignment="1">
      <alignment horizontal="left" vertical="center"/>
      <protection/>
    </xf>
    <xf numFmtId="0" fontId="2" fillId="0" borderId="0" xfId="61" applyFont="1" applyAlignment="1">
      <alignment horizontal="left" vertical="center"/>
      <protection/>
    </xf>
    <xf numFmtId="0" fontId="2" fillId="0" borderId="108" xfId="61" applyFont="1" applyBorder="1" applyAlignment="1">
      <alignment horizontal="distributed" vertical="center"/>
      <protection/>
    </xf>
    <xf numFmtId="0" fontId="2" fillId="0" borderId="110" xfId="61" applyFont="1" applyBorder="1" applyAlignment="1">
      <alignment horizontal="distributed" vertical="center"/>
      <protection/>
    </xf>
    <xf numFmtId="0" fontId="2" fillId="0" borderId="130" xfId="61" applyFont="1" applyBorder="1" applyAlignment="1">
      <alignment horizontal="distributed" vertical="center"/>
      <protection/>
    </xf>
    <xf numFmtId="0" fontId="2" fillId="0" borderId="131" xfId="61" applyFont="1" applyBorder="1" applyAlignment="1">
      <alignment horizontal="center" vertical="center"/>
      <protection/>
    </xf>
    <xf numFmtId="0" fontId="2" fillId="0" borderId="122" xfId="61" applyFont="1" applyBorder="1" applyAlignment="1">
      <alignment horizontal="center" vertical="center" wrapText="1"/>
      <protection/>
    </xf>
    <xf numFmtId="0" fontId="2" fillId="0" borderId="132" xfId="61" applyFont="1" applyBorder="1" applyAlignment="1">
      <alignment horizontal="left" vertical="center"/>
      <protection/>
    </xf>
    <xf numFmtId="0" fontId="2" fillId="0" borderId="131" xfId="61" applyFont="1" applyBorder="1" applyAlignment="1">
      <alignment horizontal="center" vertical="center" wrapText="1"/>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distributed" vertical="center" wrapText="1"/>
      <protection/>
    </xf>
    <xf numFmtId="0" fontId="2" fillId="0" borderId="136" xfId="61" applyFont="1" applyBorder="1" applyAlignment="1">
      <alignment horizontal="distributed" vertical="center"/>
      <protection/>
    </xf>
    <xf numFmtId="0" fontId="2" fillId="0" borderId="137" xfId="61" applyFont="1" applyBorder="1" applyAlignment="1">
      <alignment horizontal="distributed" vertical="center" wrapText="1"/>
      <protection/>
    </xf>
    <xf numFmtId="0" fontId="2" fillId="0" borderId="138" xfId="61" applyFont="1" applyBorder="1" applyAlignment="1">
      <alignment horizontal="distributed"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42"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62" t="s">
        <v>0</v>
      </c>
      <c r="B1" s="162"/>
      <c r="C1" s="162"/>
      <c r="D1" s="162"/>
      <c r="E1" s="162"/>
      <c r="F1" s="162"/>
      <c r="G1" s="162"/>
      <c r="H1" s="162"/>
      <c r="I1" s="162"/>
      <c r="J1" s="162"/>
      <c r="K1" s="162"/>
    </row>
    <row r="2" spans="1:11" ht="15">
      <c r="A2" s="54"/>
      <c r="B2" s="54"/>
      <c r="C2" s="54"/>
      <c r="D2" s="54"/>
      <c r="E2" s="54"/>
      <c r="F2" s="54"/>
      <c r="G2" s="54"/>
      <c r="H2" s="54"/>
      <c r="I2" s="54"/>
      <c r="J2" s="54"/>
      <c r="K2" s="54"/>
    </row>
    <row r="3" spans="1:11" ht="12" thickBot="1">
      <c r="A3" s="163" t="s">
        <v>24</v>
      </c>
      <c r="B3" s="163"/>
      <c r="C3" s="163"/>
      <c r="D3" s="163"/>
      <c r="E3" s="163"/>
      <c r="F3" s="163"/>
      <c r="G3" s="163"/>
      <c r="H3" s="163"/>
      <c r="I3" s="163"/>
      <c r="J3" s="163"/>
      <c r="K3" s="163"/>
    </row>
    <row r="4" spans="1:11" ht="24" customHeight="1">
      <c r="A4" s="164" t="s">
        <v>1</v>
      </c>
      <c r="B4" s="165"/>
      <c r="C4" s="168" t="s">
        <v>15</v>
      </c>
      <c r="D4" s="169"/>
      <c r="E4" s="170"/>
      <c r="F4" s="168" t="s">
        <v>16</v>
      </c>
      <c r="G4" s="169"/>
      <c r="H4" s="170"/>
      <c r="I4" s="168" t="s">
        <v>17</v>
      </c>
      <c r="J4" s="169"/>
      <c r="K4" s="171"/>
    </row>
    <row r="5" spans="1:11" ht="24" customHeight="1">
      <c r="A5" s="166"/>
      <c r="B5" s="167"/>
      <c r="C5" s="172" t="s">
        <v>2</v>
      </c>
      <c r="D5" s="173"/>
      <c r="E5" s="6" t="s">
        <v>3</v>
      </c>
      <c r="F5" s="172" t="s">
        <v>2</v>
      </c>
      <c r="G5" s="173"/>
      <c r="H5" s="6" t="s">
        <v>3</v>
      </c>
      <c r="I5" s="172" t="s">
        <v>2</v>
      </c>
      <c r="J5" s="173"/>
      <c r="K5" s="14" t="s">
        <v>3</v>
      </c>
    </row>
    <row r="6" spans="1:11" ht="12" customHeight="1">
      <c r="A6" s="40"/>
      <c r="B6" s="43"/>
      <c r="C6" s="41"/>
      <c r="D6" s="33" t="s">
        <v>26</v>
      </c>
      <c r="E6" s="32" t="s">
        <v>25</v>
      </c>
      <c r="F6" s="41"/>
      <c r="G6" s="33" t="s">
        <v>26</v>
      </c>
      <c r="H6" s="32" t="s">
        <v>25</v>
      </c>
      <c r="I6" s="41"/>
      <c r="J6" s="33" t="s">
        <v>26</v>
      </c>
      <c r="K6" s="42" t="s">
        <v>25</v>
      </c>
    </row>
    <row r="7" spans="1:11" ht="30" customHeight="1">
      <c r="A7" s="151" t="s">
        <v>27</v>
      </c>
      <c r="B7" s="37" t="s">
        <v>18</v>
      </c>
      <c r="C7" s="15"/>
      <c r="D7" s="93">
        <v>12379</v>
      </c>
      <c r="E7" s="38">
        <v>8604670</v>
      </c>
      <c r="F7" s="18"/>
      <c r="G7" s="93">
        <v>32690</v>
      </c>
      <c r="H7" s="38">
        <v>265909274</v>
      </c>
      <c r="I7" s="18"/>
      <c r="J7" s="93">
        <v>45069</v>
      </c>
      <c r="K7" s="39">
        <v>274513944</v>
      </c>
    </row>
    <row r="8" spans="1:11" ht="30" customHeight="1">
      <c r="A8" s="152"/>
      <c r="B8" s="23" t="s">
        <v>19</v>
      </c>
      <c r="C8" s="15"/>
      <c r="D8" s="94">
        <v>18880</v>
      </c>
      <c r="E8" s="95">
        <v>7465023</v>
      </c>
      <c r="F8" s="18"/>
      <c r="G8" s="94">
        <v>12531</v>
      </c>
      <c r="H8" s="95">
        <v>7336680</v>
      </c>
      <c r="I8" s="18"/>
      <c r="J8" s="94">
        <v>31411</v>
      </c>
      <c r="K8" s="96">
        <v>14801703</v>
      </c>
    </row>
    <row r="9" spans="1:11" s="3" customFormat="1" ht="30" customHeight="1">
      <c r="A9" s="152"/>
      <c r="B9" s="24" t="s">
        <v>20</v>
      </c>
      <c r="C9" s="16"/>
      <c r="D9" s="97">
        <v>31259</v>
      </c>
      <c r="E9" s="98">
        <v>16069693</v>
      </c>
      <c r="F9" s="16"/>
      <c r="G9" s="97">
        <v>45221</v>
      </c>
      <c r="H9" s="98">
        <v>273245954</v>
      </c>
      <c r="I9" s="16"/>
      <c r="J9" s="97">
        <v>76480</v>
      </c>
      <c r="K9" s="99">
        <v>289315647</v>
      </c>
    </row>
    <row r="10" spans="1:11" ht="30" customHeight="1">
      <c r="A10" s="153"/>
      <c r="B10" s="25" t="s">
        <v>21</v>
      </c>
      <c r="C10" s="15"/>
      <c r="D10" s="100">
        <v>793</v>
      </c>
      <c r="E10" s="101">
        <v>464040</v>
      </c>
      <c r="F10" s="15"/>
      <c r="G10" s="100">
        <v>2564</v>
      </c>
      <c r="H10" s="101">
        <v>17450017</v>
      </c>
      <c r="I10" s="15"/>
      <c r="J10" s="100">
        <v>3357</v>
      </c>
      <c r="K10" s="102">
        <v>17914056</v>
      </c>
    </row>
    <row r="11" spans="1:11" ht="30" customHeight="1">
      <c r="A11" s="154" t="s">
        <v>28</v>
      </c>
      <c r="B11" s="55" t="s">
        <v>22</v>
      </c>
      <c r="C11" s="9"/>
      <c r="D11" s="103">
        <v>1816</v>
      </c>
      <c r="E11" s="20">
        <v>299423</v>
      </c>
      <c r="F11" s="34"/>
      <c r="G11" s="104">
        <v>2051</v>
      </c>
      <c r="H11" s="20">
        <v>640404</v>
      </c>
      <c r="I11" s="34"/>
      <c r="J11" s="104">
        <v>3867</v>
      </c>
      <c r="K11" s="21">
        <v>939828</v>
      </c>
    </row>
    <row r="12" spans="1:11" ht="30" customHeight="1">
      <c r="A12" s="155"/>
      <c r="B12" s="56" t="s">
        <v>23</v>
      </c>
      <c r="C12" s="35"/>
      <c r="D12" s="94">
        <v>159</v>
      </c>
      <c r="E12" s="95">
        <v>38810</v>
      </c>
      <c r="F12" s="36"/>
      <c r="G12" s="105">
        <v>298</v>
      </c>
      <c r="H12" s="95">
        <v>262201</v>
      </c>
      <c r="I12" s="36"/>
      <c r="J12" s="105">
        <v>457</v>
      </c>
      <c r="K12" s="96">
        <v>301010</v>
      </c>
    </row>
    <row r="13" spans="1:11" s="3" customFormat="1" ht="30" customHeight="1">
      <c r="A13" s="156" t="s">
        <v>6</v>
      </c>
      <c r="B13" s="157"/>
      <c r="C13" s="26" t="s">
        <v>14</v>
      </c>
      <c r="D13" s="106">
        <v>32667</v>
      </c>
      <c r="E13" s="107">
        <v>15866268</v>
      </c>
      <c r="F13" s="26" t="s">
        <v>14</v>
      </c>
      <c r="G13" s="106">
        <v>48056</v>
      </c>
      <c r="H13" s="107">
        <v>256174141</v>
      </c>
      <c r="I13" s="26" t="s">
        <v>14</v>
      </c>
      <c r="J13" s="106">
        <v>80723</v>
      </c>
      <c r="K13" s="108">
        <v>272040408</v>
      </c>
    </row>
    <row r="14" spans="1:11" ht="30" customHeight="1" thickBot="1">
      <c r="A14" s="158" t="s">
        <v>7</v>
      </c>
      <c r="B14" s="159"/>
      <c r="C14" s="17"/>
      <c r="D14" s="109">
        <v>1667</v>
      </c>
      <c r="E14" s="110">
        <v>62735</v>
      </c>
      <c r="F14" s="19"/>
      <c r="G14" s="109">
        <v>1698</v>
      </c>
      <c r="H14" s="110">
        <v>111784</v>
      </c>
      <c r="I14" s="19"/>
      <c r="J14" s="109">
        <v>3365</v>
      </c>
      <c r="K14" s="111">
        <v>174519</v>
      </c>
    </row>
    <row r="15" spans="1:11" s="4" customFormat="1" ht="37.5" customHeight="1">
      <c r="A15" s="53" t="s">
        <v>103</v>
      </c>
      <c r="B15" s="160" t="s">
        <v>126</v>
      </c>
      <c r="C15" s="160"/>
      <c r="D15" s="160"/>
      <c r="E15" s="160"/>
      <c r="F15" s="160"/>
      <c r="G15" s="160"/>
      <c r="H15" s="160"/>
      <c r="I15" s="160"/>
      <c r="J15" s="160"/>
      <c r="K15" s="160"/>
    </row>
    <row r="16" spans="2:11" ht="45" customHeight="1">
      <c r="B16" s="161" t="s">
        <v>127</v>
      </c>
      <c r="C16" s="161"/>
      <c r="D16" s="161"/>
      <c r="E16" s="161"/>
      <c r="F16" s="161"/>
      <c r="G16" s="161"/>
      <c r="H16" s="161"/>
      <c r="I16" s="161"/>
      <c r="J16" s="161"/>
      <c r="K16" s="161"/>
    </row>
    <row r="17" spans="1:2" ht="14.25" customHeight="1">
      <c r="A17" s="1" t="s">
        <v>104</v>
      </c>
      <c r="B17" s="1" t="s">
        <v>105</v>
      </c>
    </row>
    <row r="18" spans="1:2" ht="11.25">
      <c r="A18" s="59" t="s">
        <v>106</v>
      </c>
      <c r="B18" s="1" t="s">
        <v>107</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58" customWidth="1"/>
    <col min="2" max="2" width="15.625" style="58" customWidth="1"/>
    <col min="3" max="3" width="8.625" style="58" customWidth="1"/>
    <col min="4" max="4" width="10.625" style="58" customWidth="1"/>
    <col min="5" max="5" width="8.625" style="58" customWidth="1"/>
    <col min="6" max="6" width="12.875" style="58" bestFit="1" customWidth="1"/>
    <col min="7" max="7" width="8.625" style="58" customWidth="1"/>
    <col min="8" max="8" width="12.875" style="58" bestFit="1" customWidth="1"/>
    <col min="9" max="16384" width="9.00390625" style="58" customWidth="1"/>
  </cols>
  <sheetData>
    <row r="1" s="1" customFormat="1" ht="12" thickBot="1">
      <c r="A1" s="1" t="s">
        <v>29</v>
      </c>
    </row>
    <row r="2" spans="1:8" s="1" customFormat="1" ht="15" customHeight="1">
      <c r="A2" s="164" t="s">
        <v>1</v>
      </c>
      <c r="B2" s="165"/>
      <c r="C2" s="174" t="s">
        <v>120</v>
      </c>
      <c r="D2" s="174"/>
      <c r="E2" s="174" t="s">
        <v>121</v>
      </c>
      <c r="F2" s="174"/>
      <c r="G2" s="175" t="s">
        <v>122</v>
      </c>
      <c r="H2" s="176"/>
    </row>
    <row r="3" spans="1:8" s="1" customFormat="1" ht="15" customHeight="1">
      <c r="A3" s="166"/>
      <c r="B3" s="167"/>
      <c r="C3" s="9" t="s">
        <v>123</v>
      </c>
      <c r="D3" s="6" t="s">
        <v>124</v>
      </c>
      <c r="E3" s="9" t="s">
        <v>123</v>
      </c>
      <c r="F3" s="7" t="s">
        <v>124</v>
      </c>
      <c r="G3" s="9" t="s">
        <v>123</v>
      </c>
      <c r="H3" s="8" t="s">
        <v>124</v>
      </c>
    </row>
    <row r="4" spans="1:8" s="10" customFormat="1" ht="15" customHeight="1">
      <c r="A4" s="45"/>
      <c r="B4" s="6"/>
      <c r="C4" s="46" t="s">
        <v>4</v>
      </c>
      <c r="D4" s="47" t="s">
        <v>5</v>
      </c>
      <c r="E4" s="46" t="s">
        <v>4</v>
      </c>
      <c r="F4" s="47" t="s">
        <v>5</v>
      </c>
      <c r="G4" s="46" t="s">
        <v>4</v>
      </c>
      <c r="H4" s="48" t="s">
        <v>5</v>
      </c>
    </row>
    <row r="5" spans="1:8" s="57" customFormat="1" ht="30" customHeight="1">
      <c r="A5" s="179" t="s">
        <v>30</v>
      </c>
      <c r="B5" s="37" t="s">
        <v>12</v>
      </c>
      <c r="C5" s="44">
        <v>32759</v>
      </c>
      <c r="D5" s="38">
        <v>10345484</v>
      </c>
      <c r="E5" s="44">
        <v>46674</v>
      </c>
      <c r="F5" s="38">
        <v>164480756</v>
      </c>
      <c r="G5" s="44">
        <v>79433</v>
      </c>
      <c r="H5" s="39">
        <v>174826241</v>
      </c>
    </row>
    <row r="6" spans="1:8" s="57" customFormat="1" ht="30" customHeight="1">
      <c r="A6" s="180"/>
      <c r="B6" s="25" t="s">
        <v>13</v>
      </c>
      <c r="C6" s="28">
        <v>650</v>
      </c>
      <c r="D6" s="29">
        <v>208236</v>
      </c>
      <c r="E6" s="28">
        <v>2080</v>
      </c>
      <c r="F6" s="29">
        <v>9155011</v>
      </c>
      <c r="G6" s="28">
        <v>2730</v>
      </c>
      <c r="H6" s="30">
        <v>9363247</v>
      </c>
    </row>
    <row r="7" spans="1:8" s="57" customFormat="1" ht="30" customHeight="1">
      <c r="A7" s="177" t="s">
        <v>102</v>
      </c>
      <c r="B7" s="22" t="s">
        <v>12</v>
      </c>
      <c r="C7" s="27">
        <v>31805</v>
      </c>
      <c r="D7" s="20">
        <v>10297561</v>
      </c>
      <c r="E7" s="27">
        <v>46056</v>
      </c>
      <c r="F7" s="20">
        <v>162945419</v>
      </c>
      <c r="G7" s="27">
        <v>77861</v>
      </c>
      <c r="H7" s="21">
        <v>173242980</v>
      </c>
    </row>
    <row r="8" spans="1:8" s="57" customFormat="1" ht="30" customHeight="1">
      <c r="A8" s="181"/>
      <c r="B8" s="25" t="s">
        <v>13</v>
      </c>
      <c r="C8" s="28">
        <v>629</v>
      </c>
      <c r="D8" s="29">
        <v>170931</v>
      </c>
      <c r="E8" s="28">
        <v>1938</v>
      </c>
      <c r="F8" s="29">
        <v>9284777</v>
      </c>
      <c r="G8" s="28">
        <v>2567</v>
      </c>
      <c r="H8" s="30">
        <v>9455708</v>
      </c>
    </row>
    <row r="9" spans="1:8" s="57" customFormat="1" ht="30" customHeight="1">
      <c r="A9" s="179" t="s">
        <v>125</v>
      </c>
      <c r="B9" s="22" t="s">
        <v>12</v>
      </c>
      <c r="C9" s="27">
        <v>31599</v>
      </c>
      <c r="D9" s="20">
        <v>10091012</v>
      </c>
      <c r="E9" s="27">
        <v>45677</v>
      </c>
      <c r="F9" s="20">
        <v>164837273</v>
      </c>
      <c r="G9" s="27">
        <v>77276</v>
      </c>
      <c r="H9" s="21">
        <v>174928284</v>
      </c>
    </row>
    <row r="10" spans="1:8" s="57" customFormat="1" ht="30" customHeight="1">
      <c r="A10" s="180"/>
      <c r="B10" s="25" t="s">
        <v>13</v>
      </c>
      <c r="C10" s="28">
        <v>679</v>
      </c>
      <c r="D10" s="29">
        <v>237137</v>
      </c>
      <c r="E10" s="28">
        <v>2188</v>
      </c>
      <c r="F10" s="29">
        <v>8927235</v>
      </c>
      <c r="G10" s="28">
        <v>2867</v>
      </c>
      <c r="H10" s="30">
        <v>9164372</v>
      </c>
    </row>
    <row r="11" spans="1:8" s="57" customFormat="1" ht="30" customHeight="1">
      <c r="A11" s="177" t="s">
        <v>128</v>
      </c>
      <c r="B11" s="22" t="s">
        <v>12</v>
      </c>
      <c r="C11" s="27">
        <v>31340</v>
      </c>
      <c r="D11" s="20">
        <v>14534512</v>
      </c>
      <c r="E11" s="27">
        <v>45329</v>
      </c>
      <c r="F11" s="20">
        <v>236925082</v>
      </c>
      <c r="G11" s="27">
        <v>76669</v>
      </c>
      <c r="H11" s="21">
        <v>251459594</v>
      </c>
    </row>
    <row r="12" spans="1:8" s="57" customFormat="1" ht="30" customHeight="1">
      <c r="A12" s="181"/>
      <c r="B12" s="25" t="s">
        <v>13</v>
      </c>
      <c r="C12" s="28">
        <v>788</v>
      </c>
      <c r="D12" s="29">
        <v>355536</v>
      </c>
      <c r="E12" s="28">
        <v>2426</v>
      </c>
      <c r="F12" s="29">
        <v>18794523</v>
      </c>
      <c r="G12" s="28">
        <v>3214</v>
      </c>
      <c r="H12" s="30">
        <v>19150059</v>
      </c>
    </row>
    <row r="13" spans="1:8" s="1" customFormat="1" ht="30" customHeight="1">
      <c r="A13" s="177" t="s">
        <v>129</v>
      </c>
      <c r="B13" s="22" t="s">
        <v>12</v>
      </c>
      <c r="C13" s="27">
        <v>31259</v>
      </c>
      <c r="D13" s="20">
        <v>16069693</v>
      </c>
      <c r="E13" s="27">
        <v>45221</v>
      </c>
      <c r="F13" s="20">
        <v>273245954</v>
      </c>
      <c r="G13" s="27">
        <v>76480</v>
      </c>
      <c r="H13" s="21">
        <v>289315647</v>
      </c>
    </row>
    <row r="14" spans="1:8" s="1" customFormat="1" ht="30" customHeight="1" thickBot="1">
      <c r="A14" s="178"/>
      <c r="B14" s="31" t="s">
        <v>13</v>
      </c>
      <c r="C14" s="148">
        <v>793</v>
      </c>
      <c r="D14" s="149">
        <v>464040</v>
      </c>
      <c r="E14" s="148">
        <v>2564</v>
      </c>
      <c r="F14" s="149">
        <v>17450017</v>
      </c>
      <c r="G14" s="148">
        <v>3357</v>
      </c>
      <c r="H14" s="150">
        <v>17914056</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58" customWidth="1"/>
    <col min="3" max="3" width="23.625" style="58" customWidth="1"/>
    <col min="4" max="4" width="18.625" style="58" customWidth="1"/>
    <col min="5" max="16384" width="9.00390625" style="58" customWidth="1"/>
  </cols>
  <sheetData>
    <row r="1" s="1" customFormat="1" ht="20.25" customHeight="1" thickBot="1">
      <c r="A1" s="1" t="s">
        <v>118</v>
      </c>
    </row>
    <row r="2" spans="1:4" s="4" customFormat="1" ht="19.5" customHeight="1">
      <c r="A2" s="11" t="s">
        <v>8</v>
      </c>
      <c r="B2" s="12" t="s">
        <v>9</v>
      </c>
      <c r="C2" s="13" t="s">
        <v>10</v>
      </c>
      <c r="D2" s="60" t="s">
        <v>119</v>
      </c>
    </row>
    <row r="3" spans="1:4" s="10" customFormat="1" ht="15" customHeight="1">
      <c r="A3" s="49" t="s">
        <v>4</v>
      </c>
      <c r="B3" s="50" t="s">
        <v>4</v>
      </c>
      <c r="C3" s="51" t="s">
        <v>4</v>
      </c>
      <c r="D3" s="52" t="s">
        <v>4</v>
      </c>
    </row>
    <row r="4" spans="1:9" s="4" customFormat="1" ht="30" customHeight="1" thickBot="1">
      <c r="A4" s="144">
        <v>77110</v>
      </c>
      <c r="B4" s="145">
        <v>2088</v>
      </c>
      <c r="C4" s="146">
        <v>200</v>
      </c>
      <c r="D4" s="147">
        <v>79398</v>
      </c>
      <c r="E4" s="5"/>
      <c r="G4" s="5"/>
      <c r="I4" s="5"/>
    </row>
    <row r="5" spans="1:4" s="4" customFormat="1" ht="15" customHeight="1">
      <c r="A5" s="182" t="s">
        <v>130</v>
      </c>
      <c r="B5" s="182"/>
      <c r="C5" s="182"/>
      <c r="D5" s="182"/>
    </row>
    <row r="6" spans="1:4" s="4" customFormat="1" ht="15" customHeight="1">
      <c r="A6" s="183" t="s">
        <v>11</v>
      </c>
      <c r="B6" s="183"/>
      <c r="C6" s="183"/>
      <c r="D6" s="18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(H27)</oddFooter>
  </headerFooter>
</worksheet>
</file>

<file path=xl/worksheets/sheet4.xml><?xml version="1.0" encoding="utf-8"?>
<worksheet xmlns="http://schemas.openxmlformats.org/spreadsheetml/2006/main" xmlns:r="http://schemas.openxmlformats.org/officeDocument/2006/relationships">
  <dimension ref="A1:N29"/>
  <sheetViews>
    <sheetView view="pageBreakPreview" zoomScaleSheetLayoutView="100" zoomScalePageLayoutView="0" workbookViewId="0" topLeftCell="A1">
      <selection activeCell="A1" sqref="A1"/>
    </sheetView>
  </sheetViews>
  <sheetFormatPr defaultColWidth="9.00390625" defaultRowHeight="13.5"/>
  <cols>
    <col min="1" max="1" width="11.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108</v>
      </c>
      <c r="B1" s="61"/>
      <c r="C1" s="61"/>
      <c r="D1" s="61"/>
      <c r="E1" s="61"/>
      <c r="F1" s="61"/>
      <c r="G1" s="61"/>
      <c r="H1" s="61"/>
      <c r="I1" s="61"/>
      <c r="J1" s="61"/>
      <c r="K1" s="61"/>
      <c r="L1" s="62"/>
      <c r="M1" s="62"/>
      <c r="N1" s="112"/>
    </row>
    <row r="2" spans="1:14" ht="14.25" thickBot="1">
      <c r="A2" s="194" t="s">
        <v>31</v>
      </c>
      <c r="B2" s="194"/>
      <c r="C2" s="194"/>
      <c r="D2" s="194"/>
      <c r="E2" s="194"/>
      <c r="F2" s="194"/>
      <c r="G2" s="194"/>
      <c r="H2" s="62"/>
      <c r="I2" s="62"/>
      <c r="J2" s="62"/>
      <c r="K2" s="62"/>
      <c r="L2" s="62"/>
      <c r="M2" s="62"/>
      <c r="N2" s="62"/>
    </row>
    <row r="3" spans="1:14" ht="13.5">
      <c r="A3" s="195" t="s">
        <v>109</v>
      </c>
      <c r="B3" s="198" t="s">
        <v>110</v>
      </c>
      <c r="C3" s="198"/>
      <c r="D3" s="198"/>
      <c r="E3" s="198"/>
      <c r="F3" s="198"/>
      <c r="G3" s="198"/>
      <c r="H3" s="184" t="s">
        <v>13</v>
      </c>
      <c r="I3" s="185"/>
      <c r="J3" s="199" t="s">
        <v>34</v>
      </c>
      <c r="K3" s="185"/>
      <c r="L3" s="184" t="s">
        <v>35</v>
      </c>
      <c r="M3" s="185"/>
      <c r="N3" s="188" t="s">
        <v>36</v>
      </c>
    </row>
    <row r="4" spans="1:14" ht="13.5">
      <c r="A4" s="196"/>
      <c r="B4" s="191" t="s">
        <v>111</v>
      </c>
      <c r="C4" s="191"/>
      <c r="D4" s="186" t="s">
        <v>37</v>
      </c>
      <c r="E4" s="192"/>
      <c r="F4" s="186" t="s">
        <v>38</v>
      </c>
      <c r="G4" s="192"/>
      <c r="H4" s="186"/>
      <c r="I4" s="187"/>
      <c r="J4" s="186"/>
      <c r="K4" s="187"/>
      <c r="L4" s="186"/>
      <c r="M4" s="187"/>
      <c r="N4" s="189"/>
    </row>
    <row r="5" spans="1:14" ht="22.5">
      <c r="A5" s="197"/>
      <c r="B5" s="63" t="s">
        <v>112</v>
      </c>
      <c r="C5" s="64" t="s">
        <v>113</v>
      </c>
      <c r="D5" s="63" t="s">
        <v>112</v>
      </c>
      <c r="E5" s="64" t="s">
        <v>113</v>
      </c>
      <c r="F5" s="63" t="s">
        <v>112</v>
      </c>
      <c r="G5" s="65" t="s">
        <v>114</v>
      </c>
      <c r="H5" s="63" t="s">
        <v>112</v>
      </c>
      <c r="I5" s="66" t="s">
        <v>115</v>
      </c>
      <c r="J5" s="63" t="s">
        <v>112</v>
      </c>
      <c r="K5" s="66" t="s">
        <v>116</v>
      </c>
      <c r="L5" s="63" t="s">
        <v>112</v>
      </c>
      <c r="M5" s="67" t="s">
        <v>117</v>
      </c>
      <c r="N5" s="190"/>
    </row>
    <row r="6" spans="1:14" ht="13.5">
      <c r="A6" s="68"/>
      <c r="B6" s="69" t="s">
        <v>4</v>
      </c>
      <c r="C6" s="70" t="s">
        <v>5</v>
      </c>
      <c r="D6" s="69" t="s">
        <v>4</v>
      </c>
      <c r="E6" s="70" t="s">
        <v>5</v>
      </c>
      <c r="F6" s="69" t="s">
        <v>4</v>
      </c>
      <c r="G6" s="70" t="s">
        <v>5</v>
      </c>
      <c r="H6" s="69" t="s">
        <v>4</v>
      </c>
      <c r="I6" s="71" t="s">
        <v>5</v>
      </c>
      <c r="J6" s="69" t="s">
        <v>4</v>
      </c>
      <c r="K6" s="71" t="s">
        <v>5</v>
      </c>
      <c r="L6" s="69" t="s">
        <v>4</v>
      </c>
      <c r="M6" s="71" t="s">
        <v>5</v>
      </c>
      <c r="N6" s="72"/>
    </row>
    <row r="7" spans="1:14" ht="13.5">
      <c r="A7" s="73" t="s">
        <v>45</v>
      </c>
      <c r="B7" s="113">
        <f>_xlfn.COMPOUNDVALUE(1)</f>
        <v>1495</v>
      </c>
      <c r="C7" s="114">
        <v>1174921</v>
      </c>
      <c r="D7" s="113">
        <f>_xlfn.COMPOUNDVALUE(2)</f>
        <v>2391</v>
      </c>
      <c r="E7" s="114">
        <v>989987</v>
      </c>
      <c r="F7" s="113">
        <f>_xlfn.COMPOUNDVALUE(3)</f>
        <v>3886</v>
      </c>
      <c r="G7" s="114">
        <v>2164908</v>
      </c>
      <c r="H7" s="113">
        <f>_xlfn.COMPOUNDVALUE(4)</f>
        <v>114</v>
      </c>
      <c r="I7" s="115">
        <v>59764</v>
      </c>
      <c r="J7" s="113">
        <v>211</v>
      </c>
      <c r="K7" s="115">
        <v>17276</v>
      </c>
      <c r="L7" s="113">
        <v>4067</v>
      </c>
      <c r="M7" s="115">
        <v>2122421</v>
      </c>
      <c r="N7" s="92" t="s">
        <v>46</v>
      </c>
    </row>
    <row r="8" spans="1:14" ht="13.5">
      <c r="A8" s="75" t="s">
        <v>47</v>
      </c>
      <c r="B8" s="118">
        <f>_xlfn.COMPOUNDVALUE(5)</f>
        <v>1340</v>
      </c>
      <c r="C8" s="119">
        <v>970802</v>
      </c>
      <c r="D8" s="118">
        <f>_xlfn.COMPOUNDVALUE(6)</f>
        <v>1909</v>
      </c>
      <c r="E8" s="119">
        <v>742370</v>
      </c>
      <c r="F8" s="118">
        <f>_xlfn.COMPOUNDVALUE(7)</f>
        <v>3249</v>
      </c>
      <c r="G8" s="119">
        <v>1713171</v>
      </c>
      <c r="H8" s="118">
        <f>_xlfn.COMPOUNDVALUE(8)</f>
        <v>69</v>
      </c>
      <c r="I8" s="120">
        <v>44648</v>
      </c>
      <c r="J8" s="118">
        <v>233</v>
      </c>
      <c r="K8" s="120">
        <v>27715</v>
      </c>
      <c r="L8" s="118">
        <v>3388</v>
      </c>
      <c r="M8" s="120">
        <v>1696238</v>
      </c>
      <c r="N8" s="76" t="s">
        <v>48</v>
      </c>
    </row>
    <row r="9" spans="1:14" ht="13.5">
      <c r="A9" s="75" t="s">
        <v>49</v>
      </c>
      <c r="B9" s="118">
        <f>_xlfn.COMPOUNDVALUE(9)</f>
        <v>798</v>
      </c>
      <c r="C9" s="119">
        <v>551917</v>
      </c>
      <c r="D9" s="118">
        <f>_xlfn.COMPOUNDVALUE(10)</f>
        <v>1349</v>
      </c>
      <c r="E9" s="119">
        <v>531241</v>
      </c>
      <c r="F9" s="118">
        <f>_xlfn.COMPOUNDVALUE(11)</f>
        <v>2147</v>
      </c>
      <c r="G9" s="119">
        <v>1083159</v>
      </c>
      <c r="H9" s="118">
        <f>_xlfn.COMPOUNDVALUE(12)</f>
        <v>47</v>
      </c>
      <c r="I9" s="120">
        <v>33452</v>
      </c>
      <c r="J9" s="118">
        <v>163</v>
      </c>
      <c r="K9" s="120">
        <v>13356</v>
      </c>
      <c r="L9" s="118">
        <v>2230</v>
      </c>
      <c r="M9" s="120">
        <v>1063063</v>
      </c>
      <c r="N9" s="76" t="s">
        <v>50</v>
      </c>
    </row>
    <row r="10" spans="1:14" ht="13.5">
      <c r="A10" s="75" t="s">
        <v>51</v>
      </c>
      <c r="B10" s="118">
        <f>_xlfn.COMPOUNDVALUE(13)</f>
        <v>525</v>
      </c>
      <c r="C10" s="119">
        <v>369451</v>
      </c>
      <c r="D10" s="118">
        <f>_xlfn.COMPOUNDVALUE(14)</f>
        <v>900</v>
      </c>
      <c r="E10" s="119">
        <v>333095</v>
      </c>
      <c r="F10" s="118">
        <f>_xlfn.COMPOUNDVALUE(15)</f>
        <v>1425</v>
      </c>
      <c r="G10" s="119">
        <v>702546</v>
      </c>
      <c r="H10" s="118">
        <f>_xlfn.COMPOUNDVALUE(16)</f>
        <v>34</v>
      </c>
      <c r="I10" s="120">
        <v>23226</v>
      </c>
      <c r="J10" s="118">
        <v>65</v>
      </c>
      <c r="K10" s="120">
        <v>9348</v>
      </c>
      <c r="L10" s="118">
        <v>1486</v>
      </c>
      <c r="M10" s="120">
        <v>688667</v>
      </c>
      <c r="N10" s="76" t="s">
        <v>52</v>
      </c>
    </row>
    <row r="11" spans="1:14" ht="13.5">
      <c r="A11" s="77" t="s">
        <v>53</v>
      </c>
      <c r="B11" s="121">
        <v>4158</v>
      </c>
      <c r="C11" s="122">
        <v>3067090</v>
      </c>
      <c r="D11" s="121">
        <v>6549</v>
      </c>
      <c r="E11" s="122">
        <v>2596693</v>
      </c>
      <c r="F11" s="121">
        <v>10707</v>
      </c>
      <c r="G11" s="122">
        <v>5663784</v>
      </c>
      <c r="H11" s="121">
        <v>264</v>
      </c>
      <c r="I11" s="123">
        <v>161090</v>
      </c>
      <c r="J11" s="121">
        <v>672</v>
      </c>
      <c r="K11" s="123">
        <v>67694</v>
      </c>
      <c r="L11" s="121">
        <v>11171</v>
      </c>
      <c r="M11" s="123">
        <v>5570388</v>
      </c>
      <c r="N11" s="78" t="s">
        <v>54</v>
      </c>
    </row>
    <row r="12" spans="1:14" ht="13.5">
      <c r="A12" s="79"/>
      <c r="B12" s="126"/>
      <c r="C12" s="127"/>
      <c r="D12" s="126"/>
      <c r="E12" s="127"/>
      <c r="F12" s="128"/>
      <c r="G12" s="127"/>
      <c r="H12" s="128"/>
      <c r="I12" s="127"/>
      <c r="J12" s="128"/>
      <c r="K12" s="127"/>
      <c r="L12" s="128"/>
      <c r="M12" s="127"/>
      <c r="N12" s="80"/>
    </row>
    <row r="13" spans="1:14" ht="13.5">
      <c r="A13" s="73" t="s">
        <v>55</v>
      </c>
      <c r="B13" s="113">
        <f>_xlfn.COMPOUNDVALUE(17)</f>
        <v>2291</v>
      </c>
      <c r="C13" s="114">
        <v>1511128</v>
      </c>
      <c r="D13" s="113">
        <f>_xlfn.COMPOUNDVALUE(18)</f>
        <v>3259</v>
      </c>
      <c r="E13" s="114">
        <v>1354515</v>
      </c>
      <c r="F13" s="113">
        <f>_xlfn.COMPOUNDVALUE(19)</f>
        <v>5550</v>
      </c>
      <c r="G13" s="114">
        <v>2865643</v>
      </c>
      <c r="H13" s="113">
        <f>_xlfn.COMPOUNDVALUE(20)</f>
        <v>123</v>
      </c>
      <c r="I13" s="115">
        <v>80997</v>
      </c>
      <c r="J13" s="113">
        <v>362</v>
      </c>
      <c r="K13" s="115">
        <v>60135</v>
      </c>
      <c r="L13" s="113">
        <v>5839</v>
      </c>
      <c r="M13" s="115">
        <v>2844780</v>
      </c>
      <c r="N13" s="74" t="s">
        <v>55</v>
      </c>
    </row>
    <row r="14" spans="1:14" ht="13.5">
      <c r="A14" s="75" t="s">
        <v>56</v>
      </c>
      <c r="B14" s="118">
        <f>_xlfn.COMPOUNDVALUE(21)</f>
        <v>491</v>
      </c>
      <c r="C14" s="119">
        <v>320636</v>
      </c>
      <c r="D14" s="118">
        <f>_xlfn.COMPOUNDVALUE(22)</f>
        <v>867</v>
      </c>
      <c r="E14" s="119">
        <v>317570</v>
      </c>
      <c r="F14" s="118">
        <f>_xlfn.COMPOUNDVALUE(23)</f>
        <v>1358</v>
      </c>
      <c r="G14" s="119">
        <v>638206</v>
      </c>
      <c r="H14" s="118">
        <f>_xlfn.COMPOUNDVALUE(24)</f>
        <v>42</v>
      </c>
      <c r="I14" s="120">
        <v>34548</v>
      </c>
      <c r="J14" s="118">
        <v>66</v>
      </c>
      <c r="K14" s="120">
        <v>4984</v>
      </c>
      <c r="L14" s="118">
        <v>1405</v>
      </c>
      <c r="M14" s="120">
        <v>608642</v>
      </c>
      <c r="N14" s="76" t="s">
        <v>56</v>
      </c>
    </row>
    <row r="15" spans="1:14" ht="13.5">
      <c r="A15" s="75" t="s">
        <v>57</v>
      </c>
      <c r="B15" s="118">
        <f>_xlfn.COMPOUNDVALUE(25)</f>
        <v>931</v>
      </c>
      <c r="C15" s="119">
        <v>921508</v>
      </c>
      <c r="D15" s="118">
        <f>_xlfn.COMPOUNDVALUE(26)</f>
        <v>1628</v>
      </c>
      <c r="E15" s="119">
        <v>615519</v>
      </c>
      <c r="F15" s="118">
        <f>_xlfn.COMPOUNDVALUE(27)</f>
        <v>2559</v>
      </c>
      <c r="G15" s="119">
        <v>1537028</v>
      </c>
      <c r="H15" s="118">
        <f>_xlfn.COMPOUNDVALUE(28)</f>
        <v>55</v>
      </c>
      <c r="I15" s="120">
        <v>31429</v>
      </c>
      <c r="J15" s="118">
        <v>179</v>
      </c>
      <c r="K15" s="120">
        <v>35851</v>
      </c>
      <c r="L15" s="118">
        <v>2647</v>
      </c>
      <c r="M15" s="120">
        <v>1541450</v>
      </c>
      <c r="N15" s="76" t="s">
        <v>57</v>
      </c>
    </row>
    <row r="16" spans="1:14" ht="13.5">
      <c r="A16" s="75" t="s">
        <v>58</v>
      </c>
      <c r="B16" s="118">
        <f>_xlfn.COMPOUNDVALUE(29)</f>
        <v>335</v>
      </c>
      <c r="C16" s="119">
        <v>222210</v>
      </c>
      <c r="D16" s="118">
        <f>_xlfn.COMPOUNDVALUE(30)</f>
        <v>661</v>
      </c>
      <c r="E16" s="119">
        <v>236432</v>
      </c>
      <c r="F16" s="118">
        <f>_xlfn.COMPOUNDVALUE(31)</f>
        <v>996</v>
      </c>
      <c r="G16" s="119">
        <v>458641</v>
      </c>
      <c r="H16" s="118">
        <f>_xlfn.COMPOUNDVALUE(32)</f>
        <v>11</v>
      </c>
      <c r="I16" s="120">
        <v>6770</v>
      </c>
      <c r="J16" s="118">
        <v>50</v>
      </c>
      <c r="K16" s="120">
        <v>2153</v>
      </c>
      <c r="L16" s="118">
        <v>1021</v>
      </c>
      <c r="M16" s="120">
        <v>454024</v>
      </c>
      <c r="N16" s="76" t="s">
        <v>58</v>
      </c>
    </row>
    <row r="17" spans="1:14" ht="13.5">
      <c r="A17" s="75" t="s">
        <v>59</v>
      </c>
      <c r="B17" s="118">
        <f>_xlfn.COMPOUNDVALUE(33)</f>
        <v>611</v>
      </c>
      <c r="C17" s="119">
        <v>364432</v>
      </c>
      <c r="D17" s="118">
        <f>_xlfn.COMPOUNDVALUE(34)</f>
        <v>893</v>
      </c>
      <c r="E17" s="119">
        <v>343971</v>
      </c>
      <c r="F17" s="118">
        <f>_xlfn.COMPOUNDVALUE(35)</f>
        <v>1504</v>
      </c>
      <c r="G17" s="119">
        <v>708403</v>
      </c>
      <c r="H17" s="118">
        <f>_xlfn.COMPOUNDVALUE(36)</f>
        <v>46</v>
      </c>
      <c r="I17" s="120">
        <v>32616</v>
      </c>
      <c r="J17" s="118">
        <v>99</v>
      </c>
      <c r="K17" s="120">
        <v>16271</v>
      </c>
      <c r="L17" s="118">
        <v>1590</v>
      </c>
      <c r="M17" s="120">
        <v>692058</v>
      </c>
      <c r="N17" s="76" t="s">
        <v>59</v>
      </c>
    </row>
    <row r="18" spans="1:14" ht="13.5">
      <c r="A18" s="77" t="s">
        <v>60</v>
      </c>
      <c r="B18" s="121">
        <v>4659</v>
      </c>
      <c r="C18" s="122">
        <v>3339914</v>
      </c>
      <c r="D18" s="121">
        <v>7308</v>
      </c>
      <c r="E18" s="122">
        <v>2868007</v>
      </c>
      <c r="F18" s="121">
        <v>11967</v>
      </c>
      <c r="G18" s="122">
        <v>6207921</v>
      </c>
      <c r="H18" s="121">
        <v>277</v>
      </c>
      <c r="I18" s="123">
        <v>186359</v>
      </c>
      <c r="J18" s="121">
        <v>756</v>
      </c>
      <c r="K18" s="123">
        <v>119393</v>
      </c>
      <c r="L18" s="121">
        <v>12502</v>
      </c>
      <c r="M18" s="123">
        <v>6140955</v>
      </c>
      <c r="N18" s="78" t="s">
        <v>60</v>
      </c>
    </row>
    <row r="19" spans="1:14" ht="13.5">
      <c r="A19" s="79"/>
      <c r="B19" s="126"/>
      <c r="C19" s="127"/>
      <c r="D19" s="126"/>
      <c r="E19" s="127"/>
      <c r="F19" s="128"/>
      <c r="G19" s="127"/>
      <c r="H19" s="128"/>
      <c r="I19" s="127"/>
      <c r="J19" s="128"/>
      <c r="K19" s="127"/>
      <c r="L19" s="128"/>
      <c r="M19" s="127"/>
      <c r="N19" s="80"/>
    </row>
    <row r="20" spans="1:14" ht="13.5">
      <c r="A20" s="73" t="s">
        <v>61</v>
      </c>
      <c r="B20" s="113">
        <f>_xlfn.COMPOUNDVALUE(37)</f>
        <v>1321</v>
      </c>
      <c r="C20" s="114">
        <v>840911</v>
      </c>
      <c r="D20" s="113">
        <f>_xlfn.COMPOUNDVALUE(38)</f>
        <v>1767</v>
      </c>
      <c r="E20" s="114">
        <v>748858</v>
      </c>
      <c r="F20" s="113">
        <f>_xlfn.COMPOUNDVALUE(39)</f>
        <v>3088</v>
      </c>
      <c r="G20" s="114">
        <v>1589769</v>
      </c>
      <c r="H20" s="113">
        <f>_xlfn.COMPOUNDVALUE(40)</f>
        <v>104</v>
      </c>
      <c r="I20" s="115">
        <v>61727</v>
      </c>
      <c r="J20" s="113">
        <v>137</v>
      </c>
      <c r="K20" s="115">
        <v>23089</v>
      </c>
      <c r="L20" s="113">
        <v>3241</v>
      </c>
      <c r="M20" s="115">
        <v>1551131</v>
      </c>
      <c r="N20" s="74" t="s">
        <v>62</v>
      </c>
    </row>
    <row r="21" spans="1:14" ht="13.5">
      <c r="A21" s="75" t="s">
        <v>63</v>
      </c>
      <c r="B21" s="118">
        <f>_xlfn.COMPOUNDVALUE(41)</f>
        <v>322</v>
      </c>
      <c r="C21" s="119">
        <v>191812</v>
      </c>
      <c r="D21" s="118">
        <f>_xlfn.COMPOUNDVALUE(42)</f>
        <v>566</v>
      </c>
      <c r="E21" s="119">
        <v>211046</v>
      </c>
      <c r="F21" s="118">
        <f>_xlfn.COMPOUNDVALUE(43)</f>
        <v>888</v>
      </c>
      <c r="G21" s="119">
        <v>402858</v>
      </c>
      <c r="H21" s="118">
        <f>_xlfn.COMPOUNDVALUE(44)</f>
        <v>29</v>
      </c>
      <c r="I21" s="120">
        <v>5087</v>
      </c>
      <c r="J21" s="118">
        <v>78</v>
      </c>
      <c r="K21" s="120">
        <v>9625</v>
      </c>
      <c r="L21" s="118">
        <v>940</v>
      </c>
      <c r="M21" s="120">
        <v>407395</v>
      </c>
      <c r="N21" s="76" t="s">
        <v>64</v>
      </c>
    </row>
    <row r="22" spans="1:14" ht="13.5">
      <c r="A22" s="75" t="s">
        <v>65</v>
      </c>
      <c r="B22" s="118">
        <f>_xlfn.COMPOUNDVALUE(45)</f>
        <v>888</v>
      </c>
      <c r="C22" s="119">
        <v>589306</v>
      </c>
      <c r="D22" s="118">
        <f>_xlfn.COMPOUNDVALUE(46)</f>
        <v>1222</v>
      </c>
      <c r="E22" s="119">
        <v>487746</v>
      </c>
      <c r="F22" s="118">
        <f>_xlfn.COMPOUNDVALUE(47)</f>
        <v>2110</v>
      </c>
      <c r="G22" s="119">
        <v>1077052</v>
      </c>
      <c r="H22" s="118">
        <f>_xlfn.COMPOUNDVALUE(48)</f>
        <v>71</v>
      </c>
      <c r="I22" s="120">
        <v>31308</v>
      </c>
      <c r="J22" s="118">
        <v>121</v>
      </c>
      <c r="K22" s="120">
        <v>18671</v>
      </c>
      <c r="L22" s="118">
        <v>2214</v>
      </c>
      <c r="M22" s="120">
        <v>1064415</v>
      </c>
      <c r="N22" s="76" t="s">
        <v>66</v>
      </c>
    </row>
    <row r="23" spans="1:14" ht="13.5">
      <c r="A23" s="75" t="s">
        <v>67</v>
      </c>
      <c r="B23" s="118">
        <f>_xlfn.COMPOUNDVALUE(49)</f>
        <v>231</v>
      </c>
      <c r="C23" s="119">
        <v>116771</v>
      </c>
      <c r="D23" s="118">
        <f>_xlfn.COMPOUNDVALUE(50)</f>
        <v>358</v>
      </c>
      <c r="E23" s="119">
        <v>137682</v>
      </c>
      <c r="F23" s="118">
        <f>_xlfn.COMPOUNDVALUE(51)</f>
        <v>589</v>
      </c>
      <c r="G23" s="119">
        <v>254453</v>
      </c>
      <c r="H23" s="118">
        <f>_xlfn.COMPOUNDVALUE(52)</f>
        <v>11</v>
      </c>
      <c r="I23" s="120">
        <v>5151</v>
      </c>
      <c r="J23" s="118">
        <v>59</v>
      </c>
      <c r="K23" s="120">
        <v>8153</v>
      </c>
      <c r="L23" s="118">
        <v>620</v>
      </c>
      <c r="M23" s="120">
        <v>257455</v>
      </c>
      <c r="N23" s="76" t="s">
        <v>68</v>
      </c>
    </row>
    <row r="24" spans="1:14" ht="13.5">
      <c r="A24" s="75" t="s">
        <v>69</v>
      </c>
      <c r="B24" s="118">
        <f>_xlfn.COMPOUNDVALUE(53)</f>
        <v>285</v>
      </c>
      <c r="C24" s="119">
        <v>163991</v>
      </c>
      <c r="D24" s="118">
        <f>_xlfn.COMPOUNDVALUE(54)</f>
        <v>414</v>
      </c>
      <c r="E24" s="119">
        <v>150663</v>
      </c>
      <c r="F24" s="118">
        <f>_xlfn.COMPOUNDVALUE(55)</f>
        <v>699</v>
      </c>
      <c r="G24" s="119">
        <v>314655</v>
      </c>
      <c r="H24" s="118">
        <f>_xlfn.COMPOUNDVALUE(56)</f>
        <v>10</v>
      </c>
      <c r="I24" s="120">
        <v>1974</v>
      </c>
      <c r="J24" s="118">
        <v>73</v>
      </c>
      <c r="K24" s="120">
        <v>5801</v>
      </c>
      <c r="L24" s="118">
        <v>723</v>
      </c>
      <c r="M24" s="120">
        <v>318481</v>
      </c>
      <c r="N24" s="76" t="s">
        <v>70</v>
      </c>
    </row>
    <row r="25" spans="1:14" ht="13.5">
      <c r="A25" s="75" t="s">
        <v>71</v>
      </c>
      <c r="B25" s="118">
        <f>_xlfn.COMPOUNDVALUE(57)</f>
        <v>515</v>
      </c>
      <c r="C25" s="119">
        <v>294875</v>
      </c>
      <c r="D25" s="118">
        <f>_xlfn.COMPOUNDVALUE(58)</f>
        <v>696</v>
      </c>
      <c r="E25" s="119">
        <v>264328</v>
      </c>
      <c r="F25" s="118">
        <f>_xlfn.COMPOUNDVALUE(59)</f>
        <v>1211</v>
      </c>
      <c r="G25" s="119">
        <v>559203</v>
      </c>
      <c r="H25" s="118">
        <f>_xlfn.COMPOUNDVALUE(60)</f>
        <v>27</v>
      </c>
      <c r="I25" s="120">
        <v>11344</v>
      </c>
      <c r="J25" s="118">
        <v>79</v>
      </c>
      <c r="K25" s="120">
        <v>8188</v>
      </c>
      <c r="L25" s="118">
        <v>1256</v>
      </c>
      <c r="M25" s="120">
        <v>556047</v>
      </c>
      <c r="N25" s="76" t="s">
        <v>72</v>
      </c>
    </row>
    <row r="26" spans="1:14" ht="13.5">
      <c r="A26" s="77" t="s">
        <v>73</v>
      </c>
      <c r="B26" s="121">
        <v>3562</v>
      </c>
      <c r="C26" s="122">
        <v>2197666</v>
      </c>
      <c r="D26" s="121">
        <v>5023</v>
      </c>
      <c r="E26" s="122">
        <v>2000323</v>
      </c>
      <c r="F26" s="121">
        <v>8585</v>
      </c>
      <c r="G26" s="122">
        <v>4197989</v>
      </c>
      <c r="H26" s="121">
        <v>252</v>
      </c>
      <c r="I26" s="123">
        <v>116591</v>
      </c>
      <c r="J26" s="121">
        <v>547</v>
      </c>
      <c r="K26" s="123">
        <v>73526</v>
      </c>
      <c r="L26" s="121">
        <v>8994</v>
      </c>
      <c r="M26" s="123">
        <v>4154924</v>
      </c>
      <c r="N26" s="78" t="s">
        <v>74</v>
      </c>
    </row>
    <row r="27" spans="1:14" ht="14.25" thickBot="1">
      <c r="A27" s="81"/>
      <c r="B27" s="132"/>
      <c r="C27" s="133"/>
      <c r="D27" s="132"/>
      <c r="E27" s="133"/>
      <c r="F27" s="134"/>
      <c r="G27" s="133"/>
      <c r="H27" s="134"/>
      <c r="I27" s="133"/>
      <c r="J27" s="134"/>
      <c r="K27" s="133"/>
      <c r="L27" s="134"/>
      <c r="M27" s="133"/>
      <c r="N27" s="82"/>
    </row>
    <row r="28" spans="1:14" ht="15" thickBot="1" thickTop="1">
      <c r="A28" s="83" t="s">
        <v>75</v>
      </c>
      <c r="B28" s="138">
        <v>12379</v>
      </c>
      <c r="C28" s="139">
        <v>8604670</v>
      </c>
      <c r="D28" s="138">
        <v>18880</v>
      </c>
      <c r="E28" s="139">
        <v>7465023</v>
      </c>
      <c r="F28" s="138">
        <v>31259</v>
      </c>
      <c r="G28" s="139">
        <v>16069693</v>
      </c>
      <c r="H28" s="138">
        <v>793</v>
      </c>
      <c r="I28" s="140">
        <v>464040</v>
      </c>
      <c r="J28" s="138">
        <v>1975</v>
      </c>
      <c r="K28" s="140">
        <v>260614</v>
      </c>
      <c r="L28" s="138">
        <v>32667</v>
      </c>
      <c r="M28" s="140">
        <v>15866268</v>
      </c>
      <c r="N28" s="84" t="s">
        <v>76</v>
      </c>
    </row>
    <row r="29" spans="1:14" ht="13.5">
      <c r="A29" s="193" t="s">
        <v>131</v>
      </c>
      <c r="B29" s="193"/>
      <c r="C29" s="193"/>
      <c r="D29" s="193"/>
      <c r="E29" s="193"/>
      <c r="F29" s="193"/>
      <c r="G29" s="193"/>
      <c r="H29" s="193"/>
      <c r="I29" s="193"/>
      <c r="J29" s="85"/>
      <c r="K29" s="85"/>
      <c r="L29" s="62"/>
      <c r="M29" s="62"/>
      <c r="N29" s="62"/>
    </row>
  </sheetData>
  <sheetProtection/>
  <mergeCells count="11">
    <mergeCell ref="A2:G2"/>
    <mergeCell ref="A3:A5"/>
    <mergeCell ref="B3:G3"/>
    <mergeCell ref="H3:I4"/>
    <mergeCell ref="J3:K4"/>
    <mergeCell ref="L3:M4"/>
    <mergeCell ref="N3:N5"/>
    <mergeCell ref="B4:C4"/>
    <mergeCell ref="D4:E4"/>
    <mergeCell ref="F4:G4"/>
    <mergeCell ref="A29:I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&amp;R金沢国税局
消費税
(H27)</oddFooter>
  </headerFooter>
</worksheet>
</file>

<file path=xl/worksheets/sheet5.xml><?xml version="1.0" encoding="utf-8"?>
<worksheet xmlns="http://schemas.openxmlformats.org/spreadsheetml/2006/main" xmlns:r="http://schemas.openxmlformats.org/officeDocument/2006/relationships">
  <dimension ref="A1:N29"/>
  <sheetViews>
    <sheetView view="pageBreakPreview" zoomScaleSheetLayoutView="100" zoomScalePageLayoutView="0" workbookViewId="0" topLeftCell="A1">
      <selection activeCell="A1" sqref="A1"/>
    </sheetView>
  </sheetViews>
  <sheetFormatPr defaultColWidth="9.00390625" defaultRowHeight="13.5"/>
  <cols>
    <col min="1" max="1" width="11.12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77</v>
      </c>
      <c r="B1" s="61"/>
      <c r="C1" s="61"/>
      <c r="D1" s="61"/>
      <c r="E1" s="61"/>
      <c r="F1" s="61"/>
      <c r="G1" s="61"/>
      <c r="H1" s="61"/>
      <c r="I1" s="61"/>
      <c r="J1" s="61"/>
      <c r="K1" s="61"/>
      <c r="L1" s="62"/>
      <c r="M1" s="62"/>
      <c r="N1" s="112"/>
    </row>
    <row r="2" spans="1:14" ht="14.25" thickBot="1">
      <c r="A2" s="200" t="s">
        <v>78</v>
      </c>
      <c r="B2" s="200"/>
      <c r="C2" s="200"/>
      <c r="D2" s="200"/>
      <c r="E2" s="200"/>
      <c r="F2" s="200"/>
      <c r="G2" s="200"/>
      <c r="H2" s="200"/>
      <c r="I2" s="200"/>
      <c r="J2" s="85"/>
      <c r="K2" s="85"/>
      <c r="L2" s="62"/>
      <c r="M2" s="62"/>
      <c r="N2" s="112"/>
    </row>
    <row r="3" spans="1:14" ht="13.5">
      <c r="A3" s="195" t="s">
        <v>32</v>
      </c>
      <c r="B3" s="198" t="s">
        <v>33</v>
      </c>
      <c r="C3" s="198"/>
      <c r="D3" s="198"/>
      <c r="E3" s="198"/>
      <c r="F3" s="198"/>
      <c r="G3" s="198"/>
      <c r="H3" s="184" t="s">
        <v>13</v>
      </c>
      <c r="I3" s="185"/>
      <c r="J3" s="199" t="s">
        <v>34</v>
      </c>
      <c r="K3" s="185"/>
      <c r="L3" s="184" t="s">
        <v>35</v>
      </c>
      <c r="M3" s="185"/>
      <c r="N3" s="188" t="s">
        <v>79</v>
      </c>
    </row>
    <row r="4" spans="1:14" ht="13.5">
      <c r="A4" s="196"/>
      <c r="B4" s="186" t="s">
        <v>18</v>
      </c>
      <c r="C4" s="192"/>
      <c r="D4" s="186" t="s">
        <v>37</v>
      </c>
      <c r="E4" s="192"/>
      <c r="F4" s="186" t="s">
        <v>38</v>
      </c>
      <c r="G4" s="192"/>
      <c r="H4" s="186"/>
      <c r="I4" s="187"/>
      <c r="J4" s="186"/>
      <c r="K4" s="187"/>
      <c r="L4" s="186"/>
      <c r="M4" s="187"/>
      <c r="N4" s="189"/>
    </row>
    <row r="5" spans="1:14" ht="22.5">
      <c r="A5" s="197"/>
      <c r="B5" s="63" t="s">
        <v>39</v>
      </c>
      <c r="C5" s="64" t="s">
        <v>40</v>
      </c>
      <c r="D5" s="63" t="s">
        <v>39</v>
      </c>
      <c r="E5" s="64" t="s">
        <v>40</v>
      </c>
      <c r="F5" s="63" t="s">
        <v>39</v>
      </c>
      <c r="G5" s="65" t="s">
        <v>41</v>
      </c>
      <c r="H5" s="63" t="s">
        <v>39</v>
      </c>
      <c r="I5" s="66" t="s">
        <v>42</v>
      </c>
      <c r="J5" s="63" t="s">
        <v>39</v>
      </c>
      <c r="K5" s="66" t="s">
        <v>43</v>
      </c>
      <c r="L5" s="63" t="s">
        <v>39</v>
      </c>
      <c r="M5" s="67" t="s">
        <v>44</v>
      </c>
      <c r="N5" s="190"/>
    </row>
    <row r="6" spans="1:14" ht="13.5">
      <c r="A6" s="68"/>
      <c r="B6" s="69" t="s">
        <v>4</v>
      </c>
      <c r="C6" s="70" t="s">
        <v>5</v>
      </c>
      <c r="D6" s="69" t="s">
        <v>4</v>
      </c>
      <c r="E6" s="70" t="s">
        <v>5</v>
      </c>
      <c r="F6" s="69" t="s">
        <v>4</v>
      </c>
      <c r="G6" s="70" t="s">
        <v>5</v>
      </c>
      <c r="H6" s="69" t="s">
        <v>4</v>
      </c>
      <c r="I6" s="71" t="s">
        <v>5</v>
      </c>
      <c r="J6" s="69" t="s">
        <v>4</v>
      </c>
      <c r="K6" s="71" t="s">
        <v>5</v>
      </c>
      <c r="L6" s="69" t="s">
        <v>4</v>
      </c>
      <c r="M6" s="71" t="s">
        <v>5</v>
      </c>
      <c r="N6" s="72"/>
    </row>
    <row r="7" spans="1:14" ht="13.5">
      <c r="A7" s="73" t="s">
        <v>80</v>
      </c>
      <c r="B7" s="113">
        <f>_xlfn.COMPOUNDVALUE(61)</f>
        <v>4631</v>
      </c>
      <c r="C7" s="114">
        <v>54293365</v>
      </c>
      <c r="D7" s="113">
        <f>_xlfn.COMPOUNDVALUE(62)</f>
        <v>1716</v>
      </c>
      <c r="E7" s="114">
        <v>1045208</v>
      </c>
      <c r="F7" s="113">
        <f>_xlfn.COMPOUNDVALUE(63)</f>
        <v>6347</v>
      </c>
      <c r="G7" s="114">
        <v>55338573</v>
      </c>
      <c r="H7" s="113">
        <f>_xlfn.COMPOUNDVALUE(64)</f>
        <v>461</v>
      </c>
      <c r="I7" s="115">
        <v>4384534</v>
      </c>
      <c r="J7" s="113">
        <v>324</v>
      </c>
      <c r="K7" s="115">
        <v>56150</v>
      </c>
      <c r="L7" s="113">
        <v>6851</v>
      </c>
      <c r="M7" s="115">
        <v>51010188</v>
      </c>
      <c r="N7" s="92" t="s">
        <v>46</v>
      </c>
    </row>
    <row r="8" spans="1:14" ht="13.5">
      <c r="A8" s="75" t="s">
        <v>81</v>
      </c>
      <c r="B8" s="118">
        <f>_xlfn.COMPOUNDVALUE(65)</f>
        <v>3273</v>
      </c>
      <c r="C8" s="119">
        <v>28444881</v>
      </c>
      <c r="D8" s="118">
        <f>_xlfn.COMPOUNDVALUE(66)</f>
        <v>1159</v>
      </c>
      <c r="E8" s="119">
        <v>701617</v>
      </c>
      <c r="F8" s="118">
        <f>_xlfn.COMPOUNDVALUE(67)</f>
        <v>4432</v>
      </c>
      <c r="G8" s="119">
        <v>29146498</v>
      </c>
      <c r="H8" s="118">
        <f>_xlfn.COMPOUNDVALUE(68)</f>
        <v>492</v>
      </c>
      <c r="I8" s="120">
        <v>2768500</v>
      </c>
      <c r="J8" s="118">
        <v>242</v>
      </c>
      <c r="K8" s="120">
        <v>69352</v>
      </c>
      <c r="L8" s="118">
        <v>4956</v>
      </c>
      <c r="M8" s="120">
        <v>26447349</v>
      </c>
      <c r="N8" s="76" t="s">
        <v>48</v>
      </c>
    </row>
    <row r="9" spans="1:14" ht="13.5">
      <c r="A9" s="75" t="s">
        <v>82</v>
      </c>
      <c r="B9" s="118">
        <f>_xlfn.COMPOUNDVALUE(69)</f>
        <v>1804</v>
      </c>
      <c r="C9" s="119">
        <v>13213336</v>
      </c>
      <c r="D9" s="118">
        <f>_xlfn.COMPOUNDVALUE(70)</f>
        <v>629</v>
      </c>
      <c r="E9" s="119">
        <v>340085</v>
      </c>
      <c r="F9" s="118">
        <f>_xlfn.COMPOUNDVALUE(71)</f>
        <v>2433</v>
      </c>
      <c r="G9" s="119">
        <v>13553422</v>
      </c>
      <c r="H9" s="118">
        <f>_xlfn.COMPOUNDVALUE(72)</f>
        <v>150</v>
      </c>
      <c r="I9" s="120">
        <v>654046</v>
      </c>
      <c r="J9" s="118">
        <v>99</v>
      </c>
      <c r="K9" s="120">
        <v>9264</v>
      </c>
      <c r="L9" s="118">
        <v>2604</v>
      </c>
      <c r="M9" s="120">
        <v>12908640</v>
      </c>
      <c r="N9" s="76" t="s">
        <v>50</v>
      </c>
    </row>
    <row r="10" spans="1:14" ht="13.5">
      <c r="A10" s="75" t="s">
        <v>83</v>
      </c>
      <c r="B10" s="118">
        <f>_xlfn.COMPOUNDVALUE(73)</f>
        <v>1300</v>
      </c>
      <c r="C10" s="119">
        <v>10787687</v>
      </c>
      <c r="D10" s="118">
        <f>_xlfn.COMPOUNDVALUE(74)</f>
        <v>474</v>
      </c>
      <c r="E10" s="119">
        <v>291343</v>
      </c>
      <c r="F10" s="118">
        <f>_xlfn.COMPOUNDVALUE(75)</f>
        <v>1774</v>
      </c>
      <c r="G10" s="119">
        <v>11079030</v>
      </c>
      <c r="H10" s="118">
        <f>_xlfn.COMPOUNDVALUE(76)</f>
        <v>130</v>
      </c>
      <c r="I10" s="120">
        <v>524015</v>
      </c>
      <c r="J10" s="118">
        <v>60</v>
      </c>
      <c r="K10" s="120">
        <v>-6368</v>
      </c>
      <c r="L10" s="118">
        <v>1911</v>
      </c>
      <c r="M10" s="120">
        <v>10548646</v>
      </c>
      <c r="N10" s="76" t="s">
        <v>52</v>
      </c>
    </row>
    <row r="11" spans="1:14" ht="13.5">
      <c r="A11" s="77" t="s">
        <v>84</v>
      </c>
      <c r="B11" s="121">
        <v>11008</v>
      </c>
      <c r="C11" s="122">
        <v>106739270</v>
      </c>
      <c r="D11" s="121">
        <v>3978</v>
      </c>
      <c r="E11" s="122">
        <v>2378253</v>
      </c>
      <c r="F11" s="121">
        <v>14986</v>
      </c>
      <c r="G11" s="122">
        <v>109117522</v>
      </c>
      <c r="H11" s="121">
        <v>1233</v>
      </c>
      <c r="I11" s="123">
        <v>8331095</v>
      </c>
      <c r="J11" s="121">
        <v>725</v>
      </c>
      <c r="K11" s="123">
        <v>128397</v>
      </c>
      <c r="L11" s="121">
        <v>16322</v>
      </c>
      <c r="M11" s="123">
        <v>100914824</v>
      </c>
      <c r="N11" s="78" t="s">
        <v>54</v>
      </c>
    </row>
    <row r="12" spans="1:14" ht="13.5">
      <c r="A12" s="79"/>
      <c r="B12" s="126"/>
      <c r="C12" s="127"/>
      <c r="D12" s="126"/>
      <c r="E12" s="127"/>
      <c r="F12" s="128"/>
      <c r="G12" s="127"/>
      <c r="H12" s="128"/>
      <c r="I12" s="127"/>
      <c r="J12" s="128"/>
      <c r="K12" s="127"/>
      <c r="L12" s="128"/>
      <c r="M12" s="127"/>
      <c r="N12" s="80"/>
    </row>
    <row r="13" spans="1:14" ht="13.5">
      <c r="A13" s="73" t="s">
        <v>55</v>
      </c>
      <c r="B13" s="113">
        <f>_xlfn.COMPOUNDVALUE(77)</f>
        <v>6578</v>
      </c>
      <c r="C13" s="114">
        <v>55155449</v>
      </c>
      <c r="D13" s="113">
        <f>_xlfn.COMPOUNDVALUE(78)</f>
        <v>2617</v>
      </c>
      <c r="E13" s="114">
        <v>1547310</v>
      </c>
      <c r="F13" s="113">
        <f>_xlfn.COMPOUNDVALUE(79)</f>
        <v>9195</v>
      </c>
      <c r="G13" s="114">
        <v>56702759</v>
      </c>
      <c r="H13" s="113">
        <f>_xlfn.COMPOUNDVALUE(80)</f>
        <v>338</v>
      </c>
      <c r="I13" s="115">
        <v>2847807</v>
      </c>
      <c r="J13" s="113">
        <v>436</v>
      </c>
      <c r="K13" s="115">
        <v>76257</v>
      </c>
      <c r="L13" s="113">
        <v>9577</v>
      </c>
      <c r="M13" s="115">
        <v>53931209</v>
      </c>
      <c r="N13" s="74" t="s">
        <v>55</v>
      </c>
    </row>
    <row r="14" spans="1:14" ht="13.5">
      <c r="A14" s="75" t="s">
        <v>56</v>
      </c>
      <c r="B14" s="118">
        <f>_xlfn.COMPOUNDVALUE(81)</f>
        <v>1147</v>
      </c>
      <c r="C14" s="119">
        <v>6946468</v>
      </c>
      <c r="D14" s="118">
        <f>_xlfn.COMPOUNDVALUE(82)</f>
        <v>536</v>
      </c>
      <c r="E14" s="119">
        <v>294339</v>
      </c>
      <c r="F14" s="118">
        <f>_xlfn.COMPOUNDVALUE(83)</f>
        <v>1683</v>
      </c>
      <c r="G14" s="119">
        <v>7240806</v>
      </c>
      <c r="H14" s="118">
        <f>_xlfn.COMPOUNDVALUE(84)</f>
        <v>78</v>
      </c>
      <c r="I14" s="120">
        <v>175767</v>
      </c>
      <c r="J14" s="118">
        <v>72</v>
      </c>
      <c r="K14" s="120">
        <v>-2213</v>
      </c>
      <c r="L14" s="118">
        <v>1766</v>
      </c>
      <c r="M14" s="120">
        <v>7062826</v>
      </c>
      <c r="N14" s="76" t="s">
        <v>56</v>
      </c>
    </row>
    <row r="15" spans="1:14" ht="13.5">
      <c r="A15" s="75" t="s">
        <v>57</v>
      </c>
      <c r="B15" s="118">
        <f>_xlfn.COMPOUNDVALUE(85)</f>
        <v>2478</v>
      </c>
      <c r="C15" s="119">
        <v>16934481</v>
      </c>
      <c r="D15" s="118">
        <f>_xlfn.COMPOUNDVALUE(86)</f>
        <v>1034</v>
      </c>
      <c r="E15" s="119">
        <v>585195</v>
      </c>
      <c r="F15" s="118">
        <f>_xlfn.COMPOUNDVALUE(87)</f>
        <v>3512</v>
      </c>
      <c r="G15" s="119">
        <v>17519676</v>
      </c>
      <c r="H15" s="118">
        <f>_xlfn.COMPOUNDVALUE(88)</f>
        <v>99</v>
      </c>
      <c r="I15" s="120">
        <v>228277</v>
      </c>
      <c r="J15" s="118">
        <v>135</v>
      </c>
      <c r="K15" s="120">
        <v>29678</v>
      </c>
      <c r="L15" s="118">
        <v>3629</v>
      </c>
      <c r="M15" s="120">
        <v>17321077</v>
      </c>
      <c r="N15" s="76" t="s">
        <v>57</v>
      </c>
    </row>
    <row r="16" spans="1:14" ht="13.5">
      <c r="A16" s="75" t="s">
        <v>58</v>
      </c>
      <c r="B16" s="118">
        <f>_xlfn.COMPOUNDVALUE(89)</f>
        <v>585</v>
      </c>
      <c r="C16" s="119">
        <v>2158688</v>
      </c>
      <c r="D16" s="118">
        <f>_xlfn.COMPOUNDVALUE(90)</f>
        <v>231</v>
      </c>
      <c r="E16" s="119">
        <v>135675</v>
      </c>
      <c r="F16" s="118">
        <f>_xlfn.COMPOUNDVALUE(91)</f>
        <v>816</v>
      </c>
      <c r="G16" s="119">
        <v>2294362</v>
      </c>
      <c r="H16" s="118">
        <f>_xlfn.COMPOUNDVALUE(92)</f>
        <v>29</v>
      </c>
      <c r="I16" s="120">
        <v>81672</v>
      </c>
      <c r="J16" s="118">
        <v>63</v>
      </c>
      <c r="K16" s="120">
        <v>3713</v>
      </c>
      <c r="L16" s="118">
        <v>850</v>
      </c>
      <c r="M16" s="120">
        <v>2216403</v>
      </c>
      <c r="N16" s="76" t="s">
        <v>58</v>
      </c>
    </row>
    <row r="17" spans="1:14" ht="13.5">
      <c r="A17" s="75" t="s">
        <v>59</v>
      </c>
      <c r="B17" s="118">
        <f>_xlfn.COMPOUNDVALUE(93)</f>
        <v>1529</v>
      </c>
      <c r="C17" s="119">
        <v>13978054</v>
      </c>
      <c r="D17" s="118">
        <f>_xlfn.COMPOUNDVALUE(94)</f>
        <v>590</v>
      </c>
      <c r="E17" s="119">
        <v>337157</v>
      </c>
      <c r="F17" s="118">
        <f>_xlfn.COMPOUNDVALUE(95)</f>
        <v>2119</v>
      </c>
      <c r="G17" s="119">
        <v>14315210</v>
      </c>
      <c r="H17" s="118">
        <f>_xlfn.COMPOUNDVALUE(96)</f>
        <v>91</v>
      </c>
      <c r="I17" s="120">
        <v>1186184</v>
      </c>
      <c r="J17" s="118">
        <v>91</v>
      </c>
      <c r="K17" s="120">
        <v>27851</v>
      </c>
      <c r="L17" s="118">
        <v>2236</v>
      </c>
      <c r="M17" s="120">
        <v>13156877</v>
      </c>
      <c r="N17" s="76" t="s">
        <v>59</v>
      </c>
    </row>
    <row r="18" spans="1:14" ht="13.5">
      <c r="A18" s="77" t="s">
        <v>60</v>
      </c>
      <c r="B18" s="121">
        <v>12317</v>
      </c>
      <c r="C18" s="122">
        <v>95173139</v>
      </c>
      <c r="D18" s="121">
        <v>5008</v>
      </c>
      <c r="E18" s="122">
        <v>2899674</v>
      </c>
      <c r="F18" s="121">
        <v>17325</v>
      </c>
      <c r="G18" s="122">
        <v>98072813</v>
      </c>
      <c r="H18" s="121">
        <v>635</v>
      </c>
      <c r="I18" s="123">
        <v>4519707</v>
      </c>
      <c r="J18" s="121">
        <v>797</v>
      </c>
      <c r="K18" s="123">
        <v>135286</v>
      </c>
      <c r="L18" s="121">
        <v>18058</v>
      </c>
      <c r="M18" s="123">
        <v>93688392</v>
      </c>
      <c r="N18" s="78" t="s">
        <v>60</v>
      </c>
    </row>
    <row r="19" spans="1:14" ht="13.5">
      <c r="A19" s="79"/>
      <c r="B19" s="126"/>
      <c r="C19" s="127"/>
      <c r="D19" s="126"/>
      <c r="E19" s="127"/>
      <c r="F19" s="128"/>
      <c r="G19" s="127"/>
      <c r="H19" s="128"/>
      <c r="I19" s="127"/>
      <c r="J19" s="128"/>
      <c r="K19" s="127"/>
      <c r="L19" s="128"/>
      <c r="M19" s="127"/>
      <c r="N19" s="80"/>
    </row>
    <row r="20" spans="1:14" ht="13.5">
      <c r="A20" s="73" t="s">
        <v>85</v>
      </c>
      <c r="B20" s="113">
        <f>_xlfn.COMPOUNDVALUE(97)</f>
        <v>4157</v>
      </c>
      <c r="C20" s="114">
        <v>29618517</v>
      </c>
      <c r="D20" s="113">
        <f>_xlfn.COMPOUNDVALUE(98)</f>
        <v>1477</v>
      </c>
      <c r="E20" s="114">
        <v>884982</v>
      </c>
      <c r="F20" s="113">
        <f>_xlfn.COMPOUNDVALUE(99)</f>
        <v>5634</v>
      </c>
      <c r="G20" s="114">
        <v>30503499</v>
      </c>
      <c r="H20" s="113">
        <f>_xlfn.COMPOUNDVALUE(100)</f>
        <v>298</v>
      </c>
      <c r="I20" s="115">
        <v>2157462</v>
      </c>
      <c r="J20" s="113">
        <v>393</v>
      </c>
      <c r="K20" s="115">
        <v>84655</v>
      </c>
      <c r="L20" s="113">
        <v>5958</v>
      </c>
      <c r="M20" s="115">
        <v>28430692</v>
      </c>
      <c r="N20" s="74" t="s">
        <v>62</v>
      </c>
    </row>
    <row r="21" spans="1:14" ht="13.5">
      <c r="A21" s="75" t="s">
        <v>86</v>
      </c>
      <c r="B21" s="118">
        <f>_xlfn.COMPOUNDVALUE(101)</f>
        <v>983</v>
      </c>
      <c r="C21" s="119">
        <v>5304732</v>
      </c>
      <c r="D21" s="118">
        <f>_xlfn.COMPOUNDVALUE(102)</f>
        <v>409</v>
      </c>
      <c r="E21" s="119">
        <v>243006</v>
      </c>
      <c r="F21" s="118">
        <f>_xlfn.COMPOUNDVALUE(103)</f>
        <v>1392</v>
      </c>
      <c r="G21" s="119">
        <v>5547738</v>
      </c>
      <c r="H21" s="118">
        <f>_xlfn.COMPOUNDVALUE(104)</f>
        <v>51</v>
      </c>
      <c r="I21" s="120">
        <v>358864</v>
      </c>
      <c r="J21" s="118">
        <v>70</v>
      </c>
      <c r="K21" s="120">
        <v>4218</v>
      </c>
      <c r="L21" s="118">
        <v>1461</v>
      </c>
      <c r="M21" s="120">
        <v>5193092</v>
      </c>
      <c r="N21" s="76" t="s">
        <v>64</v>
      </c>
    </row>
    <row r="22" spans="1:14" ht="13.5">
      <c r="A22" s="75" t="s">
        <v>87</v>
      </c>
      <c r="B22" s="118">
        <f>_xlfn.COMPOUNDVALUE(105)</f>
        <v>1983</v>
      </c>
      <c r="C22" s="119">
        <v>15254480</v>
      </c>
      <c r="D22" s="118">
        <f>_xlfn.COMPOUNDVALUE(106)</f>
        <v>767</v>
      </c>
      <c r="E22" s="119">
        <v>424624</v>
      </c>
      <c r="F22" s="118">
        <f>_xlfn.COMPOUNDVALUE(107)</f>
        <v>2750</v>
      </c>
      <c r="G22" s="119">
        <v>15679104</v>
      </c>
      <c r="H22" s="118">
        <f>_xlfn.COMPOUNDVALUE(108)</f>
        <v>196</v>
      </c>
      <c r="I22" s="120">
        <v>774192</v>
      </c>
      <c r="J22" s="118">
        <v>173</v>
      </c>
      <c r="K22" s="120">
        <v>15226</v>
      </c>
      <c r="L22" s="118">
        <v>2957</v>
      </c>
      <c r="M22" s="120">
        <v>14920138</v>
      </c>
      <c r="N22" s="76" t="s">
        <v>66</v>
      </c>
    </row>
    <row r="23" spans="1:14" ht="13.5">
      <c r="A23" s="75" t="s">
        <v>88</v>
      </c>
      <c r="B23" s="118">
        <f>_xlfn.COMPOUNDVALUE(109)</f>
        <v>519</v>
      </c>
      <c r="C23" s="119">
        <v>2484395</v>
      </c>
      <c r="D23" s="118">
        <f>_xlfn.COMPOUNDVALUE(110)</f>
        <v>179</v>
      </c>
      <c r="E23" s="119">
        <v>103143</v>
      </c>
      <c r="F23" s="118">
        <f>_xlfn.COMPOUNDVALUE(111)</f>
        <v>698</v>
      </c>
      <c r="G23" s="119">
        <v>2587538</v>
      </c>
      <c r="H23" s="118">
        <f>_xlfn.COMPOUNDVALUE(112)</f>
        <v>30</v>
      </c>
      <c r="I23" s="120">
        <v>284627</v>
      </c>
      <c r="J23" s="118">
        <v>54</v>
      </c>
      <c r="K23" s="120">
        <v>12255</v>
      </c>
      <c r="L23" s="118">
        <v>734</v>
      </c>
      <c r="M23" s="120">
        <v>2315166</v>
      </c>
      <c r="N23" s="76" t="s">
        <v>68</v>
      </c>
    </row>
    <row r="24" spans="1:14" ht="13.5">
      <c r="A24" s="75" t="s">
        <v>89</v>
      </c>
      <c r="B24" s="118">
        <f>_xlfn.COMPOUNDVALUE(113)</f>
        <v>587</v>
      </c>
      <c r="C24" s="119">
        <v>2521710</v>
      </c>
      <c r="D24" s="118">
        <f>_xlfn.COMPOUNDVALUE(114)</f>
        <v>258</v>
      </c>
      <c r="E24" s="119">
        <v>143663</v>
      </c>
      <c r="F24" s="118">
        <f>_xlfn.COMPOUNDVALUE(115)</f>
        <v>845</v>
      </c>
      <c r="G24" s="119">
        <v>2665373</v>
      </c>
      <c r="H24" s="118">
        <f>_xlfn.COMPOUNDVALUE(116)</f>
        <v>31</v>
      </c>
      <c r="I24" s="120">
        <v>328161</v>
      </c>
      <c r="J24" s="118">
        <v>59</v>
      </c>
      <c r="K24" s="120">
        <v>-4063</v>
      </c>
      <c r="L24" s="118">
        <v>879</v>
      </c>
      <c r="M24" s="120">
        <v>2333149</v>
      </c>
      <c r="N24" s="76" t="s">
        <v>70</v>
      </c>
    </row>
    <row r="25" spans="1:14" ht="13.5">
      <c r="A25" s="75" t="s">
        <v>90</v>
      </c>
      <c r="B25" s="118">
        <f>_xlfn.COMPOUNDVALUE(117)</f>
        <v>1136</v>
      </c>
      <c r="C25" s="119">
        <v>8813032</v>
      </c>
      <c r="D25" s="118">
        <f>_xlfn.COMPOUNDVALUE(118)</f>
        <v>455</v>
      </c>
      <c r="E25" s="119">
        <v>259335</v>
      </c>
      <c r="F25" s="118">
        <f>_xlfn.COMPOUNDVALUE(119)</f>
        <v>1591</v>
      </c>
      <c r="G25" s="119">
        <v>9072366</v>
      </c>
      <c r="H25" s="118">
        <f>_xlfn.COMPOUNDVALUE(120)</f>
        <v>90</v>
      </c>
      <c r="I25" s="120">
        <v>695908</v>
      </c>
      <c r="J25" s="118">
        <v>78</v>
      </c>
      <c r="K25" s="120">
        <v>2230</v>
      </c>
      <c r="L25" s="118">
        <v>1687</v>
      </c>
      <c r="M25" s="120">
        <v>8378688</v>
      </c>
      <c r="N25" s="76" t="s">
        <v>72</v>
      </c>
    </row>
    <row r="26" spans="1:14" ht="13.5">
      <c r="A26" s="77" t="s">
        <v>91</v>
      </c>
      <c r="B26" s="121">
        <v>9365</v>
      </c>
      <c r="C26" s="122">
        <v>63996865</v>
      </c>
      <c r="D26" s="121">
        <v>3545</v>
      </c>
      <c r="E26" s="122">
        <v>2058754</v>
      </c>
      <c r="F26" s="121">
        <v>12910</v>
      </c>
      <c r="G26" s="122">
        <v>66055619</v>
      </c>
      <c r="H26" s="121">
        <v>696</v>
      </c>
      <c r="I26" s="123">
        <v>4599214</v>
      </c>
      <c r="J26" s="121">
        <v>827</v>
      </c>
      <c r="K26" s="123">
        <v>114521</v>
      </c>
      <c r="L26" s="121">
        <v>13676</v>
      </c>
      <c r="M26" s="123">
        <v>61570925</v>
      </c>
      <c r="N26" s="78" t="s">
        <v>74</v>
      </c>
    </row>
    <row r="27" spans="1:14" ht="14.25" thickBot="1">
      <c r="A27" s="81"/>
      <c r="B27" s="132"/>
      <c r="C27" s="133"/>
      <c r="D27" s="132"/>
      <c r="E27" s="133"/>
      <c r="F27" s="134"/>
      <c r="G27" s="133"/>
      <c r="H27" s="134"/>
      <c r="I27" s="133"/>
      <c r="J27" s="134"/>
      <c r="K27" s="133"/>
      <c r="L27" s="134"/>
      <c r="M27" s="133"/>
      <c r="N27" s="82"/>
    </row>
    <row r="28" spans="1:14" ht="15" thickBot="1" thickTop="1">
      <c r="A28" s="83" t="s">
        <v>92</v>
      </c>
      <c r="B28" s="138">
        <v>32690</v>
      </c>
      <c r="C28" s="139">
        <v>265909274</v>
      </c>
      <c r="D28" s="138">
        <v>12531</v>
      </c>
      <c r="E28" s="139">
        <v>7336680</v>
      </c>
      <c r="F28" s="138">
        <v>45221</v>
      </c>
      <c r="G28" s="139">
        <v>273245954</v>
      </c>
      <c r="H28" s="138">
        <v>2564</v>
      </c>
      <c r="I28" s="140">
        <v>17450017</v>
      </c>
      <c r="J28" s="138">
        <v>2349</v>
      </c>
      <c r="K28" s="140">
        <v>378204</v>
      </c>
      <c r="L28" s="138">
        <v>48056</v>
      </c>
      <c r="M28" s="140">
        <v>256174141</v>
      </c>
      <c r="N28" s="84" t="s">
        <v>76</v>
      </c>
    </row>
    <row r="29" spans="1:14" ht="13.5">
      <c r="A29" s="193" t="s">
        <v>131</v>
      </c>
      <c r="B29" s="193"/>
      <c r="C29" s="193"/>
      <c r="D29" s="193"/>
      <c r="E29" s="193"/>
      <c r="F29" s="193"/>
      <c r="G29" s="193"/>
      <c r="H29" s="193"/>
      <c r="I29" s="193"/>
      <c r="J29" s="85"/>
      <c r="K29" s="85"/>
      <c r="L29" s="62"/>
      <c r="M29" s="62"/>
      <c r="N29" s="62"/>
    </row>
  </sheetData>
  <sheetProtection/>
  <mergeCells count="11">
    <mergeCell ref="A2:I2"/>
    <mergeCell ref="A3:A5"/>
    <mergeCell ref="B3:G3"/>
    <mergeCell ref="H3:I4"/>
    <mergeCell ref="J3:K4"/>
    <mergeCell ref="L3:M4"/>
    <mergeCell ref="N3:N5"/>
    <mergeCell ref="B4:C4"/>
    <mergeCell ref="D4:E4"/>
    <mergeCell ref="F4:G4"/>
    <mergeCell ref="A29:I29"/>
  </mergeCells>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&amp;R金沢国税局
消費税
(H27)</oddFooter>
  </headerFooter>
</worksheet>
</file>

<file path=xl/worksheets/sheet6.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A1">
      <selection activeCell="A1" sqref="A1"/>
    </sheetView>
  </sheetViews>
  <sheetFormatPr defaultColWidth="9.00390625" defaultRowHeight="13.5"/>
  <cols>
    <col min="1" max="1" width="10.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7" width="10.625" style="58" customWidth="1"/>
    <col min="18" max="18" width="10.375" style="58" customWidth="1"/>
    <col min="19" max="16384" width="9.00390625" style="58" customWidth="1"/>
  </cols>
  <sheetData>
    <row r="1" spans="1:18" ht="13.5">
      <c r="A1" s="61" t="s">
        <v>77</v>
      </c>
      <c r="B1" s="61"/>
      <c r="C1" s="61"/>
      <c r="D1" s="61"/>
      <c r="E1" s="61"/>
      <c r="F1" s="61"/>
      <c r="G1" s="61"/>
      <c r="H1" s="61"/>
      <c r="I1" s="61"/>
      <c r="J1" s="61"/>
      <c r="K1" s="61"/>
      <c r="L1" s="62"/>
      <c r="M1" s="62"/>
      <c r="N1" s="62"/>
      <c r="O1" s="62"/>
      <c r="P1" s="62"/>
      <c r="Q1" s="112"/>
      <c r="R1" s="112"/>
    </row>
    <row r="2" spans="1:18" ht="14.25" thickBot="1">
      <c r="A2" s="200" t="s">
        <v>93</v>
      </c>
      <c r="B2" s="200"/>
      <c r="C2" s="200"/>
      <c r="D2" s="200"/>
      <c r="E2" s="200"/>
      <c r="F2" s="200"/>
      <c r="G2" s="200"/>
      <c r="H2" s="200"/>
      <c r="I2" s="200"/>
      <c r="J2" s="85"/>
      <c r="K2" s="85"/>
      <c r="L2" s="62"/>
      <c r="M2" s="62"/>
      <c r="N2" s="62"/>
      <c r="O2" s="62"/>
      <c r="P2" s="62"/>
      <c r="Q2" s="112"/>
      <c r="R2" s="112"/>
    </row>
    <row r="3" spans="1:18" ht="13.5">
      <c r="A3" s="195" t="s">
        <v>32</v>
      </c>
      <c r="B3" s="198" t="s">
        <v>33</v>
      </c>
      <c r="C3" s="198"/>
      <c r="D3" s="198"/>
      <c r="E3" s="198"/>
      <c r="F3" s="198"/>
      <c r="G3" s="198"/>
      <c r="H3" s="198" t="s">
        <v>13</v>
      </c>
      <c r="I3" s="198"/>
      <c r="J3" s="201" t="s">
        <v>34</v>
      </c>
      <c r="K3" s="198"/>
      <c r="L3" s="198" t="s">
        <v>35</v>
      </c>
      <c r="M3" s="198"/>
      <c r="N3" s="202" t="s">
        <v>94</v>
      </c>
      <c r="O3" s="203"/>
      <c r="P3" s="203"/>
      <c r="Q3" s="203"/>
      <c r="R3" s="188" t="s">
        <v>79</v>
      </c>
    </row>
    <row r="4" spans="1:18" ht="13.5">
      <c r="A4" s="196"/>
      <c r="B4" s="191" t="s">
        <v>18</v>
      </c>
      <c r="C4" s="191"/>
      <c r="D4" s="191" t="s">
        <v>37</v>
      </c>
      <c r="E4" s="191"/>
      <c r="F4" s="191" t="s">
        <v>38</v>
      </c>
      <c r="G4" s="191"/>
      <c r="H4" s="191"/>
      <c r="I4" s="191"/>
      <c r="J4" s="191"/>
      <c r="K4" s="191"/>
      <c r="L4" s="191"/>
      <c r="M4" s="191"/>
      <c r="N4" s="204" t="s">
        <v>95</v>
      </c>
      <c r="O4" s="206" t="s">
        <v>96</v>
      </c>
      <c r="P4" s="208" t="s">
        <v>97</v>
      </c>
      <c r="Q4" s="187" t="s">
        <v>98</v>
      </c>
      <c r="R4" s="189"/>
    </row>
    <row r="5" spans="1:18" ht="22.5">
      <c r="A5" s="197"/>
      <c r="B5" s="63" t="s">
        <v>39</v>
      </c>
      <c r="C5" s="64" t="s">
        <v>40</v>
      </c>
      <c r="D5" s="63" t="s">
        <v>39</v>
      </c>
      <c r="E5" s="64" t="s">
        <v>40</v>
      </c>
      <c r="F5" s="63" t="s">
        <v>39</v>
      </c>
      <c r="G5" s="64" t="s">
        <v>41</v>
      </c>
      <c r="H5" s="63" t="s">
        <v>39</v>
      </c>
      <c r="I5" s="64" t="s">
        <v>42</v>
      </c>
      <c r="J5" s="63" t="s">
        <v>39</v>
      </c>
      <c r="K5" s="64" t="s">
        <v>43</v>
      </c>
      <c r="L5" s="63" t="s">
        <v>39</v>
      </c>
      <c r="M5" s="86" t="s">
        <v>99</v>
      </c>
      <c r="N5" s="205"/>
      <c r="O5" s="207"/>
      <c r="P5" s="209"/>
      <c r="Q5" s="210"/>
      <c r="R5" s="190"/>
    </row>
    <row r="6" spans="1:18" ht="13.5">
      <c r="A6" s="68"/>
      <c r="B6" s="69" t="s">
        <v>4</v>
      </c>
      <c r="C6" s="70" t="s">
        <v>5</v>
      </c>
      <c r="D6" s="69" t="s">
        <v>4</v>
      </c>
      <c r="E6" s="70" t="s">
        <v>5</v>
      </c>
      <c r="F6" s="69" t="s">
        <v>4</v>
      </c>
      <c r="G6" s="70" t="s">
        <v>5</v>
      </c>
      <c r="H6" s="69" t="s">
        <v>4</v>
      </c>
      <c r="I6" s="70" t="s">
        <v>5</v>
      </c>
      <c r="J6" s="69" t="s">
        <v>4</v>
      </c>
      <c r="K6" s="70" t="s">
        <v>5</v>
      </c>
      <c r="L6" s="69" t="s">
        <v>4</v>
      </c>
      <c r="M6" s="70" t="s">
        <v>5</v>
      </c>
      <c r="N6" s="69" t="s">
        <v>4</v>
      </c>
      <c r="O6" s="87" t="s">
        <v>4</v>
      </c>
      <c r="P6" s="87" t="s">
        <v>4</v>
      </c>
      <c r="Q6" s="88" t="s">
        <v>4</v>
      </c>
      <c r="R6" s="72"/>
    </row>
    <row r="7" spans="1:18" ht="13.5">
      <c r="A7" s="73" t="s">
        <v>45</v>
      </c>
      <c r="B7" s="113">
        <f>_xlfn.COMPOUNDVALUE(121)</f>
        <v>6126</v>
      </c>
      <c r="C7" s="114">
        <v>55468286</v>
      </c>
      <c r="D7" s="113">
        <f>_xlfn.COMPOUNDVALUE(122)</f>
        <v>4107</v>
      </c>
      <c r="E7" s="114">
        <v>2035195</v>
      </c>
      <c r="F7" s="113">
        <f>_xlfn.COMPOUNDVALUE(123)</f>
        <v>10233</v>
      </c>
      <c r="G7" s="114">
        <v>57503481</v>
      </c>
      <c r="H7" s="113">
        <f>_xlfn.COMPOUNDVALUE(124)</f>
        <v>575</v>
      </c>
      <c r="I7" s="115">
        <v>4444298</v>
      </c>
      <c r="J7" s="113">
        <v>535</v>
      </c>
      <c r="K7" s="115">
        <v>73426</v>
      </c>
      <c r="L7" s="113">
        <v>10918</v>
      </c>
      <c r="M7" s="115">
        <v>53132609</v>
      </c>
      <c r="N7" s="113">
        <v>10434</v>
      </c>
      <c r="O7" s="116">
        <v>327</v>
      </c>
      <c r="P7" s="116">
        <v>27</v>
      </c>
      <c r="Q7" s="117">
        <v>10788</v>
      </c>
      <c r="R7" s="92" t="s">
        <v>46</v>
      </c>
    </row>
    <row r="8" spans="1:18" ht="13.5">
      <c r="A8" s="75" t="s">
        <v>47</v>
      </c>
      <c r="B8" s="118">
        <f>_xlfn.COMPOUNDVALUE(125)</f>
        <v>4613</v>
      </c>
      <c r="C8" s="119">
        <v>29415683</v>
      </c>
      <c r="D8" s="118">
        <f>_xlfn.COMPOUNDVALUE(126)</f>
        <v>3068</v>
      </c>
      <c r="E8" s="119">
        <v>1443987</v>
      </c>
      <c r="F8" s="118">
        <f>_xlfn.COMPOUNDVALUE(127)</f>
        <v>7681</v>
      </c>
      <c r="G8" s="119">
        <v>30859669</v>
      </c>
      <c r="H8" s="118">
        <f>_xlfn.COMPOUNDVALUE(128)</f>
        <v>561</v>
      </c>
      <c r="I8" s="120">
        <v>2813148</v>
      </c>
      <c r="J8" s="118">
        <v>475</v>
      </c>
      <c r="K8" s="120">
        <v>97066</v>
      </c>
      <c r="L8" s="118">
        <v>8344</v>
      </c>
      <c r="M8" s="120">
        <v>28143588</v>
      </c>
      <c r="N8" s="113">
        <v>7571</v>
      </c>
      <c r="O8" s="116">
        <v>299</v>
      </c>
      <c r="P8" s="116">
        <v>26</v>
      </c>
      <c r="Q8" s="117">
        <v>7896</v>
      </c>
      <c r="R8" s="76" t="s">
        <v>48</v>
      </c>
    </row>
    <row r="9" spans="1:18" ht="13.5">
      <c r="A9" s="75" t="s">
        <v>49</v>
      </c>
      <c r="B9" s="118">
        <f>_xlfn.COMPOUNDVALUE(129)</f>
        <v>2602</v>
      </c>
      <c r="C9" s="119">
        <v>13765254</v>
      </c>
      <c r="D9" s="118">
        <f>_xlfn.COMPOUNDVALUE(130)</f>
        <v>1978</v>
      </c>
      <c r="E9" s="119">
        <v>871326</v>
      </c>
      <c r="F9" s="118">
        <f>_xlfn.COMPOUNDVALUE(131)</f>
        <v>4580</v>
      </c>
      <c r="G9" s="119">
        <v>14636580</v>
      </c>
      <c r="H9" s="118">
        <f>_xlfn.COMPOUNDVALUE(132)</f>
        <v>197</v>
      </c>
      <c r="I9" s="120">
        <v>687497</v>
      </c>
      <c r="J9" s="118">
        <v>262</v>
      </c>
      <c r="K9" s="120">
        <v>22620</v>
      </c>
      <c r="L9" s="118">
        <v>4834</v>
      </c>
      <c r="M9" s="120">
        <v>13971703</v>
      </c>
      <c r="N9" s="113">
        <v>4489</v>
      </c>
      <c r="O9" s="116">
        <v>177</v>
      </c>
      <c r="P9" s="116">
        <v>11</v>
      </c>
      <c r="Q9" s="117">
        <v>4677</v>
      </c>
      <c r="R9" s="76" t="s">
        <v>50</v>
      </c>
    </row>
    <row r="10" spans="1:18" ht="13.5">
      <c r="A10" s="75" t="s">
        <v>51</v>
      </c>
      <c r="B10" s="118">
        <f>_xlfn.COMPOUNDVALUE(133)</f>
        <v>1825</v>
      </c>
      <c r="C10" s="119">
        <v>11157138</v>
      </c>
      <c r="D10" s="118">
        <f>_xlfn.COMPOUNDVALUE(134)</f>
        <v>1374</v>
      </c>
      <c r="E10" s="119">
        <v>624438</v>
      </c>
      <c r="F10" s="118">
        <f>_xlfn.COMPOUNDVALUE(135)</f>
        <v>3199</v>
      </c>
      <c r="G10" s="119">
        <v>11781575</v>
      </c>
      <c r="H10" s="118">
        <f>_xlfn.COMPOUNDVALUE(136)</f>
        <v>164</v>
      </c>
      <c r="I10" s="120">
        <v>547242</v>
      </c>
      <c r="J10" s="118">
        <v>125</v>
      </c>
      <c r="K10" s="120">
        <v>2979</v>
      </c>
      <c r="L10" s="118">
        <v>3397</v>
      </c>
      <c r="M10" s="120">
        <v>11237313</v>
      </c>
      <c r="N10" s="113">
        <v>3357</v>
      </c>
      <c r="O10" s="116">
        <v>130</v>
      </c>
      <c r="P10" s="116">
        <v>4</v>
      </c>
      <c r="Q10" s="117">
        <v>3491</v>
      </c>
      <c r="R10" s="76" t="s">
        <v>52</v>
      </c>
    </row>
    <row r="11" spans="1:18" ht="13.5">
      <c r="A11" s="77" t="s">
        <v>53</v>
      </c>
      <c r="B11" s="121">
        <v>15166</v>
      </c>
      <c r="C11" s="122">
        <v>109806360</v>
      </c>
      <c r="D11" s="121">
        <v>10527</v>
      </c>
      <c r="E11" s="122">
        <v>4974946</v>
      </c>
      <c r="F11" s="121">
        <v>25693</v>
      </c>
      <c r="G11" s="122">
        <v>114781306</v>
      </c>
      <c r="H11" s="121">
        <v>1497</v>
      </c>
      <c r="I11" s="123">
        <v>8492185</v>
      </c>
      <c r="J11" s="121">
        <v>1397</v>
      </c>
      <c r="K11" s="123">
        <v>196091</v>
      </c>
      <c r="L11" s="121">
        <v>27493</v>
      </c>
      <c r="M11" s="123">
        <v>106485212</v>
      </c>
      <c r="N11" s="121">
        <v>25851</v>
      </c>
      <c r="O11" s="124">
        <v>933</v>
      </c>
      <c r="P11" s="124">
        <v>68</v>
      </c>
      <c r="Q11" s="125">
        <v>26852</v>
      </c>
      <c r="R11" s="78" t="s">
        <v>54</v>
      </c>
    </row>
    <row r="12" spans="1:18" ht="13.5">
      <c r="A12" s="79"/>
      <c r="B12" s="126"/>
      <c r="C12" s="127"/>
      <c r="D12" s="126"/>
      <c r="E12" s="127"/>
      <c r="F12" s="128"/>
      <c r="G12" s="127"/>
      <c r="H12" s="128"/>
      <c r="I12" s="127"/>
      <c r="J12" s="128"/>
      <c r="K12" s="127"/>
      <c r="L12" s="128"/>
      <c r="M12" s="127"/>
      <c r="N12" s="129"/>
      <c r="O12" s="130"/>
      <c r="P12" s="130"/>
      <c r="Q12" s="131"/>
      <c r="R12" s="89" t="s">
        <v>100</v>
      </c>
    </row>
    <row r="13" spans="1:18" ht="13.5">
      <c r="A13" s="73" t="s">
        <v>55</v>
      </c>
      <c r="B13" s="113">
        <f>_xlfn.COMPOUNDVALUE(137)</f>
        <v>8869</v>
      </c>
      <c r="C13" s="114">
        <v>56666577</v>
      </c>
      <c r="D13" s="113">
        <f>_xlfn.COMPOUNDVALUE(138)</f>
        <v>5876</v>
      </c>
      <c r="E13" s="114">
        <v>2901824</v>
      </c>
      <c r="F13" s="113">
        <f>_xlfn.COMPOUNDVALUE(139)</f>
        <v>14745</v>
      </c>
      <c r="G13" s="114">
        <v>59568401</v>
      </c>
      <c r="H13" s="113">
        <f>_xlfn.COMPOUNDVALUE(140)</f>
        <v>461</v>
      </c>
      <c r="I13" s="115">
        <v>2928803</v>
      </c>
      <c r="J13" s="113">
        <v>798</v>
      </c>
      <c r="K13" s="115">
        <v>136392</v>
      </c>
      <c r="L13" s="113">
        <v>15416</v>
      </c>
      <c r="M13" s="115">
        <v>56775990</v>
      </c>
      <c r="N13" s="113">
        <v>15071</v>
      </c>
      <c r="O13" s="116">
        <v>306</v>
      </c>
      <c r="P13" s="116">
        <v>58</v>
      </c>
      <c r="Q13" s="117">
        <v>15435</v>
      </c>
      <c r="R13" s="76" t="s">
        <v>55</v>
      </c>
    </row>
    <row r="14" spans="1:18" ht="13.5">
      <c r="A14" s="75" t="s">
        <v>56</v>
      </c>
      <c r="B14" s="118">
        <f>_xlfn.COMPOUNDVALUE(141)</f>
        <v>1638</v>
      </c>
      <c r="C14" s="119">
        <v>7267104</v>
      </c>
      <c r="D14" s="118">
        <f>_xlfn.COMPOUNDVALUE(142)</f>
        <v>1403</v>
      </c>
      <c r="E14" s="119">
        <v>611909</v>
      </c>
      <c r="F14" s="118">
        <f>_xlfn.COMPOUNDVALUE(143)</f>
        <v>3041</v>
      </c>
      <c r="G14" s="119">
        <v>7879013</v>
      </c>
      <c r="H14" s="118">
        <f>_xlfn.COMPOUNDVALUE(144)</f>
        <v>120</v>
      </c>
      <c r="I14" s="120">
        <v>210315</v>
      </c>
      <c r="J14" s="118">
        <v>138</v>
      </c>
      <c r="K14" s="120">
        <v>2771</v>
      </c>
      <c r="L14" s="118">
        <v>3171</v>
      </c>
      <c r="M14" s="120">
        <v>7671468</v>
      </c>
      <c r="N14" s="113">
        <v>2989</v>
      </c>
      <c r="O14" s="116">
        <v>73</v>
      </c>
      <c r="P14" s="116">
        <v>4</v>
      </c>
      <c r="Q14" s="117">
        <v>3066</v>
      </c>
      <c r="R14" s="76" t="s">
        <v>56</v>
      </c>
    </row>
    <row r="15" spans="1:18" ht="13.5">
      <c r="A15" s="75" t="s">
        <v>57</v>
      </c>
      <c r="B15" s="118">
        <f>_xlfn.COMPOUNDVALUE(145)</f>
        <v>3409</v>
      </c>
      <c r="C15" s="119">
        <v>17855989</v>
      </c>
      <c r="D15" s="118">
        <f>_xlfn.COMPOUNDVALUE(146)</f>
        <v>2662</v>
      </c>
      <c r="E15" s="119">
        <v>1200714</v>
      </c>
      <c r="F15" s="118">
        <f>_xlfn.COMPOUNDVALUE(147)</f>
        <v>6071</v>
      </c>
      <c r="G15" s="119">
        <v>19056703</v>
      </c>
      <c r="H15" s="118">
        <f>_xlfn.COMPOUNDVALUE(148)</f>
        <v>154</v>
      </c>
      <c r="I15" s="120">
        <v>259705</v>
      </c>
      <c r="J15" s="118">
        <v>314</v>
      </c>
      <c r="K15" s="120">
        <v>65529</v>
      </c>
      <c r="L15" s="118">
        <v>6276</v>
      </c>
      <c r="M15" s="120">
        <v>18862527</v>
      </c>
      <c r="N15" s="113">
        <v>6088</v>
      </c>
      <c r="O15" s="116">
        <v>97</v>
      </c>
      <c r="P15" s="116">
        <v>6</v>
      </c>
      <c r="Q15" s="117">
        <v>6191</v>
      </c>
      <c r="R15" s="76" t="s">
        <v>57</v>
      </c>
    </row>
    <row r="16" spans="1:18" ht="13.5">
      <c r="A16" s="75" t="s">
        <v>58</v>
      </c>
      <c r="B16" s="118">
        <f>_xlfn.COMPOUNDVALUE(149)</f>
        <v>920</v>
      </c>
      <c r="C16" s="119">
        <v>2380897</v>
      </c>
      <c r="D16" s="118">
        <f>_xlfn.COMPOUNDVALUE(150)</f>
        <v>892</v>
      </c>
      <c r="E16" s="119">
        <v>372106</v>
      </c>
      <c r="F16" s="118">
        <f>_xlfn.COMPOUNDVALUE(151)</f>
        <v>1812</v>
      </c>
      <c r="G16" s="119">
        <v>2753004</v>
      </c>
      <c r="H16" s="118">
        <f>_xlfn.COMPOUNDVALUE(152)</f>
        <v>40</v>
      </c>
      <c r="I16" s="120">
        <v>88442</v>
      </c>
      <c r="J16" s="118">
        <v>113</v>
      </c>
      <c r="K16" s="120">
        <v>5866</v>
      </c>
      <c r="L16" s="118">
        <v>1871</v>
      </c>
      <c r="M16" s="120">
        <v>2670428</v>
      </c>
      <c r="N16" s="113">
        <v>1826</v>
      </c>
      <c r="O16" s="116">
        <v>39</v>
      </c>
      <c r="P16" s="116">
        <v>3</v>
      </c>
      <c r="Q16" s="117">
        <v>1868</v>
      </c>
      <c r="R16" s="76" t="s">
        <v>58</v>
      </c>
    </row>
    <row r="17" spans="1:18" ht="13.5">
      <c r="A17" s="75" t="s">
        <v>59</v>
      </c>
      <c r="B17" s="118">
        <f>_xlfn.COMPOUNDVALUE(153)</f>
        <v>2140</v>
      </c>
      <c r="C17" s="119">
        <v>14342485</v>
      </c>
      <c r="D17" s="118">
        <f>_xlfn.COMPOUNDVALUE(154)</f>
        <v>1483</v>
      </c>
      <c r="E17" s="119">
        <v>681128</v>
      </c>
      <c r="F17" s="118">
        <f>_xlfn.COMPOUNDVALUE(155)</f>
        <v>3623</v>
      </c>
      <c r="G17" s="119">
        <v>15023613</v>
      </c>
      <c r="H17" s="118">
        <f>_xlfn.COMPOUNDVALUE(156)</f>
        <v>137</v>
      </c>
      <c r="I17" s="120">
        <v>1218800</v>
      </c>
      <c r="J17" s="118">
        <v>190</v>
      </c>
      <c r="K17" s="120">
        <v>44122</v>
      </c>
      <c r="L17" s="118">
        <v>3826</v>
      </c>
      <c r="M17" s="120">
        <v>13848935</v>
      </c>
      <c r="N17" s="113">
        <v>3655</v>
      </c>
      <c r="O17" s="116">
        <v>74</v>
      </c>
      <c r="P17" s="116">
        <v>7</v>
      </c>
      <c r="Q17" s="117">
        <v>3736</v>
      </c>
      <c r="R17" s="76" t="s">
        <v>59</v>
      </c>
    </row>
    <row r="18" spans="1:18" ht="13.5">
      <c r="A18" s="77" t="s">
        <v>101</v>
      </c>
      <c r="B18" s="121">
        <v>16976</v>
      </c>
      <c r="C18" s="122">
        <v>98513053</v>
      </c>
      <c r="D18" s="121">
        <v>12316</v>
      </c>
      <c r="E18" s="122">
        <v>5767681</v>
      </c>
      <c r="F18" s="121">
        <v>29292</v>
      </c>
      <c r="G18" s="122">
        <v>104280734</v>
      </c>
      <c r="H18" s="121">
        <v>912</v>
      </c>
      <c r="I18" s="123">
        <v>4706066</v>
      </c>
      <c r="J18" s="121">
        <v>1553</v>
      </c>
      <c r="K18" s="123">
        <v>254679</v>
      </c>
      <c r="L18" s="121">
        <v>30560</v>
      </c>
      <c r="M18" s="123">
        <v>99829347</v>
      </c>
      <c r="N18" s="121">
        <v>29629</v>
      </c>
      <c r="O18" s="124">
        <v>589</v>
      </c>
      <c r="P18" s="124">
        <v>78</v>
      </c>
      <c r="Q18" s="125">
        <v>30296</v>
      </c>
      <c r="R18" s="78" t="s">
        <v>60</v>
      </c>
    </row>
    <row r="19" spans="1:18" ht="13.5">
      <c r="A19" s="79"/>
      <c r="B19" s="126"/>
      <c r="C19" s="127"/>
      <c r="D19" s="126"/>
      <c r="E19" s="127"/>
      <c r="F19" s="128"/>
      <c r="G19" s="127"/>
      <c r="H19" s="128"/>
      <c r="I19" s="127"/>
      <c r="J19" s="128"/>
      <c r="K19" s="127"/>
      <c r="L19" s="128"/>
      <c r="M19" s="127"/>
      <c r="N19" s="129"/>
      <c r="O19" s="130"/>
      <c r="P19" s="130"/>
      <c r="Q19" s="131"/>
      <c r="R19" s="89" t="s">
        <v>100</v>
      </c>
    </row>
    <row r="20" spans="1:18" ht="13.5">
      <c r="A20" s="73" t="s">
        <v>61</v>
      </c>
      <c r="B20" s="113">
        <f>_xlfn.COMPOUNDVALUE(157)</f>
        <v>5478</v>
      </c>
      <c r="C20" s="114">
        <v>30459428</v>
      </c>
      <c r="D20" s="113">
        <f>_xlfn.COMPOUNDVALUE(158)</f>
        <v>3244</v>
      </c>
      <c r="E20" s="114">
        <v>1633840</v>
      </c>
      <c r="F20" s="113">
        <f>_xlfn.COMPOUNDVALUE(159)</f>
        <v>8722</v>
      </c>
      <c r="G20" s="114">
        <v>32093268</v>
      </c>
      <c r="H20" s="113">
        <f>_xlfn.COMPOUNDVALUE(160)</f>
        <v>402</v>
      </c>
      <c r="I20" s="115">
        <v>2219189</v>
      </c>
      <c r="J20" s="113">
        <v>530</v>
      </c>
      <c r="K20" s="115">
        <v>107744</v>
      </c>
      <c r="L20" s="113">
        <v>9199</v>
      </c>
      <c r="M20" s="115">
        <v>29981822</v>
      </c>
      <c r="N20" s="113">
        <v>8770</v>
      </c>
      <c r="O20" s="116">
        <v>238</v>
      </c>
      <c r="P20" s="116">
        <v>32</v>
      </c>
      <c r="Q20" s="117">
        <v>9040</v>
      </c>
      <c r="R20" s="76" t="s">
        <v>62</v>
      </c>
    </row>
    <row r="21" spans="1:18" ht="13.5">
      <c r="A21" s="75" t="s">
        <v>63</v>
      </c>
      <c r="B21" s="118">
        <f>_xlfn.COMPOUNDVALUE(161)</f>
        <v>1305</v>
      </c>
      <c r="C21" s="119">
        <v>5496544</v>
      </c>
      <c r="D21" s="118">
        <f>_xlfn.COMPOUNDVALUE(162)</f>
        <v>975</v>
      </c>
      <c r="E21" s="119">
        <v>454052</v>
      </c>
      <c r="F21" s="118">
        <f>_xlfn.COMPOUNDVALUE(163)</f>
        <v>2280</v>
      </c>
      <c r="G21" s="119">
        <v>5950596</v>
      </c>
      <c r="H21" s="118">
        <f>_xlfn.COMPOUNDVALUE(164)</f>
        <v>80</v>
      </c>
      <c r="I21" s="120">
        <v>363951</v>
      </c>
      <c r="J21" s="118">
        <v>148</v>
      </c>
      <c r="K21" s="120">
        <v>13843</v>
      </c>
      <c r="L21" s="118">
        <v>2401</v>
      </c>
      <c r="M21" s="120">
        <v>5600487</v>
      </c>
      <c r="N21" s="113">
        <v>2231</v>
      </c>
      <c r="O21" s="116">
        <v>67</v>
      </c>
      <c r="P21" s="116">
        <v>1</v>
      </c>
      <c r="Q21" s="117">
        <v>2299</v>
      </c>
      <c r="R21" s="76" t="s">
        <v>64</v>
      </c>
    </row>
    <row r="22" spans="1:18" ht="13.5">
      <c r="A22" s="75" t="s">
        <v>65</v>
      </c>
      <c r="B22" s="118">
        <f>_xlfn.COMPOUNDVALUE(165)</f>
        <v>2871</v>
      </c>
      <c r="C22" s="119">
        <v>15843786</v>
      </c>
      <c r="D22" s="118">
        <f>_xlfn.COMPOUNDVALUE(166)</f>
        <v>1989</v>
      </c>
      <c r="E22" s="119">
        <v>912370</v>
      </c>
      <c r="F22" s="118">
        <f>_xlfn.COMPOUNDVALUE(167)</f>
        <v>4860</v>
      </c>
      <c r="G22" s="119">
        <v>16756156</v>
      </c>
      <c r="H22" s="118">
        <f>_xlfn.COMPOUNDVALUE(168)</f>
        <v>267</v>
      </c>
      <c r="I22" s="120">
        <v>805500</v>
      </c>
      <c r="J22" s="118">
        <v>294</v>
      </c>
      <c r="K22" s="120">
        <v>33897</v>
      </c>
      <c r="L22" s="118">
        <v>5171</v>
      </c>
      <c r="M22" s="120">
        <v>15984554</v>
      </c>
      <c r="N22" s="113">
        <v>4917</v>
      </c>
      <c r="O22" s="116">
        <v>115</v>
      </c>
      <c r="P22" s="116">
        <v>14</v>
      </c>
      <c r="Q22" s="117">
        <v>5046</v>
      </c>
      <c r="R22" s="76" t="s">
        <v>66</v>
      </c>
    </row>
    <row r="23" spans="1:18" ht="13.5">
      <c r="A23" s="75" t="s">
        <v>67</v>
      </c>
      <c r="B23" s="118">
        <f>_xlfn.COMPOUNDVALUE(169)</f>
        <v>750</v>
      </c>
      <c r="C23" s="119">
        <v>2601166</v>
      </c>
      <c r="D23" s="118">
        <f>_xlfn.COMPOUNDVALUE(170)</f>
        <v>537</v>
      </c>
      <c r="E23" s="119">
        <v>240825</v>
      </c>
      <c r="F23" s="118">
        <f>_xlfn.COMPOUNDVALUE(171)</f>
        <v>1287</v>
      </c>
      <c r="G23" s="119">
        <v>2841991</v>
      </c>
      <c r="H23" s="118">
        <f>_xlfn.COMPOUNDVALUE(172)</f>
        <v>41</v>
      </c>
      <c r="I23" s="120">
        <v>289779</v>
      </c>
      <c r="J23" s="118">
        <v>113</v>
      </c>
      <c r="K23" s="120">
        <v>20408</v>
      </c>
      <c r="L23" s="118">
        <v>1354</v>
      </c>
      <c r="M23" s="120">
        <v>2572620</v>
      </c>
      <c r="N23" s="113">
        <v>1396</v>
      </c>
      <c r="O23" s="116">
        <v>30</v>
      </c>
      <c r="P23" s="116">
        <v>2</v>
      </c>
      <c r="Q23" s="117">
        <v>1428</v>
      </c>
      <c r="R23" s="76" t="s">
        <v>68</v>
      </c>
    </row>
    <row r="24" spans="1:18" ht="13.5">
      <c r="A24" s="75" t="s">
        <v>69</v>
      </c>
      <c r="B24" s="118">
        <f>_xlfn.COMPOUNDVALUE(173)</f>
        <v>872</v>
      </c>
      <c r="C24" s="119">
        <v>2685701</v>
      </c>
      <c r="D24" s="118">
        <f>_xlfn.COMPOUNDVALUE(174)</f>
        <v>672</v>
      </c>
      <c r="E24" s="119">
        <v>294327</v>
      </c>
      <c r="F24" s="118">
        <f>_xlfn.COMPOUNDVALUE(175)</f>
        <v>1544</v>
      </c>
      <c r="G24" s="119">
        <v>2980028</v>
      </c>
      <c r="H24" s="118">
        <f>_xlfn.COMPOUNDVALUE(176)</f>
        <v>41</v>
      </c>
      <c r="I24" s="120">
        <v>330135</v>
      </c>
      <c r="J24" s="118">
        <v>132</v>
      </c>
      <c r="K24" s="120">
        <v>1738</v>
      </c>
      <c r="L24" s="118">
        <v>1602</v>
      </c>
      <c r="M24" s="120">
        <v>2651630</v>
      </c>
      <c r="N24" s="113">
        <v>1483</v>
      </c>
      <c r="O24" s="116">
        <v>36</v>
      </c>
      <c r="P24" s="116">
        <v>0</v>
      </c>
      <c r="Q24" s="117">
        <v>1519</v>
      </c>
      <c r="R24" s="76" t="s">
        <v>70</v>
      </c>
    </row>
    <row r="25" spans="1:18" ht="13.5">
      <c r="A25" s="75" t="s">
        <v>71</v>
      </c>
      <c r="B25" s="118">
        <f>_xlfn.COMPOUNDVALUE(177)</f>
        <v>1651</v>
      </c>
      <c r="C25" s="119">
        <v>9107907</v>
      </c>
      <c r="D25" s="118">
        <f>_xlfn.COMPOUNDVALUE(178)</f>
        <v>1151</v>
      </c>
      <c r="E25" s="119">
        <v>523663</v>
      </c>
      <c r="F25" s="118">
        <f>_xlfn.COMPOUNDVALUE(179)</f>
        <v>2802</v>
      </c>
      <c r="G25" s="119">
        <v>9631569</v>
      </c>
      <c r="H25" s="118">
        <f>_xlfn.COMPOUNDVALUE(180)</f>
        <v>117</v>
      </c>
      <c r="I25" s="120">
        <v>707252</v>
      </c>
      <c r="J25" s="118">
        <v>157</v>
      </c>
      <c r="K25" s="120">
        <v>10418</v>
      </c>
      <c r="L25" s="118">
        <v>2943</v>
      </c>
      <c r="M25" s="120">
        <v>8934735</v>
      </c>
      <c r="N25" s="113">
        <v>2833</v>
      </c>
      <c r="O25" s="116">
        <v>80</v>
      </c>
      <c r="P25" s="116">
        <v>5</v>
      </c>
      <c r="Q25" s="117">
        <v>2918</v>
      </c>
      <c r="R25" s="76" t="s">
        <v>72</v>
      </c>
    </row>
    <row r="26" spans="1:18" ht="13.5">
      <c r="A26" s="77" t="s">
        <v>73</v>
      </c>
      <c r="B26" s="121">
        <v>12927</v>
      </c>
      <c r="C26" s="122">
        <v>66194532</v>
      </c>
      <c r="D26" s="121">
        <v>8568</v>
      </c>
      <c r="E26" s="122">
        <v>4059077</v>
      </c>
      <c r="F26" s="121">
        <v>21495</v>
      </c>
      <c r="G26" s="122">
        <v>70253608</v>
      </c>
      <c r="H26" s="121">
        <v>948</v>
      </c>
      <c r="I26" s="123">
        <v>4715806</v>
      </c>
      <c r="J26" s="121">
        <v>1374</v>
      </c>
      <c r="K26" s="123">
        <v>188047</v>
      </c>
      <c r="L26" s="121">
        <v>22670</v>
      </c>
      <c r="M26" s="123">
        <v>65725849</v>
      </c>
      <c r="N26" s="121">
        <v>21630</v>
      </c>
      <c r="O26" s="124">
        <v>566</v>
      </c>
      <c r="P26" s="124">
        <v>54</v>
      </c>
      <c r="Q26" s="125">
        <v>22250</v>
      </c>
      <c r="R26" s="78" t="s">
        <v>74</v>
      </c>
    </row>
    <row r="27" spans="1:18" ht="14.25" thickBot="1">
      <c r="A27" s="81"/>
      <c r="B27" s="132"/>
      <c r="C27" s="133"/>
      <c r="D27" s="132"/>
      <c r="E27" s="133"/>
      <c r="F27" s="134"/>
      <c r="G27" s="133"/>
      <c r="H27" s="134"/>
      <c r="I27" s="133"/>
      <c r="J27" s="134"/>
      <c r="K27" s="133"/>
      <c r="L27" s="134"/>
      <c r="M27" s="133"/>
      <c r="N27" s="135"/>
      <c r="O27" s="136"/>
      <c r="P27" s="136"/>
      <c r="Q27" s="137"/>
      <c r="R27" s="90" t="s">
        <v>100</v>
      </c>
    </row>
    <row r="28" spans="1:18" ht="15" thickBot="1" thickTop="1">
      <c r="A28" s="83" t="s">
        <v>76</v>
      </c>
      <c r="B28" s="138">
        <v>45069</v>
      </c>
      <c r="C28" s="139">
        <v>274513944</v>
      </c>
      <c r="D28" s="138">
        <v>31411</v>
      </c>
      <c r="E28" s="139">
        <v>14801703</v>
      </c>
      <c r="F28" s="138">
        <v>76480</v>
      </c>
      <c r="G28" s="139">
        <v>289315647</v>
      </c>
      <c r="H28" s="138">
        <v>3357</v>
      </c>
      <c r="I28" s="140">
        <v>17914056</v>
      </c>
      <c r="J28" s="138">
        <v>4324</v>
      </c>
      <c r="K28" s="140">
        <v>638817</v>
      </c>
      <c r="L28" s="138">
        <v>80723</v>
      </c>
      <c r="M28" s="140">
        <v>272040408</v>
      </c>
      <c r="N28" s="141">
        <v>77110</v>
      </c>
      <c r="O28" s="142">
        <v>2088</v>
      </c>
      <c r="P28" s="142">
        <v>200</v>
      </c>
      <c r="Q28" s="143">
        <v>79398</v>
      </c>
      <c r="R28" s="91" t="s">
        <v>76</v>
      </c>
    </row>
    <row r="29" spans="1:18" ht="13.5">
      <c r="A29" s="193" t="s">
        <v>132</v>
      </c>
      <c r="B29" s="193"/>
      <c r="C29" s="193"/>
      <c r="D29" s="193"/>
      <c r="E29" s="193"/>
      <c r="F29" s="193"/>
      <c r="G29" s="193"/>
      <c r="H29" s="193"/>
      <c r="I29" s="193"/>
      <c r="J29" s="193"/>
      <c r="K29" s="112"/>
      <c r="L29" s="112"/>
      <c r="M29" s="112"/>
      <c r="N29" s="112"/>
      <c r="O29" s="112"/>
      <c r="P29" s="112"/>
      <c r="Q29" s="112"/>
      <c r="R29" s="112"/>
    </row>
  </sheetData>
  <sheetProtection/>
  <mergeCells count="16">
    <mergeCell ref="L3:M4"/>
    <mergeCell ref="N3:Q3"/>
    <mergeCell ref="R3:R5"/>
    <mergeCell ref="B4:C4"/>
    <mergeCell ref="D4:E4"/>
    <mergeCell ref="F4:G4"/>
    <mergeCell ref="N4:N5"/>
    <mergeCell ref="O4:O5"/>
    <mergeCell ref="P4:P5"/>
    <mergeCell ref="Q4:Q5"/>
    <mergeCell ref="A29:J29"/>
    <mergeCell ref="A2:I2"/>
    <mergeCell ref="A3:A5"/>
    <mergeCell ref="B3:G3"/>
    <mergeCell ref="H3:I4"/>
    <mergeCell ref="J3:K4"/>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&amp;R金沢国税局
消費税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2017-01-05T04:17:24Z</cp:lastPrinted>
  <dcterms:created xsi:type="dcterms:W3CDTF">2003-07-09T01:05:10Z</dcterms:created>
  <dcterms:modified xsi:type="dcterms:W3CDTF">2017-01-11T02:29:43Z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