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40" tabRatio="901" activeTab="1"/>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<sst xmlns="http://schemas.openxmlformats.org/spreadsheetml/2006/main" count="315" uniqueCount="133">
  <si>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</si>
  <si>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</si>
  <si>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</si>
  <si>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</si>
  <si>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</si>
  <si>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</si>
  <si>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</si>
  <si>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</si>
  <si>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</si>
  <si>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</si>
  <si>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</si>
  <si>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</si>
  <si>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</si>
  <si>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</si>
  <si>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</si>
  <si>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</si>
  <si>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</si>
  <si>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</si>
  <si>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</si>
  <si>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</si>
  <si>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</si>
  <si>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</si>
  <si>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</si>
  <si>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</si>
  <si>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</si>
  <si>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</si>
  <si>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</si>
  <si>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</si>
  <si>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</si>
  <si>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</si>
  <si>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平成23年度</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</si>
  <si>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</si>
  <si>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</si>
  <si>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</si>
  <si>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</si>
  <si>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</si>
  <si>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</si>
  <si>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</si>
  <si>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</si>
  <si>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</si>
  <si>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</si>
  <si>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</si>
  <si>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</si>
  <si>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</si>
  <si>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</si>
  <si>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</si>
  <si>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</si>
  <si>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</si>
  <si>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</si>
  <si>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</si>
  <si>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</si>
  <si>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</si>
  <si>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</si>
  <si>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</si>
  <si>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</si>
  <si>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</si>
  <si>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</si>
  <si>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</si>
  <si>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</si>
  <si>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</si>
  <si>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</si>
  <si>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</si>
  <si>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</si>
  <si>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</si>
  <si>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</si>
  <si>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</si>
  <si>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</si>
  <si>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</si>
  <si>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</si>
  <si>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</si>
  <si>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</si>
  <si>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</si>
  <si>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</si>
  <si>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</si>
  <si>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</si>
  <si>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</si>
  <si>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</si>
  <si>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（注）この表は「(1)　課税状況」の現年分を税務署別に示したものである（加算税を除く。）。</t>
  </si>
  <si>
    <t>(4)　税務署別課税状況（続）</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</si>
  <si>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</si>
  <si>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</si>
  <si>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</si>
  <si>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</si>
  <si>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</si>
  <si>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</si>
  <si>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</si>
  <si>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</si>
  <si>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</si>
  <si>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</si>
  <si>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</si>
  <si>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</si>
  <si>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</si>
  <si>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</si>
  <si>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</si>
  <si>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</si>
  <si>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</si>
  <si>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</si>
  <si>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</si>
  <si>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</si>
  <si>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</si>
  <si>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</si>
  <si>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</si>
  <si>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</si>
  <si>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（注）この表は「(1)　課税状況」の現年分及び「(3)　課税事業者等届出件数」を税務署別に示したものである（加算税を除く。）。</t>
  </si>
  <si>
    <t>　「現年分」は、平成25年４月１日から平成26年３月31日までに終了した課税期間について、平成26年６月30日現在の申告（国・地方公共団体等については平成26年９月30日までの申告を含む。）及び処理（更正、決定等）による課税事績を「申告書及び決議書」に基づいて作成した。</t>
  </si>
  <si>
    <t>平成24年度</t>
  </si>
  <si>
    <t>平成25年度</t>
  </si>
  <si>
    <t>調査対象等：</t>
  </si>
  <si>
    <t>　「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</si>
  <si>
    <t>（注）１</t>
  </si>
  <si>
    <t>税関分は含まない。</t>
  </si>
  <si>
    <t>　　　２</t>
  </si>
  <si>
    <t>「件数欄」の「実」は、実件数を示す。</t>
  </si>
  <si>
    <t>(4)　税務署別課税状況</t>
  </si>
  <si>
    <t>税務署名</t>
  </si>
  <si>
    <t>納　　　税　　　申　　　告　　　及　　　び　　　処　　　理</t>
  </si>
  <si>
    <t>一般申告及び処理</t>
  </si>
  <si>
    <t>件数</t>
  </si>
  <si>
    <t>税額</t>
  </si>
  <si>
    <t>税　額　①</t>
  </si>
  <si>
    <t>税　額　②</t>
  </si>
  <si>
    <t>税　額　③</t>
  </si>
  <si>
    <t>税　　　額
(①－②＋③)</t>
  </si>
  <si>
    <t>(3)　課税事業者等届出件数</t>
  </si>
  <si>
    <t>合計</t>
  </si>
  <si>
    <t>調査対象等：平成25年度末（平成26年３月31日現在）の届出件数を示している。</t>
  </si>
  <si>
    <t>個　人　事　業　者</t>
  </si>
  <si>
    <t>法　　　　　　　人</t>
  </si>
  <si>
    <t>合　　　　　　　計</t>
  </si>
  <si>
    <t>件　　数</t>
  </si>
  <si>
    <t>税　　額</t>
  </si>
  <si>
    <t>平成21年度</t>
  </si>
  <si>
    <t>平成22年度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</si>
</sst>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hair"/>
      <top style="hair">
        <color indexed="55"/>
      </top>
      <bottom style="medium"/>
    </border>
    <border>
      <left style="hair"/>
      <right style="medium"/>
      <top style="hair">
        <color indexed="55"/>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medium"/>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1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2" fillId="0" borderId="38" xfId="0" applyFont="1" applyBorder="1" applyAlignment="1">
      <alignment horizontal="left" vertical="top" wrapText="1"/>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9"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0" xfId="61" applyFont="1" applyBorder="1" applyAlignment="1">
      <alignment horizontal="distributed" vertical="center" indent="1"/>
      <protection/>
    </xf>
    <xf numFmtId="0" fontId="2" fillId="0" borderId="41" xfId="61" applyFont="1" applyBorder="1" applyAlignment="1">
      <alignment horizontal="distributed" vertical="center" indent="1"/>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42"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3"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6" fillId="36" borderId="49" xfId="61" applyFont="1" applyFill="1" applyBorder="1" applyAlignment="1">
      <alignment horizontal="distributed" vertical="center"/>
      <protection/>
    </xf>
    <xf numFmtId="0" fontId="8" fillId="0" borderId="50" xfId="61" applyFont="1" applyFill="1" applyBorder="1" applyAlignment="1">
      <alignment horizontal="distributed" vertical="center"/>
      <protection/>
    </xf>
    <xf numFmtId="0" fontId="8" fillId="0" borderId="51" xfId="61" applyFont="1" applyFill="1" applyBorder="1" applyAlignment="1">
      <alignment horizontal="center" vertical="center"/>
      <protection/>
    </xf>
    <xf numFmtId="0" fontId="8" fillId="0" borderId="52" xfId="61" applyFont="1" applyFill="1" applyBorder="1" applyAlignment="1">
      <alignment horizontal="distributed" vertical="center"/>
      <protection/>
    </xf>
    <xf numFmtId="0" fontId="8" fillId="0" borderId="53" xfId="61" applyFont="1" applyFill="1" applyBorder="1" applyAlignment="1">
      <alignment horizontal="center" vertical="center"/>
      <protection/>
    </xf>
    <xf numFmtId="0" fontId="6" fillId="0" borderId="54" xfId="61" applyFont="1" applyBorder="1" applyAlignment="1">
      <alignment horizontal="center" vertical="center"/>
      <protection/>
    </xf>
    <xf numFmtId="0" fontId="6" fillId="0" borderId="55"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41" xfId="61" applyFont="1" applyBorder="1" applyAlignment="1">
      <alignment horizontal="center" vertical="center" wrapText="1"/>
      <protection/>
    </xf>
    <xf numFmtId="0" fontId="7" fillId="34" borderId="29" xfId="61" applyFont="1" applyFill="1" applyBorder="1" applyAlignment="1">
      <alignment horizontal="right" vertical="top"/>
      <protection/>
    </xf>
    <xf numFmtId="0" fontId="7" fillId="34" borderId="43" xfId="61" applyFont="1" applyFill="1" applyBorder="1" applyAlignment="1">
      <alignment horizontal="right" vertical="top"/>
      <protection/>
    </xf>
    <xf numFmtId="0" fontId="8" fillId="0" borderId="56" xfId="61" applyFont="1" applyFill="1" applyBorder="1" applyAlignment="1">
      <alignment horizontal="center" vertical="center"/>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2" fillId="36" borderId="59" xfId="61" applyFont="1" applyFill="1" applyBorder="1" applyAlignment="1">
      <alignment horizontal="distributed" vertical="center"/>
      <protection/>
    </xf>
    <xf numFmtId="3" fontId="2" fillId="34"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6" fillId="34" borderId="61"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4" borderId="66" xfId="0" applyNumberFormat="1" applyFont="1" applyFill="1" applyBorder="1" applyAlignment="1">
      <alignment horizontal="right" vertical="center"/>
    </xf>
    <xf numFmtId="3" fontId="2" fillId="34" borderId="66" xfId="0" applyNumberFormat="1" applyFont="1" applyFill="1" applyBorder="1" applyAlignment="1">
      <alignment vertical="center"/>
    </xf>
    <xf numFmtId="3" fontId="2" fillId="34" borderId="61" xfId="0" applyNumberFormat="1" applyFont="1" applyFill="1" applyBorder="1" applyAlignment="1">
      <alignment vertical="center"/>
    </xf>
    <xf numFmtId="3" fontId="6" fillId="34"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0" fontId="0" fillId="0" borderId="0" xfId="61" applyFont="1">
      <alignment/>
      <protection/>
    </xf>
    <xf numFmtId="177" fontId="2" fillId="34" borderId="33" xfId="61" applyNumberFormat="1" applyFont="1" applyFill="1" applyBorder="1" applyAlignment="1">
      <alignment horizontal="right" vertical="center"/>
      <protection/>
    </xf>
    <xf numFmtId="177" fontId="2" fillId="33" borderId="30" xfId="61" applyNumberFormat="1" applyFont="1" applyFill="1" applyBorder="1" applyAlignment="1">
      <alignment horizontal="right" vertical="center"/>
      <protection/>
    </xf>
    <xf numFmtId="177" fontId="2" fillId="33" borderId="73"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5"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6" fillId="33" borderId="77"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8" fillId="0" borderId="80" xfId="61" applyNumberFormat="1" applyFont="1" applyFill="1" applyBorder="1" applyAlignment="1">
      <alignment horizontal="right" vertical="center"/>
      <protection/>
    </xf>
    <xf numFmtId="177" fontId="8" fillId="0" borderId="81" xfId="61" applyNumberFormat="1" applyFont="1" applyFill="1" applyBorder="1" applyAlignment="1">
      <alignment horizontal="right" vertical="center"/>
      <protection/>
    </xf>
    <xf numFmtId="177" fontId="8"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177" fontId="2" fillId="0"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6" fillId="34" borderId="19"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92" xfId="61" applyNumberFormat="1" applyFont="1" applyFill="1" applyBorder="1" applyAlignment="1">
      <alignment horizontal="right" vertical="center"/>
      <protection/>
    </xf>
    <xf numFmtId="177" fontId="6" fillId="34" borderId="93" xfId="61" applyNumberFormat="1" applyFont="1" applyFill="1" applyBorder="1" applyAlignment="1">
      <alignment horizontal="right" vertical="center"/>
      <protection/>
    </xf>
    <xf numFmtId="177" fontId="6" fillId="34" borderId="94" xfId="61" applyNumberFormat="1" applyFont="1" applyFill="1" applyBorder="1" applyAlignment="1">
      <alignment horizontal="right" vertical="center"/>
      <protection/>
    </xf>
    <xf numFmtId="177" fontId="6" fillId="34" borderId="95" xfId="61" applyNumberFormat="1" applyFont="1" applyFill="1" applyBorder="1" applyAlignment="1">
      <alignment horizontal="right" vertical="center"/>
      <protection/>
    </xf>
    <xf numFmtId="3" fontId="2" fillId="34" borderId="96" xfId="0" applyNumberFormat="1" applyFont="1" applyFill="1" applyBorder="1" applyAlignment="1">
      <alignment horizontal="right" vertical="center" indent="1"/>
    </xf>
    <xf numFmtId="3" fontId="2" fillId="34" borderId="97" xfId="0" applyNumberFormat="1" applyFont="1" applyFill="1" applyBorder="1" applyAlignment="1">
      <alignment horizontal="right" vertical="center" indent="1"/>
    </xf>
    <xf numFmtId="3" fontId="2" fillId="34" borderId="98" xfId="0" applyNumberFormat="1" applyFont="1" applyFill="1" applyBorder="1" applyAlignment="1">
      <alignment horizontal="right" vertical="center" indent="1"/>
    </xf>
    <xf numFmtId="3" fontId="2" fillId="34" borderId="55" xfId="0" applyNumberFormat="1" applyFont="1" applyFill="1" applyBorder="1" applyAlignment="1">
      <alignment horizontal="right" vertical="center" indent="1"/>
    </xf>
    <xf numFmtId="3" fontId="2" fillId="34" borderId="9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wrapText="1"/>
    </xf>
    <xf numFmtId="0" fontId="2" fillId="0" borderId="112" xfId="0" applyFont="1" applyBorder="1" applyAlignment="1">
      <alignment horizontal="distributed" vertical="center"/>
    </xf>
    <xf numFmtId="0" fontId="6" fillId="0" borderId="113" xfId="0" applyFont="1" applyBorder="1" applyAlignment="1">
      <alignment horizontal="distributed" vertical="center"/>
    </xf>
    <xf numFmtId="0" fontId="6" fillId="0" borderId="114" xfId="0" applyFont="1" applyBorder="1" applyAlignment="1">
      <alignment horizontal="distributed" vertical="center"/>
    </xf>
    <xf numFmtId="0" fontId="2" fillId="0" borderId="54" xfId="0" applyFont="1" applyBorder="1" applyAlignment="1">
      <alignment horizontal="distributed" vertical="center"/>
    </xf>
    <xf numFmtId="0" fontId="2" fillId="0" borderId="115" xfId="0" applyFont="1" applyBorder="1" applyAlignment="1">
      <alignment horizontal="distributed" vertical="center"/>
    </xf>
    <xf numFmtId="0" fontId="2" fillId="0" borderId="38" xfId="0" applyFont="1" applyBorder="1" applyAlignment="1">
      <alignment horizontal="left" vertical="top" wrapText="1"/>
    </xf>
    <xf numFmtId="0" fontId="2" fillId="0" borderId="0" xfId="0" applyFont="1" applyAlignment="1">
      <alignment horizontal="left" vertical="top" wrapText="1"/>
    </xf>
    <xf numFmtId="0" fontId="2" fillId="0" borderId="116" xfId="0" applyFont="1" applyBorder="1" applyAlignment="1">
      <alignment horizontal="center" vertical="center"/>
    </xf>
    <xf numFmtId="0" fontId="2" fillId="0" borderId="38"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11" xfId="0" applyFont="1" applyBorder="1" applyAlignment="1">
      <alignment horizontal="center"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101" xfId="61" applyFont="1" applyBorder="1" applyAlignment="1">
      <alignment horizontal="distributed" vertical="center"/>
      <protection/>
    </xf>
    <xf numFmtId="0" fontId="2" fillId="0" borderId="103" xfId="61" applyFont="1" applyBorder="1" applyAlignment="1">
      <alignment horizontal="distributed" vertical="center"/>
      <protection/>
    </xf>
    <xf numFmtId="0" fontId="2" fillId="0" borderId="121" xfId="61" applyFont="1" applyBorder="1" applyAlignment="1">
      <alignment horizontal="distributed"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3" xfId="61" applyFont="1" applyBorder="1" applyAlignment="1">
      <alignment horizontal="center" vertical="center" wrapText="1"/>
      <protection/>
    </xf>
    <xf numFmtId="0" fontId="2" fillId="0" borderId="39" xfId="61" applyFont="1" applyBorder="1" applyAlignment="1">
      <alignment horizontal="distributed" vertical="center" wrapText="1"/>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distributed" vertical="center" wrapText="1"/>
      <protection/>
    </xf>
    <xf numFmtId="0" fontId="2" fillId="0" borderId="129" xfId="61" applyFont="1" applyBorder="1" applyAlignment="1">
      <alignment horizontal="center" vertical="center"/>
      <protection/>
    </xf>
    <xf numFmtId="0" fontId="2" fillId="0" borderId="130" xfId="61" applyFont="1" applyBorder="1" applyAlignment="1">
      <alignment horizontal="center" vertical="center"/>
      <protection/>
    </xf>
    <xf numFmtId="0" fontId="2" fillId="0" borderId="38" xfId="61" applyFont="1" applyBorder="1" applyAlignment="1">
      <alignment horizontal="left" vertical="center"/>
      <protection/>
    </xf>
    <xf numFmtId="0" fontId="2" fillId="0" borderId="131" xfId="61" applyFont="1" applyBorder="1" applyAlignment="1">
      <alignment horizontal="left" vertical="center"/>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distributed" vertical="center" wrapText="1"/>
      <protection/>
    </xf>
    <xf numFmtId="0" fontId="2" fillId="0" borderId="135" xfId="61" applyFont="1" applyBorder="1" applyAlignment="1">
      <alignment horizontal="distributed" vertical="center"/>
      <protection/>
    </xf>
    <xf numFmtId="0" fontId="2" fillId="0" borderId="136" xfId="61" applyFont="1" applyBorder="1" applyAlignment="1">
      <alignment horizontal="distributed" vertical="center" wrapText="1"/>
      <protection/>
    </xf>
    <xf numFmtId="0" fontId="2" fillId="0" borderId="137" xfId="61" applyFont="1" applyBorder="1" applyAlignment="1">
      <alignment horizontal="distributed" vertical="center"/>
      <protection/>
    </xf>
    <xf numFmtId="0" fontId="2" fillId="0" borderId="138" xfId="61" applyFont="1" applyBorder="1" applyAlignment="1">
      <alignment horizontal="distributed" vertical="center" wrapText="1"/>
      <protection/>
    </xf>
    <xf numFmtId="0" fontId="2" fillId="0" borderId="139" xfId="61" applyFont="1" applyBorder="1" applyAlignment="1">
      <alignment horizontal="distributed" vertical="center" wrapText="1"/>
      <protection/>
    </xf>
    <xf numFmtId="0" fontId="2" fillId="0" borderId="42" xfId="61" applyFont="1" applyBorder="1" applyAlignment="1">
      <alignment horizontal="center" vertical="center"/>
      <protection/>
    </xf>
    <xf numFmtId="0" fontId="2" fillId="0" borderId="122" xfId="61" applyFont="1" applyBorder="1" applyAlignment="1">
      <alignment horizontal="center" vertical="center" wrapText="1"/>
      <protection/>
    </xf>
    <xf numFmtId="0" fontId="2" fillId="0" borderId="14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zoomScalePageLayoutView="0" workbookViewId="0" topLeftCell="A1">
      <selection activeCell="N5" sqref="N5"/>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51" t="s">
        <v>0</v>
      </c>
      <c r="B1" s="151"/>
      <c r="C1" s="151"/>
      <c r="D1" s="151"/>
      <c r="E1" s="151"/>
      <c r="F1" s="151"/>
      <c r="G1" s="151"/>
      <c r="H1" s="151"/>
      <c r="I1" s="151"/>
      <c r="J1" s="151"/>
      <c r="K1" s="151"/>
    </row>
    <row r="2" spans="1:11" ht="15">
      <c r="A2" s="54"/>
      <c r="B2" s="54"/>
      <c r="C2" s="54"/>
      <c r="D2" s="54"/>
      <c r="E2" s="54"/>
      <c r="F2" s="54"/>
      <c r="G2" s="54"/>
      <c r="H2" s="54"/>
      <c r="I2" s="54"/>
      <c r="J2" s="54"/>
      <c r="K2" s="54"/>
    </row>
    <row r="3" spans="1:11" ht="12" thickBot="1">
      <c r="A3" s="152" t="s">
        <v>24</v>
      </c>
      <c r="B3" s="152"/>
      <c r="C3" s="152"/>
      <c r="D3" s="152"/>
      <c r="E3" s="152"/>
      <c r="F3" s="152"/>
      <c r="G3" s="152"/>
      <c r="H3" s="152"/>
      <c r="I3" s="152"/>
      <c r="J3" s="152"/>
      <c r="K3" s="152"/>
    </row>
    <row r="4" spans="1:11" ht="24" customHeight="1">
      <c r="A4" s="153" t="s">
        <v>1</v>
      </c>
      <c r="B4" s="154"/>
      <c r="C4" s="157" t="s">
        <v>15</v>
      </c>
      <c r="D4" s="158"/>
      <c r="E4" s="159"/>
      <c r="F4" s="157" t="s">
        <v>16</v>
      </c>
      <c r="G4" s="158"/>
      <c r="H4" s="159"/>
      <c r="I4" s="157" t="s">
        <v>17</v>
      </c>
      <c r="J4" s="158"/>
      <c r="K4" s="160"/>
    </row>
    <row r="5" spans="1:11" ht="24" customHeight="1">
      <c r="A5" s="155"/>
      <c r="B5" s="156"/>
      <c r="C5" s="161" t="s">
        <v>2</v>
      </c>
      <c r="D5" s="162"/>
      <c r="E5" s="6" t="s">
        <v>3</v>
      </c>
      <c r="F5" s="161" t="s">
        <v>2</v>
      </c>
      <c r="G5" s="162"/>
      <c r="H5" s="6" t="s">
        <v>3</v>
      </c>
      <c r="I5" s="161" t="s">
        <v>2</v>
      </c>
      <c r="J5" s="162"/>
      <c r="K5" s="14" t="s">
        <v>3</v>
      </c>
    </row>
    <row r="6" spans="1:11" ht="12" customHeight="1">
      <c r="A6" s="40"/>
      <c r="B6" s="43"/>
      <c r="C6" s="41"/>
      <c r="D6" s="33" t="s">
        <v>26</v>
      </c>
      <c r="E6" s="32" t="s">
        <v>25</v>
      </c>
      <c r="F6" s="41"/>
      <c r="G6" s="33" t="s">
        <v>26</v>
      </c>
      <c r="H6" s="32" t="s">
        <v>25</v>
      </c>
      <c r="I6" s="41"/>
      <c r="J6" s="33" t="s">
        <v>26</v>
      </c>
      <c r="K6" s="42" t="s">
        <v>25</v>
      </c>
    </row>
    <row r="7" spans="1:11" ht="30" customHeight="1">
      <c r="A7" s="163" t="s">
        <v>27</v>
      </c>
      <c r="B7" s="37" t="s">
        <v>18</v>
      </c>
      <c r="C7" s="15"/>
      <c r="D7" s="93">
        <v>11929</v>
      </c>
      <c r="E7" s="38">
        <v>5100580</v>
      </c>
      <c r="F7" s="18"/>
      <c r="G7" s="93">
        <v>32637</v>
      </c>
      <c r="H7" s="38">
        <v>160044920</v>
      </c>
      <c r="I7" s="18"/>
      <c r="J7" s="93">
        <v>44566</v>
      </c>
      <c r="K7" s="39">
        <v>165145500</v>
      </c>
    </row>
    <row r="8" spans="1:11" ht="30" customHeight="1">
      <c r="A8" s="164"/>
      <c r="B8" s="23" t="s">
        <v>19</v>
      </c>
      <c r="C8" s="15"/>
      <c r="D8" s="94">
        <v>19670</v>
      </c>
      <c r="E8" s="95">
        <v>4990431</v>
      </c>
      <c r="F8" s="18"/>
      <c r="G8" s="94">
        <v>13040</v>
      </c>
      <c r="H8" s="95">
        <v>4792353</v>
      </c>
      <c r="I8" s="18"/>
      <c r="J8" s="94">
        <v>32710</v>
      </c>
      <c r="K8" s="96">
        <v>9782784</v>
      </c>
    </row>
    <row r="9" spans="1:11" s="3" customFormat="1" ht="30" customHeight="1">
      <c r="A9" s="164"/>
      <c r="B9" s="24" t="s">
        <v>20</v>
      </c>
      <c r="C9" s="16"/>
      <c r="D9" s="97">
        <v>31599</v>
      </c>
      <c r="E9" s="98">
        <v>10091012</v>
      </c>
      <c r="F9" s="16"/>
      <c r="G9" s="97">
        <v>45677</v>
      </c>
      <c r="H9" s="98">
        <v>164837273</v>
      </c>
      <c r="I9" s="16"/>
      <c r="J9" s="97">
        <v>77276</v>
      </c>
      <c r="K9" s="99">
        <v>174928284</v>
      </c>
    </row>
    <row r="10" spans="1:11" ht="30" customHeight="1">
      <c r="A10" s="165"/>
      <c r="B10" s="25" t="s">
        <v>21</v>
      </c>
      <c r="C10" s="15"/>
      <c r="D10" s="100">
        <v>679</v>
      </c>
      <c r="E10" s="101">
        <v>237137</v>
      </c>
      <c r="F10" s="15"/>
      <c r="G10" s="100">
        <v>2188</v>
      </c>
      <c r="H10" s="101">
        <v>8927235</v>
      </c>
      <c r="I10" s="15"/>
      <c r="J10" s="100">
        <v>2867</v>
      </c>
      <c r="K10" s="102">
        <v>9164372</v>
      </c>
    </row>
    <row r="11" spans="1:11" ht="30" customHeight="1">
      <c r="A11" s="166" t="s">
        <v>28</v>
      </c>
      <c r="B11" s="55" t="s">
        <v>22</v>
      </c>
      <c r="C11" s="9"/>
      <c r="D11" s="103">
        <v>1923</v>
      </c>
      <c r="E11" s="20">
        <v>275299</v>
      </c>
      <c r="F11" s="34"/>
      <c r="G11" s="104">
        <v>1921</v>
      </c>
      <c r="H11" s="20">
        <v>417741</v>
      </c>
      <c r="I11" s="34"/>
      <c r="J11" s="104">
        <v>3844</v>
      </c>
      <c r="K11" s="21">
        <v>693040</v>
      </c>
    </row>
    <row r="12" spans="1:11" ht="30" customHeight="1">
      <c r="A12" s="167"/>
      <c r="B12" s="56" t="s">
        <v>23</v>
      </c>
      <c r="C12" s="35"/>
      <c r="D12" s="94">
        <v>174</v>
      </c>
      <c r="E12" s="95">
        <v>24823</v>
      </c>
      <c r="F12" s="36"/>
      <c r="G12" s="105">
        <v>290</v>
      </c>
      <c r="H12" s="95">
        <v>227358</v>
      </c>
      <c r="I12" s="36"/>
      <c r="J12" s="105">
        <v>464</v>
      </c>
      <c r="K12" s="96">
        <v>252181</v>
      </c>
    </row>
    <row r="13" spans="1:11" s="3" customFormat="1" ht="30" customHeight="1">
      <c r="A13" s="168" t="s">
        <v>6</v>
      </c>
      <c r="B13" s="169"/>
      <c r="C13" s="26" t="s">
        <v>14</v>
      </c>
      <c r="D13" s="106">
        <v>32935</v>
      </c>
      <c r="E13" s="107">
        <v>10104350</v>
      </c>
      <c r="F13" s="26" t="s">
        <v>14</v>
      </c>
      <c r="G13" s="106">
        <v>48127</v>
      </c>
      <c r="H13" s="107">
        <v>156100420</v>
      </c>
      <c r="I13" s="26" t="s">
        <v>14</v>
      </c>
      <c r="J13" s="106">
        <v>81062</v>
      </c>
      <c r="K13" s="108">
        <v>166204770</v>
      </c>
    </row>
    <row r="14" spans="1:11" ht="30" customHeight="1" thickBot="1">
      <c r="A14" s="170" t="s">
        <v>7</v>
      </c>
      <c r="B14" s="171"/>
      <c r="C14" s="17"/>
      <c r="D14" s="109">
        <v>1679</v>
      </c>
      <c r="E14" s="110">
        <v>58643</v>
      </c>
      <c r="F14" s="19"/>
      <c r="G14" s="109">
        <v>1473</v>
      </c>
      <c r="H14" s="110">
        <v>80660</v>
      </c>
      <c r="I14" s="19"/>
      <c r="J14" s="109">
        <v>3152</v>
      </c>
      <c r="K14" s="111">
        <v>139304</v>
      </c>
    </row>
    <row r="15" spans="1:11" s="4" customFormat="1" ht="37.5" customHeight="1">
      <c r="A15" s="53" t="s">
        <v>107</v>
      </c>
      <c r="B15" s="172" t="s">
        <v>104</v>
      </c>
      <c r="C15" s="172"/>
      <c r="D15" s="172"/>
      <c r="E15" s="172"/>
      <c r="F15" s="172"/>
      <c r="G15" s="172"/>
      <c r="H15" s="172"/>
      <c r="I15" s="172"/>
      <c r="J15" s="172"/>
      <c r="K15" s="172"/>
    </row>
    <row r="16" spans="2:11" ht="45" customHeight="1">
      <c r="B16" s="173" t="s">
        <v>108</v>
      </c>
      <c r="C16" s="173"/>
      <c r="D16" s="173"/>
      <c r="E16" s="173"/>
      <c r="F16" s="173"/>
      <c r="G16" s="173"/>
      <c r="H16" s="173"/>
      <c r="I16" s="173"/>
      <c r="J16" s="173"/>
      <c r="K16" s="173"/>
    </row>
    <row r="17" spans="1:2" ht="14.25" customHeight="1">
      <c r="A17" s="1" t="s">
        <v>109</v>
      </c>
      <c r="B17" s="1" t="s">
        <v>110</v>
      </c>
    </row>
    <row r="18" spans="1:2" ht="11.25">
      <c r="A18" s="59" t="s">
        <v>111</v>
      </c>
      <c r="B18" s="1" t="s">
        <v>112</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tabSelected="1" zoomScalePageLayoutView="0" workbookViewId="0" topLeftCell="A1">
      <selection activeCell="K9" sqref="K9"/>
    </sheetView>
  </sheetViews>
  <sheetFormatPr defaultColWidth="9.00390625" defaultRowHeight="13.5"/>
  <cols>
    <col min="1" max="1" width="10.625" style="58" customWidth="1"/>
    <col min="2" max="2" width="15.625" style="58" customWidth="1"/>
    <col min="3" max="3" width="8.625" style="58" customWidth="1"/>
    <col min="4" max="4" width="10.625" style="58" customWidth="1"/>
    <col min="5" max="5" width="8.625" style="58" customWidth="1"/>
    <col min="6" max="6" width="12.875" style="58" bestFit="1" customWidth="1"/>
    <col min="7" max="7" width="8.625" style="58" customWidth="1"/>
    <col min="8" max="8" width="12.875" style="58" bestFit="1" customWidth="1"/>
    <col min="9" max="16384" width="9.00390625" style="58" customWidth="1"/>
  </cols>
  <sheetData>
    <row r="1" s="1" customFormat="1" ht="12" thickBot="1">
      <c r="A1" s="1" t="s">
        <v>29</v>
      </c>
    </row>
    <row r="2" spans="1:8" s="1" customFormat="1" ht="15" customHeight="1">
      <c r="A2" s="153" t="s">
        <v>1</v>
      </c>
      <c r="B2" s="154"/>
      <c r="C2" s="174" t="s">
        <v>126</v>
      </c>
      <c r="D2" s="174"/>
      <c r="E2" s="174" t="s">
        <v>127</v>
      </c>
      <c r="F2" s="174"/>
      <c r="G2" s="175" t="s">
        <v>128</v>
      </c>
      <c r="H2" s="176"/>
    </row>
    <row r="3" spans="1:8" s="1" customFormat="1" ht="15" customHeight="1">
      <c r="A3" s="155"/>
      <c r="B3" s="156"/>
      <c r="C3" s="9" t="s">
        <v>129</v>
      </c>
      <c r="D3" s="6" t="s">
        <v>130</v>
      </c>
      <c r="E3" s="9" t="s">
        <v>129</v>
      </c>
      <c r="F3" s="7" t="s">
        <v>130</v>
      </c>
      <c r="G3" s="9" t="s">
        <v>129</v>
      </c>
      <c r="H3" s="8" t="s">
        <v>130</v>
      </c>
    </row>
    <row r="4" spans="1:8" s="10" customFormat="1" ht="15" customHeight="1">
      <c r="A4" s="45"/>
      <c r="B4" s="6"/>
      <c r="C4" s="46" t="s">
        <v>4</v>
      </c>
      <c r="D4" s="47" t="s">
        <v>5</v>
      </c>
      <c r="E4" s="46" t="s">
        <v>4</v>
      </c>
      <c r="F4" s="47" t="s">
        <v>5</v>
      </c>
      <c r="G4" s="46" t="s">
        <v>4</v>
      </c>
      <c r="H4" s="48" t="s">
        <v>5</v>
      </c>
    </row>
    <row r="5" spans="1:8" s="57" customFormat="1" ht="30" customHeight="1">
      <c r="A5" s="179" t="s">
        <v>131</v>
      </c>
      <c r="B5" s="37" t="s">
        <v>12</v>
      </c>
      <c r="C5" s="44">
        <v>38700</v>
      </c>
      <c r="D5" s="38">
        <v>11250357</v>
      </c>
      <c r="E5" s="44">
        <v>48788</v>
      </c>
      <c r="F5" s="38">
        <v>171504941</v>
      </c>
      <c r="G5" s="44">
        <v>87488</v>
      </c>
      <c r="H5" s="39">
        <v>182755298</v>
      </c>
    </row>
    <row r="6" spans="1:8" s="57" customFormat="1" ht="30" customHeight="1">
      <c r="A6" s="180"/>
      <c r="B6" s="25" t="s">
        <v>13</v>
      </c>
      <c r="C6" s="28">
        <v>849</v>
      </c>
      <c r="D6" s="29">
        <v>357178</v>
      </c>
      <c r="E6" s="28">
        <v>2195</v>
      </c>
      <c r="F6" s="29">
        <v>6251067</v>
      </c>
      <c r="G6" s="28">
        <v>3044</v>
      </c>
      <c r="H6" s="30">
        <v>6608245</v>
      </c>
    </row>
    <row r="7" spans="1:8" s="57" customFormat="1" ht="30" customHeight="1">
      <c r="A7" s="177" t="s">
        <v>132</v>
      </c>
      <c r="B7" s="22" t="s">
        <v>12</v>
      </c>
      <c r="C7" s="27">
        <v>36530</v>
      </c>
      <c r="D7" s="20">
        <v>11004442</v>
      </c>
      <c r="E7" s="27">
        <v>47786</v>
      </c>
      <c r="F7" s="20">
        <v>166358354</v>
      </c>
      <c r="G7" s="27">
        <v>84316</v>
      </c>
      <c r="H7" s="21">
        <v>177362796</v>
      </c>
    </row>
    <row r="8" spans="1:8" s="57" customFormat="1" ht="30" customHeight="1">
      <c r="A8" s="178"/>
      <c r="B8" s="25" t="s">
        <v>13</v>
      </c>
      <c r="C8" s="28">
        <v>754</v>
      </c>
      <c r="D8" s="29">
        <v>242445</v>
      </c>
      <c r="E8" s="28">
        <v>2145</v>
      </c>
      <c r="F8" s="29">
        <v>7848045</v>
      </c>
      <c r="G8" s="28">
        <v>2899</v>
      </c>
      <c r="H8" s="30">
        <v>8090490</v>
      </c>
    </row>
    <row r="9" spans="1:8" s="57" customFormat="1" ht="30" customHeight="1">
      <c r="A9" s="181" t="s">
        <v>30</v>
      </c>
      <c r="B9" s="22" t="s">
        <v>12</v>
      </c>
      <c r="C9" s="27">
        <v>32759</v>
      </c>
      <c r="D9" s="20">
        <v>10345484</v>
      </c>
      <c r="E9" s="27">
        <v>46674</v>
      </c>
      <c r="F9" s="20">
        <v>164480756</v>
      </c>
      <c r="G9" s="27">
        <v>79433</v>
      </c>
      <c r="H9" s="21">
        <v>174826241</v>
      </c>
    </row>
    <row r="10" spans="1:8" s="57" customFormat="1" ht="30" customHeight="1">
      <c r="A10" s="180"/>
      <c r="B10" s="25" t="s">
        <v>13</v>
      </c>
      <c r="C10" s="28">
        <v>650</v>
      </c>
      <c r="D10" s="29">
        <v>208236</v>
      </c>
      <c r="E10" s="28">
        <v>2080</v>
      </c>
      <c r="F10" s="29">
        <v>9155011</v>
      </c>
      <c r="G10" s="28">
        <v>2730</v>
      </c>
      <c r="H10" s="30">
        <v>9363247</v>
      </c>
    </row>
    <row r="11" spans="1:8" s="57" customFormat="1" ht="30" customHeight="1">
      <c r="A11" s="179" t="s">
        <v>105</v>
      </c>
      <c r="B11" s="22" t="s">
        <v>12</v>
      </c>
      <c r="C11" s="27">
        <v>31805</v>
      </c>
      <c r="D11" s="20">
        <v>10297561</v>
      </c>
      <c r="E11" s="27">
        <v>46056</v>
      </c>
      <c r="F11" s="20">
        <v>162945419</v>
      </c>
      <c r="G11" s="27">
        <v>77861</v>
      </c>
      <c r="H11" s="21">
        <v>173242980</v>
      </c>
    </row>
    <row r="12" spans="1:8" s="57" customFormat="1" ht="30" customHeight="1">
      <c r="A12" s="180"/>
      <c r="B12" s="25" t="s">
        <v>13</v>
      </c>
      <c r="C12" s="28">
        <v>629</v>
      </c>
      <c r="D12" s="29">
        <v>170931</v>
      </c>
      <c r="E12" s="28">
        <v>1938</v>
      </c>
      <c r="F12" s="29">
        <v>9284777</v>
      </c>
      <c r="G12" s="28">
        <v>2567</v>
      </c>
      <c r="H12" s="30">
        <v>9455708</v>
      </c>
    </row>
    <row r="13" spans="1:8" s="1" customFormat="1" ht="30" customHeight="1">
      <c r="A13" s="177" t="s">
        <v>106</v>
      </c>
      <c r="B13" s="22" t="s">
        <v>12</v>
      </c>
      <c r="C13" s="27">
        <v>31599</v>
      </c>
      <c r="D13" s="20">
        <v>10091012</v>
      </c>
      <c r="E13" s="27">
        <v>45677</v>
      </c>
      <c r="F13" s="20">
        <v>164837273</v>
      </c>
      <c r="G13" s="27">
        <v>77276</v>
      </c>
      <c r="H13" s="21">
        <v>174928284</v>
      </c>
    </row>
    <row r="14" spans="1:8" s="1" customFormat="1" ht="30" customHeight="1" thickBot="1">
      <c r="A14" s="211"/>
      <c r="B14" s="31" t="s">
        <v>13</v>
      </c>
      <c r="C14" s="148">
        <v>679</v>
      </c>
      <c r="D14" s="149">
        <v>237137</v>
      </c>
      <c r="E14" s="148">
        <v>2188</v>
      </c>
      <c r="F14" s="149">
        <v>8927235</v>
      </c>
      <c r="G14" s="148">
        <v>2867</v>
      </c>
      <c r="H14" s="150">
        <v>9164372</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&amp;R金沢国税局
消費税
(H25)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58" customWidth="1"/>
    <col min="3" max="3" width="23.625" style="58" customWidth="1"/>
    <col min="4" max="4" width="18.625" style="58" customWidth="1"/>
    <col min="5" max="16384" width="9.00390625" style="58" customWidth="1"/>
  </cols>
  <sheetData>
    <row r="1" s="1" customFormat="1" ht="20.25" customHeight="1" thickBot="1">
      <c r="A1" s="1" t="s">
        <v>123</v>
      </c>
    </row>
    <row r="2" spans="1:4" s="4" customFormat="1" ht="19.5" customHeight="1">
      <c r="A2" s="11" t="s">
        <v>8</v>
      </c>
      <c r="B2" s="12" t="s">
        <v>9</v>
      </c>
      <c r="C2" s="13" t="s">
        <v>10</v>
      </c>
      <c r="D2" s="60" t="s">
        <v>124</v>
      </c>
    </row>
    <row r="3" spans="1:4" s="10" customFormat="1" ht="15" customHeight="1">
      <c r="A3" s="49" t="s">
        <v>4</v>
      </c>
      <c r="B3" s="50" t="s">
        <v>4</v>
      </c>
      <c r="C3" s="51" t="s">
        <v>4</v>
      </c>
      <c r="D3" s="52" t="s">
        <v>4</v>
      </c>
    </row>
    <row r="4" spans="1:9" s="4" customFormat="1" ht="30" customHeight="1" thickBot="1">
      <c r="A4" s="144">
        <v>78045</v>
      </c>
      <c r="B4" s="145">
        <v>1749</v>
      </c>
      <c r="C4" s="146">
        <v>185</v>
      </c>
      <c r="D4" s="147">
        <v>79979</v>
      </c>
      <c r="E4" s="5"/>
      <c r="G4" s="5"/>
      <c r="I4" s="5"/>
    </row>
    <row r="5" spans="1:4" s="4" customFormat="1" ht="15" customHeight="1">
      <c r="A5" s="182" t="s">
        <v>125</v>
      </c>
      <c r="B5" s="182"/>
      <c r="C5" s="182"/>
      <c r="D5" s="182"/>
    </row>
    <row r="6" spans="1:4" s="4" customFormat="1" ht="15" customHeight="1">
      <c r="A6" s="183" t="s">
        <v>11</v>
      </c>
      <c r="B6" s="183"/>
      <c r="C6" s="183"/>
      <c r="D6" s="18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(H25)</oddFooter>
  </headerFooter>
</worksheet>
</file>

<file path=xl/worksheets/sheet4.xml><?xml version="1.0" encoding="utf-8"?>
<worksheet xmlns="http://schemas.openxmlformats.org/spreadsheetml/2006/main" xmlns:r="http://schemas.openxmlformats.org/officeDocument/2006/relationships">
  <dimension ref="A1:N29"/>
  <sheetViews>
    <sheetView view="pageBreakPreview" zoomScaleSheetLayoutView="100" zoomScalePageLayoutView="0" workbookViewId="0" topLeftCell="A1">
      <selection activeCell="A1" sqref="A1"/>
    </sheetView>
  </sheetViews>
  <sheetFormatPr defaultColWidth="9.00390625" defaultRowHeight="13.5"/>
  <cols>
    <col min="1" max="1" width="11.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113</v>
      </c>
      <c r="B1" s="61"/>
      <c r="C1" s="61"/>
      <c r="D1" s="61"/>
      <c r="E1" s="61"/>
      <c r="F1" s="61"/>
      <c r="G1" s="61"/>
      <c r="H1" s="61"/>
      <c r="I1" s="61"/>
      <c r="J1" s="61"/>
      <c r="K1" s="61"/>
      <c r="L1" s="62"/>
      <c r="M1" s="62"/>
      <c r="N1" s="112"/>
    </row>
    <row r="2" spans="1:14" ht="14.25" thickBot="1">
      <c r="A2" s="184" t="s">
        <v>31</v>
      </c>
      <c r="B2" s="184"/>
      <c r="C2" s="184"/>
      <c r="D2" s="184"/>
      <c r="E2" s="184"/>
      <c r="F2" s="184"/>
      <c r="G2" s="184"/>
      <c r="H2" s="62"/>
      <c r="I2" s="62"/>
      <c r="J2" s="62"/>
      <c r="K2" s="62"/>
      <c r="L2" s="62"/>
      <c r="M2" s="62"/>
      <c r="N2" s="62"/>
    </row>
    <row r="3" spans="1:14" ht="13.5">
      <c r="A3" s="185" t="s">
        <v>114</v>
      </c>
      <c r="B3" s="188" t="s">
        <v>115</v>
      </c>
      <c r="C3" s="188"/>
      <c r="D3" s="188"/>
      <c r="E3" s="188"/>
      <c r="F3" s="188"/>
      <c r="G3" s="188"/>
      <c r="H3" s="189" t="s">
        <v>13</v>
      </c>
      <c r="I3" s="190"/>
      <c r="J3" s="193" t="s">
        <v>34</v>
      </c>
      <c r="K3" s="190"/>
      <c r="L3" s="189" t="s">
        <v>35</v>
      </c>
      <c r="M3" s="190"/>
      <c r="N3" s="194" t="s">
        <v>36</v>
      </c>
    </row>
    <row r="4" spans="1:14" ht="13.5">
      <c r="A4" s="186"/>
      <c r="B4" s="197" t="s">
        <v>116</v>
      </c>
      <c r="C4" s="197"/>
      <c r="D4" s="191" t="s">
        <v>37</v>
      </c>
      <c r="E4" s="198"/>
      <c r="F4" s="191" t="s">
        <v>38</v>
      </c>
      <c r="G4" s="198"/>
      <c r="H4" s="191"/>
      <c r="I4" s="192"/>
      <c r="J4" s="191"/>
      <c r="K4" s="192"/>
      <c r="L4" s="191"/>
      <c r="M4" s="192"/>
      <c r="N4" s="195"/>
    </row>
    <row r="5" spans="1:14" ht="22.5">
      <c r="A5" s="187"/>
      <c r="B5" s="63" t="s">
        <v>117</v>
      </c>
      <c r="C5" s="64" t="s">
        <v>118</v>
      </c>
      <c r="D5" s="63" t="s">
        <v>117</v>
      </c>
      <c r="E5" s="64" t="s">
        <v>118</v>
      </c>
      <c r="F5" s="63" t="s">
        <v>117</v>
      </c>
      <c r="G5" s="65" t="s">
        <v>119</v>
      </c>
      <c r="H5" s="63" t="s">
        <v>117</v>
      </c>
      <c r="I5" s="66" t="s">
        <v>120</v>
      </c>
      <c r="J5" s="63" t="s">
        <v>117</v>
      </c>
      <c r="K5" s="66" t="s">
        <v>121</v>
      </c>
      <c r="L5" s="63" t="s">
        <v>117</v>
      </c>
      <c r="M5" s="67" t="s">
        <v>122</v>
      </c>
      <c r="N5" s="196"/>
    </row>
    <row r="6" spans="1:14" ht="13.5">
      <c r="A6" s="68"/>
      <c r="B6" s="69" t="s">
        <v>4</v>
      </c>
      <c r="C6" s="70" t="s">
        <v>5</v>
      </c>
      <c r="D6" s="69" t="s">
        <v>4</v>
      </c>
      <c r="E6" s="70" t="s">
        <v>5</v>
      </c>
      <c r="F6" s="69" t="s">
        <v>4</v>
      </c>
      <c r="G6" s="70" t="s">
        <v>5</v>
      </c>
      <c r="H6" s="69" t="s">
        <v>4</v>
      </c>
      <c r="I6" s="71" t="s">
        <v>5</v>
      </c>
      <c r="J6" s="69" t="s">
        <v>4</v>
      </c>
      <c r="K6" s="71" t="s">
        <v>5</v>
      </c>
      <c r="L6" s="69" t="s">
        <v>4</v>
      </c>
      <c r="M6" s="71" t="s">
        <v>5</v>
      </c>
      <c r="N6" s="72"/>
    </row>
    <row r="7" spans="1:14" ht="13.5">
      <c r="A7" s="73" t="s">
        <v>45</v>
      </c>
      <c r="B7" s="113">
        <f>_xlfn.COMPOUNDVALUE(1)</f>
        <v>1407</v>
      </c>
      <c r="C7" s="114">
        <v>772362</v>
      </c>
      <c r="D7" s="113">
        <f>_xlfn.COMPOUNDVALUE(2)</f>
        <v>2467</v>
      </c>
      <c r="E7" s="114">
        <v>647867</v>
      </c>
      <c r="F7" s="113">
        <f>_xlfn.COMPOUNDVALUE(3)</f>
        <v>3874</v>
      </c>
      <c r="G7" s="114">
        <v>1420229</v>
      </c>
      <c r="H7" s="113">
        <f>_xlfn.COMPOUNDVALUE(4)</f>
        <v>94</v>
      </c>
      <c r="I7" s="115">
        <v>35849</v>
      </c>
      <c r="J7" s="113">
        <v>238</v>
      </c>
      <c r="K7" s="115">
        <v>27510</v>
      </c>
      <c r="L7" s="113">
        <f>_xlfn.COMPOUNDVALUE(4)</f>
        <v>4039</v>
      </c>
      <c r="M7" s="115">
        <v>1411891</v>
      </c>
      <c r="N7" s="92" t="s">
        <v>46</v>
      </c>
    </row>
    <row r="8" spans="1:14" ht="13.5">
      <c r="A8" s="75" t="s">
        <v>47</v>
      </c>
      <c r="B8" s="118">
        <f>_xlfn.COMPOUNDVALUE(5)</f>
        <v>1292</v>
      </c>
      <c r="C8" s="119">
        <v>631271</v>
      </c>
      <c r="D8" s="118">
        <f>_xlfn.COMPOUNDVALUE(6)</f>
        <v>2020</v>
      </c>
      <c r="E8" s="119">
        <v>512271</v>
      </c>
      <c r="F8" s="118">
        <f>_xlfn.COMPOUNDVALUE(7)</f>
        <v>3312</v>
      </c>
      <c r="G8" s="119">
        <v>1143542</v>
      </c>
      <c r="H8" s="118">
        <f>_xlfn.COMPOUNDVALUE(8)</f>
        <v>65</v>
      </c>
      <c r="I8" s="120">
        <v>22305</v>
      </c>
      <c r="J8" s="118">
        <v>241</v>
      </c>
      <c r="K8" s="120">
        <v>32247</v>
      </c>
      <c r="L8" s="118">
        <f>_xlfn.COMPOUNDVALUE(8)</f>
        <v>3445</v>
      </c>
      <c r="M8" s="120">
        <v>1153483</v>
      </c>
      <c r="N8" s="76" t="s">
        <v>48</v>
      </c>
    </row>
    <row r="9" spans="1:14" ht="13.5">
      <c r="A9" s="75" t="s">
        <v>49</v>
      </c>
      <c r="B9" s="118">
        <f>_xlfn.COMPOUNDVALUE(9)</f>
        <v>748</v>
      </c>
      <c r="C9" s="119">
        <v>355892</v>
      </c>
      <c r="D9" s="118">
        <f>_xlfn.COMPOUNDVALUE(10)</f>
        <v>1444</v>
      </c>
      <c r="E9" s="119">
        <v>370028</v>
      </c>
      <c r="F9" s="118">
        <f>_xlfn.COMPOUNDVALUE(11)</f>
        <v>2192</v>
      </c>
      <c r="G9" s="119">
        <v>725920</v>
      </c>
      <c r="H9" s="118">
        <f>_xlfn.COMPOUNDVALUE(12)</f>
        <v>48</v>
      </c>
      <c r="I9" s="120">
        <v>10125</v>
      </c>
      <c r="J9" s="118">
        <v>155</v>
      </c>
      <c r="K9" s="120">
        <v>20199</v>
      </c>
      <c r="L9" s="118">
        <f>_xlfn.COMPOUNDVALUE(12)</f>
        <v>2291</v>
      </c>
      <c r="M9" s="120">
        <v>735994</v>
      </c>
      <c r="N9" s="76" t="s">
        <v>50</v>
      </c>
    </row>
    <row r="10" spans="1:14" ht="13.5">
      <c r="A10" s="75" t="s">
        <v>51</v>
      </c>
      <c r="B10" s="118">
        <f>_xlfn.COMPOUNDVALUE(13)</f>
        <v>515</v>
      </c>
      <c r="C10" s="119">
        <v>216002</v>
      </c>
      <c r="D10" s="118">
        <f>_xlfn.COMPOUNDVALUE(14)</f>
        <v>934</v>
      </c>
      <c r="E10" s="119">
        <v>234505</v>
      </c>
      <c r="F10" s="118">
        <f>_xlfn.COMPOUNDVALUE(15)</f>
        <v>1449</v>
      </c>
      <c r="G10" s="119">
        <v>450507</v>
      </c>
      <c r="H10" s="118">
        <f>_xlfn.COMPOUNDVALUE(16)</f>
        <v>24</v>
      </c>
      <c r="I10" s="120">
        <v>6341</v>
      </c>
      <c r="J10" s="118">
        <v>102</v>
      </c>
      <c r="K10" s="120">
        <v>10726</v>
      </c>
      <c r="L10" s="118">
        <f>_xlfn.COMPOUNDVALUE(16)</f>
        <v>1494</v>
      </c>
      <c r="M10" s="120">
        <v>454892</v>
      </c>
      <c r="N10" s="76" t="s">
        <v>52</v>
      </c>
    </row>
    <row r="11" spans="1:14" ht="13.5">
      <c r="A11" s="77" t="s">
        <v>53</v>
      </c>
      <c r="B11" s="121">
        <v>3962</v>
      </c>
      <c r="C11" s="122">
        <v>1975527</v>
      </c>
      <c r="D11" s="121">
        <v>6865</v>
      </c>
      <c r="E11" s="122">
        <v>1764671</v>
      </c>
      <c r="F11" s="121">
        <v>10827</v>
      </c>
      <c r="G11" s="122">
        <v>3740198</v>
      </c>
      <c r="H11" s="121">
        <v>231</v>
      </c>
      <c r="I11" s="123">
        <v>74620</v>
      </c>
      <c r="J11" s="121">
        <v>736</v>
      </c>
      <c r="K11" s="123">
        <v>90681</v>
      </c>
      <c r="L11" s="121">
        <v>11269</v>
      </c>
      <c r="M11" s="123">
        <v>3756260</v>
      </c>
      <c r="N11" s="78" t="s">
        <v>54</v>
      </c>
    </row>
    <row r="12" spans="1:14" ht="13.5">
      <c r="A12" s="79"/>
      <c r="B12" s="126"/>
      <c r="C12" s="127"/>
      <c r="D12" s="126"/>
      <c r="E12" s="127"/>
      <c r="F12" s="128"/>
      <c r="G12" s="127"/>
      <c r="H12" s="128"/>
      <c r="I12" s="127"/>
      <c r="J12" s="128"/>
      <c r="K12" s="127"/>
      <c r="L12" s="128"/>
      <c r="M12" s="127"/>
      <c r="N12" s="80"/>
    </row>
    <row r="13" spans="1:14" ht="13.5">
      <c r="A13" s="73" t="s">
        <v>55</v>
      </c>
      <c r="B13" s="113">
        <f>_xlfn.COMPOUNDVALUE(17)</f>
        <v>2081</v>
      </c>
      <c r="C13" s="114">
        <v>866597</v>
      </c>
      <c r="D13" s="113">
        <f>_xlfn.COMPOUNDVALUE(18)</f>
        <v>3341</v>
      </c>
      <c r="E13" s="114">
        <v>887850</v>
      </c>
      <c r="F13" s="113">
        <f>_xlfn.COMPOUNDVALUE(19)</f>
        <v>5422</v>
      </c>
      <c r="G13" s="114">
        <v>1754448</v>
      </c>
      <c r="H13" s="113">
        <f>_xlfn.COMPOUNDVALUE(20)</f>
        <v>120</v>
      </c>
      <c r="I13" s="115">
        <v>42434</v>
      </c>
      <c r="J13" s="113">
        <v>297</v>
      </c>
      <c r="K13" s="115">
        <v>40107</v>
      </c>
      <c r="L13" s="113">
        <f>_xlfn.COMPOUNDVALUE(20)</f>
        <v>5654</v>
      </c>
      <c r="M13" s="115">
        <v>1752121</v>
      </c>
      <c r="N13" s="74" t="s">
        <v>55</v>
      </c>
    </row>
    <row r="14" spans="1:14" ht="13.5">
      <c r="A14" s="75" t="s">
        <v>56</v>
      </c>
      <c r="B14" s="118">
        <f>_xlfn.COMPOUNDVALUE(21)</f>
        <v>468</v>
      </c>
      <c r="C14" s="119">
        <v>195611</v>
      </c>
      <c r="D14" s="118">
        <f>_xlfn.COMPOUNDVALUE(22)</f>
        <v>895</v>
      </c>
      <c r="E14" s="119">
        <v>216879</v>
      </c>
      <c r="F14" s="118">
        <f>_xlfn.COMPOUNDVALUE(23)</f>
        <v>1363</v>
      </c>
      <c r="G14" s="119">
        <v>412489</v>
      </c>
      <c r="H14" s="118">
        <f>_xlfn.COMPOUNDVALUE(24)</f>
        <v>22</v>
      </c>
      <c r="I14" s="120">
        <v>4278</v>
      </c>
      <c r="J14" s="118">
        <v>105</v>
      </c>
      <c r="K14" s="120">
        <v>15506</v>
      </c>
      <c r="L14" s="118">
        <f>_xlfn.COMPOUNDVALUE(24)</f>
        <v>1404</v>
      </c>
      <c r="M14" s="120">
        <v>423717</v>
      </c>
      <c r="N14" s="76" t="s">
        <v>56</v>
      </c>
    </row>
    <row r="15" spans="1:14" ht="13.5">
      <c r="A15" s="75" t="s">
        <v>57</v>
      </c>
      <c r="B15" s="118">
        <f>_xlfn.COMPOUNDVALUE(25)</f>
        <v>934</v>
      </c>
      <c r="C15" s="119">
        <v>337181</v>
      </c>
      <c r="D15" s="118">
        <f>_xlfn.COMPOUNDVALUE(26)</f>
        <v>1645</v>
      </c>
      <c r="E15" s="119">
        <v>403609</v>
      </c>
      <c r="F15" s="118">
        <f>_xlfn.COMPOUNDVALUE(27)</f>
        <v>2579</v>
      </c>
      <c r="G15" s="119">
        <v>740790</v>
      </c>
      <c r="H15" s="118">
        <f>_xlfn.COMPOUNDVALUE(28)</f>
        <v>48</v>
      </c>
      <c r="I15" s="120">
        <v>13636</v>
      </c>
      <c r="J15" s="118">
        <v>197</v>
      </c>
      <c r="K15" s="120">
        <v>23503</v>
      </c>
      <c r="L15" s="118">
        <f>_xlfn.COMPOUNDVALUE(28)</f>
        <v>2690</v>
      </c>
      <c r="M15" s="120">
        <v>750658</v>
      </c>
      <c r="N15" s="76" t="s">
        <v>57</v>
      </c>
    </row>
    <row r="16" spans="1:14" ht="13.5">
      <c r="A16" s="75" t="s">
        <v>58</v>
      </c>
      <c r="B16" s="118">
        <f>_xlfn.COMPOUNDVALUE(29)</f>
        <v>308</v>
      </c>
      <c r="C16" s="119">
        <v>133575</v>
      </c>
      <c r="D16" s="118">
        <f>_xlfn.COMPOUNDVALUE(30)</f>
        <v>729</v>
      </c>
      <c r="E16" s="119">
        <v>164816</v>
      </c>
      <c r="F16" s="118">
        <f>_xlfn.COMPOUNDVALUE(31)</f>
        <v>1037</v>
      </c>
      <c r="G16" s="119">
        <v>298391</v>
      </c>
      <c r="H16" s="118">
        <f>_xlfn.COMPOUNDVALUE(32)</f>
        <v>16</v>
      </c>
      <c r="I16" s="120">
        <v>6997</v>
      </c>
      <c r="J16" s="118">
        <v>67</v>
      </c>
      <c r="K16" s="120">
        <v>4494</v>
      </c>
      <c r="L16" s="118">
        <f>_xlfn.COMPOUNDVALUE(32)</f>
        <v>1061</v>
      </c>
      <c r="M16" s="120">
        <v>295888</v>
      </c>
      <c r="N16" s="76" t="s">
        <v>58</v>
      </c>
    </row>
    <row r="17" spans="1:14" ht="13.5">
      <c r="A17" s="75" t="s">
        <v>59</v>
      </c>
      <c r="B17" s="118">
        <f>_xlfn.COMPOUNDVALUE(33)</f>
        <v>539</v>
      </c>
      <c r="C17" s="119">
        <v>201161</v>
      </c>
      <c r="D17" s="118">
        <f>_xlfn.COMPOUNDVALUE(34)</f>
        <v>910</v>
      </c>
      <c r="E17" s="119">
        <v>229509</v>
      </c>
      <c r="F17" s="118">
        <f>_xlfn.COMPOUNDVALUE(35)</f>
        <v>1449</v>
      </c>
      <c r="G17" s="119">
        <v>430670</v>
      </c>
      <c r="H17" s="118">
        <f>_xlfn.COMPOUNDVALUE(36)</f>
        <v>27</v>
      </c>
      <c r="I17" s="120">
        <v>13848</v>
      </c>
      <c r="J17" s="118">
        <v>104</v>
      </c>
      <c r="K17" s="120">
        <v>15359</v>
      </c>
      <c r="L17" s="118">
        <f>_xlfn.COMPOUNDVALUE(36)</f>
        <v>1525</v>
      </c>
      <c r="M17" s="120">
        <v>432181</v>
      </c>
      <c r="N17" s="76" t="s">
        <v>59</v>
      </c>
    </row>
    <row r="18" spans="1:14" ht="13.5">
      <c r="A18" s="77" t="s">
        <v>60</v>
      </c>
      <c r="B18" s="121">
        <v>4330</v>
      </c>
      <c r="C18" s="122">
        <v>1734125</v>
      </c>
      <c r="D18" s="121">
        <v>7520</v>
      </c>
      <c r="E18" s="122">
        <v>1902663</v>
      </c>
      <c r="F18" s="121">
        <v>11850</v>
      </c>
      <c r="G18" s="122">
        <v>3636788</v>
      </c>
      <c r="H18" s="121">
        <v>233</v>
      </c>
      <c r="I18" s="123">
        <v>81192</v>
      </c>
      <c r="J18" s="121">
        <v>770</v>
      </c>
      <c r="K18" s="123">
        <v>98969</v>
      </c>
      <c r="L18" s="121">
        <v>12334</v>
      </c>
      <c r="M18" s="123">
        <v>3654565</v>
      </c>
      <c r="N18" s="78" t="s">
        <v>60</v>
      </c>
    </row>
    <row r="19" spans="1:14" ht="13.5">
      <c r="A19" s="79"/>
      <c r="B19" s="126"/>
      <c r="C19" s="127"/>
      <c r="D19" s="126"/>
      <c r="E19" s="127"/>
      <c r="F19" s="128"/>
      <c r="G19" s="127"/>
      <c r="H19" s="128"/>
      <c r="I19" s="127"/>
      <c r="J19" s="128"/>
      <c r="K19" s="127"/>
      <c r="L19" s="128"/>
      <c r="M19" s="127"/>
      <c r="N19" s="80"/>
    </row>
    <row r="20" spans="1:14" ht="13.5">
      <c r="A20" s="73" t="s">
        <v>61</v>
      </c>
      <c r="B20" s="113">
        <f>_xlfn.COMPOUNDVALUE(37)</f>
        <v>1301</v>
      </c>
      <c r="C20" s="114">
        <v>559586</v>
      </c>
      <c r="D20" s="113">
        <f>_xlfn.COMPOUNDVALUE(38)</f>
        <v>1804</v>
      </c>
      <c r="E20" s="114">
        <v>470319</v>
      </c>
      <c r="F20" s="113">
        <f>_xlfn.COMPOUNDVALUE(39)</f>
        <v>3105</v>
      </c>
      <c r="G20" s="114">
        <v>1029905</v>
      </c>
      <c r="H20" s="113">
        <f>_xlfn.COMPOUNDVALUE(40)</f>
        <v>78</v>
      </c>
      <c r="I20" s="115">
        <v>33965</v>
      </c>
      <c r="J20" s="113">
        <v>182</v>
      </c>
      <c r="K20" s="115">
        <v>20052</v>
      </c>
      <c r="L20" s="113">
        <f>_xlfn.COMPOUNDVALUE(40)</f>
        <v>3245</v>
      </c>
      <c r="M20" s="115">
        <v>1015992</v>
      </c>
      <c r="N20" s="74" t="s">
        <v>62</v>
      </c>
    </row>
    <row r="21" spans="1:14" ht="13.5">
      <c r="A21" s="75" t="s">
        <v>63</v>
      </c>
      <c r="B21" s="118">
        <f>_xlfn.COMPOUNDVALUE(41)</f>
        <v>361</v>
      </c>
      <c r="C21" s="119">
        <v>130872</v>
      </c>
      <c r="D21" s="118">
        <f>_xlfn.COMPOUNDVALUE(42)</f>
        <v>619</v>
      </c>
      <c r="E21" s="119">
        <v>144477</v>
      </c>
      <c r="F21" s="118">
        <f>_xlfn.COMPOUNDVALUE(43)</f>
        <v>980</v>
      </c>
      <c r="G21" s="119">
        <v>275349</v>
      </c>
      <c r="H21" s="118">
        <f>_xlfn.COMPOUNDVALUE(44)</f>
        <v>29</v>
      </c>
      <c r="I21" s="120">
        <v>8687</v>
      </c>
      <c r="J21" s="118">
        <v>91</v>
      </c>
      <c r="K21" s="120">
        <v>14289</v>
      </c>
      <c r="L21" s="118">
        <f>_xlfn.COMPOUNDVALUE(44)</f>
        <v>1067</v>
      </c>
      <c r="M21" s="120">
        <v>280951</v>
      </c>
      <c r="N21" s="76" t="s">
        <v>64</v>
      </c>
    </row>
    <row r="22" spans="1:14" ht="13.5">
      <c r="A22" s="75" t="s">
        <v>65</v>
      </c>
      <c r="B22" s="118">
        <f>_xlfn.COMPOUNDVALUE(45)</f>
        <v>904</v>
      </c>
      <c r="C22" s="119">
        <v>357482</v>
      </c>
      <c r="D22" s="118">
        <f>_xlfn.COMPOUNDVALUE(46)</f>
        <v>1330</v>
      </c>
      <c r="E22" s="119">
        <v>331475</v>
      </c>
      <c r="F22" s="118">
        <f>_xlfn.COMPOUNDVALUE(47)</f>
        <v>2234</v>
      </c>
      <c r="G22" s="119">
        <v>688957</v>
      </c>
      <c r="H22" s="118">
        <f>_xlfn.COMPOUNDVALUE(48)</f>
        <v>51</v>
      </c>
      <c r="I22" s="120">
        <v>11928</v>
      </c>
      <c r="J22" s="118">
        <v>100</v>
      </c>
      <c r="K22" s="120">
        <v>11233</v>
      </c>
      <c r="L22" s="118">
        <f>_xlfn.COMPOUNDVALUE(48)</f>
        <v>2312</v>
      </c>
      <c r="M22" s="120">
        <v>688262</v>
      </c>
      <c r="N22" s="76" t="s">
        <v>66</v>
      </c>
    </row>
    <row r="23" spans="1:14" ht="13.5">
      <c r="A23" s="75" t="s">
        <v>67</v>
      </c>
      <c r="B23" s="118">
        <f>_xlfn.COMPOUNDVALUE(49)</f>
        <v>253</v>
      </c>
      <c r="C23" s="119">
        <v>75846</v>
      </c>
      <c r="D23" s="118">
        <f>_xlfn.COMPOUNDVALUE(50)</f>
        <v>354</v>
      </c>
      <c r="E23" s="119">
        <v>89497</v>
      </c>
      <c r="F23" s="118">
        <f>_xlfn.COMPOUNDVALUE(51)</f>
        <v>607</v>
      </c>
      <c r="G23" s="119">
        <v>165343</v>
      </c>
      <c r="H23" s="118">
        <f>_xlfn.COMPOUNDVALUE(52)</f>
        <v>9</v>
      </c>
      <c r="I23" s="120">
        <v>3460</v>
      </c>
      <c r="J23" s="118">
        <v>95</v>
      </c>
      <c r="K23" s="120">
        <v>9171</v>
      </c>
      <c r="L23" s="118">
        <f>_xlfn.COMPOUNDVALUE(52)</f>
        <v>646</v>
      </c>
      <c r="M23" s="120">
        <v>171054</v>
      </c>
      <c r="N23" s="76" t="s">
        <v>68</v>
      </c>
    </row>
    <row r="24" spans="1:14" ht="13.5">
      <c r="A24" s="75" t="s">
        <v>69</v>
      </c>
      <c r="B24" s="118">
        <f>_xlfn.COMPOUNDVALUE(53)</f>
        <v>281</v>
      </c>
      <c r="C24" s="119">
        <v>88349</v>
      </c>
      <c r="D24" s="118">
        <f>_xlfn.COMPOUNDVALUE(54)</f>
        <v>438</v>
      </c>
      <c r="E24" s="119">
        <v>104623</v>
      </c>
      <c r="F24" s="118">
        <f>_xlfn.COMPOUNDVALUE(55)</f>
        <v>719</v>
      </c>
      <c r="G24" s="119">
        <v>192972</v>
      </c>
      <c r="H24" s="118">
        <f>_xlfn.COMPOUNDVALUE(56)</f>
        <v>18</v>
      </c>
      <c r="I24" s="120">
        <v>8257</v>
      </c>
      <c r="J24" s="118">
        <v>58</v>
      </c>
      <c r="K24" s="120">
        <v>3304</v>
      </c>
      <c r="L24" s="118">
        <f>_xlfn.COMPOUNDVALUE(56)</f>
        <v>746</v>
      </c>
      <c r="M24" s="120">
        <v>188018</v>
      </c>
      <c r="N24" s="76" t="s">
        <v>70</v>
      </c>
    </row>
    <row r="25" spans="1:14" ht="13.5">
      <c r="A25" s="75" t="s">
        <v>71</v>
      </c>
      <c r="B25" s="118">
        <f>_xlfn.COMPOUNDVALUE(57)</f>
        <v>537</v>
      </c>
      <c r="C25" s="119">
        <v>178794</v>
      </c>
      <c r="D25" s="118">
        <f>_xlfn.COMPOUNDVALUE(58)</f>
        <v>740</v>
      </c>
      <c r="E25" s="119">
        <v>182706</v>
      </c>
      <c r="F25" s="118">
        <f>_xlfn.COMPOUNDVALUE(59)</f>
        <v>1277</v>
      </c>
      <c r="G25" s="119">
        <v>361500</v>
      </c>
      <c r="H25" s="118">
        <f>_xlfn.COMPOUNDVALUE(60)</f>
        <v>30</v>
      </c>
      <c r="I25" s="120">
        <v>15027</v>
      </c>
      <c r="J25" s="118">
        <v>65</v>
      </c>
      <c r="K25" s="120">
        <v>2776</v>
      </c>
      <c r="L25" s="118">
        <f>_xlfn.COMPOUNDVALUE(60)</f>
        <v>1316</v>
      </c>
      <c r="M25" s="120">
        <v>349249</v>
      </c>
      <c r="N25" s="76" t="s">
        <v>72</v>
      </c>
    </row>
    <row r="26" spans="1:14" ht="13.5">
      <c r="A26" s="77" t="s">
        <v>73</v>
      </c>
      <c r="B26" s="121">
        <v>3637</v>
      </c>
      <c r="C26" s="122">
        <v>1390928</v>
      </c>
      <c r="D26" s="121">
        <v>5285</v>
      </c>
      <c r="E26" s="122">
        <v>1323097</v>
      </c>
      <c r="F26" s="121">
        <v>8922</v>
      </c>
      <c r="G26" s="122">
        <v>2714026</v>
      </c>
      <c r="H26" s="121">
        <v>215</v>
      </c>
      <c r="I26" s="123">
        <v>81325</v>
      </c>
      <c r="J26" s="121">
        <v>591</v>
      </c>
      <c r="K26" s="123">
        <v>60825</v>
      </c>
      <c r="L26" s="121">
        <v>9332</v>
      </c>
      <c r="M26" s="123">
        <v>2693526</v>
      </c>
      <c r="N26" s="78" t="s">
        <v>74</v>
      </c>
    </row>
    <row r="27" spans="1:14" ht="14.25" thickBot="1">
      <c r="A27" s="81"/>
      <c r="B27" s="132"/>
      <c r="C27" s="133"/>
      <c r="D27" s="132"/>
      <c r="E27" s="133"/>
      <c r="F27" s="134"/>
      <c r="G27" s="133"/>
      <c r="H27" s="134"/>
      <c r="I27" s="133"/>
      <c r="J27" s="134"/>
      <c r="K27" s="133"/>
      <c r="L27" s="134"/>
      <c r="M27" s="133"/>
      <c r="N27" s="82"/>
    </row>
    <row r="28" spans="1:14" ht="15" thickBot="1" thickTop="1">
      <c r="A28" s="83" t="s">
        <v>75</v>
      </c>
      <c r="B28" s="138">
        <v>11929</v>
      </c>
      <c r="C28" s="139">
        <v>5100580</v>
      </c>
      <c r="D28" s="138">
        <v>19670</v>
      </c>
      <c r="E28" s="139">
        <v>4990431</v>
      </c>
      <c r="F28" s="138">
        <v>31599</v>
      </c>
      <c r="G28" s="139">
        <v>10091012</v>
      </c>
      <c r="H28" s="138">
        <v>679</v>
      </c>
      <c r="I28" s="140">
        <v>237137</v>
      </c>
      <c r="J28" s="138">
        <v>2097</v>
      </c>
      <c r="K28" s="140">
        <v>250476</v>
      </c>
      <c r="L28" s="138">
        <v>32935</v>
      </c>
      <c r="M28" s="140">
        <v>10104350</v>
      </c>
      <c r="N28" s="84" t="s">
        <v>76</v>
      </c>
    </row>
    <row r="29" spans="1:14" ht="13.5">
      <c r="A29" s="199" t="s">
        <v>77</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G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&amp;R金沢国税局
消費税
(H25)</oddFooter>
  </headerFooter>
</worksheet>
</file>

<file path=xl/worksheets/sheet5.xml><?xml version="1.0" encoding="utf-8"?>
<worksheet xmlns="http://schemas.openxmlformats.org/spreadsheetml/2006/main" xmlns:r="http://schemas.openxmlformats.org/officeDocument/2006/relationships">
  <dimension ref="A1:N29"/>
  <sheetViews>
    <sheetView view="pageBreakPreview" zoomScaleSheetLayoutView="100" zoomScalePageLayoutView="0" workbookViewId="0" topLeftCell="A1">
      <selection activeCell="A1" sqref="A1"/>
    </sheetView>
  </sheetViews>
  <sheetFormatPr defaultColWidth="9.00390625" defaultRowHeight="13.5"/>
  <cols>
    <col min="1" max="1" width="11.12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4" width="11.375" style="58" customWidth="1"/>
    <col min="15" max="16384" width="9.00390625" style="58" customWidth="1"/>
  </cols>
  <sheetData>
    <row r="1" spans="1:14" ht="13.5">
      <c r="A1" s="61" t="s">
        <v>78</v>
      </c>
      <c r="B1" s="61"/>
      <c r="C1" s="61"/>
      <c r="D1" s="61"/>
      <c r="E1" s="61"/>
      <c r="F1" s="61"/>
      <c r="G1" s="61"/>
      <c r="H1" s="61"/>
      <c r="I1" s="61"/>
      <c r="J1" s="61"/>
      <c r="K1" s="61"/>
      <c r="L1" s="62"/>
      <c r="M1" s="62"/>
      <c r="N1" s="112"/>
    </row>
    <row r="2" spans="1:14" ht="14.25" thickBot="1">
      <c r="A2" s="200" t="s">
        <v>79</v>
      </c>
      <c r="B2" s="200"/>
      <c r="C2" s="200"/>
      <c r="D2" s="200"/>
      <c r="E2" s="200"/>
      <c r="F2" s="200"/>
      <c r="G2" s="200"/>
      <c r="H2" s="200"/>
      <c r="I2" s="200"/>
      <c r="J2" s="85"/>
      <c r="K2" s="85"/>
      <c r="L2" s="62"/>
      <c r="M2" s="62"/>
      <c r="N2" s="112"/>
    </row>
    <row r="3" spans="1:14" ht="13.5">
      <c r="A3" s="185" t="s">
        <v>32</v>
      </c>
      <c r="B3" s="188" t="s">
        <v>33</v>
      </c>
      <c r="C3" s="188"/>
      <c r="D3" s="188"/>
      <c r="E3" s="188"/>
      <c r="F3" s="188"/>
      <c r="G3" s="188"/>
      <c r="H3" s="189" t="s">
        <v>13</v>
      </c>
      <c r="I3" s="190"/>
      <c r="J3" s="193" t="s">
        <v>34</v>
      </c>
      <c r="K3" s="190"/>
      <c r="L3" s="189" t="s">
        <v>35</v>
      </c>
      <c r="M3" s="190"/>
      <c r="N3" s="194" t="s">
        <v>80</v>
      </c>
    </row>
    <row r="4" spans="1:14" ht="13.5">
      <c r="A4" s="186"/>
      <c r="B4" s="191" t="s">
        <v>18</v>
      </c>
      <c r="C4" s="198"/>
      <c r="D4" s="191" t="s">
        <v>37</v>
      </c>
      <c r="E4" s="198"/>
      <c r="F4" s="191" t="s">
        <v>38</v>
      </c>
      <c r="G4" s="198"/>
      <c r="H4" s="191"/>
      <c r="I4" s="192"/>
      <c r="J4" s="191"/>
      <c r="K4" s="192"/>
      <c r="L4" s="191"/>
      <c r="M4" s="192"/>
      <c r="N4" s="195"/>
    </row>
    <row r="5" spans="1:14" ht="22.5">
      <c r="A5" s="187"/>
      <c r="B5" s="63" t="s">
        <v>39</v>
      </c>
      <c r="C5" s="64" t="s">
        <v>40</v>
      </c>
      <c r="D5" s="63" t="s">
        <v>39</v>
      </c>
      <c r="E5" s="64" t="s">
        <v>40</v>
      </c>
      <c r="F5" s="63" t="s">
        <v>39</v>
      </c>
      <c r="G5" s="65" t="s">
        <v>41</v>
      </c>
      <c r="H5" s="63" t="s">
        <v>39</v>
      </c>
      <c r="I5" s="66" t="s">
        <v>42</v>
      </c>
      <c r="J5" s="63" t="s">
        <v>39</v>
      </c>
      <c r="K5" s="66" t="s">
        <v>43</v>
      </c>
      <c r="L5" s="63" t="s">
        <v>39</v>
      </c>
      <c r="M5" s="67" t="s">
        <v>44</v>
      </c>
      <c r="N5" s="196"/>
    </row>
    <row r="6" spans="1:14" ht="13.5">
      <c r="A6" s="68"/>
      <c r="B6" s="69" t="s">
        <v>4</v>
      </c>
      <c r="C6" s="70" t="s">
        <v>5</v>
      </c>
      <c r="D6" s="69" t="s">
        <v>4</v>
      </c>
      <c r="E6" s="70" t="s">
        <v>5</v>
      </c>
      <c r="F6" s="69" t="s">
        <v>4</v>
      </c>
      <c r="G6" s="70" t="s">
        <v>5</v>
      </c>
      <c r="H6" s="69" t="s">
        <v>4</v>
      </c>
      <c r="I6" s="71" t="s">
        <v>5</v>
      </c>
      <c r="J6" s="69" t="s">
        <v>4</v>
      </c>
      <c r="K6" s="71" t="s">
        <v>5</v>
      </c>
      <c r="L6" s="69" t="s">
        <v>4</v>
      </c>
      <c r="M6" s="71" t="s">
        <v>5</v>
      </c>
      <c r="N6" s="72"/>
    </row>
    <row r="7" spans="1:14" ht="13.5">
      <c r="A7" s="73" t="s">
        <v>81</v>
      </c>
      <c r="B7" s="113">
        <f>_xlfn.COMPOUNDVALUE(61)</f>
        <v>4644</v>
      </c>
      <c r="C7" s="114">
        <v>33369630</v>
      </c>
      <c r="D7" s="113">
        <f>_xlfn.COMPOUNDVALUE(62)</f>
        <v>1760</v>
      </c>
      <c r="E7" s="114">
        <v>658923</v>
      </c>
      <c r="F7" s="113">
        <f>_xlfn.COMPOUNDVALUE(63)</f>
        <v>6404</v>
      </c>
      <c r="G7" s="114">
        <v>34028553</v>
      </c>
      <c r="H7" s="113">
        <f>_xlfn.COMPOUNDVALUE(64)</f>
        <v>420</v>
      </c>
      <c r="I7" s="115">
        <v>1925349</v>
      </c>
      <c r="J7" s="113">
        <v>348</v>
      </c>
      <c r="K7" s="115">
        <v>43108</v>
      </c>
      <c r="L7" s="113">
        <f>_xlfn.COMPOUNDVALUE(64)</f>
        <v>6858</v>
      </c>
      <c r="M7" s="115">
        <v>32146311</v>
      </c>
      <c r="N7" s="92" t="s">
        <v>46</v>
      </c>
    </row>
    <row r="8" spans="1:14" ht="13.5">
      <c r="A8" s="75" t="s">
        <v>82</v>
      </c>
      <c r="B8" s="118">
        <f>_xlfn.COMPOUNDVALUE(65)</f>
        <v>3285</v>
      </c>
      <c r="C8" s="119">
        <v>17794299</v>
      </c>
      <c r="D8" s="118">
        <f>_xlfn.COMPOUNDVALUE(66)</f>
        <v>1231</v>
      </c>
      <c r="E8" s="119">
        <v>469984</v>
      </c>
      <c r="F8" s="118">
        <f>_xlfn.COMPOUNDVALUE(67)</f>
        <v>4516</v>
      </c>
      <c r="G8" s="119">
        <v>18264282</v>
      </c>
      <c r="H8" s="118">
        <f>_xlfn.COMPOUNDVALUE(68)</f>
        <v>438</v>
      </c>
      <c r="I8" s="120">
        <v>1975750</v>
      </c>
      <c r="J8" s="118">
        <v>246</v>
      </c>
      <c r="K8" s="120">
        <v>24793</v>
      </c>
      <c r="L8" s="118">
        <f>_xlfn.COMPOUNDVALUE(68)</f>
        <v>4985</v>
      </c>
      <c r="M8" s="120">
        <v>16313326</v>
      </c>
      <c r="N8" s="76" t="s">
        <v>48</v>
      </c>
    </row>
    <row r="9" spans="1:14" ht="13.5">
      <c r="A9" s="75" t="s">
        <v>83</v>
      </c>
      <c r="B9" s="118">
        <f>_xlfn.COMPOUNDVALUE(69)</f>
        <v>1772</v>
      </c>
      <c r="C9" s="119">
        <v>7160151</v>
      </c>
      <c r="D9" s="118">
        <f>_xlfn.COMPOUNDVALUE(70)</f>
        <v>653</v>
      </c>
      <c r="E9" s="119">
        <v>243953</v>
      </c>
      <c r="F9" s="118">
        <f>_xlfn.COMPOUNDVALUE(71)</f>
        <v>2425</v>
      </c>
      <c r="G9" s="119">
        <v>7404104</v>
      </c>
      <c r="H9" s="118">
        <f>_xlfn.COMPOUNDVALUE(72)</f>
        <v>136</v>
      </c>
      <c r="I9" s="120">
        <v>347892</v>
      </c>
      <c r="J9" s="118">
        <v>79</v>
      </c>
      <c r="K9" s="120">
        <v>10902</v>
      </c>
      <c r="L9" s="118">
        <f>_xlfn.COMPOUNDVALUE(72)</f>
        <v>2578</v>
      </c>
      <c r="M9" s="120">
        <v>7067114</v>
      </c>
      <c r="N9" s="76" t="s">
        <v>50</v>
      </c>
    </row>
    <row r="10" spans="1:14" ht="13.5">
      <c r="A10" s="75" t="s">
        <v>84</v>
      </c>
      <c r="B10" s="118">
        <f>_xlfn.COMPOUNDVALUE(73)</f>
        <v>1305</v>
      </c>
      <c r="C10" s="119">
        <v>6512106</v>
      </c>
      <c r="D10" s="118">
        <f>_xlfn.COMPOUNDVALUE(74)</f>
        <v>507</v>
      </c>
      <c r="E10" s="119">
        <v>185228</v>
      </c>
      <c r="F10" s="118">
        <f>_xlfn.COMPOUNDVALUE(75)</f>
        <v>1812</v>
      </c>
      <c r="G10" s="119">
        <v>6697334</v>
      </c>
      <c r="H10" s="118">
        <f>_xlfn.COMPOUNDVALUE(76)</f>
        <v>93</v>
      </c>
      <c r="I10" s="120">
        <v>593985</v>
      </c>
      <c r="J10" s="118">
        <v>59</v>
      </c>
      <c r="K10" s="120">
        <v>13960</v>
      </c>
      <c r="L10" s="118">
        <f>_xlfn.COMPOUNDVALUE(76)</f>
        <v>1910</v>
      </c>
      <c r="M10" s="120">
        <v>6117308</v>
      </c>
      <c r="N10" s="76" t="s">
        <v>52</v>
      </c>
    </row>
    <row r="11" spans="1:14" ht="13.5">
      <c r="A11" s="77" t="s">
        <v>85</v>
      </c>
      <c r="B11" s="121">
        <v>11006</v>
      </c>
      <c r="C11" s="122">
        <v>64836185</v>
      </c>
      <c r="D11" s="121">
        <v>4151</v>
      </c>
      <c r="E11" s="122">
        <v>1558088</v>
      </c>
      <c r="F11" s="121">
        <v>15157</v>
      </c>
      <c r="G11" s="122">
        <v>66394273</v>
      </c>
      <c r="H11" s="121">
        <v>1087</v>
      </c>
      <c r="I11" s="123">
        <v>4842977</v>
      </c>
      <c r="J11" s="121">
        <v>732</v>
      </c>
      <c r="K11" s="123">
        <v>92764</v>
      </c>
      <c r="L11" s="121">
        <v>16331</v>
      </c>
      <c r="M11" s="123">
        <v>61644059</v>
      </c>
      <c r="N11" s="78" t="s">
        <v>54</v>
      </c>
    </row>
    <row r="12" spans="1:14" ht="13.5">
      <c r="A12" s="79"/>
      <c r="B12" s="126"/>
      <c r="C12" s="127"/>
      <c r="D12" s="126"/>
      <c r="E12" s="127"/>
      <c r="F12" s="128"/>
      <c r="G12" s="127"/>
      <c r="H12" s="128"/>
      <c r="I12" s="127"/>
      <c r="J12" s="128"/>
      <c r="K12" s="127"/>
      <c r="L12" s="128"/>
      <c r="M12" s="127"/>
      <c r="N12" s="80"/>
    </row>
    <row r="13" spans="1:14" ht="13.5">
      <c r="A13" s="73" t="s">
        <v>55</v>
      </c>
      <c r="B13" s="113">
        <f>_xlfn.COMPOUNDVALUE(77)</f>
        <v>6483</v>
      </c>
      <c r="C13" s="114">
        <v>32305883</v>
      </c>
      <c r="D13" s="113">
        <f>_xlfn.COMPOUNDVALUE(78)</f>
        <v>2752</v>
      </c>
      <c r="E13" s="114">
        <v>1042243</v>
      </c>
      <c r="F13" s="113">
        <f>_xlfn.COMPOUNDVALUE(79)</f>
        <v>9235</v>
      </c>
      <c r="G13" s="114">
        <v>33348126</v>
      </c>
      <c r="H13" s="113">
        <f>_xlfn.COMPOUNDVALUE(80)</f>
        <v>275</v>
      </c>
      <c r="I13" s="115">
        <v>1328746</v>
      </c>
      <c r="J13" s="113">
        <v>383</v>
      </c>
      <c r="K13" s="115">
        <v>62947</v>
      </c>
      <c r="L13" s="113">
        <f>_xlfn.COMPOUNDVALUE(80)</f>
        <v>9551</v>
      </c>
      <c r="M13" s="115">
        <v>32082327</v>
      </c>
      <c r="N13" s="74" t="s">
        <v>55</v>
      </c>
    </row>
    <row r="14" spans="1:14" ht="13.5">
      <c r="A14" s="75" t="s">
        <v>56</v>
      </c>
      <c r="B14" s="118">
        <f>_xlfn.COMPOUNDVALUE(81)</f>
        <v>1151</v>
      </c>
      <c r="C14" s="119">
        <v>4223527</v>
      </c>
      <c r="D14" s="118">
        <f>_xlfn.COMPOUNDVALUE(82)</f>
        <v>552</v>
      </c>
      <c r="E14" s="119">
        <v>197772</v>
      </c>
      <c r="F14" s="118">
        <f>_xlfn.COMPOUNDVALUE(83)</f>
        <v>1703</v>
      </c>
      <c r="G14" s="119">
        <v>4421299</v>
      </c>
      <c r="H14" s="118">
        <f>_xlfn.COMPOUNDVALUE(84)</f>
        <v>66</v>
      </c>
      <c r="I14" s="120">
        <v>63513</v>
      </c>
      <c r="J14" s="118">
        <v>125</v>
      </c>
      <c r="K14" s="120">
        <v>8737</v>
      </c>
      <c r="L14" s="118">
        <f>_xlfn.COMPOUNDVALUE(84)</f>
        <v>1781</v>
      </c>
      <c r="M14" s="120">
        <v>4366523</v>
      </c>
      <c r="N14" s="76" t="s">
        <v>56</v>
      </c>
    </row>
    <row r="15" spans="1:14" ht="13.5">
      <c r="A15" s="75" t="s">
        <v>57</v>
      </c>
      <c r="B15" s="118">
        <f>_xlfn.COMPOUNDVALUE(85)</f>
        <v>2526</v>
      </c>
      <c r="C15" s="119">
        <v>10497737</v>
      </c>
      <c r="D15" s="118">
        <f>_xlfn.COMPOUNDVALUE(86)</f>
        <v>1049</v>
      </c>
      <c r="E15" s="119">
        <v>372581</v>
      </c>
      <c r="F15" s="118">
        <f>_xlfn.COMPOUNDVALUE(87)</f>
        <v>3575</v>
      </c>
      <c r="G15" s="119">
        <v>10870319</v>
      </c>
      <c r="H15" s="118">
        <f>_xlfn.COMPOUNDVALUE(88)</f>
        <v>82</v>
      </c>
      <c r="I15" s="120">
        <v>216832</v>
      </c>
      <c r="J15" s="118">
        <v>176</v>
      </c>
      <c r="K15" s="120">
        <v>853</v>
      </c>
      <c r="L15" s="118">
        <f>_xlfn.COMPOUNDVALUE(88)</f>
        <v>3673</v>
      </c>
      <c r="M15" s="120">
        <v>10654339</v>
      </c>
      <c r="N15" s="76" t="s">
        <v>57</v>
      </c>
    </row>
    <row r="16" spans="1:14" ht="13.5">
      <c r="A16" s="75" t="s">
        <v>58</v>
      </c>
      <c r="B16" s="118">
        <f>_xlfn.COMPOUNDVALUE(89)</f>
        <v>591</v>
      </c>
      <c r="C16" s="119">
        <v>1340323</v>
      </c>
      <c r="D16" s="118">
        <f>_xlfn.COMPOUNDVALUE(90)</f>
        <v>267</v>
      </c>
      <c r="E16" s="119">
        <v>97938</v>
      </c>
      <c r="F16" s="118">
        <f>_xlfn.COMPOUNDVALUE(91)</f>
        <v>858</v>
      </c>
      <c r="G16" s="119">
        <v>1438261</v>
      </c>
      <c r="H16" s="118">
        <f>_xlfn.COMPOUNDVALUE(92)</f>
        <v>29</v>
      </c>
      <c r="I16" s="120">
        <v>21650</v>
      </c>
      <c r="J16" s="118">
        <v>41</v>
      </c>
      <c r="K16" s="120">
        <v>3927</v>
      </c>
      <c r="L16" s="118">
        <f>_xlfn.COMPOUNDVALUE(92)</f>
        <v>894</v>
      </c>
      <c r="M16" s="120">
        <v>1420537</v>
      </c>
      <c r="N16" s="76" t="s">
        <v>58</v>
      </c>
    </row>
    <row r="17" spans="1:14" ht="13.5">
      <c r="A17" s="75" t="s">
        <v>59</v>
      </c>
      <c r="B17" s="118">
        <f>_xlfn.COMPOUNDVALUE(93)</f>
        <v>1504</v>
      </c>
      <c r="C17" s="119">
        <v>7699414</v>
      </c>
      <c r="D17" s="118">
        <f>_xlfn.COMPOUNDVALUE(94)</f>
        <v>592</v>
      </c>
      <c r="E17" s="119">
        <v>213951</v>
      </c>
      <c r="F17" s="118">
        <f>_xlfn.COMPOUNDVALUE(95)</f>
        <v>2096</v>
      </c>
      <c r="G17" s="119">
        <v>7913365</v>
      </c>
      <c r="H17" s="118">
        <f>_xlfn.COMPOUNDVALUE(96)</f>
        <v>70</v>
      </c>
      <c r="I17" s="120">
        <v>343509</v>
      </c>
      <c r="J17" s="118">
        <v>117</v>
      </c>
      <c r="K17" s="120">
        <v>27245</v>
      </c>
      <c r="L17" s="118">
        <f>_xlfn.COMPOUNDVALUE(96)</f>
        <v>2180</v>
      </c>
      <c r="M17" s="120">
        <v>7597101</v>
      </c>
      <c r="N17" s="76" t="s">
        <v>59</v>
      </c>
    </row>
    <row r="18" spans="1:14" ht="13.5">
      <c r="A18" s="77" t="s">
        <v>60</v>
      </c>
      <c r="B18" s="121">
        <v>12255</v>
      </c>
      <c r="C18" s="122">
        <v>56066884</v>
      </c>
      <c r="D18" s="121">
        <v>5212</v>
      </c>
      <c r="E18" s="122">
        <v>1924486</v>
      </c>
      <c r="F18" s="121">
        <v>17467</v>
      </c>
      <c r="G18" s="122">
        <v>57991370</v>
      </c>
      <c r="H18" s="121">
        <v>522</v>
      </c>
      <c r="I18" s="123">
        <v>1974249</v>
      </c>
      <c r="J18" s="121">
        <v>842</v>
      </c>
      <c r="K18" s="123">
        <v>103707</v>
      </c>
      <c r="L18" s="121">
        <v>18079</v>
      </c>
      <c r="M18" s="123">
        <v>56120828</v>
      </c>
      <c r="N18" s="78" t="s">
        <v>60</v>
      </c>
    </row>
    <row r="19" spans="1:14" ht="13.5">
      <c r="A19" s="79"/>
      <c r="B19" s="126"/>
      <c r="C19" s="127"/>
      <c r="D19" s="126"/>
      <c r="E19" s="127"/>
      <c r="F19" s="128"/>
      <c r="G19" s="127"/>
      <c r="H19" s="128"/>
      <c r="I19" s="127"/>
      <c r="J19" s="128"/>
      <c r="K19" s="127"/>
      <c r="L19" s="128"/>
      <c r="M19" s="127"/>
      <c r="N19" s="80"/>
    </row>
    <row r="20" spans="1:14" ht="13.5">
      <c r="A20" s="73" t="s">
        <v>86</v>
      </c>
      <c r="B20" s="113">
        <f>_xlfn.COMPOUNDVALUE(97)</f>
        <v>4107</v>
      </c>
      <c r="C20" s="114">
        <v>18277290</v>
      </c>
      <c r="D20" s="113">
        <f>_xlfn.COMPOUNDVALUE(98)</f>
        <v>1535</v>
      </c>
      <c r="E20" s="114">
        <v>575270</v>
      </c>
      <c r="F20" s="113">
        <f>_xlfn.COMPOUNDVALUE(99)</f>
        <v>5642</v>
      </c>
      <c r="G20" s="114">
        <v>18852560</v>
      </c>
      <c r="H20" s="113">
        <f>_xlfn.COMPOUNDVALUE(100)</f>
        <v>246</v>
      </c>
      <c r="I20" s="115">
        <v>1135780</v>
      </c>
      <c r="J20" s="113">
        <v>288</v>
      </c>
      <c r="K20" s="115">
        <v>-20258</v>
      </c>
      <c r="L20" s="113">
        <f>_xlfn.COMPOUNDVALUE(100)</f>
        <v>5918</v>
      </c>
      <c r="M20" s="115">
        <v>17696521</v>
      </c>
      <c r="N20" s="74" t="s">
        <v>62</v>
      </c>
    </row>
    <row r="21" spans="1:14" ht="13.5">
      <c r="A21" s="75" t="s">
        <v>87</v>
      </c>
      <c r="B21" s="118">
        <f>_xlfn.COMPOUNDVALUE(101)</f>
        <v>972</v>
      </c>
      <c r="C21" s="119">
        <v>3170646</v>
      </c>
      <c r="D21" s="118">
        <f>_xlfn.COMPOUNDVALUE(102)</f>
        <v>420</v>
      </c>
      <c r="E21" s="119">
        <v>143742</v>
      </c>
      <c r="F21" s="118">
        <f>_xlfn.COMPOUNDVALUE(103)</f>
        <v>1392</v>
      </c>
      <c r="G21" s="119">
        <v>3314388</v>
      </c>
      <c r="H21" s="118">
        <f>_xlfn.COMPOUNDVALUE(104)</f>
        <v>48</v>
      </c>
      <c r="I21" s="120">
        <v>153738</v>
      </c>
      <c r="J21" s="118">
        <v>51</v>
      </c>
      <c r="K21" s="120">
        <v>6829</v>
      </c>
      <c r="L21" s="118">
        <f>_xlfn.COMPOUNDVALUE(104)</f>
        <v>1455</v>
      </c>
      <c r="M21" s="120">
        <v>3167478</v>
      </c>
      <c r="N21" s="76" t="s">
        <v>64</v>
      </c>
    </row>
    <row r="22" spans="1:14" ht="13.5">
      <c r="A22" s="75" t="s">
        <v>88</v>
      </c>
      <c r="B22" s="118">
        <f>_xlfn.COMPOUNDVALUE(105)</f>
        <v>2013</v>
      </c>
      <c r="C22" s="119">
        <v>9546659</v>
      </c>
      <c r="D22" s="118">
        <f>_xlfn.COMPOUNDVALUE(106)</f>
        <v>796</v>
      </c>
      <c r="E22" s="119">
        <v>264490</v>
      </c>
      <c r="F22" s="118">
        <f>_xlfn.COMPOUNDVALUE(107)</f>
        <v>2809</v>
      </c>
      <c r="G22" s="119">
        <v>9811149</v>
      </c>
      <c r="H22" s="118">
        <f>_xlfn.COMPOUNDVALUE(108)</f>
        <v>155</v>
      </c>
      <c r="I22" s="120">
        <v>323682</v>
      </c>
      <c r="J22" s="118">
        <v>165</v>
      </c>
      <c r="K22" s="120">
        <v>-5793</v>
      </c>
      <c r="L22" s="118">
        <f>_xlfn.COMPOUNDVALUE(108)</f>
        <v>2986</v>
      </c>
      <c r="M22" s="120">
        <v>9481674</v>
      </c>
      <c r="N22" s="76" t="s">
        <v>66</v>
      </c>
    </row>
    <row r="23" spans="1:14" ht="13.5">
      <c r="A23" s="75" t="s">
        <v>89</v>
      </c>
      <c r="B23" s="118">
        <f>_xlfn.COMPOUNDVALUE(109)</f>
        <v>546</v>
      </c>
      <c r="C23" s="119">
        <v>1533507</v>
      </c>
      <c r="D23" s="118">
        <f>_xlfn.COMPOUNDVALUE(110)</f>
        <v>190</v>
      </c>
      <c r="E23" s="119">
        <v>63176</v>
      </c>
      <c r="F23" s="118">
        <f>_xlfn.COMPOUNDVALUE(111)</f>
        <v>736</v>
      </c>
      <c r="G23" s="119">
        <v>1596683</v>
      </c>
      <c r="H23" s="118">
        <f>_xlfn.COMPOUNDVALUE(112)</f>
        <v>24</v>
      </c>
      <c r="I23" s="120">
        <v>55420</v>
      </c>
      <c r="J23" s="118">
        <v>39</v>
      </c>
      <c r="K23" s="120">
        <v>-2225</v>
      </c>
      <c r="L23" s="118">
        <f>_xlfn.COMPOUNDVALUE(112)</f>
        <v>763</v>
      </c>
      <c r="M23" s="120">
        <v>1539038</v>
      </c>
      <c r="N23" s="76" t="s">
        <v>68</v>
      </c>
    </row>
    <row r="24" spans="1:14" ht="13.5">
      <c r="A24" s="75" t="s">
        <v>90</v>
      </c>
      <c r="B24" s="118">
        <f>_xlfn.COMPOUNDVALUE(113)</f>
        <v>588</v>
      </c>
      <c r="C24" s="119">
        <v>1509571</v>
      </c>
      <c r="D24" s="118">
        <f>_xlfn.COMPOUNDVALUE(114)</f>
        <v>275</v>
      </c>
      <c r="E24" s="119">
        <v>98537</v>
      </c>
      <c r="F24" s="118">
        <f>_xlfn.COMPOUNDVALUE(115)</f>
        <v>863</v>
      </c>
      <c r="G24" s="119">
        <v>1608108</v>
      </c>
      <c r="H24" s="118">
        <f>_xlfn.COMPOUNDVALUE(116)</f>
        <v>25</v>
      </c>
      <c r="I24" s="120">
        <v>77535</v>
      </c>
      <c r="J24" s="118">
        <v>49</v>
      </c>
      <c r="K24" s="120">
        <v>2771</v>
      </c>
      <c r="L24" s="118">
        <f>_xlfn.COMPOUNDVALUE(116)</f>
        <v>890</v>
      </c>
      <c r="M24" s="120">
        <v>1533344</v>
      </c>
      <c r="N24" s="76" t="s">
        <v>70</v>
      </c>
    </row>
    <row r="25" spans="1:14" ht="13.5">
      <c r="A25" s="75" t="s">
        <v>91</v>
      </c>
      <c r="B25" s="118">
        <f>_xlfn.COMPOUNDVALUE(117)</f>
        <v>1150</v>
      </c>
      <c r="C25" s="119">
        <v>5104178</v>
      </c>
      <c r="D25" s="118">
        <f>_xlfn.COMPOUNDVALUE(118)</f>
        <v>461</v>
      </c>
      <c r="E25" s="119">
        <v>164564</v>
      </c>
      <c r="F25" s="118">
        <f>_xlfn.COMPOUNDVALUE(119)</f>
        <v>1611</v>
      </c>
      <c r="G25" s="119">
        <v>5268742</v>
      </c>
      <c r="H25" s="118">
        <f>_xlfn.COMPOUNDVALUE(120)</f>
        <v>81</v>
      </c>
      <c r="I25" s="120">
        <v>363852</v>
      </c>
      <c r="J25" s="118">
        <v>45</v>
      </c>
      <c r="K25" s="120">
        <v>12588</v>
      </c>
      <c r="L25" s="118">
        <f>_xlfn.COMPOUNDVALUE(120)</f>
        <v>1705</v>
      </c>
      <c r="M25" s="120">
        <v>4917477</v>
      </c>
      <c r="N25" s="76" t="s">
        <v>72</v>
      </c>
    </row>
    <row r="26" spans="1:14" ht="13.5">
      <c r="A26" s="77" t="s">
        <v>92</v>
      </c>
      <c r="B26" s="121">
        <v>9376</v>
      </c>
      <c r="C26" s="122">
        <v>39141851</v>
      </c>
      <c r="D26" s="121">
        <v>3677</v>
      </c>
      <c r="E26" s="122">
        <v>1309779</v>
      </c>
      <c r="F26" s="121">
        <v>13053</v>
      </c>
      <c r="G26" s="122">
        <v>40451630</v>
      </c>
      <c r="H26" s="121">
        <v>579</v>
      </c>
      <c r="I26" s="123">
        <v>2110008</v>
      </c>
      <c r="J26" s="121">
        <v>637</v>
      </c>
      <c r="K26" s="123">
        <v>-6088</v>
      </c>
      <c r="L26" s="121">
        <v>13717</v>
      </c>
      <c r="M26" s="123">
        <v>38335533</v>
      </c>
      <c r="N26" s="78" t="s">
        <v>74</v>
      </c>
    </row>
    <row r="27" spans="1:14" ht="14.25" thickBot="1">
      <c r="A27" s="81"/>
      <c r="B27" s="132"/>
      <c r="C27" s="133"/>
      <c r="D27" s="132"/>
      <c r="E27" s="133"/>
      <c r="F27" s="134"/>
      <c r="G27" s="133"/>
      <c r="H27" s="134"/>
      <c r="I27" s="133"/>
      <c r="J27" s="134"/>
      <c r="K27" s="133"/>
      <c r="L27" s="134"/>
      <c r="M27" s="133"/>
      <c r="N27" s="82"/>
    </row>
    <row r="28" spans="1:14" ht="15" thickBot="1" thickTop="1">
      <c r="A28" s="83" t="s">
        <v>93</v>
      </c>
      <c r="B28" s="138">
        <v>32637</v>
      </c>
      <c r="C28" s="139">
        <v>160044920</v>
      </c>
      <c r="D28" s="138">
        <v>13040</v>
      </c>
      <c r="E28" s="139">
        <v>4792353</v>
      </c>
      <c r="F28" s="138">
        <v>45677</v>
      </c>
      <c r="G28" s="139">
        <v>164837273</v>
      </c>
      <c r="H28" s="138">
        <v>2188</v>
      </c>
      <c r="I28" s="140">
        <v>8927235</v>
      </c>
      <c r="J28" s="138">
        <v>2211</v>
      </c>
      <c r="K28" s="140">
        <v>190382</v>
      </c>
      <c r="L28" s="138">
        <v>48127</v>
      </c>
      <c r="M28" s="140">
        <v>156100420</v>
      </c>
      <c r="N28" s="84" t="s">
        <v>76</v>
      </c>
    </row>
    <row r="29" spans="1:14" ht="13.5">
      <c r="A29" s="199" t="s">
        <v>77</v>
      </c>
      <c r="B29" s="199"/>
      <c r="C29" s="199"/>
      <c r="D29" s="199"/>
      <c r="E29" s="199"/>
      <c r="F29" s="199"/>
      <c r="G29" s="199"/>
      <c r="H29" s="199"/>
      <c r="I29" s="199"/>
      <c r="J29" s="85"/>
      <c r="K29" s="85"/>
      <c r="L29" s="62"/>
      <c r="M29" s="62"/>
      <c r="N29" s="62"/>
    </row>
  </sheetData>
  <sheetProtection/>
  <mergeCells count="11">
    <mergeCell ref="N3:N5"/>
    <mergeCell ref="B4:C4"/>
    <mergeCell ref="D4:E4"/>
    <mergeCell ref="F4:G4"/>
    <mergeCell ref="A29:I29"/>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&amp;R金沢国税局
消費税
(H25)</oddFooter>
  </headerFooter>
</worksheet>
</file>

<file path=xl/worksheets/sheet6.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A1">
      <selection activeCell="A1" sqref="A1"/>
    </sheetView>
  </sheetViews>
  <sheetFormatPr defaultColWidth="9.00390625" defaultRowHeight="13.5"/>
  <cols>
    <col min="1" max="1" width="10.375" style="58" customWidth="1"/>
    <col min="2" max="2" width="10.625" style="58" customWidth="1"/>
    <col min="3" max="3" width="12.625" style="58" customWidth="1"/>
    <col min="4" max="4" width="10.625" style="58" customWidth="1"/>
    <col min="5" max="5" width="12.625" style="58" customWidth="1"/>
    <col min="6" max="6" width="10.625" style="58" customWidth="1"/>
    <col min="7" max="7" width="12.625" style="58" customWidth="1"/>
    <col min="8" max="8" width="10.625" style="58" customWidth="1"/>
    <col min="9" max="9" width="12.625" style="58" customWidth="1"/>
    <col min="10" max="10" width="10.625" style="58" customWidth="1"/>
    <col min="11" max="11" width="12.625" style="58" customWidth="1"/>
    <col min="12" max="12" width="10.625" style="58" customWidth="1"/>
    <col min="13" max="13" width="12.625" style="58" customWidth="1"/>
    <col min="14" max="17" width="10.625" style="58" customWidth="1"/>
    <col min="18" max="18" width="10.375" style="58" customWidth="1"/>
    <col min="19" max="16384" width="9.00390625" style="58" customWidth="1"/>
  </cols>
  <sheetData>
    <row r="1" spans="1:18" ht="13.5">
      <c r="A1" s="61" t="s">
        <v>78</v>
      </c>
      <c r="B1" s="61"/>
      <c r="C1" s="61"/>
      <c r="D1" s="61"/>
      <c r="E1" s="61"/>
      <c r="F1" s="61"/>
      <c r="G1" s="61"/>
      <c r="H1" s="61"/>
      <c r="I1" s="61"/>
      <c r="J1" s="61"/>
      <c r="K1" s="61"/>
      <c r="L1" s="62"/>
      <c r="M1" s="62"/>
      <c r="N1" s="62"/>
      <c r="O1" s="62"/>
      <c r="P1" s="62"/>
      <c r="Q1" s="112"/>
      <c r="R1" s="112"/>
    </row>
    <row r="2" spans="1:18" ht="14.25" thickBot="1">
      <c r="A2" s="200" t="s">
        <v>94</v>
      </c>
      <c r="B2" s="200"/>
      <c r="C2" s="200"/>
      <c r="D2" s="200"/>
      <c r="E2" s="200"/>
      <c r="F2" s="200"/>
      <c r="G2" s="200"/>
      <c r="H2" s="200"/>
      <c r="I2" s="200"/>
      <c r="J2" s="85"/>
      <c r="K2" s="85"/>
      <c r="L2" s="62"/>
      <c r="M2" s="62"/>
      <c r="N2" s="62"/>
      <c r="O2" s="62"/>
      <c r="P2" s="62"/>
      <c r="Q2" s="112"/>
      <c r="R2" s="112"/>
    </row>
    <row r="3" spans="1:18" ht="13.5">
      <c r="A3" s="185" t="s">
        <v>32</v>
      </c>
      <c r="B3" s="188" t="s">
        <v>33</v>
      </c>
      <c r="C3" s="188"/>
      <c r="D3" s="188"/>
      <c r="E3" s="188"/>
      <c r="F3" s="188"/>
      <c r="G3" s="188"/>
      <c r="H3" s="188" t="s">
        <v>13</v>
      </c>
      <c r="I3" s="188"/>
      <c r="J3" s="210" t="s">
        <v>34</v>
      </c>
      <c r="K3" s="188"/>
      <c r="L3" s="188" t="s">
        <v>35</v>
      </c>
      <c r="M3" s="188"/>
      <c r="N3" s="201" t="s">
        <v>95</v>
      </c>
      <c r="O3" s="202"/>
      <c r="P3" s="202"/>
      <c r="Q3" s="202"/>
      <c r="R3" s="194" t="s">
        <v>80</v>
      </c>
    </row>
    <row r="4" spans="1:18" ht="13.5">
      <c r="A4" s="186"/>
      <c r="B4" s="197" t="s">
        <v>18</v>
      </c>
      <c r="C4" s="197"/>
      <c r="D4" s="197" t="s">
        <v>37</v>
      </c>
      <c r="E4" s="197"/>
      <c r="F4" s="197" t="s">
        <v>38</v>
      </c>
      <c r="G4" s="197"/>
      <c r="H4" s="197"/>
      <c r="I4" s="197"/>
      <c r="J4" s="197"/>
      <c r="K4" s="197"/>
      <c r="L4" s="197"/>
      <c r="M4" s="197"/>
      <c r="N4" s="203" t="s">
        <v>96</v>
      </c>
      <c r="O4" s="205" t="s">
        <v>97</v>
      </c>
      <c r="P4" s="207" t="s">
        <v>98</v>
      </c>
      <c r="Q4" s="192" t="s">
        <v>99</v>
      </c>
      <c r="R4" s="195"/>
    </row>
    <row r="5" spans="1:18" ht="22.5">
      <c r="A5" s="187"/>
      <c r="B5" s="63" t="s">
        <v>39</v>
      </c>
      <c r="C5" s="64" t="s">
        <v>40</v>
      </c>
      <c r="D5" s="63" t="s">
        <v>39</v>
      </c>
      <c r="E5" s="64" t="s">
        <v>40</v>
      </c>
      <c r="F5" s="63" t="s">
        <v>39</v>
      </c>
      <c r="G5" s="64" t="s">
        <v>41</v>
      </c>
      <c r="H5" s="63" t="s">
        <v>39</v>
      </c>
      <c r="I5" s="64" t="s">
        <v>42</v>
      </c>
      <c r="J5" s="63" t="s">
        <v>39</v>
      </c>
      <c r="K5" s="64" t="s">
        <v>43</v>
      </c>
      <c r="L5" s="63" t="s">
        <v>39</v>
      </c>
      <c r="M5" s="86" t="s">
        <v>100</v>
      </c>
      <c r="N5" s="204"/>
      <c r="O5" s="206"/>
      <c r="P5" s="208"/>
      <c r="Q5" s="209"/>
      <c r="R5" s="196"/>
    </row>
    <row r="6" spans="1:18" ht="13.5">
      <c r="A6" s="68"/>
      <c r="B6" s="69" t="s">
        <v>4</v>
      </c>
      <c r="C6" s="70" t="s">
        <v>5</v>
      </c>
      <c r="D6" s="69" t="s">
        <v>4</v>
      </c>
      <c r="E6" s="70" t="s">
        <v>5</v>
      </c>
      <c r="F6" s="69" t="s">
        <v>4</v>
      </c>
      <c r="G6" s="70" t="s">
        <v>5</v>
      </c>
      <c r="H6" s="69" t="s">
        <v>4</v>
      </c>
      <c r="I6" s="70" t="s">
        <v>5</v>
      </c>
      <c r="J6" s="69" t="s">
        <v>4</v>
      </c>
      <c r="K6" s="70" t="s">
        <v>5</v>
      </c>
      <c r="L6" s="69" t="s">
        <v>4</v>
      </c>
      <c r="M6" s="70" t="s">
        <v>5</v>
      </c>
      <c r="N6" s="69" t="s">
        <v>4</v>
      </c>
      <c r="O6" s="87" t="s">
        <v>4</v>
      </c>
      <c r="P6" s="87" t="s">
        <v>4</v>
      </c>
      <c r="Q6" s="88" t="s">
        <v>4</v>
      </c>
      <c r="R6" s="72"/>
    </row>
    <row r="7" spans="1:18" ht="13.5">
      <c r="A7" s="73" t="s">
        <v>45</v>
      </c>
      <c r="B7" s="113">
        <f>_xlfn.COMPOUNDVALUE(121)</f>
        <v>6051</v>
      </c>
      <c r="C7" s="114">
        <v>34141991</v>
      </c>
      <c r="D7" s="113">
        <f>_xlfn.COMPOUNDVALUE(122)</f>
        <v>4227</v>
      </c>
      <c r="E7" s="114">
        <v>1306791</v>
      </c>
      <c r="F7" s="113">
        <f>_xlfn.COMPOUNDVALUE(123)</f>
        <v>10278</v>
      </c>
      <c r="G7" s="114">
        <v>35448782</v>
      </c>
      <c r="H7" s="113">
        <f>_xlfn.COMPOUNDVALUE(124)</f>
        <v>514</v>
      </c>
      <c r="I7" s="115">
        <v>1961198</v>
      </c>
      <c r="J7" s="113">
        <v>586</v>
      </c>
      <c r="K7" s="115">
        <v>70618</v>
      </c>
      <c r="L7" s="113">
        <f>_xlfn.COMPOUNDVALUE(124)</f>
        <v>10897</v>
      </c>
      <c r="M7" s="115">
        <v>33558202</v>
      </c>
      <c r="N7" s="113">
        <v>10511</v>
      </c>
      <c r="O7" s="116">
        <v>293</v>
      </c>
      <c r="P7" s="116">
        <v>24</v>
      </c>
      <c r="Q7" s="117">
        <v>10828</v>
      </c>
      <c r="R7" s="92" t="s">
        <v>46</v>
      </c>
    </row>
    <row r="8" spans="1:18" ht="13.5">
      <c r="A8" s="75" t="s">
        <v>47</v>
      </c>
      <c r="B8" s="118">
        <f>_xlfn.COMPOUNDVALUE(125)</f>
        <v>4577</v>
      </c>
      <c r="C8" s="119">
        <v>18425570</v>
      </c>
      <c r="D8" s="118">
        <f>_xlfn.COMPOUNDVALUE(126)</f>
        <v>3251</v>
      </c>
      <c r="E8" s="119">
        <v>982254</v>
      </c>
      <c r="F8" s="118">
        <f>_xlfn.COMPOUNDVALUE(127)</f>
        <v>7828</v>
      </c>
      <c r="G8" s="119">
        <v>19407824</v>
      </c>
      <c r="H8" s="118">
        <f>_xlfn.COMPOUNDVALUE(128)</f>
        <v>503</v>
      </c>
      <c r="I8" s="120">
        <v>1998055</v>
      </c>
      <c r="J8" s="118">
        <v>487</v>
      </c>
      <c r="K8" s="120">
        <v>57040</v>
      </c>
      <c r="L8" s="118">
        <f>_xlfn.COMPOUNDVALUE(128)</f>
        <v>8430</v>
      </c>
      <c r="M8" s="120">
        <v>17466809</v>
      </c>
      <c r="N8" s="113">
        <v>7827</v>
      </c>
      <c r="O8" s="116">
        <v>257</v>
      </c>
      <c r="P8" s="116">
        <v>22</v>
      </c>
      <c r="Q8" s="117">
        <v>8106</v>
      </c>
      <c r="R8" s="76" t="s">
        <v>48</v>
      </c>
    </row>
    <row r="9" spans="1:18" ht="13.5">
      <c r="A9" s="75" t="s">
        <v>49</v>
      </c>
      <c r="B9" s="118">
        <f>_xlfn.COMPOUNDVALUE(129)</f>
        <v>2520</v>
      </c>
      <c r="C9" s="119">
        <v>7516043</v>
      </c>
      <c r="D9" s="118">
        <f>_xlfn.COMPOUNDVALUE(130)</f>
        <v>2097</v>
      </c>
      <c r="E9" s="119">
        <v>613981</v>
      </c>
      <c r="F9" s="118">
        <f>_xlfn.COMPOUNDVALUE(131)</f>
        <v>4617</v>
      </c>
      <c r="G9" s="119">
        <v>8130024</v>
      </c>
      <c r="H9" s="118">
        <f>_xlfn.COMPOUNDVALUE(132)</f>
        <v>184</v>
      </c>
      <c r="I9" s="120">
        <v>358017</v>
      </c>
      <c r="J9" s="118">
        <v>234</v>
      </c>
      <c r="K9" s="120">
        <v>31101</v>
      </c>
      <c r="L9" s="118">
        <f>_xlfn.COMPOUNDVALUE(132)</f>
        <v>4869</v>
      </c>
      <c r="M9" s="120">
        <v>7803108</v>
      </c>
      <c r="N9" s="113">
        <v>4608</v>
      </c>
      <c r="O9" s="116">
        <v>137</v>
      </c>
      <c r="P9" s="116">
        <v>7</v>
      </c>
      <c r="Q9" s="117">
        <v>4752</v>
      </c>
      <c r="R9" s="76" t="s">
        <v>50</v>
      </c>
    </row>
    <row r="10" spans="1:18" ht="13.5">
      <c r="A10" s="75" t="s">
        <v>51</v>
      </c>
      <c r="B10" s="118">
        <f>_xlfn.COMPOUNDVALUE(133)</f>
        <v>1820</v>
      </c>
      <c r="C10" s="119">
        <v>6728108</v>
      </c>
      <c r="D10" s="118">
        <f>_xlfn.COMPOUNDVALUE(134)</f>
        <v>1441</v>
      </c>
      <c r="E10" s="119">
        <v>419733</v>
      </c>
      <c r="F10" s="118">
        <f>_xlfn.COMPOUNDVALUE(135)</f>
        <v>3261</v>
      </c>
      <c r="G10" s="119">
        <v>7147841</v>
      </c>
      <c r="H10" s="118">
        <f>_xlfn.COMPOUNDVALUE(136)</f>
        <v>117</v>
      </c>
      <c r="I10" s="120">
        <v>600327</v>
      </c>
      <c r="J10" s="118">
        <v>161</v>
      </c>
      <c r="K10" s="120">
        <v>24686</v>
      </c>
      <c r="L10" s="118">
        <f>_xlfn.COMPOUNDVALUE(136)</f>
        <v>3404</v>
      </c>
      <c r="M10" s="120">
        <v>6572200</v>
      </c>
      <c r="N10" s="113">
        <v>3275</v>
      </c>
      <c r="O10" s="116">
        <v>80</v>
      </c>
      <c r="P10" s="116">
        <v>6</v>
      </c>
      <c r="Q10" s="117">
        <v>3361</v>
      </c>
      <c r="R10" s="76" t="s">
        <v>52</v>
      </c>
    </row>
    <row r="11" spans="1:18" ht="13.5">
      <c r="A11" s="77" t="s">
        <v>53</v>
      </c>
      <c r="B11" s="121">
        <v>14968</v>
      </c>
      <c r="C11" s="122">
        <v>66811712</v>
      </c>
      <c r="D11" s="121">
        <v>11016</v>
      </c>
      <c r="E11" s="122">
        <v>3322759</v>
      </c>
      <c r="F11" s="121">
        <v>25984</v>
      </c>
      <c r="G11" s="122">
        <v>70134471</v>
      </c>
      <c r="H11" s="121">
        <v>1318</v>
      </c>
      <c r="I11" s="123">
        <v>4917597</v>
      </c>
      <c r="J11" s="121">
        <v>1468</v>
      </c>
      <c r="K11" s="123">
        <v>183445</v>
      </c>
      <c r="L11" s="121">
        <v>27600</v>
      </c>
      <c r="M11" s="123">
        <v>65400319</v>
      </c>
      <c r="N11" s="121">
        <v>26221</v>
      </c>
      <c r="O11" s="124">
        <v>767</v>
      </c>
      <c r="P11" s="124">
        <v>59</v>
      </c>
      <c r="Q11" s="125">
        <v>27047</v>
      </c>
      <c r="R11" s="78" t="s">
        <v>54</v>
      </c>
    </row>
    <row r="12" spans="1:18" ht="13.5">
      <c r="A12" s="79"/>
      <c r="B12" s="126"/>
      <c r="C12" s="127"/>
      <c r="D12" s="126"/>
      <c r="E12" s="127"/>
      <c r="F12" s="128"/>
      <c r="G12" s="127"/>
      <c r="H12" s="128"/>
      <c r="I12" s="127"/>
      <c r="J12" s="128"/>
      <c r="K12" s="127"/>
      <c r="L12" s="128"/>
      <c r="M12" s="127"/>
      <c r="N12" s="129"/>
      <c r="O12" s="130"/>
      <c r="P12" s="130"/>
      <c r="Q12" s="131"/>
      <c r="R12" s="89" t="s">
        <v>101</v>
      </c>
    </row>
    <row r="13" spans="1:18" ht="13.5">
      <c r="A13" s="73" t="s">
        <v>55</v>
      </c>
      <c r="B13" s="113">
        <f>_xlfn.COMPOUNDVALUE(137)</f>
        <v>8564</v>
      </c>
      <c r="C13" s="114">
        <v>33172481</v>
      </c>
      <c r="D13" s="113">
        <f>_xlfn.COMPOUNDVALUE(138)</f>
        <v>6093</v>
      </c>
      <c r="E13" s="114">
        <v>1930093</v>
      </c>
      <c r="F13" s="113">
        <f>_xlfn.COMPOUNDVALUE(139)</f>
        <v>14657</v>
      </c>
      <c r="G13" s="114">
        <v>35102574</v>
      </c>
      <c r="H13" s="113">
        <f>_xlfn.COMPOUNDVALUE(140)</f>
        <v>395</v>
      </c>
      <c r="I13" s="115">
        <v>1371180</v>
      </c>
      <c r="J13" s="113">
        <v>680</v>
      </c>
      <c r="K13" s="115">
        <v>103053</v>
      </c>
      <c r="L13" s="113">
        <f>_xlfn.COMPOUNDVALUE(140)</f>
        <v>15205</v>
      </c>
      <c r="M13" s="115">
        <v>33834448</v>
      </c>
      <c r="N13" s="113">
        <v>15099</v>
      </c>
      <c r="O13" s="116">
        <v>255</v>
      </c>
      <c r="P13" s="116">
        <v>72</v>
      </c>
      <c r="Q13" s="117">
        <v>15426</v>
      </c>
      <c r="R13" s="76" t="s">
        <v>55</v>
      </c>
    </row>
    <row r="14" spans="1:18" ht="13.5">
      <c r="A14" s="75" t="s">
        <v>56</v>
      </c>
      <c r="B14" s="118">
        <f>_xlfn.COMPOUNDVALUE(141)</f>
        <v>1619</v>
      </c>
      <c r="C14" s="119">
        <v>4419138</v>
      </c>
      <c r="D14" s="118">
        <f>_xlfn.COMPOUNDVALUE(142)</f>
        <v>1447</v>
      </c>
      <c r="E14" s="119">
        <v>414651</v>
      </c>
      <c r="F14" s="118">
        <f>_xlfn.COMPOUNDVALUE(143)</f>
        <v>3066</v>
      </c>
      <c r="G14" s="119">
        <v>4833789</v>
      </c>
      <c r="H14" s="118">
        <f>_xlfn.COMPOUNDVALUE(144)</f>
        <v>88</v>
      </c>
      <c r="I14" s="120">
        <v>67791</v>
      </c>
      <c r="J14" s="118">
        <v>230</v>
      </c>
      <c r="K14" s="120">
        <v>24243</v>
      </c>
      <c r="L14" s="118">
        <f>_xlfn.COMPOUNDVALUE(144)</f>
        <v>3185</v>
      </c>
      <c r="M14" s="120">
        <v>4790240</v>
      </c>
      <c r="N14" s="113">
        <v>3067</v>
      </c>
      <c r="O14" s="116">
        <v>54</v>
      </c>
      <c r="P14" s="116">
        <v>6</v>
      </c>
      <c r="Q14" s="117">
        <v>3127</v>
      </c>
      <c r="R14" s="76" t="s">
        <v>56</v>
      </c>
    </row>
    <row r="15" spans="1:18" ht="13.5">
      <c r="A15" s="75" t="s">
        <v>57</v>
      </c>
      <c r="B15" s="118">
        <f>_xlfn.COMPOUNDVALUE(145)</f>
        <v>3460</v>
      </c>
      <c r="C15" s="119">
        <v>10834919</v>
      </c>
      <c r="D15" s="118">
        <f>_xlfn.COMPOUNDVALUE(146)</f>
        <v>2694</v>
      </c>
      <c r="E15" s="119">
        <v>776190</v>
      </c>
      <c r="F15" s="118">
        <f>_xlfn.COMPOUNDVALUE(147)</f>
        <v>6154</v>
      </c>
      <c r="G15" s="119">
        <v>11611109</v>
      </c>
      <c r="H15" s="118">
        <f>_xlfn.COMPOUNDVALUE(148)</f>
        <v>130</v>
      </c>
      <c r="I15" s="120">
        <v>230467</v>
      </c>
      <c r="J15" s="118">
        <v>373</v>
      </c>
      <c r="K15" s="120">
        <v>24356</v>
      </c>
      <c r="L15" s="118">
        <f>_xlfn.COMPOUNDVALUE(148)</f>
        <v>6363</v>
      </c>
      <c r="M15" s="120">
        <v>11404997</v>
      </c>
      <c r="N15" s="113">
        <v>6228</v>
      </c>
      <c r="O15" s="116">
        <v>105</v>
      </c>
      <c r="P15" s="116">
        <v>4</v>
      </c>
      <c r="Q15" s="117">
        <v>6337</v>
      </c>
      <c r="R15" s="76" t="s">
        <v>57</v>
      </c>
    </row>
    <row r="16" spans="1:18" ht="13.5">
      <c r="A16" s="75" t="s">
        <v>58</v>
      </c>
      <c r="B16" s="118">
        <f>_xlfn.COMPOUNDVALUE(149)</f>
        <v>899</v>
      </c>
      <c r="C16" s="119">
        <v>1473897</v>
      </c>
      <c r="D16" s="118">
        <f>_xlfn.COMPOUNDVALUE(150)</f>
        <v>996</v>
      </c>
      <c r="E16" s="119">
        <v>262754</v>
      </c>
      <c r="F16" s="118">
        <f>_xlfn.COMPOUNDVALUE(151)</f>
        <v>1895</v>
      </c>
      <c r="G16" s="119">
        <v>1736651</v>
      </c>
      <c r="H16" s="118">
        <f>_xlfn.COMPOUNDVALUE(152)</f>
        <v>45</v>
      </c>
      <c r="I16" s="120">
        <v>28647</v>
      </c>
      <c r="J16" s="118">
        <v>108</v>
      </c>
      <c r="K16" s="120">
        <v>8421</v>
      </c>
      <c r="L16" s="118">
        <f>_xlfn.COMPOUNDVALUE(152)</f>
        <v>1955</v>
      </c>
      <c r="M16" s="120">
        <v>1716425</v>
      </c>
      <c r="N16" s="113">
        <v>1878</v>
      </c>
      <c r="O16" s="116">
        <v>38</v>
      </c>
      <c r="P16" s="116">
        <v>4</v>
      </c>
      <c r="Q16" s="117">
        <v>1920</v>
      </c>
      <c r="R16" s="76" t="s">
        <v>58</v>
      </c>
    </row>
    <row r="17" spans="1:18" ht="13.5">
      <c r="A17" s="75" t="s">
        <v>59</v>
      </c>
      <c r="B17" s="118">
        <f>_xlfn.COMPOUNDVALUE(153)</f>
        <v>2043</v>
      </c>
      <c r="C17" s="119">
        <v>7900575</v>
      </c>
      <c r="D17" s="118">
        <f>_xlfn.COMPOUNDVALUE(154)</f>
        <v>1502</v>
      </c>
      <c r="E17" s="119">
        <v>443460</v>
      </c>
      <c r="F17" s="118">
        <f>_xlfn.COMPOUNDVALUE(155)</f>
        <v>3545</v>
      </c>
      <c r="G17" s="119">
        <v>8344035</v>
      </c>
      <c r="H17" s="118">
        <f>_xlfn.COMPOUNDVALUE(156)</f>
        <v>97</v>
      </c>
      <c r="I17" s="120">
        <v>357357</v>
      </c>
      <c r="J17" s="118">
        <v>221</v>
      </c>
      <c r="K17" s="120">
        <v>42604</v>
      </c>
      <c r="L17" s="118">
        <f>_xlfn.COMPOUNDVALUE(156)</f>
        <v>3705</v>
      </c>
      <c r="M17" s="120">
        <v>8029282</v>
      </c>
      <c r="N17" s="113">
        <v>3596</v>
      </c>
      <c r="O17" s="116">
        <v>66</v>
      </c>
      <c r="P17" s="116">
        <v>4</v>
      </c>
      <c r="Q17" s="117">
        <v>3666</v>
      </c>
      <c r="R17" s="76" t="s">
        <v>59</v>
      </c>
    </row>
    <row r="18" spans="1:18" ht="13.5">
      <c r="A18" s="77" t="s">
        <v>102</v>
      </c>
      <c r="B18" s="121">
        <v>16585</v>
      </c>
      <c r="C18" s="122">
        <v>57801009</v>
      </c>
      <c r="D18" s="121">
        <v>12732</v>
      </c>
      <c r="E18" s="122">
        <v>3827148</v>
      </c>
      <c r="F18" s="121">
        <v>29317</v>
      </c>
      <c r="G18" s="122">
        <v>61628158</v>
      </c>
      <c r="H18" s="121">
        <v>755</v>
      </c>
      <c r="I18" s="123">
        <v>2055442</v>
      </c>
      <c r="J18" s="121">
        <v>1612</v>
      </c>
      <c r="K18" s="123">
        <v>202677</v>
      </c>
      <c r="L18" s="121">
        <v>30413</v>
      </c>
      <c r="M18" s="123">
        <v>59775392</v>
      </c>
      <c r="N18" s="121">
        <v>29868</v>
      </c>
      <c r="O18" s="124">
        <v>518</v>
      </c>
      <c r="P18" s="124">
        <v>90</v>
      </c>
      <c r="Q18" s="125">
        <v>30476</v>
      </c>
      <c r="R18" s="78" t="s">
        <v>60</v>
      </c>
    </row>
    <row r="19" spans="1:18" ht="13.5">
      <c r="A19" s="79"/>
      <c r="B19" s="126"/>
      <c r="C19" s="127"/>
      <c r="D19" s="126"/>
      <c r="E19" s="127"/>
      <c r="F19" s="128"/>
      <c r="G19" s="127"/>
      <c r="H19" s="128"/>
      <c r="I19" s="127"/>
      <c r="J19" s="128"/>
      <c r="K19" s="127"/>
      <c r="L19" s="128"/>
      <c r="M19" s="127"/>
      <c r="N19" s="129"/>
      <c r="O19" s="130"/>
      <c r="P19" s="130"/>
      <c r="Q19" s="131"/>
      <c r="R19" s="89" t="s">
        <v>101</v>
      </c>
    </row>
    <row r="20" spans="1:18" ht="13.5">
      <c r="A20" s="73" t="s">
        <v>61</v>
      </c>
      <c r="B20" s="113">
        <f>_xlfn.COMPOUNDVALUE(157)</f>
        <v>5408</v>
      </c>
      <c r="C20" s="114">
        <v>18836876</v>
      </c>
      <c r="D20" s="113">
        <f>_xlfn.COMPOUNDVALUE(158)</f>
        <v>3339</v>
      </c>
      <c r="E20" s="114">
        <v>1045589</v>
      </c>
      <c r="F20" s="113">
        <f>_xlfn.COMPOUNDVALUE(159)</f>
        <v>8747</v>
      </c>
      <c r="G20" s="114">
        <v>19882465</v>
      </c>
      <c r="H20" s="113">
        <f>_xlfn.COMPOUNDVALUE(160)</f>
        <v>324</v>
      </c>
      <c r="I20" s="115">
        <v>1169746</v>
      </c>
      <c r="J20" s="113">
        <v>470</v>
      </c>
      <c r="K20" s="115">
        <v>-206</v>
      </c>
      <c r="L20" s="113">
        <f>_xlfn.COMPOUNDVALUE(160)</f>
        <v>9163</v>
      </c>
      <c r="M20" s="115">
        <v>18712513</v>
      </c>
      <c r="N20" s="113">
        <v>8877</v>
      </c>
      <c r="O20" s="116">
        <v>180</v>
      </c>
      <c r="P20" s="116">
        <v>18</v>
      </c>
      <c r="Q20" s="117">
        <v>9075</v>
      </c>
      <c r="R20" s="76" t="s">
        <v>62</v>
      </c>
    </row>
    <row r="21" spans="1:18" ht="13.5">
      <c r="A21" s="75" t="s">
        <v>63</v>
      </c>
      <c r="B21" s="118">
        <f>_xlfn.COMPOUNDVALUE(161)</f>
        <v>1333</v>
      </c>
      <c r="C21" s="119">
        <v>3301519</v>
      </c>
      <c r="D21" s="118">
        <f>_xlfn.COMPOUNDVALUE(162)</f>
        <v>1039</v>
      </c>
      <c r="E21" s="119">
        <v>288219</v>
      </c>
      <c r="F21" s="118">
        <f>_xlfn.COMPOUNDVALUE(163)</f>
        <v>2372</v>
      </c>
      <c r="G21" s="119">
        <v>3589737</v>
      </c>
      <c r="H21" s="118">
        <f>_xlfn.COMPOUNDVALUE(164)</f>
        <v>77</v>
      </c>
      <c r="I21" s="120">
        <v>162425</v>
      </c>
      <c r="J21" s="118">
        <v>142</v>
      </c>
      <c r="K21" s="120">
        <v>21118</v>
      </c>
      <c r="L21" s="118">
        <f>_xlfn.COMPOUNDVALUE(164)</f>
        <v>2522</v>
      </c>
      <c r="M21" s="120">
        <v>3448430</v>
      </c>
      <c r="N21" s="113">
        <v>2332</v>
      </c>
      <c r="O21" s="116">
        <v>56</v>
      </c>
      <c r="P21" s="116">
        <v>2</v>
      </c>
      <c r="Q21" s="117">
        <v>2390</v>
      </c>
      <c r="R21" s="76" t="s">
        <v>64</v>
      </c>
    </row>
    <row r="22" spans="1:18" ht="13.5">
      <c r="A22" s="75" t="s">
        <v>65</v>
      </c>
      <c r="B22" s="118">
        <f>_xlfn.COMPOUNDVALUE(165)</f>
        <v>2917</v>
      </c>
      <c r="C22" s="119">
        <v>9904141</v>
      </c>
      <c r="D22" s="118">
        <f>_xlfn.COMPOUNDVALUE(166)</f>
        <v>2126</v>
      </c>
      <c r="E22" s="119">
        <v>595965</v>
      </c>
      <c r="F22" s="118">
        <f>_xlfn.COMPOUNDVALUE(167)</f>
        <v>5043</v>
      </c>
      <c r="G22" s="119">
        <v>10500106</v>
      </c>
      <c r="H22" s="118">
        <f>_xlfn.COMPOUNDVALUE(168)</f>
        <v>206</v>
      </c>
      <c r="I22" s="120">
        <v>335610</v>
      </c>
      <c r="J22" s="118">
        <v>265</v>
      </c>
      <c r="K22" s="120">
        <v>5439</v>
      </c>
      <c r="L22" s="118">
        <f>_xlfn.COMPOUNDVALUE(168)</f>
        <v>5298</v>
      </c>
      <c r="M22" s="120">
        <v>10169935</v>
      </c>
      <c r="N22" s="113">
        <v>4969</v>
      </c>
      <c r="O22" s="116">
        <v>103</v>
      </c>
      <c r="P22" s="116">
        <v>5</v>
      </c>
      <c r="Q22" s="117">
        <v>5077</v>
      </c>
      <c r="R22" s="76" t="s">
        <v>66</v>
      </c>
    </row>
    <row r="23" spans="1:18" ht="13.5">
      <c r="A23" s="75" t="s">
        <v>67</v>
      </c>
      <c r="B23" s="118">
        <f>_xlfn.COMPOUNDVALUE(169)</f>
        <v>799</v>
      </c>
      <c r="C23" s="119">
        <v>1609352</v>
      </c>
      <c r="D23" s="118">
        <f>_xlfn.COMPOUNDVALUE(170)</f>
        <v>544</v>
      </c>
      <c r="E23" s="119">
        <v>152673</v>
      </c>
      <c r="F23" s="118">
        <f>_xlfn.COMPOUNDVALUE(171)</f>
        <v>1343</v>
      </c>
      <c r="G23" s="119">
        <v>1762026</v>
      </c>
      <c r="H23" s="118">
        <f>_xlfn.COMPOUNDVALUE(172)</f>
        <v>33</v>
      </c>
      <c r="I23" s="120">
        <v>58880</v>
      </c>
      <c r="J23" s="118">
        <v>134</v>
      </c>
      <c r="K23" s="120">
        <v>6946</v>
      </c>
      <c r="L23" s="118">
        <f>_xlfn.COMPOUNDVALUE(172)</f>
        <v>1409</v>
      </c>
      <c r="M23" s="120">
        <v>1710092</v>
      </c>
      <c r="N23" s="113">
        <v>1345</v>
      </c>
      <c r="O23" s="116">
        <v>25</v>
      </c>
      <c r="P23" s="116">
        <v>5</v>
      </c>
      <c r="Q23" s="117">
        <v>1375</v>
      </c>
      <c r="R23" s="76" t="s">
        <v>68</v>
      </c>
    </row>
    <row r="24" spans="1:18" ht="13.5">
      <c r="A24" s="75" t="s">
        <v>69</v>
      </c>
      <c r="B24" s="118">
        <f>_xlfn.COMPOUNDVALUE(173)</f>
        <v>869</v>
      </c>
      <c r="C24" s="119">
        <v>1597920</v>
      </c>
      <c r="D24" s="118">
        <f>_xlfn.COMPOUNDVALUE(174)</f>
        <v>713</v>
      </c>
      <c r="E24" s="119">
        <v>203160</v>
      </c>
      <c r="F24" s="118">
        <f>_xlfn.COMPOUNDVALUE(175)</f>
        <v>1582</v>
      </c>
      <c r="G24" s="119">
        <v>1801080</v>
      </c>
      <c r="H24" s="118">
        <f>_xlfn.COMPOUNDVALUE(176)</f>
        <v>43</v>
      </c>
      <c r="I24" s="120">
        <v>85792</v>
      </c>
      <c r="J24" s="118">
        <v>107</v>
      </c>
      <c r="K24" s="120">
        <v>6075</v>
      </c>
      <c r="L24" s="118">
        <f>_xlfn.COMPOUNDVALUE(176)</f>
        <v>1636</v>
      </c>
      <c r="M24" s="120">
        <v>1721362</v>
      </c>
      <c r="N24" s="113">
        <v>1551</v>
      </c>
      <c r="O24" s="116">
        <v>37</v>
      </c>
      <c r="P24" s="116">
        <v>0</v>
      </c>
      <c r="Q24" s="117">
        <v>1588</v>
      </c>
      <c r="R24" s="76" t="s">
        <v>70</v>
      </c>
    </row>
    <row r="25" spans="1:18" ht="13.5">
      <c r="A25" s="75" t="s">
        <v>71</v>
      </c>
      <c r="B25" s="118">
        <f>_xlfn.COMPOUNDVALUE(177)</f>
        <v>1687</v>
      </c>
      <c r="C25" s="119">
        <v>5282972</v>
      </c>
      <c r="D25" s="118">
        <f>_xlfn.COMPOUNDVALUE(178)</f>
        <v>1201</v>
      </c>
      <c r="E25" s="119">
        <v>347270</v>
      </c>
      <c r="F25" s="118">
        <f>_xlfn.COMPOUNDVALUE(179)</f>
        <v>2888</v>
      </c>
      <c r="G25" s="119">
        <v>5630242</v>
      </c>
      <c r="H25" s="118">
        <f>_xlfn.COMPOUNDVALUE(180)</f>
        <v>111</v>
      </c>
      <c r="I25" s="120">
        <v>378879</v>
      </c>
      <c r="J25" s="118">
        <v>110</v>
      </c>
      <c r="K25" s="120">
        <v>15364</v>
      </c>
      <c r="L25" s="118">
        <f>_xlfn.COMPOUNDVALUE(180)</f>
        <v>3021</v>
      </c>
      <c r="M25" s="120">
        <v>5266726</v>
      </c>
      <c r="N25" s="113">
        <v>2882</v>
      </c>
      <c r="O25" s="116">
        <v>63</v>
      </c>
      <c r="P25" s="116">
        <v>6</v>
      </c>
      <c r="Q25" s="117">
        <v>2951</v>
      </c>
      <c r="R25" s="76" t="s">
        <v>72</v>
      </c>
    </row>
    <row r="26" spans="1:18" ht="13.5">
      <c r="A26" s="77" t="s">
        <v>73</v>
      </c>
      <c r="B26" s="121">
        <v>13013</v>
      </c>
      <c r="C26" s="122">
        <v>40532779</v>
      </c>
      <c r="D26" s="121">
        <v>8962</v>
      </c>
      <c r="E26" s="122">
        <v>2632876</v>
      </c>
      <c r="F26" s="121">
        <v>21975</v>
      </c>
      <c r="G26" s="122">
        <v>43165655</v>
      </c>
      <c r="H26" s="121">
        <v>794</v>
      </c>
      <c r="I26" s="123">
        <v>2191333</v>
      </c>
      <c r="J26" s="121">
        <v>1228</v>
      </c>
      <c r="K26" s="123">
        <v>54736</v>
      </c>
      <c r="L26" s="121">
        <v>23049</v>
      </c>
      <c r="M26" s="123">
        <v>41029059</v>
      </c>
      <c r="N26" s="121">
        <v>21956</v>
      </c>
      <c r="O26" s="124">
        <v>464</v>
      </c>
      <c r="P26" s="124">
        <v>36</v>
      </c>
      <c r="Q26" s="125">
        <v>22456</v>
      </c>
      <c r="R26" s="78" t="s">
        <v>74</v>
      </c>
    </row>
    <row r="27" spans="1:18" ht="14.25" thickBot="1">
      <c r="A27" s="81"/>
      <c r="B27" s="132"/>
      <c r="C27" s="133"/>
      <c r="D27" s="132"/>
      <c r="E27" s="133"/>
      <c r="F27" s="134"/>
      <c r="G27" s="133"/>
      <c r="H27" s="134"/>
      <c r="I27" s="133"/>
      <c r="J27" s="134"/>
      <c r="K27" s="133"/>
      <c r="L27" s="134"/>
      <c r="M27" s="133"/>
      <c r="N27" s="135"/>
      <c r="O27" s="136"/>
      <c r="P27" s="136"/>
      <c r="Q27" s="137"/>
      <c r="R27" s="90" t="s">
        <v>101</v>
      </c>
    </row>
    <row r="28" spans="1:18" ht="15" thickBot="1" thickTop="1">
      <c r="A28" s="83" t="s">
        <v>76</v>
      </c>
      <c r="B28" s="138">
        <v>44566</v>
      </c>
      <c r="C28" s="139">
        <v>165145500</v>
      </c>
      <c r="D28" s="138">
        <v>32710</v>
      </c>
      <c r="E28" s="139">
        <v>9782784</v>
      </c>
      <c r="F28" s="138">
        <v>77276</v>
      </c>
      <c r="G28" s="139">
        <v>174928284</v>
      </c>
      <c r="H28" s="138">
        <v>2867</v>
      </c>
      <c r="I28" s="140">
        <v>9164372</v>
      </c>
      <c r="J28" s="138">
        <v>4308</v>
      </c>
      <c r="K28" s="140">
        <v>440858</v>
      </c>
      <c r="L28" s="138">
        <v>81062</v>
      </c>
      <c r="M28" s="140">
        <v>166204770</v>
      </c>
      <c r="N28" s="141">
        <v>78045</v>
      </c>
      <c r="O28" s="142">
        <v>1749</v>
      </c>
      <c r="P28" s="142">
        <v>185</v>
      </c>
      <c r="Q28" s="143">
        <v>79979</v>
      </c>
      <c r="R28" s="91" t="s">
        <v>76</v>
      </c>
    </row>
    <row r="29" spans="1:18" ht="13.5">
      <c r="A29" s="199" t="s">
        <v>103</v>
      </c>
      <c r="B29" s="199"/>
      <c r="C29" s="199"/>
      <c r="D29" s="199"/>
      <c r="E29" s="199"/>
      <c r="F29" s="199"/>
      <c r="G29" s="199"/>
      <c r="H29" s="199"/>
      <c r="I29" s="199"/>
      <c r="J29" s="112"/>
      <c r="K29" s="112"/>
      <c r="L29" s="112"/>
      <c r="M29" s="112"/>
      <c r="N29" s="112"/>
      <c r="O29" s="112"/>
      <c r="P29" s="112"/>
      <c r="Q29" s="112"/>
      <c r="R29" s="112"/>
    </row>
  </sheetData>
  <sheetProtection/>
  <mergeCells count="16">
    <mergeCell ref="A2:I2"/>
    <mergeCell ref="A3:A5"/>
    <mergeCell ref="B3:G3"/>
    <mergeCell ref="H3:I4"/>
    <mergeCell ref="J3:K4"/>
    <mergeCell ref="L3:M4"/>
    <mergeCell ref="A29:I29"/>
    <mergeCell ref="N3:Q3"/>
    <mergeCell ref="R3:R5"/>
    <mergeCell ref="B4:C4"/>
    <mergeCell ref="D4:E4"/>
    <mergeCell ref="F4:G4"/>
    <mergeCell ref="N4:N5"/>
    <mergeCell ref="O4:O5"/>
    <mergeCell ref="P4:P5"/>
    <mergeCell ref="Q4:Q5"/>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&amp;R金沢国税局
消費税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2014-12-02T01:33:43Z</cp:lastPrinted>
  <dcterms:created xsi:type="dcterms:W3CDTF">2003-07-09T01:05:10Z</dcterms:created>
  <dcterms:modified xsi:type="dcterms:W3CDTF">2015-04-23T01:05:52Z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