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2760" yWindow="32760" windowWidth="19200" windowHeight="6435" tabRatio="901" activeTab="5"/>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Titles" localSheetId="3">'(4)税務署別(個人事業者）'!$1:$6</definedName>
    <definedName name="_xlnm.Print_Titles" localSheetId="5">'(4)税務署別（合計）'!$1:$6</definedName>
    <definedName name="_xlnm.Print_Titles" localSheetId="4">'(4)税務署別（法人）'!$1:$6</definedName>
  </definedNames>
  <calcPr fullCalcOnLoad="1"/>
</workbook>
</file>

<file path=xl/sharedStrings.xml><?xml version="1.0" encoding="utf-8"?>
<sst xmlns="http://schemas.openxmlformats.org/spreadsheetml/2006/main" count="787" uniqueCount="187">
  <si>
    <t>区　　　分</t>
  </si>
  <si>
    <t>件　　　数</t>
  </si>
  <si>
    <t>税　　　額</t>
  </si>
  <si>
    <t>件</t>
  </si>
  <si>
    <t>千円</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</si>
  <si>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</si>
  <si>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</si>
  <si>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</si>
  <si>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</si>
  <si>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</si>
  <si>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</si>
  <si>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</si>
  <si>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個　人　事　業　者</t>
  </si>
  <si>
    <t>一般申告及び処理</t>
  </si>
  <si>
    <t>合　　　　　　　　　計</t>
  </si>
  <si>
    <t>法　　　　　　　人</t>
  </si>
  <si>
    <t>合　　　　　　　計</t>
  </si>
  <si>
    <t>件　　数</t>
  </si>
  <si>
    <t>税　　額</t>
  </si>
  <si>
    <t>(3)　課税事業者等届出件数</t>
  </si>
  <si>
    <t>千円</t>
  </si>
  <si>
    <t>件</t>
  </si>
  <si>
    <t>(2)　課税状況の累年比較</t>
  </si>
  <si>
    <t>　ハ　個人事業者と法人の合計</t>
  </si>
  <si>
    <t>税務署名</t>
  </si>
  <si>
    <t>納　　　税　　　申　　　告　　　及　　　び　　　処　　　理</t>
  </si>
  <si>
    <t>既往年分の
申告及び処理</t>
  </si>
  <si>
    <t>合　　　　　　計</t>
  </si>
  <si>
    <t>税務署名</t>
  </si>
  <si>
    <t>簡易申告及び処理</t>
  </si>
  <si>
    <t>小　　　　　　計</t>
  </si>
  <si>
    <t>課税事業者
届出</t>
  </si>
  <si>
    <t>合　　　計</t>
  </si>
  <si>
    <t>件数</t>
  </si>
  <si>
    <t>総　計</t>
  </si>
  <si>
    <t/>
  </si>
  <si>
    <t>千葉東</t>
  </si>
  <si>
    <t>千葉南</t>
  </si>
  <si>
    <t>千葉西</t>
  </si>
  <si>
    <t>銚子</t>
  </si>
  <si>
    <t>市川</t>
  </si>
  <si>
    <t>船橋</t>
  </si>
  <si>
    <t>館山</t>
  </si>
  <si>
    <t>木更津</t>
  </si>
  <si>
    <t>松戸</t>
  </si>
  <si>
    <t>佐原</t>
  </si>
  <si>
    <t>茂原</t>
  </si>
  <si>
    <t>成田</t>
  </si>
  <si>
    <t>東金</t>
  </si>
  <si>
    <t>柏</t>
  </si>
  <si>
    <t>千葉県計</t>
  </si>
  <si>
    <t>千葉県計</t>
  </si>
  <si>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</si>
  <si>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</si>
  <si>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</si>
  <si>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</si>
  <si>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</si>
  <si>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</si>
  <si>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</si>
  <si>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</si>
  <si>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</si>
  <si>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</si>
  <si>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</si>
  <si>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</si>
  <si>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</si>
  <si>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</si>
  <si>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</si>
  <si>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</si>
  <si>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</si>
  <si>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</si>
  <si>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</si>
  <si>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</si>
  <si>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</si>
  <si>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</si>
  <si>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</si>
  <si>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</si>
  <si>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</si>
  <si>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</si>
  <si>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</si>
  <si>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</si>
  <si>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</si>
  <si>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</si>
  <si>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</si>
  <si>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</si>
  <si>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</si>
  <si>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</si>
  <si>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</si>
  <si>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</si>
  <si>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</si>
  <si>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</si>
  <si>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</si>
  <si>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</si>
  <si>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</si>
  <si>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都区内計</t>
  </si>
  <si>
    <t>八王子</t>
  </si>
  <si>
    <t>立川</t>
  </si>
  <si>
    <t>武蔵野</t>
  </si>
  <si>
    <t>青梅</t>
  </si>
  <si>
    <t>武蔵府中</t>
  </si>
  <si>
    <t>町田</t>
  </si>
  <si>
    <t>日野</t>
  </si>
  <si>
    <t>東村山</t>
  </si>
  <si>
    <t>多摩地区計</t>
  </si>
  <si>
    <t>多摩地区計</t>
  </si>
  <si>
    <t>東京都計</t>
  </si>
  <si>
    <t>東京都計</t>
  </si>
  <si>
    <t>鶴見</t>
  </si>
  <si>
    <t>横浜中</t>
  </si>
  <si>
    <t>保土ケ谷</t>
  </si>
  <si>
    <t>横浜南</t>
  </si>
  <si>
    <t>神奈川</t>
  </si>
  <si>
    <t>戸塚</t>
  </si>
  <si>
    <t>緑</t>
  </si>
  <si>
    <t>川崎南</t>
  </si>
  <si>
    <t>川崎北</t>
  </si>
  <si>
    <t>川崎西</t>
  </si>
  <si>
    <t>横須賀</t>
  </si>
  <si>
    <t>平塚</t>
  </si>
  <si>
    <t>鎌倉</t>
  </si>
  <si>
    <t>藤沢</t>
  </si>
  <si>
    <t>小田原</t>
  </si>
  <si>
    <t>相模原</t>
  </si>
  <si>
    <t>厚木</t>
  </si>
  <si>
    <t>大和</t>
  </si>
  <si>
    <t>神奈川県計</t>
  </si>
  <si>
    <t>神奈川県計</t>
  </si>
  <si>
    <t>甲府</t>
  </si>
  <si>
    <t>山梨</t>
  </si>
  <si>
    <t>大月</t>
  </si>
  <si>
    <t>鰍沢</t>
  </si>
  <si>
    <t>山梨県計</t>
  </si>
  <si>
    <t>山梨県計</t>
  </si>
  <si>
    <t>　ロ　法　　　人</t>
  </si>
  <si>
    <t>　イ　個人事業者</t>
  </si>
  <si>
    <t>税務署名</t>
  </si>
  <si>
    <t>税額</t>
  </si>
  <si>
    <t>税　額　①</t>
  </si>
  <si>
    <t>税　額　②</t>
  </si>
  <si>
    <t>税　額　③</t>
  </si>
  <si>
    <t>税　　　額
(①－②＋③)</t>
  </si>
  <si>
    <t>都区内計</t>
  </si>
  <si>
    <t>東京都計</t>
  </si>
  <si>
    <t>神奈川県計</t>
  </si>
  <si>
    <t>総　計</t>
  </si>
  <si>
    <t>課　税　事　業　者　等　届　出　件　数</t>
  </si>
  <si>
    <t>課税事業者
選択届出</t>
  </si>
  <si>
    <t>新設法人に
該当する旨
の届出</t>
  </si>
  <si>
    <t>税　　額
(①－②＋③)</t>
  </si>
  <si>
    <t>申告及び処理による
減差税額のあるもの</t>
  </si>
  <si>
    <t>柏</t>
  </si>
  <si>
    <t>芝</t>
  </si>
  <si>
    <t>緑</t>
  </si>
  <si>
    <t>千葉県計</t>
  </si>
  <si>
    <t>都区内計</t>
  </si>
  <si>
    <t>多摩地区計</t>
  </si>
  <si>
    <t>東京都計</t>
  </si>
  <si>
    <t>神奈川県計</t>
  </si>
  <si>
    <t>山梨県計</t>
  </si>
  <si>
    <t>総　計</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</si>
  <si>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</si>
  <si>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</si>
  <si>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実件</t>
  </si>
  <si>
    <t>(4)　税務署別課税状況等</t>
  </si>
  <si>
    <t>(4)　税務署別課税状況等（続）</t>
  </si>
  <si>
    <t>平成29年度</t>
  </si>
  <si>
    <t>平成30年度</t>
  </si>
  <si>
    <t>令和元年度</t>
  </si>
  <si>
    <t>令和２年度</t>
  </si>
  <si>
    <t>７　消　費　税</t>
  </si>
  <si>
    <t>個　人　事　業　者</t>
  </si>
  <si>
    <t>法　　　　　人</t>
  </si>
  <si>
    <t>合　　　　　計</t>
  </si>
  <si>
    <t>現年分</t>
  </si>
  <si>
    <t>一般申告及び処理</t>
  </si>
  <si>
    <t>納税申告計</t>
  </si>
  <si>
    <t>既往年分</t>
  </si>
  <si>
    <t>　（注）</t>
  </si>
  <si>
    <t>(1)　課税状況</t>
  </si>
  <si>
    <t>簡易申告及び処理</t>
  </si>
  <si>
    <t>還付申告及び処理</t>
  </si>
  <si>
    <t>申告及び処理による
増差税額のあるもの</t>
  </si>
  <si>
    <t>税関分は含まない。</t>
  </si>
  <si>
    <t>調査対象等：</t>
  </si>
  <si>
    <t xml:space="preserve"> 「現年分」は、令和３年４月１日から令和４年３月31日までに終了した課税期間に係る消費税の申告及び処理（更正、決定等）による課税事績(令和４年６月30日までのもの。国・地方公共団体等及び消費税申告期限延長届出書を提出した法人については令和４年９月30日までのもの。)に基づいて作成した。</t>
  </si>
  <si>
    <t xml:space="preserve"> 「既往年分」は、令和３年３月31日以前に終了した課税期間に係る消費税の申告及び処理（更正、決定等）による課税事績（令和３年７月１日から令和４年６月30日までのもの。国・地方公共団体等及び消費税申告期限延長届出書を提出した法人については令和３年10月１日から令和４年６月30日までのもの。）に基づいて作成した。</t>
  </si>
  <si>
    <t>令和３年度</t>
  </si>
  <si>
    <t>調査対象等：令和３年度末（令和４年３月31日現在）の届出件数を示している。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</si>
</sst>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53">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b/>
      <sz val="9"/>
      <name val="ＭＳ 明朝"/>
      <family val="1"/>
    </font>
    <font>
      <sz val="8"/>
      <name val="ＭＳ Ｐゴシック"/>
      <family val="3"/>
    </font>
    <font>
      <sz val="11"/>
      <name val="ＭＳ ゴシック"/>
      <family val="3"/>
    </font>
    <font>
      <b/>
      <sz val="11"/>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b/>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
      <b/>
      <sz val="9"/>
      <color theme="1"/>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FFFF99"/>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hair"/>
      <right style="medium"/>
      <top style="thin"/>
      <bottom>
        <color indexed="63"/>
      </botto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hair"/>
      <top style="hair"/>
      <bottom style="thin"/>
    </border>
    <border>
      <left style="hair"/>
      <right style="thin"/>
      <top style="hair"/>
      <bottom style="thin"/>
    </border>
    <border>
      <left style="hair"/>
      <right/>
      <top style="thin"/>
      <bottom/>
    </border>
    <border>
      <left style="medium"/>
      <right/>
      <top/>
      <bottom style="hair">
        <color indexed="55"/>
      </bottom>
    </border>
    <border>
      <left style="thin"/>
      <right style="medium"/>
      <top style="hair">
        <color indexed="55"/>
      </top>
      <bottom style="hair">
        <color indexed="55"/>
      </bottom>
    </border>
    <border>
      <left style="medium"/>
      <right/>
      <top style="hair">
        <color indexed="55"/>
      </top>
      <bottom style="hair">
        <color indexed="55"/>
      </bottom>
    </border>
    <border>
      <left style="medium"/>
      <right/>
      <top style="hair">
        <color indexed="55"/>
      </top>
      <bottom style="thin">
        <color indexed="55"/>
      </bottom>
    </border>
    <border>
      <left style="medium"/>
      <right/>
      <top/>
      <bottom style="double"/>
    </border>
    <border>
      <left style="thin"/>
      <right style="medium"/>
      <top style="thin">
        <color indexed="23"/>
      </top>
      <bottom/>
    </border>
    <border>
      <left style="medium"/>
      <right>
        <color indexed="63"/>
      </right>
      <top>
        <color indexed="63"/>
      </top>
      <bottom style="medium"/>
    </border>
    <border>
      <left style="thin"/>
      <right style="medium"/>
      <top style="double"/>
      <bottom style="medium"/>
    </border>
    <border>
      <left style="thin"/>
      <right style="medium"/>
      <top style="hair">
        <color indexed="55"/>
      </top>
      <bottom style="thin">
        <color indexed="55"/>
      </bottom>
    </border>
    <border>
      <left style="thin"/>
      <right style="medium"/>
      <top style="thin">
        <color indexed="55"/>
      </top>
      <bottom style="hair">
        <color indexed="55"/>
      </bottom>
    </border>
    <border>
      <left style="thin"/>
      <right style="medium"/>
      <top/>
      <bottom style="hair">
        <color indexed="55"/>
      </bottom>
    </border>
    <border>
      <left style="hair"/>
      <right/>
      <top style="hair"/>
      <bottom style="thin"/>
    </border>
    <border>
      <left style="thin"/>
      <right style="medium"/>
      <top/>
      <bottom style="double"/>
    </border>
    <border>
      <left style="thin"/>
      <right style="medium"/>
      <top>
        <color indexed="63"/>
      </top>
      <bottom style="medium"/>
    </border>
    <border>
      <left style="thin"/>
      <right style="medium"/>
      <top style="thin"/>
      <bottom style="thin">
        <color rgb="FFCCFFFF"/>
      </bottom>
    </border>
    <border>
      <left style="thin"/>
      <right style="medium"/>
      <top style="thin">
        <color rgb="FFCCFFFF"/>
      </top>
      <bottom style="hair">
        <color indexed="55"/>
      </bottom>
    </border>
    <border>
      <left style="medium"/>
      <right style="thin"/>
      <top style="thin">
        <color rgb="FFCCFFFF"/>
      </top>
      <bottom style="hair">
        <color indexed="55"/>
      </bottom>
    </border>
    <border>
      <left style="medium"/>
      <right style="thin"/>
      <top>
        <color indexed="63"/>
      </top>
      <bottom style="hair">
        <color indexed="55"/>
      </bottom>
    </border>
    <border>
      <left style="medium"/>
      <right>
        <color indexed="63"/>
      </right>
      <top style="thin"/>
      <bottom style="thin">
        <color rgb="FFCCFFFF"/>
      </bottom>
    </border>
    <border>
      <left style="medium"/>
      <right style="thin"/>
      <top style="hair">
        <color indexed="55"/>
      </top>
      <bottom style="hair"/>
    </border>
    <border>
      <left style="thin"/>
      <right style="medium"/>
      <top style="hair">
        <color indexed="55"/>
      </top>
      <bottom style="hair"/>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color indexed="63"/>
      </top>
      <bottom style="medium"/>
    </border>
    <border>
      <left style="hair"/>
      <right/>
      <top/>
      <bottom style="medium"/>
    </border>
    <border>
      <left style="medium"/>
      <right/>
      <top style="thin">
        <color indexed="55"/>
      </top>
      <bottom style="thin">
        <color indexed="55"/>
      </bottom>
    </border>
    <border>
      <left style="thin"/>
      <right style="medium"/>
      <top style="thin">
        <color indexed="55"/>
      </top>
      <bottom style="thin">
        <color indexed="55"/>
      </bottom>
    </border>
    <border>
      <left style="thin"/>
      <right style="hair"/>
      <top style="thin">
        <color indexed="55"/>
      </top>
      <bottom style="thin">
        <color indexed="55"/>
      </bottom>
    </border>
    <border>
      <left style="hair"/>
      <right/>
      <top style="thin">
        <color indexed="55"/>
      </top>
      <bottom style="thin">
        <color indexed="55"/>
      </bottom>
    </border>
    <border>
      <left style="medium"/>
      <right/>
      <top style="hair">
        <color indexed="55"/>
      </top>
      <bottom>
        <color indexed="63"/>
      </bottom>
    </border>
    <border>
      <left style="thin"/>
      <right style="hair"/>
      <top style="hair">
        <color indexed="55"/>
      </top>
      <bottom>
        <color indexed="63"/>
      </bottom>
    </border>
    <border>
      <left style="hair"/>
      <right/>
      <top style="hair">
        <color indexed="55"/>
      </top>
      <bottom>
        <color indexed="63"/>
      </bottom>
    </border>
    <border>
      <left style="thin"/>
      <right style="medium"/>
      <top style="hair">
        <color indexed="55"/>
      </top>
      <bottom>
        <color indexed="63"/>
      </bottom>
    </border>
    <border>
      <left style="medium"/>
      <right/>
      <top style="thin">
        <color theme="0" tint="-0.3499799966812134"/>
      </top>
      <bottom style="thin">
        <color theme="0" tint="-0.3499799966812134"/>
      </bottom>
    </border>
    <border>
      <left style="thin"/>
      <right/>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color indexed="63"/>
      </right>
      <top>
        <color indexed="63"/>
      </top>
      <bottom>
        <color indexed="63"/>
      </bottom>
    </border>
    <border>
      <left style="thin"/>
      <right style="hair"/>
      <top>
        <color indexed="63"/>
      </top>
      <bottom>
        <color indexed="63"/>
      </bottom>
    </border>
    <border>
      <left style="hair"/>
      <right style="thin"/>
      <top>
        <color indexed="63"/>
      </top>
      <bottom>
        <color indexed="63"/>
      </bottom>
    </border>
    <border>
      <left style="hair"/>
      <right/>
      <top>
        <color indexed="63"/>
      </top>
      <bottom>
        <color indexed="63"/>
      </bottom>
    </border>
    <border>
      <left style="thin"/>
      <right style="medium"/>
      <top/>
      <bottom/>
    </border>
    <border>
      <left style="hair"/>
      <right/>
      <top style="thin">
        <color theme="0" tint="-0.3499799966812134"/>
      </top>
      <bottom style="thin">
        <color theme="0" tint="-0.3499799966812134"/>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hair"/>
      <bottom style="hair"/>
    </border>
    <border>
      <left style="medium"/>
      <right/>
      <top style="thin">
        <color indexed="55"/>
      </top>
      <bottom style="double"/>
    </border>
    <border>
      <left style="thin"/>
      <right style="medium"/>
      <top style="thin">
        <color indexed="55"/>
      </top>
      <bottom style="double"/>
    </border>
    <border>
      <left style="hair"/>
      <right style="thin"/>
      <top style="thin">
        <color indexed="55"/>
      </top>
      <bottom style="thin">
        <color indexed="55"/>
      </bottom>
    </border>
    <border>
      <left style="hair"/>
      <right style="hair"/>
      <top style="thin">
        <color theme="0" tint="-0.3499799966812134"/>
      </top>
      <bottom style="thin">
        <color theme="0" tint="-0.3499799966812134"/>
      </bottom>
    </border>
    <border>
      <left style="hair"/>
      <right style="hair"/>
      <top>
        <color indexed="63"/>
      </top>
      <bottom>
        <color indexed="63"/>
      </bottom>
    </border>
    <border>
      <left style="hair"/>
      <right style="hair"/>
      <top style="hair">
        <color indexed="55"/>
      </top>
      <bottom style="thin">
        <color indexed="55"/>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hair"/>
      <top style="double"/>
      <bottom style="medium"/>
    </border>
    <border>
      <left style="hair"/>
      <right style="hair"/>
      <top style="double"/>
      <bottom style="medium"/>
    </border>
    <border>
      <left style="hair"/>
      <right/>
      <top style="double"/>
      <bottom style="medium"/>
    </border>
    <border>
      <left style="hair"/>
      <right style="hair"/>
      <top style="hair">
        <color indexed="55"/>
      </top>
      <bottom style="thin"/>
    </border>
    <border>
      <left style="medium"/>
      <right style="thin"/>
      <top style="hair">
        <color indexed="55"/>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style="medium"/>
    </border>
    <border>
      <left style="medium"/>
      <right style="hair"/>
      <top style="thin"/>
      <bottom style="hair"/>
    </border>
    <border>
      <left style="medium"/>
      <right style="hair"/>
      <top style="hair"/>
      <bottom style="thin"/>
    </border>
    <border>
      <left style="medium"/>
      <right style="hair"/>
      <top>
        <color indexed="63"/>
      </top>
      <bottom>
        <color indexed="63"/>
      </bottom>
    </border>
    <border>
      <left style="medium"/>
      <right style="hair"/>
      <top>
        <color indexed="63"/>
      </top>
      <bottom style="thin"/>
    </border>
    <border>
      <left style="thin"/>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hair"/>
      <top style="thin"/>
      <bottom>
        <color indexed="63"/>
      </bottom>
    </border>
    <border>
      <left style="medium"/>
      <right style="hair"/>
      <top>
        <color indexed="63"/>
      </top>
      <bottom style="medium"/>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style="thin"/>
    </border>
    <border>
      <left style="thin"/>
      <right style="thin"/>
      <top style="hair"/>
      <bottom style="hair"/>
    </border>
    <border>
      <left style="hair"/>
      <right style="thin"/>
      <top style="hair"/>
      <bottom style="hair"/>
    </border>
    <border>
      <left style="medium"/>
      <right/>
      <top/>
      <bottom style="thin"/>
    </border>
    <border>
      <left style="thin"/>
      <right style="thin"/>
      <top style="medium"/>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 fillId="0" borderId="0" applyNumberFormat="0" applyFill="0" applyBorder="0" applyAlignment="0" applyProtection="0"/>
    <xf numFmtId="0" fontId="49" fillId="32" borderId="0" applyNumberFormat="0" applyBorder="0" applyAlignment="0" applyProtection="0"/>
  </cellStyleXfs>
  <cellXfs count="289">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3" fontId="2" fillId="33" borderId="19" xfId="0" applyNumberFormat="1" applyFont="1" applyFill="1" applyBorder="1" applyAlignment="1">
      <alignment horizontal="right" vertical="center"/>
    </xf>
    <xf numFmtId="3" fontId="2" fillId="33" borderId="20" xfId="0" applyNumberFormat="1" applyFont="1" applyFill="1" applyBorder="1" applyAlignment="1">
      <alignment horizontal="right" vertical="center"/>
    </xf>
    <xf numFmtId="0" fontId="2" fillId="0" borderId="19" xfId="0" applyFont="1" applyBorder="1" applyAlignment="1">
      <alignment horizontal="distributed" vertical="center"/>
    </xf>
    <xf numFmtId="0" fontId="2" fillId="0" borderId="21" xfId="0" applyFont="1" applyBorder="1" applyAlignment="1">
      <alignment horizontal="distributed" vertical="center"/>
    </xf>
    <xf numFmtId="0" fontId="6" fillId="0" borderId="21" xfId="0" applyFont="1" applyBorder="1" applyAlignment="1">
      <alignment horizontal="distributed" vertical="center"/>
    </xf>
    <xf numFmtId="0" fontId="2" fillId="0" borderId="22" xfId="0" applyFont="1" applyBorder="1" applyAlignment="1">
      <alignment horizontal="distributed" vertical="center"/>
    </xf>
    <xf numFmtId="3" fontId="2" fillId="34" borderId="23" xfId="0" applyNumberFormat="1" applyFont="1" applyFill="1" applyBorder="1" applyAlignment="1">
      <alignment horizontal="right" vertical="center"/>
    </xf>
    <xf numFmtId="3" fontId="2" fillId="34" borderId="24"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0" fontId="2" fillId="0" borderId="26" xfId="0" applyFont="1" applyBorder="1" applyAlignment="1">
      <alignment horizontal="distributed" vertical="center"/>
    </xf>
    <xf numFmtId="3" fontId="2" fillId="34" borderId="27" xfId="0" applyNumberFormat="1" applyFont="1" applyFill="1" applyBorder="1" applyAlignment="1">
      <alignment horizontal="right" vertical="center"/>
    </xf>
    <xf numFmtId="3" fontId="2" fillId="33" borderId="26"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0" fontId="7" fillId="33" borderId="10" xfId="0" applyFont="1" applyFill="1" applyBorder="1" applyAlignment="1">
      <alignment horizontal="right" vertical="top"/>
    </xf>
    <xf numFmtId="0" fontId="7" fillId="34" borderId="29" xfId="0" applyFont="1" applyFill="1" applyBorder="1" applyAlignment="1">
      <alignment horizontal="right" vertical="top"/>
    </xf>
    <xf numFmtId="0" fontId="2" fillId="0" borderId="30" xfId="0" applyFont="1" applyBorder="1" applyAlignment="1">
      <alignment horizontal="distributed"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0" fontId="7" fillId="0" borderId="32" xfId="0" applyFont="1" applyFill="1" applyBorder="1" applyAlignment="1">
      <alignment horizontal="center" vertical="center"/>
    </xf>
    <xf numFmtId="0" fontId="7" fillId="33" borderId="18"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3" xfId="0" applyNumberFormat="1" applyFont="1" applyFill="1" applyBorder="1" applyAlignment="1">
      <alignment horizontal="right" vertical="center"/>
    </xf>
    <xf numFmtId="0" fontId="2" fillId="0" borderId="32"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8" xfId="0" applyFont="1" applyFill="1" applyBorder="1" applyAlignment="1">
      <alignment horizontal="right"/>
    </xf>
    <xf numFmtId="0" fontId="7" fillId="34" borderId="34" xfId="0" applyFont="1" applyFill="1" applyBorder="1" applyAlignment="1">
      <alignment horizontal="right"/>
    </xf>
    <xf numFmtId="0" fontId="7" fillId="34" borderId="35" xfId="0" applyFont="1" applyFill="1" applyBorder="1" applyAlignment="1">
      <alignment horizontal="right"/>
    </xf>
    <xf numFmtId="0" fontId="7" fillId="34" borderId="36" xfId="0" applyFont="1" applyFill="1" applyBorder="1" applyAlignment="1">
      <alignment horizontal="right"/>
    </xf>
    <xf numFmtId="0" fontId="7" fillId="34" borderId="37" xfId="0" applyFont="1" applyFill="1" applyBorder="1" applyAlignment="1">
      <alignment horizontal="right"/>
    </xf>
    <xf numFmtId="0" fontId="5" fillId="0" borderId="0" xfId="0" applyFont="1" applyAlignment="1">
      <alignment horizontal="center" vertical="top"/>
    </xf>
    <xf numFmtId="0" fontId="2" fillId="0" borderId="19"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0" xfId="61" applyFont="1" applyBorder="1" applyAlignment="1">
      <alignment horizontal="left" vertical="center"/>
      <protection/>
    </xf>
    <xf numFmtId="0" fontId="2" fillId="0" borderId="38" xfId="61" applyFont="1" applyBorder="1" applyAlignment="1">
      <alignment horizontal="distributed" vertical="center" indent="1"/>
      <protection/>
    </xf>
    <xf numFmtId="0" fontId="2" fillId="0" borderId="39" xfId="61" applyFont="1" applyBorder="1" applyAlignment="1">
      <alignment horizontal="distributed" vertical="center" indent="1"/>
      <protection/>
    </xf>
    <xf numFmtId="0" fontId="2" fillId="0" borderId="39" xfId="61" applyFont="1" applyBorder="1" applyAlignment="1">
      <alignment horizontal="center" vertical="center" wrapText="1"/>
      <protection/>
    </xf>
    <xf numFmtId="0" fontId="7" fillId="35" borderId="32"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4" borderId="29" xfId="61" applyFont="1" applyFill="1" applyBorder="1" applyAlignment="1">
      <alignment horizontal="right" vertical="top"/>
      <protection/>
    </xf>
    <xf numFmtId="0" fontId="7" fillId="34" borderId="40" xfId="61" applyFont="1" applyFill="1" applyBorder="1" applyAlignment="1">
      <alignment horizontal="right" vertical="top"/>
      <protection/>
    </xf>
    <xf numFmtId="0" fontId="7" fillId="35" borderId="37" xfId="61" applyFont="1" applyFill="1" applyBorder="1" applyAlignment="1">
      <alignment horizontal="distributed" vertical="top"/>
      <protection/>
    </xf>
    <xf numFmtId="0" fontId="2" fillId="36" borderId="41" xfId="61" applyFont="1" applyFill="1" applyBorder="1" applyAlignment="1">
      <alignment horizontal="distributed" vertical="center"/>
      <protection/>
    </xf>
    <xf numFmtId="0" fontId="2" fillId="36" borderId="42" xfId="61" applyFont="1" applyFill="1" applyBorder="1" applyAlignment="1">
      <alignment horizontal="distributed" vertical="center"/>
      <protection/>
    </xf>
    <xf numFmtId="0" fontId="2" fillId="36" borderId="43" xfId="61" applyFont="1" applyFill="1" applyBorder="1" applyAlignment="1">
      <alignment horizontal="distributed" vertical="center"/>
      <protection/>
    </xf>
    <xf numFmtId="0" fontId="6" fillId="36" borderId="44" xfId="61" applyFont="1" applyFill="1" applyBorder="1" applyAlignment="1">
      <alignment horizontal="distributed" vertical="center"/>
      <protection/>
    </xf>
    <xf numFmtId="0" fontId="8" fillId="0" borderId="45" xfId="61" applyFont="1" applyFill="1" applyBorder="1" applyAlignment="1">
      <alignment horizontal="distributed" vertical="center"/>
      <protection/>
    </xf>
    <xf numFmtId="0" fontId="8" fillId="0" borderId="46" xfId="61" applyFont="1" applyFill="1" applyBorder="1" applyAlignment="1">
      <alignment horizontal="center" vertical="center"/>
      <protection/>
    </xf>
    <xf numFmtId="0" fontId="6" fillId="0" borderId="47" xfId="61" applyFont="1" applyBorder="1" applyAlignment="1">
      <alignment horizontal="center" vertical="center"/>
      <protection/>
    </xf>
    <xf numFmtId="0" fontId="6" fillId="0" borderId="48" xfId="61" applyFont="1" applyBorder="1" applyAlignment="1">
      <alignment horizontal="center" vertical="center"/>
      <protection/>
    </xf>
    <xf numFmtId="0" fontId="6" fillId="36" borderId="49" xfId="61" applyFont="1" applyFill="1" applyBorder="1" applyAlignment="1">
      <alignment horizontal="distributed" vertical="center"/>
      <protection/>
    </xf>
    <xf numFmtId="0" fontId="2" fillId="36" borderId="50" xfId="61" applyFont="1" applyFill="1" applyBorder="1" applyAlignment="1">
      <alignment horizontal="distributed" vertical="center"/>
      <protection/>
    </xf>
    <xf numFmtId="0" fontId="2" fillId="36" borderId="51" xfId="61" applyFont="1" applyFill="1" applyBorder="1" applyAlignment="1">
      <alignment horizontal="distributed" vertical="center"/>
      <protection/>
    </xf>
    <xf numFmtId="0" fontId="2" fillId="0" borderId="52" xfId="61" applyFont="1" applyBorder="1" applyAlignment="1">
      <alignment horizontal="distributed" vertical="center" indent="1"/>
      <protection/>
    </xf>
    <xf numFmtId="0" fontId="2" fillId="0" borderId="52" xfId="61" applyFont="1" applyBorder="1" applyAlignment="1">
      <alignment horizontal="centerContinuous" vertical="center" wrapText="1"/>
      <protection/>
    </xf>
    <xf numFmtId="0" fontId="7" fillId="33" borderId="40" xfId="61" applyFont="1" applyFill="1" applyBorder="1" applyAlignment="1">
      <alignment horizontal="right" vertical="top"/>
      <protection/>
    </xf>
    <xf numFmtId="0" fontId="8" fillId="0" borderId="53" xfId="61" applyFont="1" applyFill="1" applyBorder="1" applyAlignment="1">
      <alignment horizontal="center" vertical="center"/>
      <protection/>
    </xf>
    <xf numFmtId="0" fontId="6" fillId="0" borderId="54" xfId="61" applyFont="1" applyBorder="1" applyAlignment="1">
      <alignment horizontal="center" vertical="center"/>
      <protection/>
    </xf>
    <xf numFmtId="0" fontId="9" fillId="0" borderId="0" xfId="61" applyFont="1" applyAlignment="1">
      <alignment horizontal="right" vertical="top"/>
      <protection/>
    </xf>
    <xf numFmtId="0" fontId="10" fillId="0" borderId="0" xfId="61" applyFont="1">
      <alignment/>
      <protection/>
    </xf>
    <xf numFmtId="0" fontId="11" fillId="0" borderId="0" xfId="61" applyFont="1">
      <alignment/>
      <protection/>
    </xf>
    <xf numFmtId="0" fontId="9" fillId="0" borderId="0" xfId="61" applyFont="1" applyAlignment="1">
      <alignment vertical="top"/>
      <protection/>
    </xf>
    <xf numFmtId="0" fontId="7" fillId="35" borderId="55" xfId="61" applyFont="1" applyFill="1" applyBorder="1" applyAlignment="1">
      <alignment horizontal="distributed" vertical="top"/>
      <protection/>
    </xf>
    <xf numFmtId="0" fontId="2" fillId="36" borderId="56" xfId="61" applyFont="1" applyFill="1" applyBorder="1" applyAlignment="1">
      <alignment horizontal="distributed" vertical="center"/>
      <protection/>
    </xf>
    <xf numFmtId="0" fontId="2" fillId="36" borderId="57" xfId="61" applyFont="1" applyFill="1" applyBorder="1" applyAlignment="1">
      <alignment horizontal="distributed" vertical="center"/>
      <protection/>
    </xf>
    <xf numFmtId="0" fontId="2" fillId="36" borderId="58" xfId="61" applyFont="1" applyFill="1" applyBorder="1" applyAlignment="1">
      <alignment horizontal="distributed" vertical="center"/>
      <protection/>
    </xf>
    <xf numFmtId="0" fontId="12" fillId="37" borderId="56" xfId="61" applyFont="1" applyFill="1" applyBorder="1" applyAlignment="1">
      <alignment horizontal="distributed" vertical="center"/>
      <protection/>
    </xf>
    <xf numFmtId="0" fontId="7" fillId="35" borderId="59" xfId="61" applyFont="1" applyFill="1" applyBorder="1" applyAlignment="1">
      <alignment horizontal="distributed" vertical="top"/>
      <protection/>
    </xf>
    <xf numFmtId="0" fontId="7" fillId="28" borderId="13" xfId="61" applyFont="1" applyFill="1" applyBorder="1" applyAlignment="1">
      <alignment horizontal="right" vertical="top"/>
      <protection/>
    </xf>
    <xf numFmtId="0" fontId="2" fillId="36" borderId="60" xfId="61" applyFont="1" applyFill="1" applyBorder="1" applyAlignment="1">
      <alignment horizontal="distributed" vertical="center"/>
      <protection/>
    </xf>
    <xf numFmtId="0" fontId="2" fillId="36" borderId="61" xfId="61" applyFont="1" applyFill="1" applyBorder="1" applyAlignment="1">
      <alignment horizontal="distributed" vertical="center"/>
      <protection/>
    </xf>
    <xf numFmtId="3" fontId="2" fillId="34" borderId="62" xfId="0" applyNumberFormat="1" applyFont="1" applyFill="1" applyBorder="1" applyAlignment="1">
      <alignment horizontal="right" vertical="center"/>
    </xf>
    <xf numFmtId="3" fontId="2" fillId="34" borderId="63"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3" fontId="6" fillId="34" borderId="63" xfId="0" applyNumberFormat="1" applyFont="1" applyFill="1" applyBorder="1" applyAlignment="1">
      <alignment horizontal="right" vertical="center"/>
    </xf>
    <xf numFmtId="3" fontId="6" fillId="33" borderId="21" xfId="0" applyNumberFormat="1" applyFont="1" applyFill="1" applyBorder="1" applyAlignment="1">
      <alignment horizontal="right" vertical="center"/>
    </xf>
    <xf numFmtId="3" fontId="6" fillId="33" borderId="64" xfId="0" applyNumberFormat="1" applyFont="1" applyFill="1" applyBorder="1" applyAlignment="1">
      <alignment horizontal="right" vertical="center"/>
    </xf>
    <xf numFmtId="3" fontId="2" fillId="34" borderId="65" xfId="0" applyNumberFormat="1" applyFont="1" applyFill="1" applyBorder="1" applyAlignment="1">
      <alignment horizontal="right" vertical="center"/>
    </xf>
    <xf numFmtId="3" fontId="2" fillId="33" borderId="66" xfId="0" applyNumberFormat="1" applyFont="1" applyFill="1" applyBorder="1" applyAlignment="1">
      <alignment horizontal="right" vertical="center"/>
    </xf>
    <xf numFmtId="3" fontId="2" fillId="33" borderId="67" xfId="0" applyNumberFormat="1" applyFont="1" applyFill="1" applyBorder="1" applyAlignment="1">
      <alignment horizontal="right" vertical="center"/>
    </xf>
    <xf numFmtId="3" fontId="2" fillId="34" borderId="68" xfId="0" applyNumberFormat="1" applyFont="1" applyFill="1" applyBorder="1" applyAlignment="1">
      <alignment horizontal="right" vertical="center"/>
    </xf>
    <xf numFmtId="3" fontId="2" fillId="34" borderId="68" xfId="0" applyNumberFormat="1" applyFont="1" applyFill="1" applyBorder="1" applyAlignment="1">
      <alignment vertical="center"/>
    </xf>
    <xf numFmtId="3" fontId="2" fillId="34" borderId="69" xfId="0" applyNumberFormat="1" applyFont="1" applyFill="1" applyBorder="1" applyAlignment="1">
      <alignment horizontal="right" vertical="center"/>
    </xf>
    <xf numFmtId="3" fontId="2" fillId="33"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0" fontId="0" fillId="0" borderId="0" xfId="61" applyFont="1">
      <alignment/>
      <protection/>
    </xf>
    <xf numFmtId="177" fontId="2" fillId="34" borderId="33" xfId="61" applyNumberFormat="1" applyFont="1" applyFill="1" applyBorder="1" applyAlignment="1">
      <alignment horizontal="right" vertical="center"/>
      <protection/>
    </xf>
    <xf numFmtId="177" fontId="2" fillId="33" borderId="30" xfId="61" applyNumberFormat="1" applyFont="1" applyFill="1" applyBorder="1" applyAlignment="1">
      <alignment horizontal="right" vertical="center"/>
      <protection/>
    </xf>
    <xf numFmtId="177" fontId="2" fillId="33" borderId="72" xfId="61" applyNumberFormat="1" applyFont="1" applyFill="1" applyBorder="1" applyAlignment="1">
      <alignment horizontal="right" vertical="center"/>
      <protection/>
    </xf>
    <xf numFmtId="177" fontId="2" fillId="34" borderId="73" xfId="61" applyNumberFormat="1" applyFont="1" applyFill="1" applyBorder="1" applyAlignment="1">
      <alignment horizontal="right" vertical="center"/>
      <protection/>
    </xf>
    <xf numFmtId="177" fontId="2" fillId="33" borderId="21" xfId="61" applyNumberFormat="1" applyFont="1" applyFill="1" applyBorder="1" applyAlignment="1">
      <alignment horizontal="right" vertical="center"/>
      <protection/>
    </xf>
    <xf numFmtId="177" fontId="2" fillId="33" borderId="74" xfId="61" applyNumberFormat="1" applyFont="1" applyFill="1" applyBorder="1" applyAlignment="1">
      <alignment horizontal="right" vertical="center"/>
      <protection/>
    </xf>
    <xf numFmtId="177" fontId="6" fillId="34" borderId="75" xfId="61" applyNumberFormat="1" applyFont="1" applyFill="1" applyBorder="1" applyAlignment="1">
      <alignment horizontal="right" vertical="center"/>
      <protection/>
    </xf>
    <xf numFmtId="177" fontId="6" fillId="33" borderId="76" xfId="61" applyNumberFormat="1" applyFont="1" applyFill="1" applyBorder="1" applyAlignment="1">
      <alignment horizontal="right" vertical="center"/>
      <protection/>
    </xf>
    <xf numFmtId="177" fontId="6" fillId="33" borderId="77" xfId="61" applyNumberFormat="1" applyFont="1" applyFill="1" applyBorder="1" applyAlignment="1">
      <alignment horizontal="right" vertical="center"/>
      <protection/>
    </xf>
    <xf numFmtId="177" fontId="2" fillId="0" borderId="78" xfId="61" applyNumberFormat="1" applyFont="1" applyFill="1" applyBorder="1" applyAlignment="1">
      <alignment horizontal="right" vertical="center"/>
      <protection/>
    </xf>
    <xf numFmtId="177" fontId="2" fillId="0" borderId="79" xfId="61" applyNumberFormat="1" applyFont="1" applyFill="1" applyBorder="1" applyAlignment="1">
      <alignment horizontal="right" vertical="center"/>
      <protection/>
    </xf>
    <xf numFmtId="177" fontId="2" fillId="0" borderId="80" xfId="61" applyNumberFormat="1" applyFont="1" applyFill="1" applyBorder="1" applyAlignment="1">
      <alignment horizontal="right" vertical="center"/>
      <protection/>
    </xf>
    <xf numFmtId="177" fontId="6" fillId="34" borderId="81" xfId="61" applyNumberFormat="1" applyFont="1" applyFill="1" applyBorder="1" applyAlignment="1">
      <alignment horizontal="right" vertical="center"/>
      <protection/>
    </xf>
    <xf numFmtId="177" fontId="6" fillId="33" borderId="70" xfId="61" applyNumberFormat="1" applyFont="1" applyFill="1" applyBorder="1" applyAlignment="1">
      <alignment horizontal="right" vertical="center"/>
      <protection/>
    </xf>
    <xf numFmtId="177" fontId="6" fillId="33" borderId="82" xfId="61" applyNumberFormat="1" applyFont="1" applyFill="1" applyBorder="1" applyAlignment="1">
      <alignment horizontal="right" vertical="center"/>
      <protection/>
    </xf>
    <xf numFmtId="0" fontId="0" fillId="0" borderId="0" xfId="61" applyFont="1" applyAlignment="1">
      <alignment horizontal="center"/>
      <protection/>
    </xf>
    <xf numFmtId="0" fontId="0" fillId="0" borderId="0" xfId="61" applyFont="1" applyBorder="1">
      <alignment/>
      <protection/>
    </xf>
    <xf numFmtId="0" fontId="8" fillId="37" borderId="83" xfId="61" applyFont="1" applyFill="1" applyBorder="1" applyAlignment="1">
      <alignment horizontal="distributed" vertical="center"/>
      <protection/>
    </xf>
    <xf numFmtId="0" fontId="8" fillId="37" borderId="84" xfId="61" applyFont="1" applyFill="1" applyBorder="1" applyAlignment="1">
      <alignment horizontal="center" vertical="center"/>
      <protection/>
    </xf>
    <xf numFmtId="177" fontId="8" fillId="28" borderId="85" xfId="61" applyNumberFormat="1" applyFont="1" applyFill="1" applyBorder="1" applyAlignment="1">
      <alignment horizontal="right" vertical="center"/>
      <protection/>
    </xf>
    <xf numFmtId="177" fontId="8" fillId="38" borderId="86" xfId="61" applyNumberFormat="1" applyFont="1" applyFill="1" applyBorder="1" applyAlignment="1">
      <alignment horizontal="right" vertical="center"/>
      <protection/>
    </xf>
    <xf numFmtId="0" fontId="6" fillId="36" borderId="87" xfId="61" applyFont="1" applyFill="1" applyBorder="1" applyAlignment="1">
      <alignment horizontal="distributed" vertical="center"/>
      <protection/>
    </xf>
    <xf numFmtId="177" fontId="6" fillId="34" borderId="88" xfId="61" applyNumberFormat="1" applyFont="1" applyFill="1" applyBorder="1" applyAlignment="1">
      <alignment horizontal="right" vertical="center"/>
      <protection/>
    </xf>
    <xf numFmtId="177" fontId="6" fillId="33" borderId="66" xfId="61" applyNumberFormat="1" applyFont="1" applyFill="1" applyBorder="1" applyAlignment="1">
      <alignment horizontal="right" vertical="center"/>
      <protection/>
    </xf>
    <xf numFmtId="177" fontId="6" fillId="33" borderId="89" xfId="61" applyNumberFormat="1" applyFont="1" applyFill="1" applyBorder="1" applyAlignment="1">
      <alignment horizontal="right" vertical="center"/>
      <protection/>
    </xf>
    <xf numFmtId="0" fontId="6" fillId="36" borderId="90" xfId="61" applyFont="1" applyFill="1" applyBorder="1" applyAlignment="1">
      <alignment horizontal="distributed" vertical="center"/>
      <protection/>
    </xf>
    <xf numFmtId="0" fontId="8" fillId="0" borderId="91" xfId="61" applyFont="1" applyFill="1" applyBorder="1" applyAlignment="1">
      <alignment horizontal="distributed" vertical="center"/>
      <protection/>
    </xf>
    <xf numFmtId="177" fontId="8" fillId="0" borderId="92" xfId="61" applyNumberFormat="1" applyFont="1" applyFill="1" applyBorder="1" applyAlignment="1">
      <alignment horizontal="right" vertical="center"/>
      <protection/>
    </xf>
    <xf numFmtId="177" fontId="8" fillId="0" borderId="93" xfId="61" applyNumberFormat="1" applyFont="1" applyFill="1" applyBorder="1" applyAlignment="1">
      <alignment horizontal="right" vertical="center"/>
      <protection/>
    </xf>
    <xf numFmtId="177" fontId="8" fillId="0" borderId="94" xfId="61" applyNumberFormat="1" applyFont="1" applyFill="1" applyBorder="1" applyAlignment="1">
      <alignment horizontal="right" vertical="center"/>
      <protection/>
    </xf>
    <xf numFmtId="0" fontId="8" fillId="0" borderId="95" xfId="61" applyFont="1" applyFill="1" applyBorder="1" applyAlignment="1">
      <alignment horizontal="center" vertical="center"/>
      <protection/>
    </xf>
    <xf numFmtId="0" fontId="6" fillId="36" borderId="96" xfId="61" applyFont="1" applyFill="1" applyBorder="1" applyAlignment="1">
      <alignment horizontal="distributed" vertical="center"/>
      <protection/>
    </xf>
    <xf numFmtId="177" fontId="6" fillId="34" borderId="97" xfId="61" applyNumberFormat="1" applyFont="1" applyFill="1" applyBorder="1" applyAlignment="1">
      <alignment horizontal="right" vertical="center"/>
      <protection/>
    </xf>
    <xf numFmtId="177" fontId="6" fillId="33" borderId="98" xfId="61" applyNumberFormat="1" applyFont="1" applyFill="1" applyBorder="1" applyAlignment="1">
      <alignment horizontal="right" vertical="center"/>
      <protection/>
    </xf>
    <xf numFmtId="177" fontId="6" fillId="33" borderId="99" xfId="61" applyNumberFormat="1" applyFont="1" applyFill="1" applyBorder="1" applyAlignment="1">
      <alignment horizontal="right" vertical="center"/>
      <protection/>
    </xf>
    <xf numFmtId="0" fontId="6" fillId="36" borderId="100" xfId="61" applyFont="1" applyFill="1" applyBorder="1" applyAlignment="1">
      <alignment horizontal="distributed" vertical="center"/>
      <protection/>
    </xf>
    <xf numFmtId="0" fontId="8" fillId="37" borderId="91" xfId="61" applyFont="1" applyFill="1" applyBorder="1" applyAlignment="1">
      <alignment horizontal="distributed" vertical="center"/>
      <protection/>
    </xf>
    <xf numFmtId="177" fontId="8" fillId="28" borderId="94" xfId="61" applyNumberFormat="1" applyFont="1" applyFill="1" applyBorder="1" applyAlignment="1">
      <alignment horizontal="right" vertical="center"/>
      <protection/>
    </xf>
    <xf numFmtId="177" fontId="8" fillId="38" borderId="93" xfId="61" applyNumberFormat="1" applyFont="1" applyFill="1" applyBorder="1" applyAlignment="1">
      <alignment horizontal="right" vertical="center"/>
      <protection/>
    </xf>
    <xf numFmtId="177" fontId="8" fillId="38" borderId="101" xfId="61" applyNumberFormat="1" applyFont="1" applyFill="1" applyBorder="1" applyAlignment="1">
      <alignment horizontal="right" vertical="center"/>
      <protection/>
    </xf>
    <xf numFmtId="0" fontId="8" fillId="37" borderId="95" xfId="61" applyFont="1" applyFill="1" applyBorder="1" applyAlignment="1">
      <alignment horizontal="center" vertical="center"/>
      <protection/>
    </xf>
    <xf numFmtId="0" fontId="6" fillId="37" borderId="87" xfId="61" applyFont="1" applyFill="1" applyBorder="1" applyAlignment="1">
      <alignment horizontal="distributed" vertical="center"/>
      <protection/>
    </xf>
    <xf numFmtId="177" fontId="6" fillId="28" borderId="88" xfId="61" applyNumberFormat="1" applyFont="1" applyFill="1" applyBorder="1" applyAlignment="1">
      <alignment horizontal="right" vertical="center"/>
      <protection/>
    </xf>
    <xf numFmtId="177" fontId="6" fillId="38" borderId="66" xfId="61" applyNumberFormat="1" applyFont="1" applyFill="1" applyBorder="1" applyAlignment="1">
      <alignment horizontal="right" vertical="center"/>
      <protection/>
    </xf>
    <xf numFmtId="3" fontId="2" fillId="34" borderId="102" xfId="0" applyNumberFormat="1" applyFont="1" applyFill="1" applyBorder="1" applyAlignment="1">
      <alignment horizontal="right" vertical="center"/>
    </xf>
    <xf numFmtId="3" fontId="2" fillId="34" borderId="103" xfId="0" applyNumberFormat="1" applyFont="1" applyFill="1" applyBorder="1" applyAlignment="1">
      <alignment vertical="center"/>
    </xf>
    <xf numFmtId="3" fontId="2" fillId="34" borderId="104" xfId="0" applyNumberFormat="1" applyFont="1" applyFill="1" applyBorder="1" applyAlignment="1">
      <alignment vertical="center"/>
    </xf>
    <xf numFmtId="3" fontId="2" fillId="34" borderId="54" xfId="0" applyNumberFormat="1" applyFont="1" applyFill="1" applyBorder="1" applyAlignment="1">
      <alignment vertical="center"/>
    </xf>
    <xf numFmtId="0" fontId="2" fillId="36" borderId="100" xfId="61" applyFont="1" applyFill="1" applyBorder="1" applyAlignment="1">
      <alignment horizontal="distributed" vertical="center"/>
      <protection/>
    </xf>
    <xf numFmtId="0" fontId="2" fillId="36" borderId="105" xfId="61" applyFont="1" applyFill="1" applyBorder="1" applyAlignment="1">
      <alignment horizontal="distributed" vertical="center"/>
      <protection/>
    </xf>
    <xf numFmtId="0" fontId="8" fillId="0" borderId="106" xfId="61" applyFont="1" applyFill="1" applyBorder="1" applyAlignment="1">
      <alignment horizontal="distributed" vertical="center"/>
      <protection/>
    </xf>
    <xf numFmtId="177" fontId="8" fillId="0" borderId="78" xfId="61" applyNumberFormat="1" applyFont="1" applyFill="1" applyBorder="1" applyAlignment="1">
      <alignment horizontal="right" vertical="center"/>
      <protection/>
    </xf>
    <xf numFmtId="177" fontId="8" fillId="0" borderId="79" xfId="61" applyNumberFormat="1" applyFont="1" applyFill="1" applyBorder="1" applyAlignment="1">
      <alignment horizontal="right" vertical="center"/>
      <protection/>
    </xf>
    <xf numFmtId="177" fontId="8" fillId="0" borderId="80" xfId="61" applyNumberFormat="1" applyFont="1" applyFill="1" applyBorder="1" applyAlignment="1">
      <alignment horizontal="right" vertical="center"/>
      <protection/>
    </xf>
    <xf numFmtId="0" fontId="8" fillId="0" borderId="107" xfId="61" applyFont="1" applyFill="1" applyBorder="1" applyAlignment="1">
      <alignment horizontal="center" vertical="center"/>
      <protection/>
    </xf>
    <xf numFmtId="3" fontId="50" fillId="34" borderId="62" xfId="0" applyNumberFormat="1" applyFont="1" applyFill="1" applyBorder="1" applyAlignment="1">
      <alignment horizontal="right" vertical="center"/>
    </xf>
    <xf numFmtId="3" fontId="50" fillId="34" borderId="63" xfId="0" applyNumberFormat="1" applyFont="1" applyFill="1" applyBorder="1" applyAlignment="1">
      <alignment horizontal="right" vertical="center"/>
    </xf>
    <xf numFmtId="3" fontId="51" fillId="34" borderId="63" xfId="0" applyNumberFormat="1" applyFont="1" applyFill="1" applyBorder="1" applyAlignment="1">
      <alignment horizontal="right" vertical="center"/>
    </xf>
    <xf numFmtId="3" fontId="50" fillId="34" borderId="65" xfId="0" applyNumberFormat="1" applyFont="1" applyFill="1" applyBorder="1" applyAlignment="1">
      <alignment horizontal="right" vertical="center"/>
    </xf>
    <xf numFmtId="3" fontId="50" fillId="34" borderId="23" xfId="0" applyNumberFormat="1" applyFont="1" applyFill="1" applyBorder="1" applyAlignment="1">
      <alignment horizontal="right" vertical="center"/>
    </xf>
    <xf numFmtId="3" fontId="50" fillId="34" borderId="27" xfId="0" applyNumberFormat="1" applyFont="1" applyFill="1" applyBorder="1" applyAlignment="1">
      <alignment horizontal="right" vertical="center"/>
    </xf>
    <xf numFmtId="177" fontId="50" fillId="33" borderId="30" xfId="61" applyNumberFormat="1" applyFont="1" applyFill="1" applyBorder="1" applyAlignment="1">
      <alignment horizontal="right" vertical="center"/>
      <protection/>
    </xf>
    <xf numFmtId="177" fontId="50" fillId="33" borderId="21" xfId="61" applyNumberFormat="1" applyFont="1" applyFill="1" applyBorder="1" applyAlignment="1">
      <alignment horizontal="right" vertical="center"/>
      <protection/>
    </xf>
    <xf numFmtId="177" fontId="50" fillId="33" borderId="72" xfId="61" applyNumberFormat="1" applyFont="1" applyFill="1" applyBorder="1" applyAlignment="1">
      <alignment horizontal="right" vertical="center"/>
      <protection/>
    </xf>
    <xf numFmtId="177" fontId="50" fillId="33" borderId="74" xfId="61" applyNumberFormat="1" applyFont="1" applyFill="1" applyBorder="1" applyAlignment="1">
      <alignment horizontal="right" vertical="center"/>
      <protection/>
    </xf>
    <xf numFmtId="177" fontId="50" fillId="34" borderId="73" xfId="61" applyNumberFormat="1" applyFont="1" applyFill="1" applyBorder="1" applyAlignment="1">
      <alignment horizontal="right" vertical="center"/>
      <protection/>
    </xf>
    <xf numFmtId="177" fontId="51" fillId="34" borderId="88" xfId="61" applyNumberFormat="1" applyFont="1" applyFill="1" applyBorder="1" applyAlignment="1">
      <alignment horizontal="right" vertical="center"/>
      <protection/>
    </xf>
    <xf numFmtId="177" fontId="50" fillId="34" borderId="33" xfId="61" applyNumberFormat="1" applyFont="1" applyFill="1" applyBorder="1" applyAlignment="1">
      <alignment horizontal="right" vertical="center"/>
      <protection/>
    </xf>
    <xf numFmtId="177" fontId="51" fillId="33" borderId="76" xfId="61" applyNumberFormat="1" applyFont="1" applyFill="1" applyBorder="1" applyAlignment="1">
      <alignment horizontal="right" vertical="center"/>
      <protection/>
    </xf>
    <xf numFmtId="177" fontId="52" fillId="38" borderId="108" xfId="61" applyNumberFormat="1" applyFont="1" applyFill="1" applyBorder="1" applyAlignment="1">
      <alignment horizontal="right" vertical="center"/>
      <protection/>
    </xf>
    <xf numFmtId="177" fontId="51" fillId="33" borderId="66" xfId="61" applyNumberFormat="1" applyFont="1" applyFill="1" applyBorder="1" applyAlignment="1">
      <alignment horizontal="right" vertical="center"/>
      <protection/>
    </xf>
    <xf numFmtId="177" fontId="51" fillId="33" borderId="77" xfId="61" applyNumberFormat="1" applyFont="1" applyFill="1" applyBorder="1" applyAlignment="1">
      <alignment horizontal="right" vertical="center"/>
      <protection/>
    </xf>
    <xf numFmtId="177" fontId="52" fillId="38" borderId="86" xfId="61" applyNumberFormat="1" applyFont="1" applyFill="1" applyBorder="1" applyAlignment="1">
      <alignment horizontal="right" vertical="center"/>
      <protection/>
    </xf>
    <xf numFmtId="177" fontId="51" fillId="33" borderId="89" xfId="61" applyNumberFormat="1" applyFont="1" applyFill="1" applyBorder="1" applyAlignment="1">
      <alignment horizontal="right" vertical="center"/>
      <protection/>
    </xf>
    <xf numFmtId="177" fontId="52" fillId="38" borderId="101" xfId="61" applyNumberFormat="1" applyFont="1" applyFill="1" applyBorder="1" applyAlignment="1">
      <alignment horizontal="right" vertical="center"/>
      <protection/>
    </xf>
    <xf numFmtId="177" fontId="51" fillId="34" borderId="75" xfId="61" applyNumberFormat="1" applyFont="1" applyFill="1" applyBorder="1" applyAlignment="1">
      <alignment horizontal="right" vertical="center"/>
      <protection/>
    </xf>
    <xf numFmtId="177" fontId="52" fillId="28" borderId="94" xfId="61" applyNumberFormat="1" applyFont="1" applyFill="1" applyBorder="1" applyAlignment="1">
      <alignment horizontal="right" vertical="center"/>
      <protection/>
    </xf>
    <xf numFmtId="177" fontId="51" fillId="34" borderId="97" xfId="61" applyNumberFormat="1" applyFont="1" applyFill="1" applyBorder="1" applyAlignment="1">
      <alignment horizontal="right" vertical="center"/>
      <protection/>
    </xf>
    <xf numFmtId="177" fontId="52" fillId="0" borderId="94" xfId="61" applyNumberFormat="1" applyFont="1" applyFill="1" applyBorder="1" applyAlignment="1">
      <alignment horizontal="right" vertical="center"/>
      <protection/>
    </xf>
    <xf numFmtId="177" fontId="51" fillId="34" borderId="81" xfId="61" applyNumberFormat="1" applyFont="1" applyFill="1" applyBorder="1" applyAlignment="1">
      <alignment horizontal="right" vertical="center"/>
      <protection/>
    </xf>
    <xf numFmtId="177" fontId="51" fillId="33" borderId="70" xfId="61" applyNumberFormat="1" applyFont="1" applyFill="1" applyBorder="1" applyAlignment="1">
      <alignment horizontal="right" vertical="center"/>
      <protection/>
    </xf>
    <xf numFmtId="41" fontId="2" fillId="34" borderId="33" xfId="61" applyNumberFormat="1" applyFont="1" applyFill="1" applyBorder="1" applyAlignment="1">
      <alignment horizontal="right" vertical="center"/>
      <protection/>
    </xf>
    <xf numFmtId="41" fontId="2" fillId="34" borderId="62" xfId="61" applyNumberFormat="1" applyFont="1" applyFill="1" applyBorder="1" applyAlignment="1">
      <alignment horizontal="right" vertical="center"/>
      <protection/>
    </xf>
    <xf numFmtId="41" fontId="2" fillId="34" borderId="72" xfId="61" applyNumberFormat="1" applyFont="1" applyFill="1" applyBorder="1" applyAlignment="1">
      <alignment horizontal="right" vertical="center"/>
      <protection/>
    </xf>
    <xf numFmtId="41" fontId="6" fillId="34" borderId="88" xfId="61" applyNumberFormat="1" applyFont="1" applyFill="1" applyBorder="1" applyAlignment="1">
      <alignment horizontal="right" vertical="center"/>
      <protection/>
    </xf>
    <xf numFmtId="41" fontId="6" fillId="34" borderId="65" xfId="61" applyNumberFormat="1" applyFont="1" applyFill="1" applyBorder="1" applyAlignment="1">
      <alignment horizontal="right" vertical="center"/>
      <protection/>
    </xf>
    <xf numFmtId="41" fontId="6" fillId="34" borderId="89" xfId="61" applyNumberFormat="1" applyFont="1" applyFill="1" applyBorder="1" applyAlignment="1">
      <alignment horizontal="right" vertical="center"/>
      <protection/>
    </xf>
    <xf numFmtId="41" fontId="2" fillId="0" borderId="94" xfId="61" applyNumberFormat="1" applyFont="1" applyFill="1" applyBorder="1" applyAlignment="1">
      <alignment horizontal="right" vertical="center"/>
      <protection/>
    </xf>
    <xf numFmtId="41" fontId="2" fillId="0" borderId="109" xfId="61" applyNumberFormat="1" applyFont="1" applyFill="1" applyBorder="1" applyAlignment="1">
      <alignment horizontal="right" vertical="center"/>
      <protection/>
    </xf>
    <xf numFmtId="41" fontId="2" fillId="0" borderId="101" xfId="61" applyNumberFormat="1" applyFont="1" applyFill="1" applyBorder="1" applyAlignment="1">
      <alignment horizontal="right" vertical="center"/>
      <protection/>
    </xf>
    <xf numFmtId="41" fontId="2" fillId="28" borderId="94" xfId="61" applyNumberFormat="1" applyFont="1" applyFill="1" applyBorder="1" applyAlignment="1">
      <alignment horizontal="right" vertical="center"/>
      <protection/>
    </xf>
    <xf numFmtId="41" fontId="2" fillId="28" borderId="109" xfId="61" applyNumberFormat="1" applyFont="1" applyFill="1" applyBorder="1" applyAlignment="1">
      <alignment horizontal="right" vertical="center"/>
      <protection/>
    </xf>
    <xf numFmtId="41" fontId="2" fillId="28" borderId="101" xfId="61" applyNumberFormat="1" applyFont="1" applyFill="1" applyBorder="1" applyAlignment="1">
      <alignment horizontal="right" vertical="center"/>
      <protection/>
    </xf>
    <xf numFmtId="41" fontId="6" fillId="34" borderId="97" xfId="61" applyNumberFormat="1" applyFont="1" applyFill="1" applyBorder="1" applyAlignment="1">
      <alignment horizontal="right" vertical="center"/>
      <protection/>
    </xf>
    <xf numFmtId="41" fontId="6" fillId="34" borderId="110" xfId="61" applyNumberFormat="1" applyFont="1" applyFill="1" applyBorder="1" applyAlignment="1">
      <alignment horizontal="right" vertical="center"/>
      <protection/>
    </xf>
    <xf numFmtId="41" fontId="6" fillId="34" borderId="99" xfId="61" applyNumberFormat="1" applyFont="1" applyFill="1" applyBorder="1" applyAlignment="1">
      <alignment horizontal="right" vertical="center"/>
      <protection/>
    </xf>
    <xf numFmtId="41" fontId="6" fillId="34" borderId="75" xfId="61" applyNumberFormat="1" applyFont="1" applyFill="1" applyBorder="1" applyAlignment="1">
      <alignment horizontal="right" vertical="center"/>
      <protection/>
    </xf>
    <xf numFmtId="41" fontId="6" fillId="34" borderId="111" xfId="61" applyNumberFormat="1" applyFont="1" applyFill="1" applyBorder="1" applyAlignment="1">
      <alignment horizontal="right" vertical="center"/>
      <protection/>
    </xf>
    <xf numFmtId="41" fontId="6" fillId="34" borderId="77" xfId="61" applyNumberFormat="1" applyFont="1" applyFill="1" applyBorder="1" applyAlignment="1">
      <alignment horizontal="right" vertical="center"/>
      <protection/>
    </xf>
    <xf numFmtId="41" fontId="2" fillId="0" borderId="112" xfId="61" applyNumberFormat="1" applyFont="1" applyFill="1" applyBorder="1" applyAlignment="1">
      <alignment horizontal="right" vertical="center"/>
      <protection/>
    </xf>
    <xf numFmtId="41" fontId="2" fillId="0" borderId="113" xfId="61" applyNumberFormat="1" applyFont="1" applyFill="1" applyBorder="1" applyAlignment="1">
      <alignment horizontal="right" vertical="center"/>
      <protection/>
    </xf>
    <xf numFmtId="41" fontId="2" fillId="0" borderId="114" xfId="61" applyNumberFormat="1" applyFont="1" applyFill="1" applyBorder="1" applyAlignment="1">
      <alignment horizontal="right" vertical="center"/>
      <protection/>
    </xf>
    <xf numFmtId="41" fontId="6" fillId="34" borderId="115" xfId="61" applyNumberFormat="1" applyFont="1" applyFill="1" applyBorder="1" applyAlignment="1">
      <alignment horizontal="right" vertical="center"/>
      <protection/>
    </xf>
    <xf numFmtId="41" fontId="6" fillId="34" borderId="116" xfId="61" applyNumberFormat="1" applyFont="1" applyFill="1" applyBorder="1" applyAlignment="1">
      <alignment horizontal="right" vertical="center"/>
      <protection/>
    </xf>
    <xf numFmtId="41" fontId="6" fillId="34" borderId="117" xfId="61" applyNumberFormat="1" applyFont="1" applyFill="1" applyBorder="1" applyAlignment="1">
      <alignment horizontal="right" vertical="center"/>
      <protection/>
    </xf>
    <xf numFmtId="0" fontId="2" fillId="0" borderId="22" xfId="0" applyFont="1" applyBorder="1" applyAlignment="1">
      <alignment horizontal="distributed" vertical="center" wrapText="1"/>
    </xf>
    <xf numFmtId="3" fontId="2" fillId="34" borderId="118" xfId="0" applyNumberFormat="1" applyFont="1" applyFill="1" applyBorder="1" applyAlignment="1">
      <alignment horizontal="right" vertical="center"/>
    </xf>
    <xf numFmtId="3" fontId="2" fillId="34" borderId="118" xfId="0" applyNumberFormat="1" applyFont="1" applyFill="1" applyBorder="1" applyAlignment="1">
      <alignment vertical="center"/>
    </xf>
    <xf numFmtId="0" fontId="2" fillId="0" borderId="0" xfId="0" applyFont="1" applyAlignment="1">
      <alignment horizontal="right" vertical="top"/>
    </xf>
    <xf numFmtId="0" fontId="2" fillId="0" borderId="0" xfId="0" applyFont="1" applyBorder="1" applyAlignment="1">
      <alignment horizontal="left" vertical="top" wrapText="1"/>
    </xf>
    <xf numFmtId="0" fontId="2" fillId="0" borderId="29" xfId="0" applyFont="1" applyBorder="1" applyAlignment="1">
      <alignment horizontal="center" vertical="center"/>
    </xf>
    <xf numFmtId="0" fontId="2" fillId="0" borderId="0" xfId="0" applyFont="1" applyFill="1" applyBorder="1" applyAlignment="1">
      <alignment horizontal="distributed" vertical="center"/>
    </xf>
    <xf numFmtId="3" fontId="2" fillId="0" borderId="0" xfId="0" applyNumberFormat="1" applyFont="1" applyFill="1" applyBorder="1" applyAlignment="1">
      <alignment horizontal="right" vertical="center"/>
    </xf>
    <xf numFmtId="0" fontId="2" fillId="0" borderId="0" xfId="0" applyFont="1" applyFill="1" applyAlignment="1">
      <alignment horizontal="left" vertical="top"/>
    </xf>
    <xf numFmtId="0" fontId="2" fillId="36" borderId="119" xfId="61" applyFont="1" applyFill="1" applyBorder="1" applyAlignment="1">
      <alignment horizontal="distributed" vertical="center"/>
      <protection/>
    </xf>
    <xf numFmtId="177" fontId="2" fillId="34" borderId="88" xfId="61" applyNumberFormat="1" applyFont="1" applyFill="1" applyBorder="1" applyAlignment="1">
      <alignment horizontal="right" vertical="center"/>
      <protection/>
    </xf>
    <xf numFmtId="177" fontId="50" fillId="33" borderId="66" xfId="61" applyNumberFormat="1" applyFont="1" applyFill="1" applyBorder="1" applyAlignment="1">
      <alignment horizontal="right" vertical="center"/>
      <protection/>
    </xf>
    <xf numFmtId="177" fontId="50" fillId="33" borderId="89" xfId="61" applyNumberFormat="1" applyFont="1" applyFill="1" applyBorder="1" applyAlignment="1">
      <alignment horizontal="right" vertical="center"/>
      <protection/>
    </xf>
    <xf numFmtId="177" fontId="2" fillId="33" borderId="89" xfId="61" applyNumberFormat="1" applyFont="1" applyFill="1" applyBorder="1" applyAlignment="1">
      <alignment horizontal="right" vertical="center"/>
      <protection/>
    </xf>
    <xf numFmtId="177" fontId="2" fillId="33" borderId="66" xfId="61" applyNumberFormat="1" applyFont="1" applyFill="1" applyBorder="1" applyAlignment="1">
      <alignment horizontal="right" vertical="center"/>
      <protection/>
    </xf>
    <xf numFmtId="0" fontId="2" fillId="36" borderId="90" xfId="61" applyFont="1" applyFill="1" applyBorder="1" applyAlignment="1">
      <alignment horizontal="distributed" vertical="center"/>
      <protection/>
    </xf>
    <xf numFmtId="0" fontId="12" fillId="37" borderId="51" xfId="61" applyFont="1" applyFill="1" applyBorder="1" applyAlignment="1">
      <alignment horizontal="distributed" vertical="center"/>
      <protection/>
    </xf>
    <xf numFmtId="41" fontId="2" fillId="34" borderId="88" xfId="61" applyNumberFormat="1" applyFont="1" applyFill="1" applyBorder="1" applyAlignment="1">
      <alignment horizontal="right" vertical="center"/>
      <protection/>
    </xf>
    <xf numFmtId="41" fontId="2" fillId="34" borderId="65" xfId="61" applyNumberFormat="1" applyFont="1" applyFill="1" applyBorder="1" applyAlignment="1">
      <alignment horizontal="right" vertical="center"/>
      <protection/>
    </xf>
    <xf numFmtId="41" fontId="2" fillId="34" borderId="89" xfId="61" applyNumberFormat="1" applyFont="1" applyFill="1" applyBorder="1" applyAlignment="1">
      <alignment horizontal="right" vertical="center"/>
      <protection/>
    </xf>
    <xf numFmtId="0" fontId="5" fillId="0" borderId="0" xfId="0" applyFont="1" applyAlignment="1">
      <alignment horizontal="center" vertical="top"/>
    </xf>
    <xf numFmtId="0" fontId="2" fillId="0" borderId="0" xfId="0" applyFont="1" applyAlignment="1">
      <alignment horizontal="left" vertical="top"/>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96"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47" xfId="0" applyFont="1" applyBorder="1" applyAlignment="1">
      <alignment horizontal="distributed" vertical="center"/>
    </xf>
    <xf numFmtId="0" fontId="2" fillId="0" borderId="126" xfId="0" applyFont="1" applyBorder="1" applyAlignment="1">
      <alignment horizontal="distributed" vertical="center"/>
    </xf>
    <xf numFmtId="0" fontId="2" fillId="0" borderId="127" xfId="0" applyFont="1" applyBorder="1" applyAlignment="1">
      <alignment horizontal="distributed" vertical="center" wrapText="1"/>
    </xf>
    <xf numFmtId="0" fontId="2" fillId="0" borderId="128" xfId="0" applyFont="1" applyBorder="1" applyAlignment="1">
      <alignment horizontal="distributed" vertical="center"/>
    </xf>
    <xf numFmtId="0" fontId="2" fillId="0" borderId="129" xfId="0" applyFont="1" applyBorder="1" applyAlignment="1">
      <alignment horizontal="distributed" vertical="center" wrapText="1"/>
    </xf>
    <xf numFmtId="0" fontId="2" fillId="0" borderId="129" xfId="0" applyFont="1" applyBorder="1" applyAlignment="1">
      <alignment horizontal="distributed" vertical="center"/>
    </xf>
    <xf numFmtId="0" fontId="2" fillId="0" borderId="130" xfId="0" applyFont="1" applyBorder="1" applyAlignment="1">
      <alignment horizontal="distributed"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2" xfId="0" applyFont="1" applyBorder="1" applyAlignment="1">
      <alignment horizontal="left" vertical="center"/>
    </xf>
    <xf numFmtId="0" fontId="2" fillId="0" borderId="0" xfId="0" applyFont="1" applyAlignment="1">
      <alignment horizontal="left" vertical="center"/>
    </xf>
    <xf numFmtId="0" fontId="2" fillId="0" borderId="136" xfId="61" applyFont="1" applyBorder="1" applyAlignment="1">
      <alignment horizontal="center" vertical="center"/>
      <protection/>
    </xf>
    <xf numFmtId="0" fontId="2" fillId="0" borderId="137" xfId="61" applyFont="1" applyBorder="1" applyAlignment="1">
      <alignment horizontal="center" vertical="center"/>
      <protection/>
    </xf>
    <xf numFmtId="0" fontId="2" fillId="0" borderId="138" xfId="61" applyFont="1" applyBorder="1" applyAlignment="1">
      <alignment horizontal="center" vertical="center"/>
      <protection/>
    </xf>
    <xf numFmtId="0" fontId="2" fillId="0" borderId="139" xfId="61" applyFont="1" applyBorder="1" applyAlignment="1">
      <alignment horizontal="center" vertical="center"/>
      <protection/>
    </xf>
    <xf numFmtId="0" fontId="2" fillId="0" borderId="16" xfId="61" applyFont="1" applyBorder="1" applyAlignment="1">
      <alignment horizontal="distributed" vertical="center" wrapText="1"/>
      <protection/>
    </xf>
    <xf numFmtId="0" fontId="2" fillId="0" borderId="100" xfId="61" applyFont="1" applyBorder="1" applyAlignment="1">
      <alignment horizontal="distributed" vertical="center" wrapText="1"/>
      <protection/>
    </xf>
    <xf numFmtId="0" fontId="2" fillId="0" borderId="140" xfId="61" applyFont="1" applyBorder="1" applyAlignment="1">
      <alignment horizontal="distributed" vertical="center" wrapText="1"/>
      <protection/>
    </xf>
    <xf numFmtId="0" fontId="2" fillId="0" borderId="141" xfId="61" applyFont="1" applyBorder="1" applyAlignment="1">
      <alignment horizontal="center" vertical="center"/>
      <protection/>
    </xf>
    <xf numFmtId="0" fontId="2" fillId="0" borderId="142" xfId="61" applyFont="1" applyBorder="1" applyAlignment="1">
      <alignment horizontal="center" vertical="center"/>
      <protection/>
    </xf>
    <xf numFmtId="0" fontId="2" fillId="0" borderId="132" xfId="61" applyFont="1" applyBorder="1" applyAlignment="1">
      <alignment horizontal="left" vertical="center"/>
      <protection/>
    </xf>
    <xf numFmtId="0" fontId="2" fillId="0" borderId="0" xfId="61" applyFont="1" applyAlignment="1">
      <alignment horizontal="left" vertical="center"/>
      <protection/>
    </xf>
    <xf numFmtId="0" fontId="2" fillId="0" borderId="120" xfId="61" applyFont="1" applyBorder="1" applyAlignment="1">
      <alignment horizontal="distributed" vertical="center"/>
      <protection/>
    </xf>
    <xf numFmtId="0" fontId="2" fillId="0" borderId="96" xfId="61" applyFont="1" applyBorder="1" applyAlignment="1">
      <alignment horizontal="distributed" vertical="center"/>
      <protection/>
    </xf>
    <xf numFmtId="0" fontId="2" fillId="0" borderId="143" xfId="61" applyFont="1" applyBorder="1" applyAlignment="1">
      <alignment horizontal="distributed" vertical="center"/>
      <protection/>
    </xf>
    <xf numFmtId="0" fontId="2" fillId="0" borderId="144" xfId="61" applyFont="1" applyBorder="1" applyAlignment="1">
      <alignment horizontal="center" vertical="center"/>
      <protection/>
    </xf>
    <xf numFmtId="0" fontId="2" fillId="0" borderId="136" xfId="61" applyFont="1" applyBorder="1" applyAlignment="1">
      <alignment horizontal="center" vertical="center" wrapText="1"/>
      <protection/>
    </xf>
    <xf numFmtId="0" fontId="2" fillId="0" borderId="132" xfId="61" applyFont="1" applyBorder="1" applyAlignment="1">
      <alignment horizontal="left"/>
      <protection/>
    </xf>
    <xf numFmtId="0" fontId="2" fillId="0" borderId="145" xfId="61" applyFont="1" applyBorder="1" applyAlignment="1">
      <alignment horizontal="left" vertical="center"/>
      <protection/>
    </xf>
    <xf numFmtId="0" fontId="2" fillId="0" borderId="146" xfId="61" applyFont="1" applyBorder="1" applyAlignment="1">
      <alignment horizontal="center" vertical="center"/>
      <protection/>
    </xf>
    <xf numFmtId="0" fontId="2" fillId="0" borderId="147" xfId="61" applyFont="1" applyBorder="1" applyAlignment="1">
      <alignment horizontal="center" vertical="center"/>
      <protection/>
    </xf>
    <xf numFmtId="0" fontId="2" fillId="0" borderId="148" xfId="61" applyFont="1" applyBorder="1" applyAlignment="1">
      <alignment horizontal="distributed" vertical="center" wrapText="1"/>
      <protection/>
    </xf>
    <xf numFmtId="0" fontId="2" fillId="0" borderId="149" xfId="61" applyFont="1" applyBorder="1" applyAlignment="1">
      <alignment horizontal="distributed" vertical="center"/>
      <protection/>
    </xf>
    <xf numFmtId="0" fontId="2" fillId="0" borderId="150" xfId="61" applyFont="1" applyBorder="1" applyAlignment="1">
      <alignment horizontal="distributed" vertical="center" wrapText="1"/>
      <protection/>
    </xf>
    <xf numFmtId="0" fontId="2" fillId="0" borderId="151" xfId="61" applyFont="1" applyBorder="1" applyAlignment="1">
      <alignment horizontal="distributed" vertical="center"/>
      <protection/>
    </xf>
    <xf numFmtId="0" fontId="2" fillId="0" borderId="152" xfId="61" applyFont="1" applyBorder="1" applyAlignment="1">
      <alignment horizontal="distributed" vertical="center" wrapText="1"/>
      <protection/>
    </xf>
    <xf numFmtId="0" fontId="2" fillId="0" borderId="153" xfId="61" applyFont="1" applyBorder="1" applyAlignment="1">
      <alignment horizontal="distributed" vertical="center" wrapText="1"/>
      <protection/>
    </xf>
    <xf numFmtId="0" fontId="2" fillId="0" borderId="52" xfId="61" applyFont="1" applyBorder="1" applyAlignment="1">
      <alignment horizontal="center" vertical="center"/>
      <protection/>
    </xf>
    <xf numFmtId="0" fontId="2" fillId="0" borderId="144"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workbookViewId="0" topLeftCell="A1">
      <selection activeCell="E20" sqref="E20"/>
    </sheetView>
  </sheetViews>
  <sheetFormatPr defaultColWidth="5.875" defaultRowHeight="13.5"/>
  <cols>
    <col min="1" max="1" width="11.50390625" style="1" customWidth="1"/>
    <col min="2" max="2" width="16.00390625" style="1" customWidth="1"/>
    <col min="3" max="3" width="10.25390625" style="1" customWidth="1"/>
    <col min="4" max="4" width="12.125" style="1" customWidth="1"/>
    <col min="5" max="5" width="10.625" style="1" customWidth="1"/>
    <col min="6" max="6" width="11.375" style="1" customWidth="1"/>
    <col min="7" max="7" width="10.375" style="1" customWidth="1"/>
    <col min="8" max="8" width="11.375" style="1" customWidth="1"/>
    <col min="9" max="9" width="3.00390625" style="1" customWidth="1"/>
    <col min="10" max="10" width="7.375" style="1" customWidth="1"/>
    <col min="11" max="11" width="11.375" style="1" customWidth="1"/>
    <col min="12" max="16384" width="5.875" style="1" customWidth="1"/>
  </cols>
  <sheetData>
    <row r="1" spans="1:8" ht="15">
      <c r="A1" s="234" t="s">
        <v>168</v>
      </c>
      <c r="B1" s="234"/>
      <c r="C1" s="234"/>
      <c r="D1" s="234"/>
      <c r="E1" s="234"/>
      <c r="F1" s="234"/>
      <c r="G1" s="234"/>
      <c r="H1" s="234"/>
    </row>
    <row r="2" spans="1:8" ht="15">
      <c r="A2" s="47"/>
      <c r="B2" s="47"/>
      <c r="C2" s="47"/>
      <c r="D2" s="47"/>
      <c r="E2" s="47"/>
      <c r="F2" s="47"/>
      <c r="G2" s="47"/>
      <c r="H2" s="47"/>
    </row>
    <row r="3" spans="1:8" ht="12" thickBot="1">
      <c r="A3" s="235" t="s">
        <v>177</v>
      </c>
      <c r="B3" s="235"/>
      <c r="C3" s="235"/>
      <c r="D3" s="235"/>
      <c r="E3" s="235"/>
      <c r="F3" s="235"/>
      <c r="G3" s="235"/>
      <c r="H3" s="235"/>
    </row>
    <row r="4" spans="1:8" ht="24" customHeight="1">
      <c r="A4" s="236" t="s">
        <v>0</v>
      </c>
      <c r="B4" s="237"/>
      <c r="C4" s="240" t="s">
        <v>169</v>
      </c>
      <c r="D4" s="241"/>
      <c r="E4" s="240" t="s">
        <v>170</v>
      </c>
      <c r="F4" s="241"/>
      <c r="G4" s="240" t="s">
        <v>171</v>
      </c>
      <c r="H4" s="242"/>
    </row>
    <row r="5" spans="1:8" ht="24" customHeight="1">
      <c r="A5" s="238"/>
      <c r="B5" s="239"/>
      <c r="C5" s="219" t="s">
        <v>1</v>
      </c>
      <c r="D5" s="6" t="s">
        <v>2</v>
      </c>
      <c r="E5" s="219" t="s">
        <v>1</v>
      </c>
      <c r="F5" s="6" t="s">
        <v>2</v>
      </c>
      <c r="G5" s="219" t="s">
        <v>1</v>
      </c>
      <c r="H5" s="15" t="s">
        <v>2</v>
      </c>
    </row>
    <row r="6" spans="1:8" ht="12" customHeight="1">
      <c r="A6" s="35"/>
      <c r="B6" s="37"/>
      <c r="C6" s="31" t="s">
        <v>21</v>
      </c>
      <c r="D6" s="30" t="s">
        <v>20</v>
      </c>
      <c r="E6" s="31" t="s">
        <v>21</v>
      </c>
      <c r="F6" s="30" t="s">
        <v>20</v>
      </c>
      <c r="G6" s="31" t="s">
        <v>21</v>
      </c>
      <c r="H6" s="36" t="s">
        <v>20</v>
      </c>
    </row>
    <row r="7" spans="1:8" ht="30" customHeight="1">
      <c r="A7" s="249" t="s">
        <v>172</v>
      </c>
      <c r="B7" s="32" t="s">
        <v>173</v>
      </c>
      <c r="C7" s="164">
        <v>85595</v>
      </c>
      <c r="D7" s="33">
        <v>94726616</v>
      </c>
      <c r="E7" s="93">
        <v>404620</v>
      </c>
      <c r="F7" s="33">
        <v>9402318258</v>
      </c>
      <c r="G7" s="93">
        <v>490215</v>
      </c>
      <c r="H7" s="34">
        <v>9497044873</v>
      </c>
    </row>
    <row r="8" spans="1:8" ht="30" customHeight="1">
      <c r="A8" s="250"/>
      <c r="B8" s="19" t="s">
        <v>178</v>
      </c>
      <c r="C8" s="165">
        <v>145738</v>
      </c>
      <c r="D8" s="95">
        <v>84793345</v>
      </c>
      <c r="E8" s="94">
        <v>146051</v>
      </c>
      <c r="F8" s="95">
        <v>112009211</v>
      </c>
      <c r="G8" s="94">
        <v>291789</v>
      </c>
      <c r="H8" s="96">
        <v>196802555</v>
      </c>
    </row>
    <row r="9" spans="1:8" s="3" customFormat="1" ht="30" customHeight="1">
      <c r="A9" s="250"/>
      <c r="B9" s="20" t="s">
        <v>174</v>
      </c>
      <c r="C9" s="166">
        <v>231333</v>
      </c>
      <c r="D9" s="98">
        <v>179519960</v>
      </c>
      <c r="E9" s="97">
        <v>550671</v>
      </c>
      <c r="F9" s="98">
        <v>9514327468</v>
      </c>
      <c r="G9" s="97">
        <v>782004</v>
      </c>
      <c r="H9" s="99">
        <v>9693847429</v>
      </c>
    </row>
    <row r="10" spans="1:8" ht="30" customHeight="1">
      <c r="A10" s="251"/>
      <c r="B10" s="21" t="s">
        <v>179</v>
      </c>
      <c r="C10" s="167">
        <v>20204</v>
      </c>
      <c r="D10" s="101">
        <v>15499782</v>
      </c>
      <c r="E10" s="100">
        <v>81582</v>
      </c>
      <c r="F10" s="101">
        <v>3382045522</v>
      </c>
      <c r="G10" s="100">
        <v>101786</v>
      </c>
      <c r="H10" s="102">
        <v>3397545305</v>
      </c>
    </row>
    <row r="11" spans="1:8" ht="30" customHeight="1">
      <c r="A11" s="247" t="s">
        <v>175</v>
      </c>
      <c r="B11" s="48" t="s">
        <v>180</v>
      </c>
      <c r="C11" s="103">
        <v>14151</v>
      </c>
      <c r="D11" s="16">
        <v>5921409</v>
      </c>
      <c r="E11" s="104">
        <v>19865</v>
      </c>
      <c r="F11" s="16">
        <v>61513154</v>
      </c>
      <c r="G11" s="104">
        <v>34016</v>
      </c>
      <c r="H11" s="17">
        <v>67434563</v>
      </c>
    </row>
    <row r="12" spans="1:8" ht="30" customHeight="1">
      <c r="A12" s="248"/>
      <c r="B12" s="214" t="s">
        <v>148</v>
      </c>
      <c r="C12" s="215">
        <v>4944</v>
      </c>
      <c r="D12" s="24">
        <v>1615656</v>
      </c>
      <c r="E12" s="216">
        <v>6513</v>
      </c>
      <c r="F12" s="24">
        <v>120819078</v>
      </c>
      <c r="G12" s="216">
        <v>11457</v>
      </c>
      <c r="H12" s="25">
        <v>122434734</v>
      </c>
    </row>
    <row r="13" spans="1:8" ht="30" customHeight="1" thickBot="1">
      <c r="A13" s="245" t="s">
        <v>5</v>
      </c>
      <c r="B13" s="246"/>
      <c r="C13" s="105">
        <v>14924</v>
      </c>
      <c r="D13" s="106">
        <v>870649</v>
      </c>
      <c r="E13" s="105">
        <v>15879</v>
      </c>
      <c r="F13" s="106">
        <v>6120283</v>
      </c>
      <c r="G13" s="105">
        <v>30803</v>
      </c>
      <c r="H13" s="107">
        <v>6990932</v>
      </c>
    </row>
    <row r="14" spans="1:11" s="4" customFormat="1" ht="4.5" customHeight="1">
      <c r="A14" s="220"/>
      <c r="B14" s="220"/>
      <c r="C14" s="221"/>
      <c r="D14" s="221"/>
      <c r="E14" s="221"/>
      <c r="F14" s="221"/>
      <c r="G14" s="221"/>
      <c r="H14" s="221"/>
      <c r="I14" s="222"/>
      <c r="J14" s="222"/>
      <c r="K14" s="222"/>
    </row>
    <row r="15" spans="1:11" ht="34.5" customHeight="1">
      <c r="A15" s="218" t="s">
        <v>182</v>
      </c>
      <c r="B15" s="243" t="s">
        <v>183</v>
      </c>
      <c r="C15" s="243"/>
      <c r="D15" s="243"/>
      <c r="E15" s="243"/>
      <c r="F15" s="243"/>
      <c r="G15" s="243"/>
      <c r="H15" s="243"/>
      <c r="I15" s="4"/>
      <c r="J15" s="4"/>
      <c r="K15" s="4"/>
    </row>
    <row r="16" spans="2:8" ht="46.5" customHeight="1">
      <c r="B16" s="244" t="s">
        <v>184</v>
      </c>
      <c r="C16" s="244"/>
      <c r="D16" s="244"/>
      <c r="E16" s="244"/>
      <c r="F16" s="244"/>
      <c r="G16" s="244"/>
      <c r="H16" s="244"/>
    </row>
    <row r="17" spans="1:2" ht="13.5" customHeight="1">
      <c r="A17" s="217" t="s">
        <v>176</v>
      </c>
      <c r="B17" s="1" t="s">
        <v>181</v>
      </c>
    </row>
    <row r="18" ht="11.25">
      <c r="A18" s="51"/>
    </row>
  </sheetData>
  <sheetProtection/>
  <mergeCells count="11">
    <mergeCell ref="B15:H15"/>
    <mergeCell ref="B16:H16"/>
    <mergeCell ref="A13:B13"/>
    <mergeCell ref="A11:A12"/>
    <mergeCell ref="A7:A10"/>
    <mergeCell ref="A1:H1"/>
    <mergeCell ref="A3:H3"/>
    <mergeCell ref="A4:B5"/>
    <mergeCell ref="C4:D4"/>
    <mergeCell ref="E4:F4"/>
    <mergeCell ref="G4:H4"/>
  </mergeCells>
  <printOptions horizontalCentered="1"/>
  <pageMargins left="0.7874015748031497" right="0.7874015748031497" top="0.7874015748031497" bottom="0.7874015748031497" header="0.5118110236220472" footer="0.35433070866141736"/>
  <pageSetup fitToHeight="0" fitToWidth="1" horizontalDpi="600" verticalDpi="600" orientation="landscape" paperSize="9" r:id="rId1"/>
  <headerFooter alignWithMargins="0">
    <oddFooter>&amp;R&amp;K01+000東京国税局
消費税
(R03)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4">
      <selection activeCell="E20" sqref="E20"/>
    </sheetView>
  </sheetViews>
  <sheetFormatPr defaultColWidth="9.00390625" defaultRowHeight="13.5"/>
  <cols>
    <col min="1" max="1" width="10.625" style="50" customWidth="1"/>
    <col min="2" max="2" width="15.625" style="50" customWidth="1"/>
    <col min="3" max="3" width="8.625" style="50" customWidth="1"/>
    <col min="4" max="4" width="10.625" style="50" customWidth="1"/>
    <col min="5" max="5" width="8.625" style="50" customWidth="1"/>
    <col min="6" max="6" width="12.875" style="50" bestFit="1" customWidth="1"/>
    <col min="7" max="7" width="8.625" style="50" customWidth="1"/>
    <col min="8" max="8" width="12.875" style="50" bestFit="1" customWidth="1"/>
    <col min="9" max="16384" width="9.00390625" style="50" customWidth="1"/>
  </cols>
  <sheetData>
    <row r="1" s="1" customFormat="1" ht="12" thickBot="1">
      <c r="A1" s="1" t="s">
        <v>22</v>
      </c>
    </row>
    <row r="2" spans="1:8" s="1" customFormat="1" ht="15" customHeight="1">
      <c r="A2" s="236" t="s">
        <v>0</v>
      </c>
      <c r="B2" s="237"/>
      <c r="C2" s="252" t="s">
        <v>12</v>
      </c>
      <c r="D2" s="252"/>
      <c r="E2" s="252" t="s">
        <v>15</v>
      </c>
      <c r="F2" s="252"/>
      <c r="G2" s="253" t="s">
        <v>16</v>
      </c>
      <c r="H2" s="254"/>
    </row>
    <row r="3" spans="1:8" s="1" customFormat="1" ht="15" customHeight="1">
      <c r="A3" s="238"/>
      <c r="B3" s="239"/>
      <c r="C3" s="9" t="s">
        <v>17</v>
      </c>
      <c r="D3" s="6" t="s">
        <v>18</v>
      </c>
      <c r="E3" s="9" t="s">
        <v>17</v>
      </c>
      <c r="F3" s="7" t="s">
        <v>18</v>
      </c>
      <c r="G3" s="9" t="s">
        <v>17</v>
      </c>
      <c r="H3" s="8" t="s">
        <v>18</v>
      </c>
    </row>
    <row r="4" spans="1:8" s="10" customFormat="1" ht="15" customHeight="1">
      <c r="A4" s="39"/>
      <c r="B4" s="6"/>
      <c r="C4" s="40" t="s">
        <v>3</v>
      </c>
      <c r="D4" s="41" t="s">
        <v>4</v>
      </c>
      <c r="E4" s="40" t="s">
        <v>3</v>
      </c>
      <c r="F4" s="41" t="s">
        <v>4</v>
      </c>
      <c r="G4" s="40" t="s">
        <v>3</v>
      </c>
      <c r="H4" s="42" t="s">
        <v>4</v>
      </c>
    </row>
    <row r="5" spans="1:8" s="49" customFormat="1" ht="30" customHeight="1">
      <c r="A5" s="257" t="s">
        <v>164</v>
      </c>
      <c r="B5" s="32" t="s">
        <v>10</v>
      </c>
      <c r="C5" s="38">
        <v>235496</v>
      </c>
      <c r="D5" s="33">
        <v>153567882</v>
      </c>
      <c r="E5" s="38">
        <v>550178</v>
      </c>
      <c r="F5" s="33">
        <v>7592167685</v>
      </c>
      <c r="G5" s="38">
        <v>785674</v>
      </c>
      <c r="H5" s="34">
        <v>7745735567</v>
      </c>
    </row>
    <row r="6" spans="1:8" s="49" customFormat="1" ht="30" customHeight="1">
      <c r="A6" s="258"/>
      <c r="B6" s="21" t="s">
        <v>11</v>
      </c>
      <c r="C6" s="23">
        <v>7942</v>
      </c>
      <c r="D6" s="24">
        <v>11458490</v>
      </c>
      <c r="E6" s="23">
        <v>59099</v>
      </c>
      <c r="F6" s="24">
        <v>2387960747</v>
      </c>
      <c r="G6" s="23">
        <v>67041</v>
      </c>
      <c r="H6" s="25">
        <v>2399419237</v>
      </c>
    </row>
    <row r="7" spans="1:8" s="49" customFormat="1" ht="30" customHeight="1">
      <c r="A7" s="257" t="s">
        <v>165</v>
      </c>
      <c r="B7" s="18" t="s">
        <v>10</v>
      </c>
      <c r="C7" s="22">
        <v>235879</v>
      </c>
      <c r="D7" s="16">
        <v>155255702</v>
      </c>
      <c r="E7" s="22">
        <v>555331</v>
      </c>
      <c r="F7" s="16">
        <v>7616756613</v>
      </c>
      <c r="G7" s="22">
        <v>791210</v>
      </c>
      <c r="H7" s="17">
        <v>7772012315</v>
      </c>
    </row>
    <row r="8" spans="1:8" s="49" customFormat="1" ht="30" customHeight="1">
      <c r="A8" s="258"/>
      <c r="B8" s="21" t="s">
        <v>11</v>
      </c>
      <c r="C8" s="23">
        <v>8266</v>
      </c>
      <c r="D8" s="24">
        <v>10323007</v>
      </c>
      <c r="E8" s="23">
        <v>62144</v>
      </c>
      <c r="F8" s="24">
        <v>2519240161</v>
      </c>
      <c r="G8" s="23">
        <v>70410</v>
      </c>
      <c r="H8" s="25">
        <v>2529563168</v>
      </c>
    </row>
    <row r="9" spans="1:8" s="49" customFormat="1" ht="30" customHeight="1">
      <c r="A9" s="257" t="s">
        <v>166</v>
      </c>
      <c r="B9" s="18" t="s">
        <v>10</v>
      </c>
      <c r="C9" s="22">
        <v>232099</v>
      </c>
      <c r="D9" s="16">
        <v>160564264</v>
      </c>
      <c r="E9" s="22">
        <v>551686</v>
      </c>
      <c r="F9" s="16">
        <v>7872411659</v>
      </c>
      <c r="G9" s="22">
        <v>783785</v>
      </c>
      <c r="H9" s="17">
        <v>8032975923</v>
      </c>
    </row>
    <row r="10" spans="1:8" s="49" customFormat="1" ht="30" customHeight="1">
      <c r="A10" s="258"/>
      <c r="B10" s="21" t="s">
        <v>11</v>
      </c>
      <c r="C10" s="23">
        <v>8490</v>
      </c>
      <c r="D10" s="24">
        <v>10563237</v>
      </c>
      <c r="E10" s="23">
        <v>63174</v>
      </c>
      <c r="F10" s="24">
        <v>2625298903</v>
      </c>
      <c r="G10" s="23">
        <v>71664</v>
      </c>
      <c r="H10" s="25">
        <v>2635862140</v>
      </c>
    </row>
    <row r="11" spans="1:8" s="49" customFormat="1" ht="30" customHeight="1">
      <c r="A11" s="257" t="s">
        <v>167</v>
      </c>
      <c r="B11" s="18" t="s">
        <v>10</v>
      </c>
      <c r="C11" s="22">
        <v>232236</v>
      </c>
      <c r="D11" s="16">
        <v>173840294</v>
      </c>
      <c r="E11" s="22">
        <v>549145</v>
      </c>
      <c r="F11" s="16">
        <v>9129923142</v>
      </c>
      <c r="G11" s="22">
        <v>781381</v>
      </c>
      <c r="H11" s="17">
        <v>9303763436</v>
      </c>
    </row>
    <row r="12" spans="1:8" s="49" customFormat="1" ht="30" customHeight="1">
      <c r="A12" s="258"/>
      <c r="B12" s="21" t="s">
        <v>11</v>
      </c>
      <c r="C12" s="23">
        <v>13692</v>
      </c>
      <c r="D12" s="24">
        <v>12925268</v>
      </c>
      <c r="E12" s="23">
        <v>74269</v>
      </c>
      <c r="F12" s="24">
        <v>2748690698</v>
      </c>
      <c r="G12" s="23">
        <v>87961</v>
      </c>
      <c r="H12" s="25">
        <v>2761615966</v>
      </c>
    </row>
    <row r="13" spans="1:8" s="1" customFormat="1" ht="30" customHeight="1">
      <c r="A13" s="255" t="s">
        <v>185</v>
      </c>
      <c r="B13" s="18" t="s">
        <v>10</v>
      </c>
      <c r="C13" s="168">
        <v>231333</v>
      </c>
      <c r="D13" s="16">
        <v>179519960</v>
      </c>
      <c r="E13" s="22">
        <v>550671</v>
      </c>
      <c r="F13" s="16">
        <v>9514327468</v>
      </c>
      <c r="G13" s="22">
        <v>782004</v>
      </c>
      <c r="H13" s="17">
        <v>9693847429</v>
      </c>
    </row>
    <row r="14" spans="1:8" s="1" customFormat="1" ht="30" customHeight="1" thickBot="1">
      <c r="A14" s="256"/>
      <c r="B14" s="26" t="s">
        <v>11</v>
      </c>
      <c r="C14" s="169">
        <v>20204</v>
      </c>
      <c r="D14" s="28">
        <v>15499782</v>
      </c>
      <c r="E14" s="27">
        <v>81582</v>
      </c>
      <c r="F14" s="28">
        <v>3382045522</v>
      </c>
      <c r="G14" s="27">
        <v>101786</v>
      </c>
      <c r="H14" s="29">
        <v>3397545305</v>
      </c>
    </row>
    <row r="15" spans="5:7" s="1" customFormat="1" ht="11.25">
      <c r="E15" s="2"/>
      <c r="G15" s="2"/>
    </row>
    <row r="16" spans="5:7" s="1" customFormat="1" ht="11.25">
      <c r="E16" s="2"/>
      <c r="G16" s="2"/>
    </row>
    <row r="17" spans="5:7" s="1" customFormat="1" ht="13.5" customHeight="1">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7874015748031497" bottom="0.7874015748031497" header="0.5118110236220472" footer="0.35433070866141736"/>
  <pageSetup fitToHeight="0" fitToWidth="1" horizontalDpi="600" verticalDpi="600" orientation="landscape" paperSize="9" r:id="rId1"/>
  <headerFooter alignWithMargins="0">
    <oddFooter>&amp;R&amp;K01+000東京国税局
消費税
(R03)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1">
      <selection activeCell="E20" sqref="E20"/>
    </sheetView>
  </sheetViews>
  <sheetFormatPr defaultColWidth="9.00390625" defaultRowHeight="13.5"/>
  <cols>
    <col min="1" max="2" width="18.625" style="50" customWidth="1"/>
    <col min="3" max="3" width="23.625" style="50" customWidth="1"/>
    <col min="4" max="4" width="18.625" style="50" customWidth="1"/>
    <col min="5" max="16384" width="9.00390625" style="50" customWidth="1"/>
  </cols>
  <sheetData>
    <row r="1" s="1" customFormat="1" ht="20.25" customHeight="1" thickBot="1">
      <c r="A1" s="1" t="s">
        <v>19</v>
      </c>
    </row>
    <row r="2" spans="1:4" s="4" customFormat="1" ht="19.5" customHeight="1">
      <c r="A2" s="11" t="s">
        <v>6</v>
      </c>
      <c r="B2" s="12" t="s">
        <v>7</v>
      </c>
      <c r="C2" s="14" t="s">
        <v>8</v>
      </c>
      <c r="D2" s="13" t="s">
        <v>14</v>
      </c>
    </row>
    <row r="3" spans="1:4" s="10" customFormat="1" ht="15" customHeight="1">
      <c r="A3" s="43" t="s">
        <v>3</v>
      </c>
      <c r="B3" s="44" t="s">
        <v>3</v>
      </c>
      <c r="C3" s="45" t="s">
        <v>3</v>
      </c>
      <c r="D3" s="46" t="s">
        <v>3</v>
      </c>
    </row>
    <row r="4" spans="1:9" s="4" customFormat="1" ht="30" customHeight="1" thickBot="1">
      <c r="A4" s="153">
        <v>907472</v>
      </c>
      <c r="B4" s="154">
        <v>55036</v>
      </c>
      <c r="C4" s="155">
        <v>5945</v>
      </c>
      <c r="D4" s="156">
        <v>968453</v>
      </c>
      <c r="E4" s="5"/>
      <c r="G4" s="5"/>
      <c r="I4" s="5"/>
    </row>
    <row r="5" spans="1:4" s="4" customFormat="1" ht="15" customHeight="1">
      <c r="A5" s="259" t="s">
        <v>186</v>
      </c>
      <c r="B5" s="259"/>
      <c r="C5" s="259"/>
      <c r="D5" s="259"/>
    </row>
    <row r="6" spans="1:4" s="4" customFormat="1" ht="15" customHeight="1">
      <c r="A6" s="260" t="s">
        <v>9</v>
      </c>
      <c r="B6" s="260"/>
      <c r="C6" s="260"/>
      <c r="D6" s="260"/>
    </row>
    <row r="17" ht="13.5" customHeight="1"/>
  </sheetData>
  <sheetProtection/>
  <mergeCells count="2">
    <mergeCell ref="A5:D5"/>
    <mergeCell ref="A6:D6"/>
  </mergeCells>
  <printOptions horizontalCentered="1"/>
  <pageMargins left="0.7874015748031497" right="0.7874015748031497" top="0.7874015748031497" bottom="0.7874015748031497" header="0.5118110236220472" footer="0.35433070866141736"/>
  <pageSetup fitToHeight="0" fitToWidth="1" horizontalDpi="600" verticalDpi="600" orientation="landscape" paperSize="9" r:id="rId1"/>
  <headerFooter alignWithMargins="0">
    <oddFooter>&amp;R&amp;K01+000東京国税局
消費税
(R03)</oddFooter>
  </headerFooter>
</worksheet>
</file>

<file path=xl/worksheets/sheet4.xml><?xml version="1.0" encoding="utf-8"?>
<worksheet xmlns="http://schemas.openxmlformats.org/spreadsheetml/2006/main" xmlns:r="http://schemas.openxmlformats.org/officeDocument/2006/relationships">
  <dimension ref="A1:O131"/>
  <sheetViews>
    <sheetView showGridLines="0" zoomScaleSheetLayoutView="115" workbookViewId="0" topLeftCell="A106">
      <selection activeCell="E20" sqref="E20"/>
    </sheetView>
  </sheetViews>
  <sheetFormatPr defaultColWidth="9.00390625" defaultRowHeight="13.5"/>
  <cols>
    <col min="1" max="1" width="11.375" style="108" customWidth="1"/>
    <col min="2" max="2" width="10.625" style="108" customWidth="1"/>
    <col min="3" max="3" width="12.625" style="108" customWidth="1"/>
    <col min="4" max="4" width="10.625" style="108" customWidth="1"/>
    <col min="5" max="5" width="12.625" style="108" customWidth="1"/>
    <col min="6" max="6" width="10.625" style="108" customWidth="1"/>
    <col min="7" max="7" width="12.625" style="108" customWidth="1"/>
    <col min="8" max="8" width="10.625" style="108" customWidth="1"/>
    <col min="9" max="9" width="12.625" style="108" customWidth="1"/>
    <col min="10" max="10" width="10.625" style="108" customWidth="1"/>
    <col min="11" max="11" width="12.625" style="108" customWidth="1"/>
    <col min="12" max="12" width="10.625" style="108" customWidth="1"/>
    <col min="13" max="13" width="12.625" style="108" customWidth="1"/>
    <col min="14" max="14" width="11.375" style="108" customWidth="1"/>
    <col min="15" max="16384" width="9.00390625" style="108" customWidth="1"/>
  </cols>
  <sheetData>
    <row r="1" spans="1:14" ht="13.5">
      <c r="A1" s="52" t="s">
        <v>162</v>
      </c>
      <c r="B1" s="52"/>
      <c r="C1" s="52"/>
      <c r="D1" s="52"/>
      <c r="E1" s="52"/>
      <c r="F1" s="52"/>
      <c r="G1" s="52"/>
      <c r="H1" s="53"/>
      <c r="I1" s="53"/>
      <c r="J1" s="53"/>
      <c r="K1" s="53"/>
      <c r="L1" s="53"/>
      <c r="M1" s="53"/>
      <c r="N1" s="53"/>
    </row>
    <row r="2" spans="1:14" ht="14.25" thickBot="1">
      <c r="A2" s="271" t="s">
        <v>133</v>
      </c>
      <c r="B2" s="271"/>
      <c r="C2" s="271"/>
      <c r="D2" s="271"/>
      <c r="E2" s="271"/>
      <c r="F2" s="271"/>
      <c r="G2" s="271"/>
      <c r="H2" s="53"/>
      <c r="I2" s="53"/>
      <c r="J2" s="53"/>
      <c r="K2" s="53"/>
      <c r="L2" s="53"/>
      <c r="M2" s="53"/>
      <c r="N2" s="53"/>
    </row>
    <row r="3" spans="1:14" ht="19.5" customHeight="1">
      <c r="A3" s="272" t="s">
        <v>24</v>
      </c>
      <c r="B3" s="275" t="s">
        <v>25</v>
      </c>
      <c r="C3" s="275"/>
      <c r="D3" s="275"/>
      <c r="E3" s="275"/>
      <c r="F3" s="275"/>
      <c r="G3" s="275"/>
      <c r="H3" s="261" t="s">
        <v>11</v>
      </c>
      <c r="I3" s="262"/>
      <c r="J3" s="276" t="s">
        <v>26</v>
      </c>
      <c r="K3" s="262"/>
      <c r="L3" s="261" t="s">
        <v>27</v>
      </c>
      <c r="M3" s="262"/>
      <c r="N3" s="265" t="s">
        <v>134</v>
      </c>
    </row>
    <row r="4" spans="1:14" ht="17.25" customHeight="1">
      <c r="A4" s="273"/>
      <c r="B4" s="268" t="s">
        <v>13</v>
      </c>
      <c r="C4" s="268"/>
      <c r="D4" s="263" t="s">
        <v>29</v>
      </c>
      <c r="E4" s="269"/>
      <c r="F4" s="263" t="s">
        <v>30</v>
      </c>
      <c r="G4" s="269"/>
      <c r="H4" s="263"/>
      <c r="I4" s="264"/>
      <c r="J4" s="263"/>
      <c r="K4" s="264"/>
      <c r="L4" s="263"/>
      <c r="M4" s="264"/>
      <c r="N4" s="266"/>
    </row>
    <row r="5" spans="1:14" s="124" customFormat="1" ht="28.5" customHeight="1">
      <c r="A5" s="274"/>
      <c r="B5" s="55" t="s">
        <v>33</v>
      </c>
      <c r="C5" s="56" t="s">
        <v>135</v>
      </c>
      <c r="D5" s="55" t="s">
        <v>33</v>
      </c>
      <c r="E5" s="56" t="s">
        <v>135</v>
      </c>
      <c r="F5" s="55" t="s">
        <v>33</v>
      </c>
      <c r="G5" s="56" t="s">
        <v>136</v>
      </c>
      <c r="H5" s="55" t="s">
        <v>33</v>
      </c>
      <c r="I5" s="75" t="s">
        <v>137</v>
      </c>
      <c r="J5" s="55" t="s">
        <v>33</v>
      </c>
      <c r="K5" s="75" t="s">
        <v>138</v>
      </c>
      <c r="L5" s="55" t="s">
        <v>33</v>
      </c>
      <c r="M5" s="76" t="s">
        <v>139</v>
      </c>
      <c r="N5" s="267"/>
    </row>
    <row r="6" spans="1:14" s="80" customFormat="1" ht="10.5">
      <c r="A6" s="89"/>
      <c r="B6" s="90" t="s">
        <v>3</v>
      </c>
      <c r="C6" s="60" t="s">
        <v>4</v>
      </c>
      <c r="D6" s="90" t="s">
        <v>3</v>
      </c>
      <c r="E6" s="60" t="s">
        <v>4</v>
      </c>
      <c r="F6" s="90" t="s">
        <v>3</v>
      </c>
      <c r="G6" s="60" t="s">
        <v>4</v>
      </c>
      <c r="H6" s="90" t="s">
        <v>3</v>
      </c>
      <c r="I6" s="77" t="s">
        <v>4</v>
      </c>
      <c r="J6" s="90" t="s">
        <v>3</v>
      </c>
      <c r="K6" s="77" t="s">
        <v>4</v>
      </c>
      <c r="L6" s="90" t="s">
        <v>161</v>
      </c>
      <c r="M6" s="77" t="s">
        <v>4</v>
      </c>
      <c r="N6" s="84"/>
    </row>
    <row r="7" spans="1:14" s="81" customFormat="1" ht="15.75" customHeight="1">
      <c r="A7" s="86" t="s">
        <v>36</v>
      </c>
      <c r="B7" s="109">
        <f>_xlfn.COMPOUNDVALUE(1)</f>
        <v>1024</v>
      </c>
      <c r="C7" s="170">
        <v>800793</v>
      </c>
      <c r="D7" s="109">
        <f>_xlfn.COMPOUNDVALUE(2)</f>
        <v>1543</v>
      </c>
      <c r="E7" s="170">
        <v>934456</v>
      </c>
      <c r="F7" s="109">
        <f>_xlfn.COMPOUNDVALUE(3)</f>
        <v>2567</v>
      </c>
      <c r="G7" s="170">
        <v>1735250</v>
      </c>
      <c r="H7" s="109">
        <f>_xlfn.COMPOUNDVALUE(4)</f>
        <v>213</v>
      </c>
      <c r="I7" s="172">
        <v>106358</v>
      </c>
      <c r="J7" s="109">
        <v>251</v>
      </c>
      <c r="K7" s="111">
        <v>64849</v>
      </c>
      <c r="L7" s="109">
        <v>2942</v>
      </c>
      <c r="M7" s="111">
        <v>1693741</v>
      </c>
      <c r="N7" s="88" t="s">
        <v>36</v>
      </c>
    </row>
    <row r="8" spans="1:14" s="81" customFormat="1" ht="15.75" customHeight="1">
      <c r="A8" s="64" t="s">
        <v>37</v>
      </c>
      <c r="B8" s="109">
        <f>_xlfn.COMPOUNDVALUE(5)</f>
        <v>962</v>
      </c>
      <c r="C8" s="170">
        <v>608011</v>
      </c>
      <c r="D8" s="109">
        <f>_xlfn.COMPOUNDVALUE(6)</f>
        <v>1414</v>
      </c>
      <c r="E8" s="170">
        <v>749037</v>
      </c>
      <c r="F8" s="109">
        <f>_xlfn.COMPOUNDVALUE(7)</f>
        <v>2376</v>
      </c>
      <c r="G8" s="170">
        <v>1357048</v>
      </c>
      <c r="H8" s="109">
        <f>_xlfn.COMPOUNDVALUE(8)</f>
        <v>173</v>
      </c>
      <c r="I8" s="172">
        <v>106336</v>
      </c>
      <c r="J8" s="109">
        <v>230</v>
      </c>
      <c r="K8" s="111">
        <v>40256</v>
      </c>
      <c r="L8" s="109">
        <v>2679</v>
      </c>
      <c r="M8" s="111">
        <v>1290968</v>
      </c>
      <c r="N8" s="74" t="s">
        <v>37</v>
      </c>
    </row>
    <row r="9" spans="1:14" s="81" customFormat="1" ht="15.75" customHeight="1">
      <c r="A9" s="64" t="s">
        <v>38</v>
      </c>
      <c r="B9" s="109">
        <f>_xlfn.COMPOUNDVALUE(9)</f>
        <v>1114</v>
      </c>
      <c r="C9" s="170">
        <v>840518</v>
      </c>
      <c r="D9" s="109">
        <f>_xlfn.COMPOUNDVALUE(10)</f>
        <v>1853</v>
      </c>
      <c r="E9" s="170">
        <v>1073577</v>
      </c>
      <c r="F9" s="109">
        <f>_xlfn.COMPOUNDVALUE(11)</f>
        <v>2967</v>
      </c>
      <c r="G9" s="170">
        <v>1914094</v>
      </c>
      <c r="H9" s="109">
        <f>_xlfn.COMPOUNDVALUE(12)</f>
        <v>249</v>
      </c>
      <c r="I9" s="172">
        <v>189802</v>
      </c>
      <c r="J9" s="109">
        <v>260</v>
      </c>
      <c r="K9" s="111">
        <v>85591</v>
      </c>
      <c r="L9" s="109">
        <v>3360</v>
      </c>
      <c r="M9" s="111">
        <v>1809883</v>
      </c>
      <c r="N9" s="74" t="s">
        <v>38</v>
      </c>
    </row>
    <row r="10" spans="1:14" s="81" customFormat="1" ht="15.75" customHeight="1">
      <c r="A10" s="64" t="s">
        <v>39</v>
      </c>
      <c r="B10" s="109">
        <f>_xlfn.COMPOUNDVALUE(13)</f>
        <v>703</v>
      </c>
      <c r="C10" s="170">
        <v>528275</v>
      </c>
      <c r="D10" s="109">
        <f>_xlfn.COMPOUNDVALUE(14)</f>
        <v>2159</v>
      </c>
      <c r="E10" s="170">
        <v>750812</v>
      </c>
      <c r="F10" s="109">
        <f>_xlfn.COMPOUNDVALUE(15)</f>
        <v>2862</v>
      </c>
      <c r="G10" s="170">
        <v>1279087</v>
      </c>
      <c r="H10" s="109">
        <f>_xlfn.COMPOUNDVALUE(16)</f>
        <v>126</v>
      </c>
      <c r="I10" s="172">
        <v>139787</v>
      </c>
      <c r="J10" s="109">
        <v>188</v>
      </c>
      <c r="K10" s="111">
        <v>31958</v>
      </c>
      <c r="L10" s="109">
        <v>3085</v>
      </c>
      <c r="M10" s="111">
        <v>1171257</v>
      </c>
      <c r="N10" s="74" t="s">
        <v>39</v>
      </c>
    </row>
    <row r="11" spans="1:14" s="81" customFormat="1" ht="15.75" customHeight="1">
      <c r="A11" s="64" t="s">
        <v>40</v>
      </c>
      <c r="B11" s="109">
        <f>_xlfn.COMPOUNDVALUE(17)</f>
        <v>1381</v>
      </c>
      <c r="C11" s="170">
        <v>1104627</v>
      </c>
      <c r="D11" s="109">
        <f>_xlfn.COMPOUNDVALUE(18)</f>
        <v>2300</v>
      </c>
      <c r="E11" s="170">
        <v>1402164</v>
      </c>
      <c r="F11" s="109">
        <f>_xlfn.COMPOUNDVALUE(19)</f>
        <v>3681</v>
      </c>
      <c r="G11" s="170">
        <v>2506791</v>
      </c>
      <c r="H11" s="109">
        <f>_xlfn.COMPOUNDVALUE(20)</f>
        <v>315</v>
      </c>
      <c r="I11" s="172">
        <v>239414</v>
      </c>
      <c r="J11" s="109">
        <v>325</v>
      </c>
      <c r="K11" s="111">
        <v>57449</v>
      </c>
      <c r="L11" s="109">
        <v>4175</v>
      </c>
      <c r="M11" s="111">
        <v>2324826</v>
      </c>
      <c r="N11" s="74" t="s">
        <v>40</v>
      </c>
    </row>
    <row r="12" spans="1:14" s="81" customFormat="1" ht="15.75" customHeight="1">
      <c r="A12" s="64"/>
      <c r="B12" s="109"/>
      <c r="C12" s="170"/>
      <c r="D12" s="109"/>
      <c r="E12" s="170"/>
      <c r="F12" s="109"/>
      <c r="G12" s="170"/>
      <c r="H12" s="109"/>
      <c r="I12" s="172"/>
      <c r="J12" s="109"/>
      <c r="K12" s="111"/>
      <c r="L12" s="109"/>
      <c r="M12" s="111"/>
      <c r="N12" s="74" t="s">
        <v>35</v>
      </c>
    </row>
    <row r="13" spans="1:14" s="81" customFormat="1" ht="15.75" customHeight="1">
      <c r="A13" s="64" t="s">
        <v>41</v>
      </c>
      <c r="B13" s="109">
        <f>_xlfn.COMPOUNDVALUE(21)</f>
        <v>1202</v>
      </c>
      <c r="C13" s="170">
        <v>964401</v>
      </c>
      <c r="D13" s="109">
        <f>_xlfn.COMPOUNDVALUE(22)</f>
        <v>1951</v>
      </c>
      <c r="E13" s="170">
        <v>1069768</v>
      </c>
      <c r="F13" s="109">
        <f>_xlfn.COMPOUNDVALUE(23)</f>
        <v>3153</v>
      </c>
      <c r="G13" s="170">
        <v>2034170</v>
      </c>
      <c r="H13" s="109">
        <f>_xlfn.COMPOUNDVALUE(24)</f>
        <v>235</v>
      </c>
      <c r="I13" s="172">
        <v>208744</v>
      </c>
      <c r="J13" s="109">
        <v>353</v>
      </c>
      <c r="K13" s="111">
        <v>61356</v>
      </c>
      <c r="L13" s="109">
        <v>3575</v>
      </c>
      <c r="M13" s="111">
        <v>1886782</v>
      </c>
      <c r="N13" s="74" t="s">
        <v>41</v>
      </c>
    </row>
    <row r="14" spans="1:14" s="81" customFormat="1" ht="15.75" customHeight="1">
      <c r="A14" s="64" t="s">
        <v>42</v>
      </c>
      <c r="B14" s="109">
        <f>_xlfn.COMPOUNDVALUE(25)</f>
        <v>431</v>
      </c>
      <c r="C14" s="170">
        <v>228872</v>
      </c>
      <c r="D14" s="109">
        <f>_xlfn.COMPOUNDVALUE(26)</f>
        <v>811</v>
      </c>
      <c r="E14" s="170">
        <v>342715</v>
      </c>
      <c r="F14" s="109">
        <f>_xlfn.COMPOUNDVALUE(27)</f>
        <v>1242</v>
      </c>
      <c r="G14" s="170">
        <v>571587</v>
      </c>
      <c r="H14" s="109">
        <f>_xlfn.COMPOUNDVALUE(28)</f>
        <v>123</v>
      </c>
      <c r="I14" s="172">
        <v>52693</v>
      </c>
      <c r="J14" s="109">
        <v>73</v>
      </c>
      <c r="K14" s="111">
        <v>13616</v>
      </c>
      <c r="L14" s="109">
        <v>1412</v>
      </c>
      <c r="M14" s="111">
        <v>532510</v>
      </c>
      <c r="N14" s="74" t="s">
        <v>42</v>
      </c>
    </row>
    <row r="15" spans="1:14" s="81" customFormat="1" ht="15.75" customHeight="1">
      <c r="A15" s="64" t="s">
        <v>43</v>
      </c>
      <c r="B15" s="109">
        <f>_xlfn.COMPOUNDVALUE(29)</f>
        <v>831</v>
      </c>
      <c r="C15" s="170">
        <v>532528</v>
      </c>
      <c r="D15" s="109">
        <f>_xlfn.COMPOUNDVALUE(30)</f>
        <v>1398</v>
      </c>
      <c r="E15" s="170">
        <v>619018</v>
      </c>
      <c r="F15" s="109">
        <f>_xlfn.COMPOUNDVALUE(31)</f>
        <v>2229</v>
      </c>
      <c r="G15" s="170">
        <v>1151546</v>
      </c>
      <c r="H15" s="109">
        <f>_xlfn.COMPOUNDVALUE(32)</f>
        <v>127</v>
      </c>
      <c r="I15" s="172">
        <v>75909</v>
      </c>
      <c r="J15" s="109">
        <v>220</v>
      </c>
      <c r="K15" s="111">
        <v>15159</v>
      </c>
      <c r="L15" s="109">
        <v>2445</v>
      </c>
      <c r="M15" s="111">
        <v>1090796</v>
      </c>
      <c r="N15" s="74" t="s">
        <v>43</v>
      </c>
    </row>
    <row r="16" spans="1:14" s="81" customFormat="1" ht="15.75" customHeight="1">
      <c r="A16" s="66" t="s">
        <v>44</v>
      </c>
      <c r="B16" s="112">
        <f>_xlfn.COMPOUNDVALUE(33)</f>
        <v>1607</v>
      </c>
      <c r="C16" s="171">
        <v>1291018</v>
      </c>
      <c r="D16" s="112">
        <f>_xlfn.COMPOUNDVALUE(34)</f>
        <v>2809</v>
      </c>
      <c r="E16" s="171">
        <v>1557649</v>
      </c>
      <c r="F16" s="112">
        <f>_xlfn.COMPOUNDVALUE(35)</f>
        <v>4416</v>
      </c>
      <c r="G16" s="171">
        <v>2848667</v>
      </c>
      <c r="H16" s="112">
        <f>_xlfn.COMPOUNDVALUE(36)</f>
        <v>302</v>
      </c>
      <c r="I16" s="173">
        <v>251001</v>
      </c>
      <c r="J16" s="112">
        <v>467</v>
      </c>
      <c r="K16" s="114">
        <v>112861</v>
      </c>
      <c r="L16" s="112">
        <v>4995</v>
      </c>
      <c r="M16" s="114">
        <v>2710527</v>
      </c>
      <c r="N16" s="65" t="s">
        <v>44</v>
      </c>
    </row>
    <row r="17" spans="1:14" s="81" customFormat="1" ht="13.5" customHeight="1">
      <c r="A17" s="66" t="s">
        <v>45</v>
      </c>
      <c r="B17" s="112">
        <f>_xlfn.COMPOUNDVALUE(37)</f>
        <v>467</v>
      </c>
      <c r="C17" s="171">
        <v>350097</v>
      </c>
      <c r="D17" s="112">
        <f>_xlfn.COMPOUNDVALUE(38)</f>
        <v>947</v>
      </c>
      <c r="E17" s="171">
        <v>349894</v>
      </c>
      <c r="F17" s="112">
        <f>_xlfn.COMPOUNDVALUE(39)</f>
        <v>1414</v>
      </c>
      <c r="G17" s="171">
        <v>699991</v>
      </c>
      <c r="H17" s="112">
        <f>_xlfn.COMPOUNDVALUE(40)</f>
        <v>87</v>
      </c>
      <c r="I17" s="173">
        <v>65520</v>
      </c>
      <c r="J17" s="112">
        <v>81</v>
      </c>
      <c r="K17" s="114">
        <v>17497</v>
      </c>
      <c r="L17" s="112">
        <v>1551</v>
      </c>
      <c r="M17" s="114">
        <v>651969</v>
      </c>
      <c r="N17" s="65" t="s">
        <v>45</v>
      </c>
    </row>
    <row r="18" spans="1:14" s="81" customFormat="1" ht="15.75" customHeight="1">
      <c r="A18" s="66"/>
      <c r="B18" s="112"/>
      <c r="C18" s="171"/>
      <c r="D18" s="112"/>
      <c r="E18" s="171"/>
      <c r="F18" s="112"/>
      <c r="G18" s="171"/>
      <c r="H18" s="112"/>
      <c r="I18" s="173"/>
      <c r="J18" s="112"/>
      <c r="K18" s="114"/>
      <c r="L18" s="112"/>
      <c r="M18" s="114"/>
      <c r="N18" s="65" t="s">
        <v>35</v>
      </c>
    </row>
    <row r="19" spans="1:14" s="81" customFormat="1" ht="15.75" customHeight="1">
      <c r="A19" s="66" t="s">
        <v>46</v>
      </c>
      <c r="B19" s="112">
        <f>_xlfn.COMPOUNDVALUE(41)</f>
        <v>670</v>
      </c>
      <c r="C19" s="171">
        <v>390773</v>
      </c>
      <c r="D19" s="112">
        <f>_xlfn.COMPOUNDVALUE(42)</f>
        <v>1145</v>
      </c>
      <c r="E19" s="171">
        <v>473877</v>
      </c>
      <c r="F19" s="112">
        <f>_xlfn.COMPOUNDVALUE(43)</f>
        <v>1815</v>
      </c>
      <c r="G19" s="171">
        <v>864650</v>
      </c>
      <c r="H19" s="112">
        <f>_xlfn.COMPOUNDVALUE(44)</f>
        <v>114</v>
      </c>
      <c r="I19" s="173">
        <v>41808</v>
      </c>
      <c r="J19" s="112">
        <v>141</v>
      </c>
      <c r="K19" s="114">
        <v>24101</v>
      </c>
      <c r="L19" s="112">
        <v>2008</v>
      </c>
      <c r="M19" s="114">
        <v>846943</v>
      </c>
      <c r="N19" s="65" t="s">
        <v>46</v>
      </c>
    </row>
    <row r="20" spans="1:14" s="81" customFormat="1" ht="15.75" customHeight="1">
      <c r="A20" s="66" t="s">
        <v>47</v>
      </c>
      <c r="B20" s="174">
        <f>_xlfn.COMPOUNDVALUE(45)</f>
        <v>1642</v>
      </c>
      <c r="C20" s="171">
        <v>1016171</v>
      </c>
      <c r="D20" s="112">
        <f>_xlfn.COMPOUNDVALUE(46)</f>
        <v>2943</v>
      </c>
      <c r="E20" s="171">
        <v>1315092</v>
      </c>
      <c r="F20" s="174">
        <f>_xlfn.COMPOUNDVALUE(47)</f>
        <v>4585</v>
      </c>
      <c r="G20" s="171">
        <v>2331263</v>
      </c>
      <c r="H20" s="174">
        <f>_xlfn.COMPOUNDVALUE(48)</f>
        <v>369</v>
      </c>
      <c r="I20" s="173">
        <v>288967</v>
      </c>
      <c r="J20" s="112">
        <v>585</v>
      </c>
      <c r="K20" s="114">
        <v>62559</v>
      </c>
      <c r="L20" s="112">
        <v>5274</v>
      </c>
      <c r="M20" s="114">
        <v>2104855</v>
      </c>
      <c r="N20" s="65" t="s">
        <v>47</v>
      </c>
    </row>
    <row r="21" spans="1:14" s="81" customFormat="1" ht="15.75" customHeight="1">
      <c r="A21" s="66" t="s">
        <v>48</v>
      </c>
      <c r="B21" s="174">
        <f>_xlfn.COMPOUNDVALUE(49)</f>
        <v>625</v>
      </c>
      <c r="C21" s="171">
        <v>375198</v>
      </c>
      <c r="D21" s="112">
        <f>_xlfn.COMPOUNDVALUE(50)</f>
        <v>1352</v>
      </c>
      <c r="E21" s="171">
        <v>513619</v>
      </c>
      <c r="F21" s="174">
        <f>_xlfn.COMPOUNDVALUE(51)</f>
        <v>1977</v>
      </c>
      <c r="G21" s="171">
        <v>888817</v>
      </c>
      <c r="H21" s="174">
        <f>_xlfn.COMPOUNDVALUE(52)</f>
        <v>137</v>
      </c>
      <c r="I21" s="173">
        <v>59441</v>
      </c>
      <c r="J21" s="112">
        <v>227</v>
      </c>
      <c r="K21" s="114">
        <v>30856</v>
      </c>
      <c r="L21" s="112">
        <v>2226</v>
      </c>
      <c r="M21" s="114">
        <v>860232</v>
      </c>
      <c r="N21" s="65" t="s">
        <v>48</v>
      </c>
    </row>
    <row r="22" spans="1:14" s="81" customFormat="1" ht="15.75" customHeight="1">
      <c r="A22" s="66" t="s">
        <v>149</v>
      </c>
      <c r="B22" s="174">
        <f>_xlfn.COMPOUNDVALUE(53)</f>
        <v>1554</v>
      </c>
      <c r="C22" s="171">
        <v>1303831</v>
      </c>
      <c r="D22" s="112">
        <f>_xlfn.COMPOUNDVALUE(54)</f>
        <v>2766</v>
      </c>
      <c r="E22" s="171">
        <v>1493690</v>
      </c>
      <c r="F22" s="174">
        <f>_xlfn.COMPOUNDVALUE(55)</f>
        <v>4320</v>
      </c>
      <c r="G22" s="171">
        <v>2797521</v>
      </c>
      <c r="H22" s="174">
        <f>_xlfn.COMPOUNDVALUE(56)</f>
        <v>287</v>
      </c>
      <c r="I22" s="173">
        <v>183221</v>
      </c>
      <c r="J22" s="112">
        <v>382</v>
      </c>
      <c r="K22" s="114">
        <v>97936</v>
      </c>
      <c r="L22" s="112">
        <v>4849</v>
      </c>
      <c r="M22" s="114">
        <v>2712236</v>
      </c>
      <c r="N22" s="65" t="s">
        <v>49</v>
      </c>
    </row>
    <row r="23" spans="1:14" s="81" customFormat="1" ht="15.75" customHeight="1">
      <c r="A23" s="130" t="s">
        <v>50</v>
      </c>
      <c r="B23" s="175">
        <v>14213</v>
      </c>
      <c r="C23" s="132">
        <v>10335113</v>
      </c>
      <c r="D23" s="131">
        <v>25391</v>
      </c>
      <c r="E23" s="132">
        <v>12645370</v>
      </c>
      <c r="F23" s="175">
        <v>39604</v>
      </c>
      <c r="G23" s="132">
        <v>22980482</v>
      </c>
      <c r="H23" s="175">
        <v>2857</v>
      </c>
      <c r="I23" s="133">
        <v>2009004</v>
      </c>
      <c r="J23" s="131">
        <v>3783</v>
      </c>
      <c r="K23" s="133">
        <v>716045</v>
      </c>
      <c r="L23" s="131">
        <v>44576</v>
      </c>
      <c r="M23" s="133">
        <v>21687524</v>
      </c>
      <c r="N23" s="134" t="s">
        <v>51</v>
      </c>
    </row>
    <row r="24" spans="1:14" s="81" customFormat="1" ht="15.75" customHeight="1">
      <c r="A24" s="135"/>
      <c r="B24" s="136"/>
      <c r="C24" s="137"/>
      <c r="D24" s="136"/>
      <c r="E24" s="137"/>
      <c r="F24" s="138"/>
      <c r="G24" s="137"/>
      <c r="H24" s="138"/>
      <c r="I24" s="137"/>
      <c r="J24" s="138"/>
      <c r="K24" s="137"/>
      <c r="L24" s="138"/>
      <c r="M24" s="137"/>
      <c r="N24" s="139"/>
    </row>
    <row r="25" spans="1:14" s="81" customFormat="1" ht="15.75" customHeight="1">
      <c r="A25" s="64" t="s">
        <v>52</v>
      </c>
      <c r="B25" s="109">
        <f>_xlfn.COMPOUNDVALUE(57)</f>
        <v>1332</v>
      </c>
      <c r="C25" s="170">
        <v>7074342</v>
      </c>
      <c r="D25" s="109">
        <f>_xlfn.COMPOUNDVALUE(58)</f>
        <v>1753</v>
      </c>
      <c r="E25" s="170">
        <v>1483234</v>
      </c>
      <c r="F25" s="109">
        <f>_xlfn.COMPOUNDVALUE(59)</f>
        <v>3085</v>
      </c>
      <c r="G25" s="170">
        <v>8557576</v>
      </c>
      <c r="H25" s="109">
        <f>_xlfn.COMPOUNDVALUE(60)</f>
        <v>143</v>
      </c>
      <c r="I25" s="172">
        <v>267832</v>
      </c>
      <c r="J25" s="109">
        <v>126</v>
      </c>
      <c r="K25" s="111">
        <v>2957</v>
      </c>
      <c r="L25" s="109">
        <v>3284</v>
      </c>
      <c r="M25" s="111">
        <v>8292701</v>
      </c>
      <c r="N25" s="74" t="s">
        <v>52</v>
      </c>
    </row>
    <row r="26" spans="1:14" s="81" customFormat="1" ht="15.75" customHeight="1">
      <c r="A26" s="64" t="s">
        <v>53</v>
      </c>
      <c r="B26" s="109">
        <f>_xlfn.COMPOUNDVALUE(61)</f>
        <v>528</v>
      </c>
      <c r="C26" s="170">
        <v>1057525</v>
      </c>
      <c r="D26" s="109">
        <f>_xlfn.COMPOUNDVALUE(62)</f>
        <v>1064</v>
      </c>
      <c r="E26" s="170">
        <v>872170</v>
      </c>
      <c r="F26" s="109">
        <f>_xlfn.COMPOUNDVALUE(63)</f>
        <v>1592</v>
      </c>
      <c r="G26" s="170">
        <v>1929695</v>
      </c>
      <c r="H26" s="109">
        <f>_xlfn.COMPOUNDVALUE(64)</f>
        <v>164</v>
      </c>
      <c r="I26" s="172">
        <v>89391</v>
      </c>
      <c r="J26" s="109">
        <v>78</v>
      </c>
      <c r="K26" s="111">
        <v>30592</v>
      </c>
      <c r="L26" s="109">
        <v>1793</v>
      </c>
      <c r="M26" s="111">
        <v>1870896</v>
      </c>
      <c r="N26" s="74" t="s">
        <v>53</v>
      </c>
    </row>
    <row r="27" spans="1:14" s="81" customFormat="1" ht="15.75" customHeight="1">
      <c r="A27" s="64" t="s">
        <v>54</v>
      </c>
      <c r="B27" s="109">
        <f>_xlfn.COMPOUNDVALUE(65)</f>
        <v>476</v>
      </c>
      <c r="C27" s="170">
        <v>926560</v>
      </c>
      <c r="D27" s="109">
        <f>_xlfn.COMPOUNDVALUE(66)</f>
        <v>823</v>
      </c>
      <c r="E27" s="170">
        <v>613034</v>
      </c>
      <c r="F27" s="109">
        <f>_xlfn.COMPOUNDVALUE(67)</f>
        <v>1299</v>
      </c>
      <c r="G27" s="170">
        <v>1539594</v>
      </c>
      <c r="H27" s="109">
        <f>_xlfn.COMPOUNDVALUE(68)</f>
        <v>191</v>
      </c>
      <c r="I27" s="172">
        <v>130784</v>
      </c>
      <c r="J27" s="109">
        <v>131</v>
      </c>
      <c r="K27" s="111">
        <v>11881</v>
      </c>
      <c r="L27" s="109">
        <v>1558</v>
      </c>
      <c r="M27" s="111">
        <v>1420690</v>
      </c>
      <c r="N27" s="74" t="s">
        <v>54</v>
      </c>
    </row>
    <row r="28" spans="1:14" s="81" customFormat="1" ht="15.75" customHeight="1">
      <c r="A28" s="64" t="s">
        <v>55</v>
      </c>
      <c r="B28" s="109">
        <f>_xlfn.COMPOUNDVALUE(69)</f>
        <v>1114</v>
      </c>
      <c r="C28" s="170">
        <v>1939340</v>
      </c>
      <c r="D28" s="109">
        <f>_xlfn.COMPOUNDVALUE(70)</f>
        <v>1537</v>
      </c>
      <c r="E28" s="170">
        <v>1124638</v>
      </c>
      <c r="F28" s="109">
        <f>_xlfn.COMPOUNDVALUE(71)</f>
        <v>2651</v>
      </c>
      <c r="G28" s="170">
        <v>3063977</v>
      </c>
      <c r="H28" s="109">
        <f>_xlfn.COMPOUNDVALUE(72)</f>
        <v>474</v>
      </c>
      <c r="I28" s="172">
        <v>298201</v>
      </c>
      <c r="J28" s="109">
        <v>224</v>
      </c>
      <c r="K28" s="111">
        <v>39356</v>
      </c>
      <c r="L28" s="109">
        <v>3217</v>
      </c>
      <c r="M28" s="111">
        <v>2805132</v>
      </c>
      <c r="N28" s="74" t="s">
        <v>55</v>
      </c>
    </row>
    <row r="29" spans="1:14" s="81" customFormat="1" ht="15.75" customHeight="1">
      <c r="A29" s="64" t="s">
        <v>150</v>
      </c>
      <c r="B29" s="109">
        <f>_xlfn.COMPOUNDVALUE(73)</f>
        <v>1628</v>
      </c>
      <c r="C29" s="170">
        <v>2877114</v>
      </c>
      <c r="D29" s="109">
        <f>_xlfn.COMPOUNDVALUE(74)</f>
        <v>2285</v>
      </c>
      <c r="E29" s="170">
        <v>1668456</v>
      </c>
      <c r="F29" s="109">
        <f>_xlfn.COMPOUNDVALUE(75)</f>
        <v>3913</v>
      </c>
      <c r="G29" s="170">
        <v>4545570</v>
      </c>
      <c r="H29" s="109">
        <f>_xlfn.COMPOUNDVALUE(76)</f>
        <v>484</v>
      </c>
      <c r="I29" s="172">
        <v>488241</v>
      </c>
      <c r="J29" s="109">
        <v>223</v>
      </c>
      <c r="K29" s="111">
        <v>240456</v>
      </c>
      <c r="L29" s="109">
        <v>4509</v>
      </c>
      <c r="M29" s="111">
        <v>4297785</v>
      </c>
      <c r="N29" s="74" t="s">
        <v>56</v>
      </c>
    </row>
    <row r="30" spans="1:14" s="81" customFormat="1" ht="15.75" customHeight="1">
      <c r="A30" s="64"/>
      <c r="B30" s="109"/>
      <c r="C30" s="170"/>
      <c r="D30" s="109"/>
      <c r="E30" s="170"/>
      <c r="F30" s="109"/>
      <c r="G30" s="170"/>
      <c r="H30" s="109"/>
      <c r="I30" s="172"/>
      <c r="J30" s="109"/>
      <c r="K30" s="111"/>
      <c r="L30" s="109"/>
      <c r="M30" s="111"/>
      <c r="N30" s="74" t="s">
        <v>35</v>
      </c>
    </row>
    <row r="31" spans="1:14" s="81" customFormat="1" ht="15.75" customHeight="1">
      <c r="A31" s="64" t="s">
        <v>57</v>
      </c>
      <c r="B31" s="109">
        <f>_xlfn.COMPOUNDVALUE(77)</f>
        <v>1586</v>
      </c>
      <c r="C31" s="170">
        <v>6048759</v>
      </c>
      <c r="D31" s="109">
        <f>_xlfn.COMPOUNDVALUE(78)</f>
        <v>2093</v>
      </c>
      <c r="E31" s="170">
        <v>1535423</v>
      </c>
      <c r="F31" s="109">
        <f>_xlfn.COMPOUNDVALUE(79)</f>
        <v>3679</v>
      </c>
      <c r="G31" s="170">
        <v>7584182</v>
      </c>
      <c r="H31" s="109">
        <f>_xlfn.COMPOUNDVALUE(80)</f>
        <v>494</v>
      </c>
      <c r="I31" s="172">
        <v>909402</v>
      </c>
      <c r="J31" s="109">
        <v>207</v>
      </c>
      <c r="K31" s="111">
        <v>39216</v>
      </c>
      <c r="L31" s="109">
        <v>4274</v>
      </c>
      <c r="M31" s="111">
        <v>6713996</v>
      </c>
      <c r="N31" s="74" t="s">
        <v>57</v>
      </c>
    </row>
    <row r="32" spans="1:14" s="81" customFormat="1" ht="15.75" customHeight="1">
      <c r="A32" s="64" t="s">
        <v>58</v>
      </c>
      <c r="B32" s="109">
        <f>_xlfn.COMPOUNDVALUE(81)</f>
        <v>1022</v>
      </c>
      <c r="C32" s="170">
        <v>1458337</v>
      </c>
      <c r="D32" s="109">
        <f>_xlfn.COMPOUNDVALUE(82)</f>
        <v>1487</v>
      </c>
      <c r="E32" s="170">
        <v>973370</v>
      </c>
      <c r="F32" s="109">
        <f>_xlfn.COMPOUNDVALUE(83)</f>
        <v>2509</v>
      </c>
      <c r="G32" s="170">
        <v>2431707</v>
      </c>
      <c r="H32" s="109">
        <f>_xlfn.COMPOUNDVALUE(84)</f>
        <v>270</v>
      </c>
      <c r="I32" s="172">
        <v>187996</v>
      </c>
      <c r="J32" s="109">
        <v>199</v>
      </c>
      <c r="K32" s="111">
        <v>49297</v>
      </c>
      <c r="L32" s="109">
        <v>2907</v>
      </c>
      <c r="M32" s="111">
        <v>2293007</v>
      </c>
      <c r="N32" s="74" t="s">
        <v>58</v>
      </c>
    </row>
    <row r="33" spans="1:14" s="81" customFormat="1" ht="15.75" customHeight="1">
      <c r="A33" s="64" t="s">
        <v>59</v>
      </c>
      <c r="B33" s="109">
        <f>_xlfn.COMPOUNDVALUE(85)</f>
        <v>959</v>
      </c>
      <c r="C33" s="170">
        <v>1558582</v>
      </c>
      <c r="D33" s="109">
        <f>_xlfn.COMPOUNDVALUE(86)</f>
        <v>1688</v>
      </c>
      <c r="E33" s="170">
        <v>1227984</v>
      </c>
      <c r="F33" s="109">
        <f>_xlfn.COMPOUNDVALUE(87)</f>
        <v>2647</v>
      </c>
      <c r="G33" s="170">
        <v>2786566</v>
      </c>
      <c r="H33" s="109">
        <f>_xlfn.COMPOUNDVALUE(88)</f>
        <v>333</v>
      </c>
      <c r="I33" s="172">
        <v>318363</v>
      </c>
      <c r="J33" s="109">
        <v>195</v>
      </c>
      <c r="K33" s="111">
        <v>46838</v>
      </c>
      <c r="L33" s="109">
        <v>3081</v>
      </c>
      <c r="M33" s="111">
        <v>2515041</v>
      </c>
      <c r="N33" s="74" t="s">
        <v>59</v>
      </c>
    </row>
    <row r="34" spans="1:14" s="81" customFormat="1" ht="15.75" customHeight="1">
      <c r="A34" s="64" t="s">
        <v>60</v>
      </c>
      <c r="B34" s="109">
        <f>_xlfn.COMPOUNDVALUE(89)</f>
        <v>1046</v>
      </c>
      <c r="C34" s="170">
        <v>1498702</v>
      </c>
      <c r="D34" s="109">
        <f>_xlfn.COMPOUNDVALUE(90)</f>
        <v>1428</v>
      </c>
      <c r="E34" s="170">
        <v>1006254</v>
      </c>
      <c r="F34" s="109">
        <f>_xlfn.COMPOUNDVALUE(91)</f>
        <v>2474</v>
      </c>
      <c r="G34" s="170">
        <v>2504955</v>
      </c>
      <c r="H34" s="109">
        <f>_xlfn.COMPOUNDVALUE(92)</f>
        <v>515</v>
      </c>
      <c r="I34" s="172">
        <v>214509</v>
      </c>
      <c r="J34" s="109">
        <v>414</v>
      </c>
      <c r="K34" s="111">
        <v>94186</v>
      </c>
      <c r="L34" s="109">
        <v>3273</v>
      </c>
      <c r="M34" s="111">
        <v>2384633</v>
      </c>
      <c r="N34" s="74" t="s">
        <v>60</v>
      </c>
    </row>
    <row r="35" spans="1:14" s="81" customFormat="1" ht="15.75" customHeight="1">
      <c r="A35" s="64" t="s">
        <v>61</v>
      </c>
      <c r="B35" s="109">
        <f>_xlfn.COMPOUNDVALUE(93)</f>
        <v>403</v>
      </c>
      <c r="C35" s="170">
        <v>826631</v>
      </c>
      <c r="D35" s="109">
        <f>_xlfn.COMPOUNDVALUE(94)</f>
        <v>939</v>
      </c>
      <c r="E35" s="170">
        <v>687855</v>
      </c>
      <c r="F35" s="109">
        <f>_xlfn.COMPOUNDVALUE(95)</f>
        <v>1342</v>
      </c>
      <c r="G35" s="170">
        <v>1514485</v>
      </c>
      <c r="H35" s="109">
        <f>_xlfn.COMPOUNDVALUE(96)</f>
        <v>99</v>
      </c>
      <c r="I35" s="172">
        <v>90329</v>
      </c>
      <c r="J35" s="109">
        <v>88</v>
      </c>
      <c r="K35" s="111">
        <v>14206</v>
      </c>
      <c r="L35" s="109">
        <v>1481</v>
      </c>
      <c r="M35" s="111">
        <v>1438363</v>
      </c>
      <c r="N35" s="74" t="s">
        <v>61</v>
      </c>
    </row>
    <row r="36" spans="1:14" s="81" customFormat="1" ht="15.75" customHeight="1">
      <c r="A36" s="64"/>
      <c r="B36" s="109"/>
      <c r="C36" s="170"/>
      <c r="D36" s="109"/>
      <c r="E36" s="170"/>
      <c r="F36" s="109"/>
      <c r="G36" s="170"/>
      <c r="H36" s="109"/>
      <c r="I36" s="172"/>
      <c r="J36" s="109"/>
      <c r="K36" s="111"/>
      <c r="L36" s="109"/>
      <c r="M36" s="111"/>
      <c r="N36" s="74" t="s">
        <v>35</v>
      </c>
    </row>
    <row r="37" spans="1:14" s="81" customFormat="1" ht="15.75" customHeight="1">
      <c r="A37" s="64" t="s">
        <v>62</v>
      </c>
      <c r="B37" s="109">
        <f>_xlfn.COMPOUNDVALUE(97)</f>
        <v>463</v>
      </c>
      <c r="C37" s="170">
        <v>642196</v>
      </c>
      <c r="D37" s="109">
        <f>_xlfn.COMPOUNDVALUE(98)</f>
        <v>884</v>
      </c>
      <c r="E37" s="170">
        <v>579875</v>
      </c>
      <c r="F37" s="109">
        <f>_xlfn.COMPOUNDVALUE(99)</f>
        <v>1347</v>
      </c>
      <c r="G37" s="170">
        <v>1222071</v>
      </c>
      <c r="H37" s="109">
        <f>_xlfn.COMPOUNDVALUE(100)</f>
        <v>131</v>
      </c>
      <c r="I37" s="172">
        <v>58247</v>
      </c>
      <c r="J37" s="109">
        <v>79</v>
      </c>
      <c r="K37" s="111">
        <v>12182</v>
      </c>
      <c r="L37" s="109">
        <v>1529</v>
      </c>
      <c r="M37" s="111">
        <v>1176007</v>
      </c>
      <c r="N37" s="74" t="s">
        <v>62</v>
      </c>
    </row>
    <row r="38" spans="1:14" s="81" customFormat="1" ht="15.75" customHeight="1">
      <c r="A38" s="64" t="s">
        <v>63</v>
      </c>
      <c r="B38" s="109">
        <f>_xlfn.COMPOUNDVALUE(101)</f>
        <v>448</v>
      </c>
      <c r="C38" s="170">
        <v>502101</v>
      </c>
      <c r="D38" s="109">
        <f>_xlfn.COMPOUNDVALUE(102)</f>
        <v>833</v>
      </c>
      <c r="E38" s="170">
        <v>510217</v>
      </c>
      <c r="F38" s="109">
        <f>_xlfn.COMPOUNDVALUE(103)</f>
        <v>1281</v>
      </c>
      <c r="G38" s="170">
        <v>1012318</v>
      </c>
      <c r="H38" s="109">
        <f>_xlfn.COMPOUNDVALUE(104)</f>
        <v>164</v>
      </c>
      <c r="I38" s="172">
        <v>93477</v>
      </c>
      <c r="J38" s="109">
        <v>87</v>
      </c>
      <c r="K38" s="111">
        <v>16404</v>
      </c>
      <c r="L38" s="109">
        <v>1510</v>
      </c>
      <c r="M38" s="111">
        <v>935245</v>
      </c>
      <c r="N38" s="74" t="s">
        <v>63</v>
      </c>
    </row>
    <row r="39" spans="1:14" s="81" customFormat="1" ht="15.75" customHeight="1">
      <c r="A39" s="64" t="s">
        <v>64</v>
      </c>
      <c r="B39" s="109">
        <f>_xlfn.COMPOUNDVALUE(105)</f>
        <v>518</v>
      </c>
      <c r="C39" s="170">
        <v>448296</v>
      </c>
      <c r="D39" s="109">
        <f>_xlfn.COMPOUNDVALUE(106)</f>
        <v>915</v>
      </c>
      <c r="E39" s="170">
        <v>471077</v>
      </c>
      <c r="F39" s="109">
        <f>_xlfn.COMPOUNDVALUE(107)</f>
        <v>1433</v>
      </c>
      <c r="G39" s="170">
        <v>919373</v>
      </c>
      <c r="H39" s="109">
        <f>_xlfn.COMPOUNDVALUE(108)</f>
        <v>220</v>
      </c>
      <c r="I39" s="172">
        <v>99869</v>
      </c>
      <c r="J39" s="109">
        <v>120</v>
      </c>
      <c r="K39" s="111">
        <v>33166</v>
      </c>
      <c r="L39" s="109">
        <v>1733</v>
      </c>
      <c r="M39" s="111">
        <v>852669</v>
      </c>
      <c r="N39" s="74" t="s">
        <v>64</v>
      </c>
    </row>
    <row r="40" spans="1:14" s="81" customFormat="1" ht="15.75" customHeight="1">
      <c r="A40" s="64" t="s">
        <v>65</v>
      </c>
      <c r="B40" s="109">
        <f>_xlfn.COMPOUNDVALUE(109)</f>
        <v>513</v>
      </c>
      <c r="C40" s="170">
        <v>462024</v>
      </c>
      <c r="D40" s="109">
        <f>_xlfn.COMPOUNDVALUE(110)</f>
        <v>828</v>
      </c>
      <c r="E40" s="170">
        <v>483228</v>
      </c>
      <c r="F40" s="109">
        <f>_xlfn.COMPOUNDVALUE(111)</f>
        <v>1341</v>
      </c>
      <c r="G40" s="170">
        <v>945251</v>
      </c>
      <c r="H40" s="109">
        <f>_xlfn.COMPOUNDVALUE(112)</f>
        <v>205</v>
      </c>
      <c r="I40" s="172">
        <v>424480</v>
      </c>
      <c r="J40" s="109">
        <v>131</v>
      </c>
      <c r="K40" s="111">
        <v>35364</v>
      </c>
      <c r="L40" s="109">
        <v>1627</v>
      </c>
      <c r="M40" s="111">
        <v>556136</v>
      </c>
      <c r="N40" s="74" t="s">
        <v>65</v>
      </c>
    </row>
    <row r="41" spans="1:14" s="81" customFormat="1" ht="15.75" customHeight="1">
      <c r="A41" s="64" t="s">
        <v>66</v>
      </c>
      <c r="B41" s="109">
        <f>_xlfn.COMPOUNDVALUE(113)</f>
        <v>326</v>
      </c>
      <c r="C41" s="170">
        <v>220455</v>
      </c>
      <c r="D41" s="109">
        <f>_xlfn.COMPOUNDVALUE(114)</f>
        <v>468</v>
      </c>
      <c r="E41" s="170">
        <v>254298</v>
      </c>
      <c r="F41" s="109">
        <f>_xlfn.COMPOUNDVALUE(115)</f>
        <v>794</v>
      </c>
      <c r="G41" s="170">
        <v>474753</v>
      </c>
      <c r="H41" s="109">
        <f>_xlfn.COMPOUNDVALUE(116)</f>
        <v>83</v>
      </c>
      <c r="I41" s="172">
        <v>37117</v>
      </c>
      <c r="J41" s="109">
        <v>80</v>
      </c>
      <c r="K41" s="111">
        <v>15522</v>
      </c>
      <c r="L41" s="109">
        <v>938</v>
      </c>
      <c r="M41" s="111">
        <v>453158</v>
      </c>
      <c r="N41" s="157" t="s">
        <v>66</v>
      </c>
    </row>
    <row r="42" spans="1:14" s="81" customFormat="1" ht="15.75" customHeight="1">
      <c r="A42" s="91"/>
      <c r="B42" s="109"/>
      <c r="C42" s="170"/>
      <c r="D42" s="109"/>
      <c r="E42" s="170"/>
      <c r="F42" s="109"/>
      <c r="G42" s="170"/>
      <c r="H42" s="109"/>
      <c r="I42" s="172"/>
      <c r="J42" s="109"/>
      <c r="K42" s="111"/>
      <c r="L42" s="109"/>
      <c r="M42" s="111"/>
      <c r="N42" s="158" t="s">
        <v>35</v>
      </c>
    </row>
    <row r="43" spans="1:14" s="81" customFormat="1" ht="15.75" customHeight="1">
      <c r="A43" s="86" t="s">
        <v>67</v>
      </c>
      <c r="B43" s="109">
        <f>_xlfn.COMPOUNDVALUE(117)</f>
        <v>828</v>
      </c>
      <c r="C43" s="170">
        <v>760027</v>
      </c>
      <c r="D43" s="109">
        <f>_xlfn.COMPOUNDVALUE(118)</f>
        <v>1248</v>
      </c>
      <c r="E43" s="170">
        <v>751915</v>
      </c>
      <c r="F43" s="109">
        <f>_xlfn.COMPOUNDVALUE(119)</f>
        <v>2076</v>
      </c>
      <c r="G43" s="170">
        <v>1511942</v>
      </c>
      <c r="H43" s="109">
        <f>_xlfn.COMPOUNDVALUE(120)</f>
        <v>361</v>
      </c>
      <c r="I43" s="172">
        <v>190670</v>
      </c>
      <c r="J43" s="109">
        <v>186</v>
      </c>
      <c r="K43" s="111">
        <v>32466</v>
      </c>
      <c r="L43" s="109">
        <v>2549</v>
      </c>
      <c r="M43" s="111">
        <v>1353737</v>
      </c>
      <c r="N43" s="88" t="s">
        <v>67</v>
      </c>
    </row>
    <row r="44" spans="1:14" s="81" customFormat="1" ht="15.75" customHeight="1">
      <c r="A44" s="64" t="s">
        <v>68</v>
      </c>
      <c r="B44" s="109">
        <f>_xlfn.COMPOUNDVALUE(121)</f>
        <v>547</v>
      </c>
      <c r="C44" s="170">
        <v>408328</v>
      </c>
      <c r="D44" s="109">
        <f>_xlfn.COMPOUNDVALUE(122)</f>
        <v>831</v>
      </c>
      <c r="E44" s="170">
        <v>436453</v>
      </c>
      <c r="F44" s="109">
        <f>_xlfn.COMPOUNDVALUE(123)</f>
        <v>1378</v>
      </c>
      <c r="G44" s="170">
        <v>844781</v>
      </c>
      <c r="H44" s="109">
        <f>_xlfn.COMPOUNDVALUE(124)</f>
        <v>155</v>
      </c>
      <c r="I44" s="172">
        <v>127831</v>
      </c>
      <c r="J44" s="109">
        <v>173</v>
      </c>
      <c r="K44" s="111">
        <v>32084</v>
      </c>
      <c r="L44" s="109">
        <v>1636</v>
      </c>
      <c r="M44" s="111">
        <v>749034</v>
      </c>
      <c r="N44" s="74" t="s">
        <v>68</v>
      </c>
    </row>
    <row r="45" spans="1:14" s="81" customFormat="1" ht="15.75" customHeight="1">
      <c r="A45" s="64" t="s">
        <v>69</v>
      </c>
      <c r="B45" s="109">
        <f>_xlfn.COMPOUNDVALUE(125)</f>
        <v>416</v>
      </c>
      <c r="C45" s="170">
        <v>313261</v>
      </c>
      <c r="D45" s="109">
        <f>_xlfn.COMPOUNDVALUE(126)</f>
        <v>736</v>
      </c>
      <c r="E45" s="170">
        <v>422171</v>
      </c>
      <c r="F45" s="109">
        <f>_xlfn.COMPOUNDVALUE(127)</f>
        <v>1152</v>
      </c>
      <c r="G45" s="170">
        <v>735432</v>
      </c>
      <c r="H45" s="109">
        <f>_xlfn.COMPOUNDVALUE(128)</f>
        <v>134</v>
      </c>
      <c r="I45" s="172">
        <v>63613</v>
      </c>
      <c r="J45" s="109">
        <v>87</v>
      </c>
      <c r="K45" s="111">
        <v>9204</v>
      </c>
      <c r="L45" s="109">
        <v>1319</v>
      </c>
      <c r="M45" s="111">
        <v>681024</v>
      </c>
      <c r="N45" s="74" t="s">
        <v>69</v>
      </c>
    </row>
    <row r="46" spans="1:14" s="81" customFormat="1" ht="15.75" customHeight="1">
      <c r="A46" s="64" t="s">
        <v>70</v>
      </c>
      <c r="B46" s="109">
        <f>_xlfn.COMPOUNDVALUE(129)</f>
        <v>1521</v>
      </c>
      <c r="C46" s="170">
        <v>2059554</v>
      </c>
      <c r="D46" s="109">
        <f>_xlfn.COMPOUNDVALUE(130)</f>
        <v>2165</v>
      </c>
      <c r="E46" s="170">
        <v>1496079</v>
      </c>
      <c r="F46" s="109">
        <f>_xlfn.COMPOUNDVALUE(131)</f>
        <v>3686</v>
      </c>
      <c r="G46" s="170">
        <v>3555632</v>
      </c>
      <c r="H46" s="109">
        <f>_xlfn.COMPOUNDVALUE(132)</f>
        <v>401</v>
      </c>
      <c r="I46" s="172">
        <v>281860</v>
      </c>
      <c r="J46" s="109">
        <v>323</v>
      </c>
      <c r="K46" s="111">
        <v>164885</v>
      </c>
      <c r="L46" s="109">
        <v>4246</v>
      </c>
      <c r="M46" s="111">
        <v>3438657</v>
      </c>
      <c r="N46" s="74" t="s">
        <v>70</v>
      </c>
    </row>
    <row r="47" spans="1:14" s="81" customFormat="1" ht="15.75" customHeight="1">
      <c r="A47" s="64" t="s">
        <v>71</v>
      </c>
      <c r="B47" s="109">
        <f>_xlfn.COMPOUNDVALUE(133)</f>
        <v>613</v>
      </c>
      <c r="C47" s="170">
        <v>507420</v>
      </c>
      <c r="D47" s="109">
        <f>_xlfn.COMPOUNDVALUE(134)</f>
        <v>1060</v>
      </c>
      <c r="E47" s="170">
        <v>584977</v>
      </c>
      <c r="F47" s="109">
        <f>_xlfn.COMPOUNDVALUE(135)</f>
        <v>1673</v>
      </c>
      <c r="G47" s="170">
        <v>1092397</v>
      </c>
      <c r="H47" s="109">
        <f>_xlfn.COMPOUNDVALUE(136)</f>
        <v>158</v>
      </c>
      <c r="I47" s="172">
        <v>164213</v>
      </c>
      <c r="J47" s="109">
        <v>141</v>
      </c>
      <c r="K47" s="111">
        <v>85164</v>
      </c>
      <c r="L47" s="109">
        <v>1917</v>
      </c>
      <c r="M47" s="111">
        <v>1013348</v>
      </c>
      <c r="N47" s="74" t="s">
        <v>71</v>
      </c>
    </row>
    <row r="48" spans="1:14" s="81" customFormat="1" ht="15.75" customHeight="1">
      <c r="A48" s="64"/>
      <c r="B48" s="109"/>
      <c r="C48" s="170"/>
      <c r="D48" s="109"/>
      <c r="E48" s="170"/>
      <c r="F48" s="109"/>
      <c r="G48" s="170"/>
      <c r="H48" s="109"/>
      <c r="I48" s="172"/>
      <c r="J48" s="109"/>
      <c r="K48" s="111"/>
      <c r="L48" s="109"/>
      <c r="M48" s="111"/>
      <c r="N48" s="74" t="s">
        <v>35</v>
      </c>
    </row>
    <row r="49" spans="1:14" s="81" customFormat="1" ht="15.75" customHeight="1">
      <c r="A49" s="64" t="s">
        <v>72</v>
      </c>
      <c r="B49" s="109">
        <f>_xlfn.COMPOUNDVALUE(137)</f>
        <v>546</v>
      </c>
      <c r="C49" s="170">
        <v>738985</v>
      </c>
      <c r="D49" s="109">
        <f>_xlfn.COMPOUNDVALUE(138)</f>
        <v>976</v>
      </c>
      <c r="E49" s="170">
        <v>627342</v>
      </c>
      <c r="F49" s="109">
        <f>_xlfn.COMPOUNDVALUE(139)</f>
        <v>1522</v>
      </c>
      <c r="G49" s="170">
        <v>1366327</v>
      </c>
      <c r="H49" s="109">
        <f>_xlfn.COMPOUNDVALUE(140)</f>
        <v>127</v>
      </c>
      <c r="I49" s="172">
        <v>205207</v>
      </c>
      <c r="J49" s="109">
        <v>110</v>
      </c>
      <c r="K49" s="111">
        <v>27459</v>
      </c>
      <c r="L49" s="109">
        <v>1684</v>
      </c>
      <c r="M49" s="111">
        <v>1188579</v>
      </c>
      <c r="N49" s="74" t="s">
        <v>72</v>
      </c>
    </row>
    <row r="50" spans="1:14" s="81" customFormat="1" ht="15.75" customHeight="1">
      <c r="A50" s="64" t="s">
        <v>73</v>
      </c>
      <c r="B50" s="109">
        <f>_xlfn.COMPOUNDVALUE(141)</f>
        <v>703</v>
      </c>
      <c r="C50" s="170">
        <v>568467</v>
      </c>
      <c r="D50" s="109">
        <f>_xlfn.COMPOUNDVALUE(142)</f>
        <v>1087</v>
      </c>
      <c r="E50" s="170">
        <v>584823</v>
      </c>
      <c r="F50" s="109">
        <f>_xlfn.COMPOUNDVALUE(143)</f>
        <v>1790</v>
      </c>
      <c r="G50" s="170">
        <v>1153289</v>
      </c>
      <c r="H50" s="109">
        <f>_xlfn.COMPOUNDVALUE(144)</f>
        <v>181</v>
      </c>
      <c r="I50" s="172">
        <v>121086</v>
      </c>
      <c r="J50" s="109">
        <v>192</v>
      </c>
      <c r="K50" s="111">
        <v>47150</v>
      </c>
      <c r="L50" s="109">
        <v>2058</v>
      </c>
      <c r="M50" s="111">
        <v>1079354</v>
      </c>
      <c r="N50" s="74" t="s">
        <v>73</v>
      </c>
    </row>
    <row r="51" spans="1:14" s="81" customFormat="1" ht="15.75" customHeight="1">
      <c r="A51" s="64" t="s">
        <v>74</v>
      </c>
      <c r="B51" s="109">
        <f>_xlfn.COMPOUNDVALUE(145)</f>
        <v>1478</v>
      </c>
      <c r="C51" s="170">
        <v>1627945</v>
      </c>
      <c r="D51" s="109">
        <f>_xlfn.COMPOUNDVALUE(146)</f>
        <v>2134</v>
      </c>
      <c r="E51" s="170">
        <v>1392318</v>
      </c>
      <c r="F51" s="109">
        <f>_xlfn.COMPOUNDVALUE(147)</f>
        <v>3612</v>
      </c>
      <c r="G51" s="170">
        <v>3020263</v>
      </c>
      <c r="H51" s="109">
        <f>_xlfn.COMPOUNDVALUE(148)</f>
        <v>368</v>
      </c>
      <c r="I51" s="172">
        <v>231817</v>
      </c>
      <c r="J51" s="109">
        <v>307</v>
      </c>
      <c r="K51" s="111">
        <v>90362</v>
      </c>
      <c r="L51" s="109">
        <v>4141</v>
      </c>
      <c r="M51" s="111">
        <v>2878808</v>
      </c>
      <c r="N51" s="74" t="s">
        <v>74</v>
      </c>
    </row>
    <row r="52" spans="1:14" s="81" customFormat="1" ht="15.75" customHeight="1">
      <c r="A52" s="64" t="s">
        <v>75</v>
      </c>
      <c r="B52" s="176">
        <f>_xlfn.COMPOUNDVALUE(149)</f>
        <v>1208</v>
      </c>
      <c r="C52" s="170">
        <v>1511325</v>
      </c>
      <c r="D52" s="109">
        <f>_xlfn.COMPOUNDVALUE(150)</f>
        <v>1984</v>
      </c>
      <c r="E52" s="170">
        <v>1259757</v>
      </c>
      <c r="F52" s="176">
        <f>_xlfn.COMPOUNDVALUE(151)</f>
        <v>3192</v>
      </c>
      <c r="G52" s="170">
        <v>2771082</v>
      </c>
      <c r="H52" s="176">
        <f>_xlfn.COMPOUNDVALUE(152)</f>
        <v>339</v>
      </c>
      <c r="I52" s="172">
        <v>405385</v>
      </c>
      <c r="J52" s="109">
        <v>223</v>
      </c>
      <c r="K52" s="111">
        <v>18985</v>
      </c>
      <c r="L52" s="109">
        <v>3627</v>
      </c>
      <c r="M52" s="111">
        <v>2384681</v>
      </c>
      <c r="N52" s="74" t="s">
        <v>75</v>
      </c>
    </row>
    <row r="53" spans="1:14" s="81" customFormat="1" ht="15.75" customHeight="1">
      <c r="A53" s="64" t="s">
        <v>76</v>
      </c>
      <c r="B53" s="176">
        <f>_xlfn.COMPOUNDVALUE(153)</f>
        <v>1208</v>
      </c>
      <c r="C53" s="170">
        <v>1895713</v>
      </c>
      <c r="D53" s="109">
        <f>_xlfn.COMPOUNDVALUE(154)</f>
        <v>1907</v>
      </c>
      <c r="E53" s="170">
        <v>1270319</v>
      </c>
      <c r="F53" s="176">
        <f>_xlfn.COMPOUNDVALUE(155)</f>
        <v>3115</v>
      </c>
      <c r="G53" s="170">
        <v>3166032</v>
      </c>
      <c r="H53" s="176">
        <f>_xlfn.COMPOUNDVALUE(156)</f>
        <v>276</v>
      </c>
      <c r="I53" s="172">
        <v>215881</v>
      </c>
      <c r="J53" s="109">
        <v>251</v>
      </c>
      <c r="K53" s="111">
        <v>68073</v>
      </c>
      <c r="L53" s="109">
        <v>3517</v>
      </c>
      <c r="M53" s="111">
        <v>3018223</v>
      </c>
      <c r="N53" s="74" t="s">
        <v>76</v>
      </c>
    </row>
    <row r="54" spans="1:14" s="81" customFormat="1" ht="15.75" customHeight="1">
      <c r="A54" s="64"/>
      <c r="B54" s="109"/>
      <c r="C54" s="170"/>
      <c r="D54" s="109"/>
      <c r="E54" s="170"/>
      <c r="F54" s="109"/>
      <c r="G54" s="170"/>
      <c r="H54" s="109"/>
      <c r="I54" s="172"/>
      <c r="J54" s="109"/>
      <c r="K54" s="111"/>
      <c r="L54" s="109"/>
      <c r="M54" s="111"/>
      <c r="N54" s="74" t="s">
        <v>35</v>
      </c>
    </row>
    <row r="55" spans="1:14" s="81" customFormat="1" ht="15.75" customHeight="1">
      <c r="A55" s="64" t="s">
        <v>77</v>
      </c>
      <c r="B55" s="109">
        <f>_xlfn.COMPOUNDVALUE(157)</f>
        <v>2272</v>
      </c>
      <c r="C55" s="170">
        <v>4347334</v>
      </c>
      <c r="D55" s="109">
        <f>_xlfn.COMPOUNDVALUE(158)</f>
        <v>3170</v>
      </c>
      <c r="E55" s="170">
        <v>2350196</v>
      </c>
      <c r="F55" s="109">
        <f>_xlfn.COMPOUNDVALUE(159)</f>
        <v>5442</v>
      </c>
      <c r="G55" s="170">
        <v>6697530</v>
      </c>
      <c r="H55" s="109">
        <f>_xlfn.COMPOUNDVALUE(160)</f>
        <v>568</v>
      </c>
      <c r="I55" s="172">
        <v>470740</v>
      </c>
      <c r="J55" s="109">
        <v>400</v>
      </c>
      <c r="K55" s="111">
        <v>134332</v>
      </c>
      <c r="L55" s="109">
        <v>6186</v>
      </c>
      <c r="M55" s="111">
        <v>6361122</v>
      </c>
      <c r="N55" s="74" t="s">
        <v>77</v>
      </c>
    </row>
    <row r="56" spans="1:14" s="81" customFormat="1" ht="15.75" customHeight="1">
      <c r="A56" s="64" t="s">
        <v>78</v>
      </c>
      <c r="B56" s="109">
        <f>_xlfn.COMPOUNDVALUE(161)</f>
        <v>1037</v>
      </c>
      <c r="C56" s="170">
        <v>979299</v>
      </c>
      <c r="D56" s="109">
        <f>_xlfn.COMPOUNDVALUE(162)</f>
        <v>1734</v>
      </c>
      <c r="E56" s="170">
        <v>1059783</v>
      </c>
      <c r="F56" s="109">
        <f>_xlfn.COMPOUNDVALUE(163)</f>
        <v>2771</v>
      </c>
      <c r="G56" s="170">
        <v>2039082</v>
      </c>
      <c r="H56" s="109">
        <f>_xlfn.COMPOUNDVALUE(164)</f>
        <v>291</v>
      </c>
      <c r="I56" s="172">
        <v>246929</v>
      </c>
      <c r="J56" s="109">
        <v>217</v>
      </c>
      <c r="K56" s="111">
        <v>52360</v>
      </c>
      <c r="L56" s="109">
        <v>3195</v>
      </c>
      <c r="M56" s="111">
        <v>1844513</v>
      </c>
      <c r="N56" s="74" t="s">
        <v>78</v>
      </c>
    </row>
    <row r="57" spans="1:14" s="81" customFormat="1" ht="15.75" customHeight="1">
      <c r="A57" s="64" t="s">
        <v>79</v>
      </c>
      <c r="B57" s="109">
        <f>_xlfn.COMPOUNDVALUE(165)</f>
        <v>1010</v>
      </c>
      <c r="C57" s="170">
        <v>1021434</v>
      </c>
      <c r="D57" s="109">
        <f>_xlfn.COMPOUNDVALUE(166)</f>
        <v>1727</v>
      </c>
      <c r="E57" s="170">
        <v>1049153</v>
      </c>
      <c r="F57" s="109">
        <f>_xlfn.COMPOUNDVALUE(167)</f>
        <v>2737</v>
      </c>
      <c r="G57" s="170">
        <v>2070588</v>
      </c>
      <c r="H57" s="109">
        <f>_xlfn.COMPOUNDVALUE(168)</f>
        <v>253</v>
      </c>
      <c r="I57" s="172">
        <v>173723</v>
      </c>
      <c r="J57" s="109">
        <v>301</v>
      </c>
      <c r="K57" s="111">
        <v>47430</v>
      </c>
      <c r="L57" s="109">
        <v>3153</v>
      </c>
      <c r="M57" s="111">
        <v>1944295</v>
      </c>
      <c r="N57" s="74" t="s">
        <v>79</v>
      </c>
    </row>
    <row r="58" spans="1:14" s="81" customFormat="1" ht="15.75" customHeight="1">
      <c r="A58" s="64" t="s">
        <v>80</v>
      </c>
      <c r="B58" s="109">
        <f>_xlfn.COMPOUNDVALUE(169)</f>
        <v>744</v>
      </c>
      <c r="C58" s="170">
        <v>895256</v>
      </c>
      <c r="D58" s="109">
        <f>_xlfn.COMPOUNDVALUE(170)</f>
        <v>1401</v>
      </c>
      <c r="E58" s="170">
        <v>890395</v>
      </c>
      <c r="F58" s="109">
        <f>_xlfn.COMPOUNDVALUE(171)</f>
        <v>2145</v>
      </c>
      <c r="G58" s="170">
        <v>1785650</v>
      </c>
      <c r="H58" s="109">
        <f>_xlfn.COMPOUNDVALUE(172)</f>
        <v>187</v>
      </c>
      <c r="I58" s="172">
        <v>143758</v>
      </c>
      <c r="J58" s="109">
        <v>108</v>
      </c>
      <c r="K58" s="111">
        <v>26345</v>
      </c>
      <c r="L58" s="109">
        <v>2391</v>
      </c>
      <c r="M58" s="111">
        <v>1668237</v>
      </c>
      <c r="N58" s="74" t="s">
        <v>80</v>
      </c>
    </row>
    <row r="59" spans="1:14" s="81" customFormat="1" ht="15.75" customHeight="1">
      <c r="A59" s="64" t="s">
        <v>81</v>
      </c>
      <c r="B59" s="109">
        <f>_xlfn.COMPOUNDVALUE(173)</f>
        <v>1147</v>
      </c>
      <c r="C59" s="170">
        <v>1650203</v>
      </c>
      <c r="D59" s="109">
        <f>_xlfn.COMPOUNDVALUE(174)</f>
        <v>1850</v>
      </c>
      <c r="E59" s="170">
        <v>1217578</v>
      </c>
      <c r="F59" s="109">
        <f>_xlfn.COMPOUNDVALUE(175)</f>
        <v>2997</v>
      </c>
      <c r="G59" s="170">
        <v>2867781</v>
      </c>
      <c r="H59" s="109">
        <f>_xlfn.COMPOUNDVALUE(176)</f>
        <v>344</v>
      </c>
      <c r="I59" s="172">
        <v>193799</v>
      </c>
      <c r="J59" s="109">
        <v>262</v>
      </c>
      <c r="K59" s="111">
        <v>92412</v>
      </c>
      <c r="L59" s="109">
        <v>3475</v>
      </c>
      <c r="M59" s="111">
        <v>2766394</v>
      </c>
      <c r="N59" s="74" t="s">
        <v>81</v>
      </c>
    </row>
    <row r="60" spans="1:14" s="81" customFormat="1" ht="15.75" customHeight="1">
      <c r="A60" s="64"/>
      <c r="B60" s="109"/>
      <c r="C60" s="170"/>
      <c r="D60" s="109"/>
      <c r="E60" s="170"/>
      <c r="F60" s="109"/>
      <c r="G60" s="170"/>
      <c r="H60" s="109"/>
      <c r="I60" s="172"/>
      <c r="J60" s="109"/>
      <c r="K60" s="111"/>
      <c r="L60" s="109"/>
      <c r="M60" s="111"/>
      <c r="N60" s="74" t="s">
        <v>35</v>
      </c>
    </row>
    <row r="61" spans="1:14" s="81" customFormat="1" ht="15.75" customHeight="1">
      <c r="A61" s="64" t="s">
        <v>82</v>
      </c>
      <c r="B61" s="109">
        <f>_xlfn.COMPOUNDVALUE(177)</f>
        <v>855</v>
      </c>
      <c r="C61" s="170">
        <v>716283</v>
      </c>
      <c r="D61" s="109">
        <f>_xlfn.COMPOUNDVALUE(178)</f>
        <v>1393</v>
      </c>
      <c r="E61" s="170">
        <v>787391</v>
      </c>
      <c r="F61" s="109">
        <f>_xlfn.COMPOUNDVALUE(179)</f>
        <v>2248</v>
      </c>
      <c r="G61" s="170">
        <v>1503675</v>
      </c>
      <c r="H61" s="109">
        <f>_xlfn.COMPOUNDVALUE(180)</f>
        <v>208</v>
      </c>
      <c r="I61" s="172">
        <v>93142</v>
      </c>
      <c r="J61" s="109">
        <v>180</v>
      </c>
      <c r="K61" s="111">
        <v>44703</v>
      </c>
      <c r="L61" s="109">
        <v>2544</v>
      </c>
      <c r="M61" s="111">
        <v>1455235</v>
      </c>
      <c r="N61" s="74" t="s">
        <v>82</v>
      </c>
    </row>
    <row r="62" spans="1:14" s="81" customFormat="1" ht="15.75" customHeight="1">
      <c r="A62" s="64" t="s">
        <v>83</v>
      </c>
      <c r="B62" s="109">
        <f>_xlfn.COMPOUNDVALUE(181)</f>
        <v>610</v>
      </c>
      <c r="C62" s="170">
        <v>492743</v>
      </c>
      <c r="D62" s="109">
        <f>_xlfn.COMPOUNDVALUE(182)</f>
        <v>949</v>
      </c>
      <c r="E62" s="170">
        <v>503517</v>
      </c>
      <c r="F62" s="109">
        <f>_xlfn.COMPOUNDVALUE(183)</f>
        <v>1559</v>
      </c>
      <c r="G62" s="170">
        <v>996260</v>
      </c>
      <c r="H62" s="109">
        <f>_xlfn.COMPOUNDVALUE(184)</f>
        <v>219</v>
      </c>
      <c r="I62" s="172">
        <v>142517</v>
      </c>
      <c r="J62" s="109">
        <v>131</v>
      </c>
      <c r="K62" s="111">
        <v>4250</v>
      </c>
      <c r="L62" s="109">
        <v>1846</v>
      </c>
      <c r="M62" s="111">
        <v>857993</v>
      </c>
      <c r="N62" s="74" t="s">
        <v>83</v>
      </c>
    </row>
    <row r="63" spans="1:14" s="81" customFormat="1" ht="15.75" customHeight="1">
      <c r="A63" s="64" t="s">
        <v>84</v>
      </c>
      <c r="B63" s="109">
        <f>_xlfn.COMPOUNDVALUE(185)</f>
        <v>1586</v>
      </c>
      <c r="C63" s="170">
        <v>1280194</v>
      </c>
      <c r="D63" s="109">
        <f>_xlfn.COMPOUNDVALUE(186)</f>
        <v>2307</v>
      </c>
      <c r="E63" s="170">
        <v>1288507</v>
      </c>
      <c r="F63" s="109">
        <f>_xlfn.COMPOUNDVALUE(187)</f>
        <v>3893</v>
      </c>
      <c r="G63" s="170">
        <v>2568701</v>
      </c>
      <c r="H63" s="109">
        <f>_xlfn.COMPOUNDVALUE(188)</f>
        <v>257</v>
      </c>
      <c r="I63" s="172">
        <v>157585</v>
      </c>
      <c r="J63" s="109">
        <v>310</v>
      </c>
      <c r="K63" s="111">
        <v>52539</v>
      </c>
      <c r="L63" s="109">
        <v>4288</v>
      </c>
      <c r="M63" s="111">
        <v>2463655</v>
      </c>
      <c r="N63" s="74" t="s">
        <v>84</v>
      </c>
    </row>
    <row r="64" spans="1:14" s="81" customFormat="1" ht="15.75" customHeight="1">
      <c r="A64" s="64" t="s">
        <v>85</v>
      </c>
      <c r="B64" s="109">
        <f>_xlfn.COMPOUNDVALUE(189)</f>
        <v>1158</v>
      </c>
      <c r="C64" s="170">
        <v>1185317</v>
      </c>
      <c r="D64" s="109">
        <f>_xlfn.COMPOUNDVALUE(190)</f>
        <v>2009</v>
      </c>
      <c r="E64" s="170">
        <v>1301721</v>
      </c>
      <c r="F64" s="109">
        <f>_xlfn.COMPOUNDVALUE(191)</f>
        <v>3167</v>
      </c>
      <c r="G64" s="170">
        <v>2487037</v>
      </c>
      <c r="H64" s="109">
        <f>_xlfn.COMPOUNDVALUE(192)</f>
        <v>265</v>
      </c>
      <c r="I64" s="172">
        <v>132526</v>
      </c>
      <c r="J64" s="109">
        <v>328</v>
      </c>
      <c r="K64" s="111">
        <v>89797</v>
      </c>
      <c r="L64" s="109">
        <v>3609</v>
      </c>
      <c r="M64" s="111">
        <v>2444307</v>
      </c>
      <c r="N64" s="74" t="s">
        <v>85</v>
      </c>
    </row>
    <row r="65" spans="1:14" s="81" customFormat="1" ht="15.75" customHeight="1">
      <c r="A65" s="66" t="s">
        <v>86</v>
      </c>
      <c r="B65" s="112">
        <f>_xlfn.COMPOUNDVALUE(193)</f>
        <v>791</v>
      </c>
      <c r="C65" s="171">
        <v>671560</v>
      </c>
      <c r="D65" s="112">
        <f>_xlfn.COMPOUNDVALUE(194)</f>
        <v>1482</v>
      </c>
      <c r="E65" s="171">
        <v>859137</v>
      </c>
      <c r="F65" s="112">
        <f>_xlfn.COMPOUNDVALUE(195)</f>
        <v>2273</v>
      </c>
      <c r="G65" s="171">
        <v>1530697</v>
      </c>
      <c r="H65" s="112">
        <f>_xlfn.COMPOUNDVALUE(196)</f>
        <v>171</v>
      </c>
      <c r="I65" s="173">
        <v>125581</v>
      </c>
      <c r="J65" s="112">
        <v>258</v>
      </c>
      <c r="K65" s="114">
        <v>47182</v>
      </c>
      <c r="L65" s="112">
        <v>2615</v>
      </c>
      <c r="M65" s="114">
        <v>1452298</v>
      </c>
      <c r="N65" s="65" t="s">
        <v>86</v>
      </c>
    </row>
    <row r="66" spans="1:14" s="81" customFormat="1" ht="15.75" customHeight="1">
      <c r="A66" s="66"/>
      <c r="B66" s="112"/>
      <c r="C66" s="113"/>
      <c r="D66" s="112"/>
      <c r="E66" s="113"/>
      <c r="F66" s="112"/>
      <c r="G66" s="113"/>
      <c r="H66" s="112"/>
      <c r="I66" s="114"/>
      <c r="J66" s="112"/>
      <c r="K66" s="114"/>
      <c r="L66" s="112"/>
      <c r="M66" s="114"/>
      <c r="N66" s="65" t="s">
        <v>35</v>
      </c>
    </row>
    <row r="67" spans="1:14" s="81" customFormat="1" ht="15.75" customHeight="1">
      <c r="A67" s="66" t="s">
        <v>87</v>
      </c>
      <c r="B67" s="112">
        <f>_xlfn.COMPOUNDVALUE(197)</f>
        <v>1159</v>
      </c>
      <c r="C67" s="171">
        <v>895247</v>
      </c>
      <c r="D67" s="112">
        <f>_xlfn.COMPOUNDVALUE(198)</f>
        <v>1804</v>
      </c>
      <c r="E67" s="171">
        <v>1050803</v>
      </c>
      <c r="F67" s="112">
        <f>_xlfn.COMPOUNDVALUE(199)</f>
        <v>2963</v>
      </c>
      <c r="G67" s="171">
        <v>1946050</v>
      </c>
      <c r="H67" s="112">
        <f>_xlfn.COMPOUNDVALUE(200)</f>
        <v>233</v>
      </c>
      <c r="I67" s="173">
        <v>118589</v>
      </c>
      <c r="J67" s="112">
        <v>271</v>
      </c>
      <c r="K67" s="114">
        <v>18349</v>
      </c>
      <c r="L67" s="112">
        <v>3314</v>
      </c>
      <c r="M67" s="114">
        <v>1845810</v>
      </c>
      <c r="N67" s="65" t="s">
        <v>87</v>
      </c>
    </row>
    <row r="68" spans="1:14" s="81" customFormat="1" ht="15.75" customHeight="1">
      <c r="A68" s="66" t="s">
        <v>88</v>
      </c>
      <c r="B68" s="112">
        <f>_xlfn.COMPOUNDVALUE(201)</f>
        <v>903</v>
      </c>
      <c r="C68" s="171">
        <v>637640</v>
      </c>
      <c r="D68" s="112">
        <f>_xlfn.COMPOUNDVALUE(202)</f>
        <v>1556</v>
      </c>
      <c r="E68" s="171">
        <v>828672</v>
      </c>
      <c r="F68" s="112">
        <f>_xlfn.COMPOUNDVALUE(203)</f>
        <v>2459</v>
      </c>
      <c r="G68" s="171">
        <v>1466312</v>
      </c>
      <c r="H68" s="112">
        <f>_xlfn.COMPOUNDVALUE(204)</f>
        <v>160</v>
      </c>
      <c r="I68" s="173">
        <v>74751</v>
      </c>
      <c r="J68" s="112">
        <v>225</v>
      </c>
      <c r="K68" s="114">
        <v>-6003</v>
      </c>
      <c r="L68" s="112">
        <v>2731</v>
      </c>
      <c r="M68" s="114">
        <v>1385559</v>
      </c>
      <c r="N68" s="65" t="s">
        <v>88</v>
      </c>
    </row>
    <row r="69" spans="1:14" s="81" customFormat="1" ht="15.75" customHeight="1">
      <c r="A69" s="66" t="s">
        <v>89</v>
      </c>
      <c r="B69" s="112">
        <f>_xlfn.COMPOUNDVALUE(205)</f>
        <v>1130</v>
      </c>
      <c r="C69" s="171">
        <v>927520</v>
      </c>
      <c r="D69" s="112">
        <f>_xlfn.COMPOUNDVALUE(206)</f>
        <v>2066</v>
      </c>
      <c r="E69" s="171">
        <v>1108459</v>
      </c>
      <c r="F69" s="112">
        <f>_xlfn.COMPOUNDVALUE(207)</f>
        <v>3196</v>
      </c>
      <c r="G69" s="171">
        <v>2035979</v>
      </c>
      <c r="H69" s="112">
        <f>_xlfn.COMPOUNDVALUE(208)</f>
        <v>286</v>
      </c>
      <c r="I69" s="173">
        <v>221021</v>
      </c>
      <c r="J69" s="112">
        <v>300</v>
      </c>
      <c r="K69" s="114">
        <v>99072</v>
      </c>
      <c r="L69" s="112">
        <v>3671</v>
      </c>
      <c r="M69" s="114">
        <v>1914029</v>
      </c>
      <c r="N69" s="65" t="s">
        <v>89</v>
      </c>
    </row>
    <row r="70" spans="1:14" s="81" customFormat="1" ht="15.75" customHeight="1">
      <c r="A70" s="66" t="s">
        <v>90</v>
      </c>
      <c r="B70" s="112">
        <f>_xlfn.COMPOUNDVALUE(209)</f>
        <v>1284</v>
      </c>
      <c r="C70" s="171">
        <v>1011731</v>
      </c>
      <c r="D70" s="112">
        <f>_xlfn.COMPOUNDVALUE(210)</f>
        <v>2034</v>
      </c>
      <c r="E70" s="171">
        <v>1105984</v>
      </c>
      <c r="F70" s="112">
        <f>_xlfn.COMPOUNDVALUE(211)</f>
        <v>3318</v>
      </c>
      <c r="G70" s="171">
        <v>2117715</v>
      </c>
      <c r="H70" s="112">
        <f>_xlfn.COMPOUNDVALUE(212)</f>
        <v>263</v>
      </c>
      <c r="I70" s="173">
        <v>163533</v>
      </c>
      <c r="J70" s="112">
        <v>349</v>
      </c>
      <c r="K70" s="114">
        <v>84123</v>
      </c>
      <c r="L70" s="112">
        <v>3797</v>
      </c>
      <c r="M70" s="114">
        <v>2038305</v>
      </c>
      <c r="N70" s="65" t="s">
        <v>90</v>
      </c>
    </row>
    <row r="71" spans="1:14" s="81" customFormat="1" ht="15.75" customHeight="1">
      <c r="A71" s="66" t="s">
        <v>91</v>
      </c>
      <c r="B71" s="112">
        <f>_xlfn.COMPOUNDVALUE(213)</f>
        <v>581</v>
      </c>
      <c r="C71" s="171">
        <v>1064700</v>
      </c>
      <c r="D71" s="112">
        <f>_xlfn.COMPOUNDVALUE(214)</f>
        <v>915</v>
      </c>
      <c r="E71" s="171">
        <v>622218</v>
      </c>
      <c r="F71" s="112">
        <f>_xlfn.COMPOUNDVALUE(215)</f>
        <v>1496</v>
      </c>
      <c r="G71" s="171">
        <v>1686917</v>
      </c>
      <c r="H71" s="112">
        <f>_xlfn.COMPOUNDVALUE(216)</f>
        <v>142</v>
      </c>
      <c r="I71" s="173">
        <v>115130</v>
      </c>
      <c r="J71" s="112">
        <v>119</v>
      </c>
      <c r="K71" s="114">
        <v>35144</v>
      </c>
      <c r="L71" s="112">
        <v>1695</v>
      </c>
      <c r="M71" s="114">
        <v>1606931</v>
      </c>
      <c r="N71" s="65" t="s">
        <v>91</v>
      </c>
    </row>
    <row r="72" spans="1:14" s="81" customFormat="1" ht="15.75" customHeight="1">
      <c r="A72" s="67" t="s">
        <v>140</v>
      </c>
      <c r="B72" s="115">
        <v>37697</v>
      </c>
      <c r="C72" s="177">
        <v>55708450</v>
      </c>
      <c r="D72" s="115">
        <v>59550</v>
      </c>
      <c r="E72" s="177">
        <v>38340781</v>
      </c>
      <c r="F72" s="115">
        <v>97247</v>
      </c>
      <c r="G72" s="177">
        <v>94049224</v>
      </c>
      <c r="H72" s="184">
        <v>10317</v>
      </c>
      <c r="I72" s="180">
        <v>8289125</v>
      </c>
      <c r="J72" s="115">
        <v>8134</v>
      </c>
      <c r="K72" s="117">
        <v>2079490</v>
      </c>
      <c r="L72" s="115">
        <v>111918</v>
      </c>
      <c r="M72" s="117">
        <v>87839587</v>
      </c>
      <c r="N72" s="72" t="s">
        <v>93</v>
      </c>
    </row>
    <row r="73" spans="1:14" s="81" customFormat="1" ht="15.75" customHeight="1">
      <c r="A73" s="126"/>
      <c r="B73" s="128"/>
      <c r="C73" s="178"/>
      <c r="D73" s="128"/>
      <c r="E73" s="178"/>
      <c r="F73" s="128"/>
      <c r="G73" s="178"/>
      <c r="H73" s="128"/>
      <c r="I73" s="181"/>
      <c r="J73" s="128"/>
      <c r="K73" s="129"/>
      <c r="L73" s="128"/>
      <c r="M73" s="129"/>
      <c r="N73" s="127" t="s">
        <v>35</v>
      </c>
    </row>
    <row r="74" spans="1:14" s="81" customFormat="1" ht="15.75" customHeight="1">
      <c r="A74" s="64" t="s">
        <v>94</v>
      </c>
      <c r="B74" s="109">
        <f>_xlfn.COMPOUNDVALUE(217)</f>
        <v>1262</v>
      </c>
      <c r="C74" s="170">
        <v>931961</v>
      </c>
      <c r="D74" s="109">
        <f>_xlfn.COMPOUNDVALUE(218)</f>
        <v>2268</v>
      </c>
      <c r="E74" s="170">
        <v>1284847</v>
      </c>
      <c r="F74" s="109">
        <f>_xlfn.COMPOUNDVALUE(219)</f>
        <v>3530</v>
      </c>
      <c r="G74" s="170">
        <v>2216807</v>
      </c>
      <c r="H74" s="109">
        <f>_xlfn.COMPOUNDVALUE(220)</f>
        <v>262</v>
      </c>
      <c r="I74" s="172">
        <v>104941</v>
      </c>
      <c r="J74" s="109">
        <v>225</v>
      </c>
      <c r="K74" s="111">
        <v>50468</v>
      </c>
      <c r="L74" s="109">
        <v>3918</v>
      </c>
      <c r="M74" s="111">
        <v>2162335</v>
      </c>
      <c r="N74" s="73" t="s">
        <v>94</v>
      </c>
    </row>
    <row r="75" spans="1:14" s="81" customFormat="1" ht="15.75" customHeight="1">
      <c r="A75" s="66" t="s">
        <v>95</v>
      </c>
      <c r="B75" s="112">
        <f>_xlfn.COMPOUNDVALUE(221)</f>
        <v>1623</v>
      </c>
      <c r="C75" s="171">
        <v>1492068</v>
      </c>
      <c r="D75" s="112">
        <f>_xlfn.COMPOUNDVALUE(222)</f>
        <v>3127</v>
      </c>
      <c r="E75" s="171">
        <v>1791772</v>
      </c>
      <c r="F75" s="112">
        <f>_xlfn.COMPOUNDVALUE(223)</f>
        <v>4750</v>
      </c>
      <c r="G75" s="171">
        <v>3283840</v>
      </c>
      <c r="H75" s="112">
        <f>_xlfn.COMPOUNDVALUE(224)</f>
        <v>352</v>
      </c>
      <c r="I75" s="173">
        <v>287772</v>
      </c>
      <c r="J75" s="112">
        <v>378</v>
      </c>
      <c r="K75" s="114">
        <v>64709</v>
      </c>
      <c r="L75" s="112">
        <v>5306</v>
      </c>
      <c r="M75" s="114">
        <v>3060777</v>
      </c>
      <c r="N75" s="65" t="s">
        <v>95</v>
      </c>
    </row>
    <row r="76" spans="1:14" s="81" customFormat="1" ht="15.75" customHeight="1">
      <c r="A76" s="66" t="s">
        <v>96</v>
      </c>
      <c r="B76" s="112">
        <f>_xlfn.COMPOUNDVALUE(225)</f>
        <v>1202</v>
      </c>
      <c r="C76" s="171">
        <v>1579581</v>
      </c>
      <c r="D76" s="112">
        <f>_xlfn.COMPOUNDVALUE(226)</f>
        <v>2504</v>
      </c>
      <c r="E76" s="171">
        <v>1605098</v>
      </c>
      <c r="F76" s="112">
        <f>_xlfn.COMPOUNDVALUE(227)</f>
        <v>3706</v>
      </c>
      <c r="G76" s="171">
        <v>3184679</v>
      </c>
      <c r="H76" s="112">
        <f>_xlfn.COMPOUNDVALUE(228)</f>
        <v>291</v>
      </c>
      <c r="I76" s="173">
        <v>268563</v>
      </c>
      <c r="J76" s="112">
        <v>262</v>
      </c>
      <c r="K76" s="114">
        <v>49091</v>
      </c>
      <c r="L76" s="112">
        <v>4120</v>
      </c>
      <c r="M76" s="114">
        <v>2965207</v>
      </c>
      <c r="N76" s="65" t="s">
        <v>96</v>
      </c>
    </row>
    <row r="77" spans="1:14" s="81" customFormat="1" ht="15.75" customHeight="1">
      <c r="A77" s="66" t="s">
        <v>97</v>
      </c>
      <c r="B77" s="112">
        <f>_xlfn.COMPOUNDVALUE(229)</f>
        <v>1103</v>
      </c>
      <c r="C77" s="171">
        <v>712850</v>
      </c>
      <c r="D77" s="112">
        <f>_xlfn.COMPOUNDVALUE(230)</f>
        <v>1913</v>
      </c>
      <c r="E77" s="171">
        <v>979177</v>
      </c>
      <c r="F77" s="112">
        <f>_xlfn.COMPOUNDVALUE(231)</f>
        <v>3016</v>
      </c>
      <c r="G77" s="171">
        <v>1692027</v>
      </c>
      <c r="H77" s="112">
        <f>_xlfn.COMPOUNDVALUE(232)</f>
        <v>225</v>
      </c>
      <c r="I77" s="173">
        <v>90669</v>
      </c>
      <c r="J77" s="112">
        <v>148</v>
      </c>
      <c r="K77" s="114">
        <v>33756</v>
      </c>
      <c r="L77" s="112">
        <v>3346</v>
      </c>
      <c r="M77" s="114">
        <v>1635114</v>
      </c>
      <c r="N77" s="65" t="s">
        <v>97</v>
      </c>
    </row>
    <row r="78" spans="1:14" s="81" customFormat="1" ht="15.75" customHeight="1">
      <c r="A78" s="66" t="s">
        <v>98</v>
      </c>
      <c r="B78" s="112">
        <f>_xlfn.COMPOUNDVALUE(233)</f>
        <v>1368</v>
      </c>
      <c r="C78" s="171">
        <v>1111736</v>
      </c>
      <c r="D78" s="112">
        <f>_xlfn.COMPOUNDVALUE(234)</f>
        <v>2569</v>
      </c>
      <c r="E78" s="171">
        <v>1499681</v>
      </c>
      <c r="F78" s="112">
        <f>_xlfn.COMPOUNDVALUE(235)</f>
        <v>3937</v>
      </c>
      <c r="G78" s="171">
        <v>2611417</v>
      </c>
      <c r="H78" s="112">
        <f>_xlfn.COMPOUNDVALUE(236)</f>
        <v>273</v>
      </c>
      <c r="I78" s="173">
        <v>113198</v>
      </c>
      <c r="J78" s="112">
        <v>434</v>
      </c>
      <c r="K78" s="114">
        <v>101763</v>
      </c>
      <c r="L78" s="112">
        <v>4460</v>
      </c>
      <c r="M78" s="114">
        <v>2599982</v>
      </c>
      <c r="N78" s="65" t="s">
        <v>98</v>
      </c>
    </row>
    <row r="79" spans="1:14" s="81" customFormat="1" ht="15.75" customHeight="1">
      <c r="A79" s="223"/>
      <c r="B79" s="224"/>
      <c r="C79" s="225"/>
      <c r="D79" s="224"/>
      <c r="E79" s="225"/>
      <c r="F79" s="224"/>
      <c r="G79" s="225"/>
      <c r="H79" s="224"/>
      <c r="I79" s="226"/>
      <c r="J79" s="224"/>
      <c r="K79" s="227"/>
      <c r="L79" s="224"/>
      <c r="M79" s="228"/>
      <c r="N79" s="229" t="s">
        <v>35</v>
      </c>
    </row>
    <row r="80" spans="1:14" s="81" customFormat="1" ht="15.75" customHeight="1">
      <c r="A80" s="87" t="s">
        <v>99</v>
      </c>
      <c r="B80" s="109">
        <f>_xlfn.COMPOUNDVALUE(237)</f>
        <v>1047</v>
      </c>
      <c r="C80" s="170">
        <v>1015979</v>
      </c>
      <c r="D80" s="109">
        <f>_xlfn.COMPOUNDVALUE(238)</f>
        <v>1762</v>
      </c>
      <c r="E80" s="170">
        <v>1073627</v>
      </c>
      <c r="F80" s="109">
        <f>_xlfn.COMPOUNDVALUE(239)</f>
        <v>2809</v>
      </c>
      <c r="G80" s="170">
        <v>2089606</v>
      </c>
      <c r="H80" s="109">
        <f>_xlfn.COMPOUNDVALUE(240)</f>
        <v>191</v>
      </c>
      <c r="I80" s="172">
        <v>148529</v>
      </c>
      <c r="J80" s="109">
        <v>136</v>
      </c>
      <c r="K80" s="111">
        <v>12453</v>
      </c>
      <c r="L80" s="109">
        <v>3052</v>
      </c>
      <c r="M80" s="110">
        <v>1953531</v>
      </c>
      <c r="N80" s="230" t="s">
        <v>99</v>
      </c>
    </row>
    <row r="81" spans="1:14" s="81" customFormat="1" ht="15.75" customHeight="1">
      <c r="A81" s="66" t="s">
        <v>100</v>
      </c>
      <c r="B81" s="174">
        <f>_xlfn.COMPOUNDVALUE(241)</f>
        <v>831</v>
      </c>
      <c r="C81" s="171">
        <v>605873</v>
      </c>
      <c r="D81" s="112">
        <f>_xlfn.COMPOUNDVALUE(242)</f>
        <v>1533</v>
      </c>
      <c r="E81" s="171">
        <v>856218</v>
      </c>
      <c r="F81" s="174">
        <f>_xlfn.COMPOUNDVALUE(243)</f>
        <v>2364</v>
      </c>
      <c r="G81" s="171">
        <v>1462091</v>
      </c>
      <c r="H81" s="174">
        <f>_xlfn.COMPOUNDVALUE(244)</f>
        <v>181</v>
      </c>
      <c r="I81" s="173">
        <v>112066</v>
      </c>
      <c r="J81" s="112">
        <v>212</v>
      </c>
      <c r="K81" s="114">
        <v>36870</v>
      </c>
      <c r="L81" s="112">
        <v>2669</v>
      </c>
      <c r="M81" s="114">
        <v>1386894</v>
      </c>
      <c r="N81" s="65" t="s">
        <v>100</v>
      </c>
    </row>
    <row r="82" spans="1:14" s="81" customFormat="1" ht="15.75" customHeight="1">
      <c r="A82" s="66" t="s">
        <v>101</v>
      </c>
      <c r="B82" s="174">
        <f>_xlfn.COMPOUNDVALUE(245)</f>
        <v>1604</v>
      </c>
      <c r="C82" s="171">
        <v>1226537</v>
      </c>
      <c r="D82" s="112">
        <f>_xlfn.COMPOUNDVALUE(246)</f>
        <v>3065</v>
      </c>
      <c r="E82" s="171">
        <v>1709132</v>
      </c>
      <c r="F82" s="174">
        <f>_xlfn.COMPOUNDVALUE(247)</f>
        <v>4669</v>
      </c>
      <c r="G82" s="171">
        <v>2935668</v>
      </c>
      <c r="H82" s="174">
        <f>_xlfn.COMPOUNDVALUE(248)</f>
        <v>252</v>
      </c>
      <c r="I82" s="173">
        <v>112939</v>
      </c>
      <c r="J82" s="112">
        <v>368</v>
      </c>
      <c r="K82" s="114">
        <v>77998</v>
      </c>
      <c r="L82" s="112">
        <v>5101</v>
      </c>
      <c r="M82" s="114">
        <v>2900727</v>
      </c>
      <c r="N82" s="65" t="s">
        <v>101</v>
      </c>
    </row>
    <row r="83" spans="1:14" s="81" customFormat="1" ht="15.75" customHeight="1">
      <c r="A83" s="130" t="s">
        <v>102</v>
      </c>
      <c r="B83" s="175">
        <v>10040</v>
      </c>
      <c r="C83" s="179">
        <v>8676585</v>
      </c>
      <c r="D83" s="131">
        <v>18741</v>
      </c>
      <c r="E83" s="179">
        <v>10799552</v>
      </c>
      <c r="F83" s="175">
        <v>28781</v>
      </c>
      <c r="G83" s="179">
        <v>19476135</v>
      </c>
      <c r="H83" s="175">
        <v>2027</v>
      </c>
      <c r="I83" s="182">
        <v>1238677</v>
      </c>
      <c r="J83" s="131">
        <v>2163</v>
      </c>
      <c r="K83" s="133">
        <v>427108</v>
      </c>
      <c r="L83" s="131">
        <v>31972</v>
      </c>
      <c r="M83" s="133">
        <v>18664567</v>
      </c>
      <c r="N83" s="134" t="s">
        <v>103</v>
      </c>
    </row>
    <row r="84" spans="1:14" s="81" customFormat="1" ht="15.75" customHeight="1">
      <c r="A84" s="145"/>
      <c r="B84" s="185"/>
      <c r="C84" s="147"/>
      <c r="D84" s="146"/>
      <c r="E84" s="147"/>
      <c r="F84" s="185"/>
      <c r="G84" s="147"/>
      <c r="H84" s="185"/>
      <c r="I84" s="183"/>
      <c r="J84" s="146"/>
      <c r="K84" s="148"/>
      <c r="L84" s="146"/>
      <c r="M84" s="148"/>
      <c r="N84" s="149" t="s">
        <v>35</v>
      </c>
    </row>
    <row r="85" spans="1:14" s="81" customFormat="1" ht="15.75" customHeight="1">
      <c r="A85" s="140" t="s">
        <v>141</v>
      </c>
      <c r="B85" s="186">
        <v>47737</v>
      </c>
      <c r="C85" s="142">
        <v>64385031</v>
      </c>
      <c r="D85" s="141">
        <v>78291</v>
      </c>
      <c r="E85" s="142">
        <v>49140330</v>
      </c>
      <c r="F85" s="186">
        <v>126028</v>
      </c>
      <c r="G85" s="142">
        <v>113525360</v>
      </c>
      <c r="H85" s="186">
        <v>12344</v>
      </c>
      <c r="I85" s="143">
        <v>9527801</v>
      </c>
      <c r="J85" s="141">
        <v>10297</v>
      </c>
      <c r="K85" s="143">
        <v>2506595</v>
      </c>
      <c r="L85" s="141">
        <v>143890</v>
      </c>
      <c r="M85" s="143">
        <v>106504154</v>
      </c>
      <c r="N85" s="144" t="s">
        <v>105</v>
      </c>
    </row>
    <row r="86" spans="1:14" s="81" customFormat="1" ht="15.75" customHeight="1">
      <c r="A86" s="135"/>
      <c r="B86" s="136"/>
      <c r="C86" s="137"/>
      <c r="D86" s="136"/>
      <c r="E86" s="137"/>
      <c r="F86" s="138"/>
      <c r="G86" s="137"/>
      <c r="H86" s="187"/>
      <c r="I86" s="137"/>
      <c r="J86" s="138"/>
      <c r="K86" s="137"/>
      <c r="L86" s="138"/>
      <c r="M86" s="137"/>
      <c r="N86" s="139"/>
    </row>
    <row r="87" spans="1:14" s="81" customFormat="1" ht="15.75" customHeight="1">
      <c r="A87" s="64" t="s">
        <v>106</v>
      </c>
      <c r="B87" s="109">
        <f>_xlfn.COMPOUNDVALUE(249)</f>
        <v>583</v>
      </c>
      <c r="C87" s="170">
        <v>382958</v>
      </c>
      <c r="D87" s="109">
        <f>_xlfn.COMPOUNDVALUE(250)</f>
        <v>981</v>
      </c>
      <c r="E87" s="170">
        <v>508443</v>
      </c>
      <c r="F87" s="109">
        <f>_xlfn.COMPOUNDVALUE(251)</f>
        <v>1564</v>
      </c>
      <c r="G87" s="170">
        <v>891401</v>
      </c>
      <c r="H87" s="109">
        <f>_xlfn.COMPOUNDVALUE(252)</f>
        <v>144</v>
      </c>
      <c r="I87" s="172">
        <v>204032</v>
      </c>
      <c r="J87" s="109">
        <v>133</v>
      </c>
      <c r="K87" s="111">
        <v>34014</v>
      </c>
      <c r="L87" s="109">
        <v>1778</v>
      </c>
      <c r="M87" s="111">
        <v>721382</v>
      </c>
      <c r="N87" s="74" t="s">
        <v>106</v>
      </c>
    </row>
    <row r="88" spans="1:14" s="81" customFormat="1" ht="15.75" customHeight="1">
      <c r="A88" s="64" t="s">
        <v>107</v>
      </c>
      <c r="B88" s="109">
        <f>_xlfn.COMPOUNDVALUE(253)</f>
        <v>984</v>
      </c>
      <c r="C88" s="170">
        <v>1212371</v>
      </c>
      <c r="D88" s="176">
        <f>_xlfn.COMPOUNDVALUE(254)</f>
        <v>1509</v>
      </c>
      <c r="E88" s="170">
        <v>999648</v>
      </c>
      <c r="F88" s="176">
        <f>_xlfn.COMPOUNDVALUE(255)</f>
        <v>2493</v>
      </c>
      <c r="G88" s="170">
        <v>2212019</v>
      </c>
      <c r="H88" s="176">
        <f>_xlfn.COMPOUNDVALUE(256)</f>
        <v>452</v>
      </c>
      <c r="I88" s="172">
        <v>327621</v>
      </c>
      <c r="J88" s="109">
        <v>156</v>
      </c>
      <c r="K88" s="111">
        <v>84404</v>
      </c>
      <c r="L88" s="109">
        <v>3031</v>
      </c>
      <c r="M88" s="111">
        <v>1968802</v>
      </c>
      <c r="N88" s="74" t="s">
        <v>107</v>
      </c>
    </row>
    <row r="89" spans="1:14" s="81" customFormat="1" ht="15.75" customHeight="1">
      <c r="A89" s="64" t="s">
        <v>108</v>
      </c>
      <c r="B89" s="109">
        <f>_xlfn.COMPOUNDVALUE(257)</f>
        <v>1075</v>
      </c>
      <c r="C89" s="170">
        <v>864255</v>
      </c>
      <c r="D89" s="109">
        <f>_xlfn.COMPOUNDVALUE(258)</f>
        <v>1947</v>
      </c>
      <c r="E89" s="170">
        <v>1043460</v>
      </c>
      <c r="F89" s="176">
        <f>_xlfn.COMPOUNDVALUE(259)</f>
        <v>3022</v>
      </c>
      <c r="G89" s="170">
        <v>1907715</v>
      </c>
      <c r="H89" s="176">
        <f>_xlfn.COMPOUNDVALUE(260)</f>
        <v>178</v>
      </c>
      <c r="I89" s="172">
        <v>155326</v>
      </c>
      <c r="J89" s="109">
        <v>316</v>
      </c>
      <c r="K89" s="111">
        <v>37298</v>
      </c>
      <c r="L89" s="109">
        <v>3367</v>
      </c>
      <c r="M89" s="111">
        <v>1789687</v>
      </c>
      <c r="N89" s="74" t="s">
        <v>108</v>
      </c>
    </row>
    <row r="90" spans="1:14" s="81" customFormat="1" ht="15.75" customHeight="1">
      <c r="A90" s="64" t="s">
        <v>109</v>
      </c>
      <c r="B90" s="176">
        <f>_xlfn.COMPOUNDVALUE(261)</f>
        <v>1411</v>
      </c>
      <c r="C90" s="170">
        <v>1169081</v>
      </c>
      <c r="D90" s="109">
        <f>_xlfn.COMPOUNDVALUE(262)</f>
        <v>2388</v>
      </c>
      <c r="E90" s="170">
        <v>1355410</v>
      </c>
      <c r="F90" s="176">
        <f>_xlfn.COMPOUNDVALUE(263)</f>
        <v>3799</v>
      </c>
      <c r="G90" s="170">
        <v>2524491</v>
      </c>
      <c r="H90" s="176">
        <f>_xlfn.COMPOUNDVALUE(264)</f>
        <v>385</v>
      </c>
      <c r="I90" s="172">
        <v>233959</v>
      </c>
      <c r="J90" s="109">
        <v>318</v>
      </c>
      <c r="K90" s="111">
        <v>81439</v>
      </c>
      <c r="L90" s="109">
        <v>4386</v>
      </c>
      <c r="M90" s="111">
        <v>2371971</v>
      </c>
      <c r="N90" s="74" t="s">
        <v>109</v>
      </c>
    </row>
    <row r="91" spans="1:14" s="81" customFormat="1" ht="15.75" customHeight="1">
      <c r="A91" s="64" t="s">
        <v>110</v>
      </c>
      <c r="B91" s="176">
        <f>_xlfn.COMPOUNDVALUE(265)</f>
        <v>1328</v>
      </c>
      <c r="C91" s="170">
        <v>1512957</v>
      </c>
      <c r="D91" s="109">
        <f>_xlfn.COMPOUNDVALUE(266)</f>
        <v>2289</v>
      </c>
      <c r="E91" s="170">
        <v>1395136</v>
      </c>
      <c r="F91" s="176">
        <f>_xlfn.COMPOUNDVALUE(267)</f>
        <v>3617</v>
      </c>
      <c r="G91" s="170">
        <v>2908093</v>
      </c>
      <c r="H91" s="176">
        <f>_xlfn.COMPOUNDVALUE(268)</f>
        <v>329</v>
      </c>
      <c r="I91" s="172">
        <v>441551</v>
      </c>
      <c r="J91" s="109">
        <v>237</v>
      </c>
      <c r="K91" s="111">
        <v>38716</v>
      </c>
      <c r="L91" s="109">
        <v>4081</v>
      </c>
      <c r="M91" s="111">
        <v>2505258</v>
      </c>
      <c r="N91" s="74" t="s">
        <v>110</v>
      </c>
    </row>
    <row r="92" spans="1:14" s="81" customFormat="1" ht="15.75" customHeight="1">
      <c r="A92" s="64"/>
      <c r="B92" s="176"/>
      <c r="C92" s="170"/>
      <c r="D92" s="109"/>
      <c r="E92" s="170"/>
      <c r="F92" s="176"/>
      <c r="G92" s="170"/>
      <c r="H92" s="176"/>
      <c r="I92" s="172"/>
      <c r="J92" s="109"/>
      <c r="K92" s="111"/>
      <c r="L92" s="109"/>
      <c r="M92" s="111"/>
      <c r="N92" s="74" t="s">
        <v>35</v>
      </c>
    </row>
    <row r="93" spans="1:14" s="81" customFormat="1" ht="15.75" customHeight="1">
      <c r="A93" s="64" t="s">
        <v>111</v>
      </c>
      <c r="B93" s="176">
        <f>_xlfn.COMPOUNDVALUE(269)</f>
        <v>1042</v>
      </c>
      <c r="C93" s="170">
        <v>994588</v>
      </c>
      <c r="D93" s="109">
        <f>_xlfn.COMPOUNDVALUE(270)</f>
        <v>1845</v>
      </c>
      <c r="E93" s="170">
        <v>1067254</v>
      </c>
      <c r="F93" s="176">
        <f>_xlfn.COMPOUNDVALUE(271)</f>
        <v>2887</v>
      </c>
      <c r="G93" s="170">
        <v>2061843</v>
      </c>
      <c r="H93" s="176">
        <f>_xlfn.COMPOUNDVALUE(272)</f>
        <v>204</v>
      </c>
      <c r="I93" s="172">
        <v>243845</v>
      </c>
      <c r="J93" s="109">
        <v>231</v>
      </c>
      <c r="K93" s="111">
        <v>55517</v>
      </c>
      <c r="L93" s="109">
        <v>3255</v>
      </c>
      <c r="M93" s="111">
        <v>1873515</v>
      </c>
      <c r="N93" s="74" t="s">
        <v>111</v>
      </c>
    </row>
    <row r="94" spans="1:14" s="81" customFormat="1" ht="15.75" customHeight="1">
      <c r="A94" s="64" t="s">
        <v>151</v>
      </c>
      <c r="B94" s="176">
        <f>_xlfn.COMPOUNDVALUE(273)</f>
        <v>1727</v>
      </c>
      <c r="C94" s="170">
        <v>1954422</v>
      </c>
      <c r="D94" s="109">
        <f>_xlfn.COMPOUNDVALUE(274)</f>
        <v>3225</v>
      </c>
      <c r="E94" s="170">
        <v>2140336</v>
      </c>
      <c r="F94" s="176">
        <f>_xlfn.COMPOUNDVALUE(275)</f>
        <v>4952</v>
      </c>
      <c r="G94" s="170">
        <v>4094757</v>
      </c>
      <c r="H94" s="176">
        <f>_xlfn.COMPOUNDVALUE(276)</f>
        <v>360</v>
      </c>
      <c r="I94" s="172">
        <v>390254</v>
      </c>
      <c r="J94" s="109">
        <v>339</v>
      </c>
      <c r="K94" s="111">
        <v>52880</v>
      </c>
      <c r="L94" s="109">
        <v>5470</v>
      </c>
      <c r="M94" s="111">
        <v>3757383</v>
      </c>
      <c r="N94" s="74" t="s">
        <v>112</v>
      </c>
    </row>
    <row r="95" spans="1:14" s="81" customFormat="1" ht="15.75" customHeight="1">
      <c r="A95" s="64" t="s">
        <v>113</v>
      </c>
      <c r="B95" s="176">
        <f>_xlfn.COMPOUNDVALUE(277)</f>
        <v>830</v>
      </c>
      <c r="C95" s="170">
        <v>625989</v>
      </c>
      <c r="D95" s="109">
        <f>_xlfn.COMPOUNDVALUE(278)</f>
        <v>1356</v>
      </c>
      <c r="E95" s="170">
        <v>739701</v>
      </c>
      <c r="F95" s="176">
        <f>_xlfn.COMPOUNDVALUE(279)</f>
        <v>2186</v>
      </c>
      <c r="G95" s="170">
        <v>1365689</v>
      </c>
      <c r="H95" s="176">
        <f>_xlfn.COMPOUNDVALUE(280)</f>
        <v>219</v>
      </c>
      <c r="I95" s="172">
        <v>191878</v>
      </c>
      <c r="J95" s="109">
        <v>156</v>
      </c>
      <c r="K95" s="111">
        <v>20024</v>
      </c>
      <c r="L95" s="109">
        <v>2479</v>
      </c>
      <c r="M95" s="111">
        <v>1193836</v>
      </c>
      <c r="N95" s="74" t="s">
        <v>113</v>
      </c>
    </row>
    <row r="96" spans="1:14" s="81" customFormat="1" ht="15.75" customHeight="1">
      <c r="A96" s="64" t="s">
        <v>114</v>
      </c>
      <c r="B96" s="109">
        <f>_xlfn.COMPOUNDVALUE(281)</f>
        <v>1683</v>
      </c>
      <c r="C96" s="170">
        <v>1389727</v>
      </c>
      <c r="D96" s="109">
        <f>_xlfn.COMPOUNDVALUE(282)</f>
        <v>2864</v>
      </c>
      <c r="E96" s="170">
        <v>1735464</v>
      </c>
      <c r="F96" s="109">
        <f>_xlfn.COMPOUNDVALUE(283)</f>
        <v>4547</v>
      </c>
      <c r="G96" s="170">
        <v>3125191</v>
      </c>
      <c r="H96" s="109">
        <f>_xlfn.COMPOUNDVALUE(284)</f>
        <v>307</v>
      </c>
      <c r="I96" s="172">
        <v>240500</v>
      </c>
      <c r="J96" s="109">
        <v>357</v>
      </c>
      <c r="K96" s="111">
        <v>100695</v>
      </c>
      <c r="L96" s="109">
        <v>5072</v>
      </c>
      <c r="M96" s="111">
        <v>2985386</v>
      </c>
      <c r="N96" s="74" t="s">
        <v>114</v>
      </c>
    </row>
    <row r="97" spans="1:14" s="81" customFormat="1" ht="15.75" customHeight="1">
      <c r="A97" s="64" t="s">
        <v>115</v>
      </c>
      <c r="B97" s="109">
        <f>_xlfn.COMPOUNDVALUE(285)</f>
        <v>917</v>
      </c>
      <c r="C97" s="170">
        <v>815905</v>
      </c>
      <c r="D97" s="109">
        <f>_xlfn.COMPOUNDVALUE(286)</f>
        <v>1498</v>
      </c>
      <c r="E97" s="170">
        <v>869253</v>
      </c>
      <c r="F97" s="109">
        <f>_xlfn.COMPOUNDVALUE(287)</f>
        <v>2415</v>
      </c>
      <c r="G97" s="170">
        <v>1685159</v>
      </c>
      <c r="H97" s="109">
        <f>_xlfn.COMPOUNDVALUE(288)</f>
        <v>177</v>
      </c>
      <c r="I97" s="172">
        <v>174142</v>
      </c>
      <c r="J97" s="109">
        <v>221</v>
      </c>
      <c r="K97" s="111">
        <v>46615</v>
      </c>
      <c r="L97" s="109">
        <v>2729</v>
      </c>
      <c r="M97" s="111">
        <v>1557632</v>
      </c>
      <c r="N97" s="74" t="s">
        <v>115</v>
      </c>
    </row>
    <row r="98" spans="1:14" s="81" customFormat="1" ht="15.75" customHeight="1">
      <c r="A98" s="64"/>
      <c r="B98" s="109"/>
      <c r="C98" s="170"/>
      <c r="D98" s="109"/>
      <c r="E98" s="170"/>
      <c r="F98" s="109"/>
      <c r="G98" s="170"/>
      <c r="H98" s="109"/>
      <c r="I98" s="172"/>
      <c r="J98" s="109"/>
      <c r="K98" s="111"/>
      <c r="L98" s="109"/>
      <c r="M98" s="111"/>
      <c r="N98" s="74" t="s">
        <v>35</v>
      </c>
    </row>
    <row r="99" spans="1:14" s="81" customFormat="1" ht="15.75" customHeight="1">
      <c r="A99" s="64" t="s">
        <v>116</v>
      </c>
      <c r="B99" s="109">
        <f>_xlfn.COMPOUNDVALUE(289)</f>
        <v>865</v>
      </c>
      <c r="C99" s="170">
        <v>586454</v>
      </c>
      <c r="D99" s="109">
        <f>_xlfn.COMPOUNDVALUE(290)</f>
        <v>2070</v>
      </c>
      <c r="E99" s="170">
        <v>889088</v>
      </c>
      <c r="F99" s="109">
        <f>_xlfn.COMPOUNDVALUE(291)</f>
        <v>2935</v>
      </c>
      <c r="G99" s="170">
        <v>1475542</v>
      </c>
      <c r="H99" s="109">
        <f>_xlfn.COMPOUNDVALUE(292)</f>
        <v>185</v>
      </c>
      <c r="I99" s="172">
        <v>65331</v>
      </c>
      <c r="J99" s="109">
        <v>284</v>
      </c>
      <c r="K99" s="111">
        <v>38832</v>
      </c>
      <c r="L99" s="109">
        <v>3221</v>
      </c>
      <c r="M99" s="111">
        <v>1449043</v>
      </c>
      <c r="N99" s="74" t="s">
        <v>116</v>
      </c>
    </row>
    <row r="100" spans="1:14" s="81" customFormat="1" ht="15.75" customHeight="1">
      <c r="A100" s="64" t="s">
        <v>117</v>
      </c>
      <c r="B100" s="109">
        <f>_xlfn.COMPOUNDVALUE(293)</f>
        <v>1124</v>
      </c>
      <c r="C100" s="170">
        <v>716454</v>
      </c>
      <c r="D100" s="109">
        <f>_xlfn.COMPOUNDVALUE(294)</f>
        <v>2193</v>
      </c>
      <c r="E100" s="170">
        <v>1088109</v>
      </c>
      <c r="F100" s="109">
        <f>_xlfn.COMPOUNDVALUE(295)</f>
        <v>3317</v>
      </c>
      <c r="G100" s="170">
        <v>1804563</v>
      </c>
      <c r="H100" s="109">
        <f>_xlfn.COMPOUNDVALUE(296)</f>
        <v>222</v>
      </c>
      <c r="I100" s="172">
        <v>169289</v>
      </c>
      <c r="J100" s="109">
        <v>304</v>
      </c>
      <c r="K100" s="111">
        <v>44319</v>
      </c>
      <c r="L100" s="109">
        <v>3660</v>
      </c>
      <c r="M100" s="111">
        <v>1679593</v>
      </c>
      <c r="N100" s="74" t="s">
        <v>117</v>
      </c>
    </row>
    <row r="101" spans="1:14" s="81" customFormat="1" ht="15.75" customHeight="1">
      <c r="A101" s="66" t="s">
        <v>118</v>
      </c>
      <c r="B101" s="112">
        <f>_xlfn.COMPOUNDVALUE(297)</f>
        <v>760</v>
      </c>
      <c r="C101" s="171">
        <v>669001</v>
      </c>
      <c r="D101" s="112">
        <f>_xlfn.COMPOUNDVALUE(298)</f>
        <v>1385</v>
      </c>
      <c r="E101" s="171">
        <v>790290</v>
      </c>
      <c r="F101" s="112">
        <f>_xlfn.COMPOUNDVALUE(299)</f>
        <v>2145</v>
      </c>
      <c r="G101" s="171">
        <v>1459291</v>
      </c>
      <c r="H101" s="112">
        <f>_xlfn.COMPOUNDVALUE(300)</f>
        <v>224</v>
      </c>
      <c r="I101" s="173">
        <v>101926</v>
      </c>
      <c r="J101" s="112">
        <v>202</v>
      </c>
      <c r="K101" s="114">
        <v>36465</v>
      </c>
      <c r="L101" s="112">
        <v>2485</v>
      </c>
      <c r="M101" s="114">
        <v>1393829</v>
      </c>
      <c r="N101" s="65" t="s">
        <v>118</v>
      </c>
    </row>
    <row r="102" spans="1:14" s="81" customFormat="1" ht="15.75" customHeight="1">
      <c r="A102" s="66" t="s">
        <v>119</v>
      </c>
      <c r="B102" s="112">
        <f>_xlfn.COMPOUNDVALUE(301)</f>
        <v>1696</v>
      </c>
      <c r="C102" s="171">
        <v>1592169</v>
      </c>
      <c r="D102" s="112">
        <f>_xlfn.COMPOUNDVALUE(302)</f>
        <v>3051</v>
      </c>
      <c r="E102" s="171">
        <v>1683573</v>
      </c>
      <c r="F102" s="112">
        <f>_xlfn.COMPOUNDVALUE(303)</f>
        <v>4747</v>
      </c>
      <c r="G102" s="171">
        <v>3275742</v>
      </c>
      <c r="H102" s="112">
        <f>_xlfn.COMPOUNDVALUE(304)</f>
        <v>413</v>
      </c>
      <c r="I102" s="173">
        <v>296770</v>
      </c>
      <c r="J102" s="112">
        <v>337</v>
      </c>
      <c r="K102" s="114">
        <v>89916</v>
      </c>
      <c r="L102" s="112">
        <v>5357</v>
      </c>
      <c r="M102" s="114">
        <v>3068888</v>
      </c>
      <c r="N102" s="65" t="s">
        <v>119</v>
      </c>
    </row>
    <row r="103" spans="1:14" s="81" customFormat="1" ht="15.75" customHeight="1">
      <c r="A103" s="66" t="s">
        <v>120</v>
      </c>
      <c r="B103" s="112">
        <f>_xlfn.COMPOUNDVALUE(305)</f>
        <v>813</v>
      </c>
      <c r="C103" s="171">
        <v>501260</v>
      </c>
      <c r="D103" s="112">
        <f>_xlfn.COMPOUNDVALUE(306)</f>
        <v>1518</v>
      </c>
      <c r="E103" s="171">
        <v>712249</v>
      </c>
      <c r="F103" s="112">
        <f>_xlfn.COMPOUNDVALUE(307)</f>
        <v>2331</v>
      </c>
      <c r="G103" s="171">
        <v>1213509</v>
      </c>
      <c r="H103" s="112">
        <f>_xlfn.COMPOUNDVALUE(308)</f>
        <v>204</v>
      </c>
      <c r="I103" s="173">
        <v>61331</v>
      </c>
      <c r="J103" s="112">
        <v>104</v>
      </c>
      <c r="K103" s="114">
        <v>21092</v>
      </c>
      <c r="L103" s="112">
        <v>2592</v>
      </c>
      <c r="M103" s="114">
        <v>1173270</v>
      </c>
      <c r="N103" s="65" t="s">
        <v>120</v>
      </c>
    </row>
    <row r="104" spans="1:14" s="81" customFormat="1" ht="15.75" customHeight="1">
      <c r="A104" s="66"/>
      <c r="B104" s="112"/>
      <c r="C104" s="113"/>
      <c r="D104" s="112"/>
      <c r="E104" s="171"/>
      <c r="F104" s="112"/>
      <c r="G104" s="113"/>
      <c r="H104" s="112"/>
      <c r="I104" s="173"/>
      <c r="J104" s="112"/>
      <c r="K104" s="114"/>
      <c r="L104" s="112"/>
      <c r="M104" s="114"/>
      <c r="N104" s="65" t="s">
        <v>35</v>
      </c>
    </row>
    <row r="105" spans="1:14" s="81" customFormat="1" ht="15.75" customHeight="1">
      <c r="A105" s="66" t="s">
        <v>121</v>
      </c>
      <c r="B105" s="112">
        <f>_xlfn.COMPOUNDVALUE(309)</f>
        <v>1503</v>
      </c>
      <c r="C105" s="171">
        <v>1148448</v>
      </c>
      <c r="D105" s="174">
        <f>_xlfn.COMPOUNDVALUE(310)</f>
        <v>2690</v>
      </c>
      <c r="E105" s="171">
        <v>1550474</v>
      </c>
      <c r="F105" s="174">
        <f>_xlfn.COMPOUNDVALUE(311)</f>
        <v>4193</v>
      </c>
      <c r="G105" s="171">
        <v>2698922</v>
      </c>
      <c r="H105" s="112">
        <f>_xlfn.COMPOUNDVALUE(312)</f>
        <v>256</v>
      </c>
      <c r="I105" s="173">
        <v>237798</v>
      </c>
      <c r="J105" s="112">
        <v>262</v>
      </c>
      <c r="K105" s="114">
        <v>55459</v>
      </c>
      <c r="L105" s="112">
        <v>4629</v>
      </c>
      <c r="M105" s="114">
        <v>2516583</v>
      </c>
      <c r="N105" s="65" t="s">
        <v>121</v>
      </c>
    </row>
    <row r="106" spans="1:14" s="81" customFormat="1" ht="15.75" customHeight="1">
      <c r="A106" s="66" t="s">
        <v>122</v>
      </c>
      <c r="B106" s="112">
        <f>_xlfn.COMPOUNDVALUE(313)</f>
        <v>659</v>
      </c>
      <c r="C106" s="171">
        <v>456045</v>
      </c>
      <c r="D106" s="174">
        <f>_xlfn.COMPOUNDVALUE(314)</f>
        <v>1229</v>
      </c>
      <c r="E106" s="171">
        <v>658081</v>
      </c>
      <c r="F106" s="174">
        <f>_xlfn.COMPOUNDVALUE(315)</f>
        <v>1888</v>
      </c>
      <c r="G106" s="171">
        <v>1114126</v>
      </c>
      <c r="H106" s="112">
        <f>_xlfn.COMPOUNDVALUE(316)</f>
        <v>116</v>
      </c>
      <c r="I106" s="173">
        <v>100853</v>
      </c>
      <c r="J106" s="112">
        <v>192</v>
      </c>
      <c r="K106" s="114">
        <v>55017</v>
      </c>
      <c r="L106" s="112">
        <v>2120</v>
      </c>
      <c r="M106" s="114">
        <v>1068290</v>
      </c>
      <c r="N106" s="65" t="s">
        <v>122</v>
      </c>
    </row>
    <row r="107" spans="1:14" s="81" customFormat="1" ht="15.75" customHeight="1">
      <c r="A107" s="66" t="s">
        <v>123</v>
      </c>
      <c r="B107" s="112">
        <f>_xlfn.COMPOUNDVALUE(317)</f>
        <v>1192</v>
      </c>
      <c r="C107" s="171">
        <v>915964</v>
      </c>
      <c r="D107" s="174">
        <f>_xlfn.COMPOUNDVALUE(318)</f>
        <v>2208</v>
      </c>
      <c r="E107" s="171">
        <v>1235901</v>
      </c>
      <c r="F107" s="174">
        <f>_xlfn.COMPOUNDVALUE(319)</f>
        <v>3400</v>
      </c>
      <c r="G107" s="171">
        <v>2151865</v>
      </c>
      <c r="H107" s="112">
        <f>_xlfn.COMPOUNDVALUE(320)</f>
        <v>205</v>
      </c>
      <c r="I107" s="173">
        <v>133674</v>
      </c>
      <c r="J107" s="112">
        <v>247</v>
      </c>
      <c r="K107" s="114">
        <v>52157</v>
      </c>
      <c r="L107" s="112">
        <v>3760</v>
      </c>
      <c r="M107" s="114">
        <v>2070348</v>
      </c>
      <c r="N107" s="65" t="s">
        <v>123</v>
      </c>
    </row>
    <row r="108" spans="1:14" s="81" customFormat="1" ht="15.75" customHeight="1">
      <c r="A108" s="130" t="s">
        <v>142</v>
      </c>
      <c r="B108" s="175">
        <v>20192</v>
      </c>
      <c r="C108" s="179">
        <v>17508047</v>
      </c>
      <c r="D108" s="175">
        <v>36246</v>
      </c>
      <c r="E108" s="179">
        <v>20461869</v>
      </c>
      <c r="F108" s="175">
        <v>56438</v>
      </c>
      <c r="G108" s="179">
        <v>37969916</v>
      </c>
      <c r="H108" s="175">
        <v>4580</v>
      </c>
      <c r="I108" s="182">
        <v>3770080</v>
      </c>
      <c r="J108" s="131">
        <v>4396</v>
      </c>
      <c r="K108" s="133">
        <v>944858</v>
      </c>
      <c r="L108" s="131">
        <v>63472</v>
      </c>
      <c r="M108" s="133">
        <v>35144694</v>
      </c>
      <c r="N108" s="134" t="s">
        <v>125</v>
      </c>
    </row>
    <row r="109" spans="1:14" s="81" customFormat="1" ht="15.75" customHeight="1">
      <c r="A109" s="135"/>
      <c r="B109" s="136"/>
      <c r="C109" s="137"/>
      <c r="D109" s="136"/>
      <c r="E109" s="137"/>
      <c r="F109" s="138"/>
      <c r="G109" s="137"/>
      <c r="H109" s="187"/>
      <c r="I109" s="137"/>
      <c r="J109" s="138"/>
      <c r="K109" s="137"/>
      <c r="L109" s="138"/>
      <c r="M109" s="137"/>
      <c r="N109" s="139"/>
    </row>
    <row r="110" spans="1:14" s="81" customFormat="1" ht="15.75" customHeight="1">
      <c r="A110" s="64" t="s">
        <v>126</v>
      </c>
      <c r="B110" s="109">
        <f>_xlfn.COMPOUNDVALUE(321)</f>
        <v>1877</v>
      </c>
      <c r="C110" s="170">
        <v>1439407</v>
      </c>
      <c r="D110" s="176">
        <f>_xlfn.COMPOUNDVALUE(322)</f>
        <v>2812</v>
      </c>
      <c r="E110" s="170">
        <v>1333500</v>
      </c>
      <c r="F110" s="176">
        <f>_xlfn.COMPOUNDVALUE(323)</f>
        <v>4689</v>
      </c>
      <c r="G110" s="170">
        <v>2772907</v>
      </c>
      <c r="H110" s="176">
        <f>_xlfn.COMPOUNDVALUE(324)</f>
        <v>212</v>
      </c>
      <c r="I110" s="172">
        <v>114586</v>
      </c>
      <c r="J110" s="109">
        <v>354</v>
      </c>
      <c r="K110" s="111">
        <v>113102</v>
      </c>
      <c r="L110" s="109">
        <v>5110</v>
      </c>
      <c r="M110" s="111">
        <v>2771424</v>
      </c>
      <c r="N110" s="74" t="s">
        <v>126</v>
      </c>
    </row>
    <row r="111" spans="1:14" s="81" customFormat="1" ht="15.75" customHeight="1">
      <c r="A111" s="66" t="s">
        <v>127</v>
      </c>
      <c r="B111" s="112">
        <f>_xlfn.COMPOUNDVALUE(325)</f>
        <v>572</v>
      </c>
      <c r="C111" s="171">
        <v>393171</v>
      </c>
      <c r="D111" s="174">
        <f>_xlfn.COMPOUNDVALUE(326)</f>
        <v>1432</v>
      </c>
      <c r="E111" s="171">
        <v>501422</v>
      </c>
      <c r="F111" s="174">
        <f>_xlfn.COMPOUNDVALUE(327)</f>
        <v>2004</v>
      </c>
      <c r="G111" s="171">
        <v>894593</v>
      </c>
      <c r="H111" s="174">
        <f>_xlfn.COMPOUNDVALUE(328)</f>
        <v>63</v>
      </c>
      <c r="I111" s="173">
        <v>17830</v>
      </c>
      <c r="J111" s="112">
        <v>111</v>
      </c>
      <c r="K111" s="114">
        <v>9043</v>
      </c>
      <c r="L111" s="112">
        <v>2123</v>
      </c>
      <c r="M111" s="114">
        <v>885806</v>
      </c>
      <c r="N111" s="65" t="s">
        <v>127</v>
      </c>
    </row>
    <row r="112" spans="1:14" s="81" customFormat="1" ht="15.75" customHeight="1">
      <c r="A112" s="66" t="s">
        <v>128</v>
      </c>
      <c r="B112" s="112">
        <f>_xlfn.COMPOUNDVALUE(329)</f>
        <v>821</v>
      </c>
      <c r="C112" s="171">
        <v>534768</v>
      </c>
      <c r="D112" s="174">
        <f>_xlfn.COMPOUNDVALUE(330)</f>
        <v>1230</v>
      </c>
      <c r="E112" s="171">
        <v>566354</v>
      </c>
      <c r="F112" s="174">
        <f>_xlfn.COMPOUNDVALUE(331)</f>
        <v>2051</v>
      </c>
      <c r="G112" s="171">
        <v>1101121</v>
      </c>
      <c r="H112" s="174">
        <f>_xlfn.COMPOUNDVALUE(332)</f>
        <v>135</v>
      </c>
      <c r="I112" s="173">
        <v>57748</v>
      </c>
      <c r="J112" s="112">
        <v>104</v>
      </c>
      <c r="K112" s="114">
        <v>9102</v>
      </c>
      <c r="L112" s="112">
        <v>2240</v>
      </c>
      <c r="M112" s="114">
        <v>1052476</v>
      </c>
      <c r="N112" s="65" t="s">
        <v>128</v>
      </c>
    </row>
    <row r="113" spans="1:14" s="81" customFormat="1" ht="15.75" customHeight="1">
      <c r="A113" s="66" t="s">
        <v>129</v>
      </c>
      <c r="B113" s="112">
        <f>_xlfn.COMPOUNDVALUE(333)</f>
        <v>183</v>
      </c>
      <c r="C113" s="171">
        <v>131079</v>
      </c>
      <c r="D113" s="174">
        <f>_xlfn.COMPOUNDVALUE(334)</f>
        <v>336</v>
      </c>
      <c r="E113" s="171">
        <v>144501</v>
      </c>
      <c r="F113" s="174">
        <f>_xlfn.COMPOUNDVALUE(335)</f>
        <v>519</v>
      </c>
      <c r="G113" s="171">
        <v>275580</v>
      </c>
      <c r="H113" s="174">
        <f>_xlfn.COMPOUNDVALUE(336)</f>
        <v>13</v>
      </c>
      <c r="I113" s="173">
        <v>2734</v>
      </c>
      <c r="J113" s="112">
        <v>50</v>
      </c>
      <c r="K113" s="114">
        <v>7007</v>
      </c>
      <c r="L113" s="112">
        <v>543</v>
      </c>
      <c r="M113" s="114">
        <v>279853</v>
      </c>
      <c r="N113" s="65" t="s">
        <v>129</v>
      </c>
    </row>
    <row r="114" spans="1:14" s="81" customFormat="1" ht="15.75" customHeight="1">
      <c r="A114" s="67" t="s">
        <v>130</v>
      </c>
      <c r="B114" s="115">
        <v>3453</v>
      </c>
      <c r="C114" s="116">
        <v>2498425</v>
      </c>
      <c r="D114" s="115">
        <v>5810</v>
      </c>
      <c r="E114" s="116">
        <v>2545776</v>
      </c>
      <c r="F114" s="115">
        <v>9263</v>
      </c>
      <c r="G114" s="116">
        <v>5044202</v>
      </c>
      <c r="H114" s="115">
        <v>423</v>
      </c>
      <c r="I114" s="117">
        <v>192897</v>
      </c>
      <c r="J114" s="115">
        <v>619</v>
      </c>
      <c r="K114" s="117">
        <v>138254</v>
      </c>
      <c r="L114" s="115">
        <v>10016</v>
      </c>
      <c r="M114" s="117">
        <v>4989559</v>
      </c>
      <c r="N114" s="72" t="s">
        <v>131</v>
      </c>
    </row>
    <row r="115" spans="1:15" s="81" customFormat="1" ht="15.75" customHeight="1" thickBot="1">
      <c r="A115" s="68"/>
      <c r="B115" s="118"/>
      <c r="C115" s="119"/>
      <c r="D115" s="118"/>
      <c r="E115" s="119"/>
      <c r="F115" s="120"/>
      <c r="G115" s="119"/>
      <c r="H115" s="120"/>
      <c r="I115" s="119"/>
      <c r="J115" s="120"/>
      <c r="K115" s="119"/>
      <c r="L115" s="120"/>
      <c r="M115" s="119"/>
      <c r="N115" s="78"/>
      <c r="O115" s="82"/>
    </row>
    <row r="116" spans="1:14" s="81" customFormat="1" ht="15.75" customHeight="1" thickBot="1" thickTop="1">
      <c r="A116" s="70" t="s">
        <v>143</v>
      </c>
      <c r="B116" s="188">
        <v>85595</v>
      </c>
      <c r="C116" s="122">
        <v>94726616</v>
      </c>
      <c r="D116" s="188">
        <v>145738</v>
      </c>
      <c r="E116" s="189">
        <v>84793345</v>
      </c>
      <c r="F116" s="188">
        <v>231333</v>
      </c>
      <c r="G116" s="122">
        <v>179519960</v>
      </c>
      <c r="H116" s="188">
        <v>20204</v>
      </c>
      <c r="I116" s="123">
        <v>15499782</v>
      </c>
      <c r="J116" s="121">
        <v>19095</v>
      </c>
      <c r="K116" s="123">
        <v>4305753</v>
      </c>
      <c r="L116" s="121">
        <v>261954</v>
      </c>
      <c r="M116" s="123">
        <v>168325931</v>
      </c>
      <c r="N116" s="79" t="s">
        <v>34</v>
      </c>
    </row>
    <row r="117" spans="1:14" ht="15" customHeight="1">
      <c r="A117" s="270" t="s">
        <v>159</v>
      </c>
      <c r="B117" s="270"/>
      <c r="C117" s="270"/>
      <c r="D117" s="270"/>
      <c r="E117" s="270"/>
      <c r="F117" s="270"/>
      <c r="G117" s="270"/>
      <c r="H117" s="270"/>
      <c r="I117" s="270"/>
      <c r="J117" s="54"/>
      <c r="K117" s="54"/>
      <c r="L117" s="53"/>
      <c r="M117" s="53"/>
      <c r="N117" s="53"/>
    </row>
    <row r="119" spans="2:10" ht="13.5">
      <c r="B119" s="125"/>
      <c r="C119" s="125"/>
      <c r="D119" s="125"/>
      <c r="E119" s="125"/>
      <c r="F119" s="125"/>
      <c r="G119" s="125"/>
      <c r="H119" s="125"/>
      <c r="J119" s="125"/>
    </row>
    <row r="120" spans="2:10" ht="13.5">
      <c r="B120" s="125"/>
      <c r="C120" s="125"/>
      <c r="D120" s="125"/>
      <c r="E120" s="125"/>
      <c r="F120" s="125"/>
      <c r="G120" s="125"/>
      <c r="H120" s="125"/>
      <c r="J120" s="125"/>
    </row>
    <row r="121" spans="2:10" ht="13.5">
      <c r="B121" s="125"/>
      <c r="C121" s="125"/>
      <c r="D121" s="125"/>
      <c r="E121" s="125"/>
      <c r="F121" s="125"/>
      <c r="G121" s="125"/>
      <c r="H121" s="125"/>
      <c r="J121" s="125"/>
    </row>
    <row r="122" spans="2:10" ht="13.5">
      <c r="B122" s="125"/>
      <c r="C122" s="125"/>
      <c r="D122" s="125"/>
      <c r="E122" s="125"/>
      <c r="F122" s="125"/>
      <c r="G122" s="125"/>
      <c r="H122" s="125"/>
      <c r="J122" s="125"/>
    </row>
    <row r="123" spans="2:10" ht="13.5">
      <c r="B123" s="125"/>
      <c r="C123" s="125"/>
      <c r="D123" s="125"/>
      <c r="E123" s="125"/>
      <c r="F123" s="125"/>
      <c r="G123" s="125"/>
      <c r="H123" s="125"/>
      <c r="J123" s="125"/>
    </row>
    <row r="124" spans="2:10" ht="13.5">
      <c r="B124" s="125"/>
      <c r="C124" s="125"/>
      <c r="D124" s="125"/>
      <c r="E124" s="125"/>
      <c r="F124" s="125"/>
      <c r="G124" s="125"/>
      <c r="H124" s="125"/>
      <c r="J124" s="125"/>
    </row>
    <row r="125" spans="2:10" ht="13.5">
      <c r="B125" s="125"/>
      <c r="C125" s="125"/>
      <c r="D125" s="125"/>
      <c r="E125" s="125"/>
      <c r="F125" s="125"/>
      <c r="G125" s="125"/>
      <c r="H125" s="125"/>
      <c r="J125" s="125"/>
    </row>
    <row r="126" spans="2:10" ht="13.5">
      <c r="B126" s="125"/>
      <c r="C126" s="125"/>
      <c r="D126" s="125"/>
      <c r="E126" s="125"/>
      <c r="F126" s="125"/>
      <c r="G126" s="125"/>
      <c r="H126" s="125"/>
      <c r="J126" s="125"/>
    </row>
    <row r="127" spans="2:10" ht="13.5">
      <c r="B127" s="125"/>
      <c r="C127" s="125"/>
      <c r="D127" s="125"/>
      <c r="E127" s="125"/>
      <c r="F127" s="125"/>
      <c r="G127" s="125"/>
      <c r="H127" s="125"/>
      <c r="J127" s="125"/>
    </row>
    <row r="128" spans="2:10" ht="13.5">
      <c r="B128" s="125"/>
      <c r="C128" s="125"/>
      <c r="D128" s="125"/>
      <c r="E128" s="125"/>
      <c r="F128" s="125"/>
      <c r="G128" s="125"/>
      <c r="H128" s="125"/>
      <c r="J128" s="125"/>
    </row>
    <row r="129" spans="2:10" ht="13.5">
      <c r="B129" s="125"/>
      <c r="C129" s="125"/>
      <c r="D129" s="125"/>
      <c r="E129" s="125"/>
      <c r="F129" s="125"/>
      <c r="G129" s="125"/>
      <c r="H129" s="125"/>
      <c r="J129" s="125"/>
    </row>
    <row r="130" spans="2:10" ht="13.5">
      <c r="B130" s="125"/>
      <c r="C130" s="125"/>
      <c r="D130" s="125"/>
      <c r="E130" s="125"/>
      <c r="F130" s="125"/>
      <c r="G130" s="125"/>
      <c r="H130" s="125"/>
      <c r="J130" s="125"/>
    </row>
    <row r="131" spans="2:10" ht="13.5">
      <c r="B131" s="125"/>
      <c r="C131" s="125"/>
      <c r="D131" s="125"/>
      <c r="E131" s="125"/>
      <c r="F131" s="125"/>
      <c r="G131" s="125"/>
      <c r="H131" s="125"/>
      <c r="J131" s="125"/>
    </row>
  </sheetData>
  <sheetProtection/>
  <mergeCells count="11">
    <mergeCell ref="A2:G2"/>
    <mergeCell ref="A3:A5"/>
    <mergeCell ref="B3:G3"/>
    <mergeCell ref="H3:I4"/>
    <mergeCell ref="J3:K4"/>
    <mergeCell ref="L3:M4"/>
    <mergeCell ref="N3:N5"/>
    <mergeCell ref="B4:C4"/>
    <mergeCell ref="D4:E4"/>
    <mergeCell ref="F4:G4"/>
    <mergeCell ref="A117:I117"/>
  </mergeCells>
  <printOptions horizontalCentered="1"/>
  <pageMargins left="0.7874015748031497" right="0.7874015748031497" top="0.7874015748031497" bottom="0.7874015748031497" header="0.5118110236220472" footer="0.35433070866141736"/>
  <pageSetup fitToHeight="0" horizontalDpi="600" verticalDpi="600" orientation="landscape" paperSize="9" scale="65" r:id="rId1"/>
  <headerFooter alignWithMargins="0">
    <oddFooter>&amp;R&amp;K01+000東京国税局
消費税
(R03)</oddFooter>
  </headerFooter>
  <rowBreaks count="2" manualBreakCount="2">
    <brk id="42" max="13" man="1"/>
    <brk id="79" max="13" man="1"/>
  </rowBreaks>
</worksheet>
</file>

<file path=xl/worksheets/sheet5.xml><?xml version="1.0" encoding="utf-8"?>
<worksheet xmlns="http://schemas.openxmlformats.org/spreadsheetml/2006/main" xmlns:r="http://schemas.openxmlformats.org/officeDocument/2006/relationships">
  <dimension ref="A1:N117"/>
  <sheetViews>
    <sheetView showGridLines="0" zoomScaleSheetLayoutView="85" workbookViewId="0" topLeftCell="A115">
      <selection activeCell="E20" sqref="E20"/>
    </sheetView>
  </sheetViews>
  <sheetFormatPr defaultColWidth="9.00390625" defaultRowHeight="13.5"/>
  <cols>
    <col min="1" max="1" width="11.125" style="108" customWidth="1"/>
    <col min="2" max="2" width="10.625" style="108" customWidth="1"/>
    <col min="3" max="3" width="12.625" style="108" customWidth="1"/>
    <col min="4" max="4" width="10.625" style="108" customWidth="1"/>
    <col min="5" max="5" width="12.625" style="108" customWidth="1"/>
    <col min="6" max="6" width="10.625" style="108" customWidth="1"/>
    <col min="7" max="7" width="12.625" style="108" customWidth="1"/>
    <col min="8" max="8" width="10.625" style="108" customWidth="1"/>
    <col min="9" max="9" width="12.625" style="108" customWidth="1"/>
    <col min="10" max="10" width="10.625" style="108" customWidth="1"/>
    <col min="11" max="11" width="12.625" style="108" customWidth="1"/>
    <col min="12" max="12" width="10.625" style="108" customWidth="1"/>
    <col min="13" max="13" width="12.625" style="108" customWidth="1"/>
    <col min="14" max="14" width="11.375" style="108" customWidth="1"/>
    <col min="15" max="16384" width="9.00390625" style="108" customWidth="1"/>
  </cols>
  <sheetData>
    <row r="1" spans="1:13" ht="13.5">
      <c r="A1" s="52" t="s">
        <v>163</v>
      </c>
      <c r="B1" s="52"/>
      <c r="C1" s="52"/>
      <c r="D1" s="52"/>
      <c r="E1" s="52"/>
      <c r="F1" s="52"/>
      <c r="G1" s="52"/>
      <c r="H1" s="52"/>
      <c r="I1" s="52"/>
      <c r="J1" s="52"/>
      <c r="K1" s="52"/>
      <c r="L1" s="53"/>
      <c r="M1" s="53"/>
    </row>
    <row r="2" spans="1:13" ht="14.25" thickBot="1">
      <c r="A2" s="278" t="s">
        <v>132</v>
      </c>
      <c r="B2" s="278"/>
      <c r="C2" s="278"/>
      <c r="D2" s="278"/>
      <c r="E2" s="278"/>
      <c r="F2" s="278"/>
      <c r="G2" s="278"/>
      <c r="H2" s="278"/>
      <c r="I2" s="278"/>
      <c r="J2" s="54"/>
      <c r="K2" s="54"/>
      <c r="L2" s="53"/>
      <c r="M2" s="53"/>
    </row>
    <row r="3" spans="1:14" ht="19.5" customHeight="1">
      <c r="A3" s="272" t="s">
        <v>24</v>
      </c>
      <c r="B3" s="275" t="s">
        <v>25</v>
      </c>
      <c r="C3" s="275"/>
      <c r="D3" s="275"/>
      <c r="E3" s="275"/>
      <c r="F3" s="275"/>
      <c r="G3" s="275"/>
      <c r="H3" s="261" t="s">
        <v>11</v>
      </c>
      <c r="I3" s="262"/>
      <c r="J3" s="276" t="s">
        <v>26</v>
      </c>
      <c r="K3" s="262"/>
      <c r="L3" s="261" t="s">
        <v>27</v>
      </c>
      <c r="M3" s="262"/>
      <c r="N3" s="265" t="s">
        <v>28</v>
      </c>
    </row>
    <row r="4" spans="1:14" ht="17.25" customHeight="1">
      <c r="A4" s="273"/>
      <c r="B4" s="263" t="s">
        <v>13</v>
      </c>
      <c r="C4" s="269"/>
      <c r="D4" s="263" t="s">
        <v>29</v>
      </c>
      <c r="E4" s="269"/>
      <c r="F4" s="263" t="s">
        <v>30</v>
      </c>
      <c r="G4" s="269"/>
      <c r="H4" s="263"/>
      <c r="I4" s="264"/>
      <c r="J4" s="263"/>
      <c r="K4" s="264"/>
      <c r="L4" s="263"/>
      <c r="M4" s="264"/>
      <c r="N4" s="266"/>
    </row>
    <row r="5" spans="1:14" ht="28.5" customHeight="1">
      <c r="A5" s="274"/>
      <c r="B5" s="55" t="s">
        <v>33</v>
      </c>
      <c r="C5" s="56" t="s">
        <v>135</v>
      </c>
      <c r="D5" s="55" t="s">
        <v>33</v>
      </c>
      <c r="E5" s="56" t="s">
        <v>135</v>
      </c>
      <c r="F5" s="55" t="s">
        <v>33</v>
      </c>
      <c r="G5" s="56" t="s">
        <v>136</v>
      </c>
      <c r="H5" s="55" t="s">
        <v>33</v>
      </c>
      <c r="I5" s="75" t="s">
        <v>137</v>
      </c>
      <c r="J5" s="55" t="s">
        <v>33</v>
      </c>
      <c r="K5" s="75" t="s">
        <v>138</v>
      </c>
      <c r="L5" s="55" t="s">
        <v>33</v>
      </c>
      <c r="M5" s="76" t="s">
        <v>139</v>
      </c>
      <c r="N5" s="267"/>
    </row>
    <row r="6" spans="1:14" s="83" customFormat="1" ht="10.5">
      <c r="A6" s="89"/>
      <c r="B6" s="59" t="s">
        <v>3</v>
      </c>
      <c r="C6" s="60" t="s">
        <v>4</v>
      </c>
      <c r="D6" s="59" t="s">
        <v>3</v>
      </c>
      <c r="E6" s="60" t="s">
        <v>4</v>
      </c>
      <c r="F6" s="59" t="s">
        <v>3</v>
      </c>
      <c r="G6" s="60" t="s">
        <v>4</v>
      </c>
      <c r="H6" s="59" t="s">
        <v>3</v>
      </c>
      <c r="I6" s="77" t="s">
        <v>4</v>
      </c>
      <c r="J6" s="59" t="s">
        <v>3</v>
      </c>
      <c r="K6" s="77" t="s">
        <v>4</v>
      </c>
      <c r="L6" s="59" t="s">
        <v>161</v>
      </c>
      <c r="M6" s="77" t="s">
        <v>4</v>
      </c>
      <c r="N6" s="84"/>
    </row>
    <row r="7" spans="1:14" ht="15.75" customHeight="1">
      <c r="A7" s="87" t="s">
        <v>36</v>
      </c>
      <c r="B7" s="109">
        <f>_xlfn.COMPOUNDVALUE(337)</f>
        <v>4777</v>
      </c>
      <c r="C7" s="110">
        <v>55417125</v>
      </c>
      <c r="D7" s="109">
        <f>_xlfn.COMPOUNDVALUE(338)</f>
        <v>1857</v>
      </c>
      <c r="E7" s="110">
        <v>1444315</v>
      </c>
      <c r="F7" s="109">
        <f>_xlfn.COMPOUNDVALUE(339)</f>
        <v>6634</v>
      </c>
      <c r="G7" s="110">
        <v>56861440</v>
      </c>
      <c r="H7" s="109">
        <f>_xlfn.COMPOUNDVALUE(340)</f>
        <v>737</v>
      </c>
      <c r="I7" s="111">
        <v>2862991</v>
      </c>
      <c r="J7" s="109">
        <v>272</v>
      </c>
      <c r="K7" s="111">
        <v>82581</v>
      </c>
      <c r="L7" s="109">
        <v>7478</v>
      </c>
      <c r="M7" s="111">
        <v>54081030</v>
      </c>
      <c r="N7" s="74" t="s">
        <v>36</v>
      </c>
    </row>
    <row r="8" spans="1:14" ht="15.75" customHeight="1">
      <c r="A8" s="64" t="s">
        <v>37</v>
      </c>
      <c r="B8" s="109">
        <f>_xlfn.COMPOUNDVALUE(341)</f>
        <v>4073</v>
      </c>
      <c r="C8" s="110">
        <v>35518297</v>
      </c>
      <c r="D8" s="109">
        <f>_xlfn.COMPOUNDVALUE(342)</f>
        <v>1783</v>
      </c>
      <c r="E8" s="110">
        <v>1333508</v>
      </c>
      <c r="F8" s="109">
        <f>_xlfn.COMPOUNDVALUE(343)</f>
        <v>5856</v>
      </c>
      <c r="G8" s="110">
        <v>36851805</v>
      </c>
      <c r="H8" s="109">
        <f>_xlfn.COMPOUNDVALUE(344)</f>
        <v>441</v>
      </c>
      <c r="I8" s="111">
        <v>2309074</v>
      </c>
      <c r="J8" s="109">
        <v>196</v>
      </c>
      <c r="K8" s="111">
        <v>42663</v>
      </c>
      <c r="L8" s="109">
        <v>6355</v>
      </c>
      <c r="M8" s="111">
        <v>34585394</v>
      </c>
      <c r="N8" s="74" t="s">
        <v>37</v>
      </c>
    </row>
    <row r="9" spans="1:14" ht="15.75" customHeight="1">
      <c r="A9" s="64" t="s">
        <v>38</v>
      </c>
      <c r="B9" s="109">
        <f>_xlfn.COMPOUNDVALUE(345)</f>
        <v>4475</v>
      </c>
      <c r="C9" s="110">
        <v>81661358</v>
      </c>
      <c r="D9" s="109">
        <f>_xlfn.COMPOUNDVALUE(346)</f>
        <v>1823</v>
      </c>
      <c r="E9" s="110">
        <v>1264533</v>
      </c>
      <c r="F9" s="109">
        <f>_xlfn.COMPOUNDVALUE(347)</f>
        <v>6298</v>
      </c>
      <c r="G9" s="110">
        <v>82925891</v>
      </c>
      <c r="H9" s="109">
        <f>_xlfn.COMPOUNDVALUE(348)</f>
        <v>769</v>
      </c>
      <c r="I9" s="111">
        <v>11729023</v>
      </c>
      <c r="J9" s="109">
        <v>249</v>
      </c>
      <c r="K9" s="111">
        <v>594282</v>
      </c>
      <c r="L9" s="109">
        <v>7142</v>
      </c>
      <c r="M9" s="111">
        <v>71791150</v>
      </c>
      <c r="N9" s="74" t="s">
        <v>38</v>
      </c>
    </row>
    <row r="10" spans="1:14" ht="15.75" customHeight="1">
      <c r="A10" s="64" t="s">
        <v>39</v>
      </c>
      <c r="B10" s="109">
        <f>_xlfn.COMPOUNDVALUE(349)</f>
        <v>1692</v>
      </c>
      <c r="C10" s="110">
        <v>9569866</v>
      </c>
      <c r="D10" s="109">
        <f>_xlfn.COMPOUNDVALUE(350)</f>
        <v>723</v>
      </c>
      <c r="E10" s="110">
        <v>498988</v>
      </c>
      <c r="F10" s="109">
        <f>_xlfn.COMPOUNDVALUE(351)</f>
        <v>2415</v>
      </c>
      <c r="G10" s="110">
        <v>10068854</v>
      </c>
      <c r="H10" s="109">
        <f>_xlfn.COMPOUNDVALUE(352)</f>
        <v>206</v>
      </c>
      <c r="I10" s="111">
        <v>1388749</v>
      </c>
      <c r="J10" s="109">
        <v>139</v>
      </c>
      <c r="K10" s="111">
        <v>43115</v>
      </c>
      <c r="L10" s="109">
        <v>2640</v>
      </c>
      <c r="M10" s="111">
        <v>8723220</v>
      </c>
      <c r="N10" s="74" t="s">
        <v>39</v>
      </c>
    </row>
    <row r="11" spans="1:14" ht="15.75" customHeight="1">
      <c r="A11" s="64" t="s">
        <v>40</v>
      </c>
      <c r="B11" s="109">
        <f>_xlfn.COMPOUNDVALUE(353)</f>
        <v>4715</v>
      </c>
      <c r="C11" s="110">
        <v>42261243</v>
      </c>
      <c r="D11" s="109">
        <f>_xlfn.COMPOUNDVALUE(354)</f>
        <v>2028</v>
      </c>
      <c r="E11" s="110">
        <v>1421799</v>
      </c>
      <c r="F11" s="109">
        <f>_xlfn.COMPOUNDVALUE(355)</f>
        <v>6743</v>
      </c>
      <c r="G11" s="110">
        <v>43683042</v>
      </c>
      <c r="H11" s="109">
        <f>_xlfn.COMPOUNDVALUE(356)</f>
        <v>755</v>
      </c>
      <c r="I11" s="111">
        <v>3197109</v>
      </c>
      <c r="J11" s="109">
        <v>242</v>
      </c>
      <c r="K11" s="111">
        <v>9796</v>
      </c>
      <c r="L11" s="109">
        <v>7578</v>
      </c>
      <c r="M11" s="111">
        <v>40495729</v>
      </c>
      <c r="N11" s="74" t="s">
        <v>40</v>
      </c>
    </row>
    <row r="12" spans="1:14" ht="15.75" customHeight="1">
      <c r="A12" s="64"/>
      <c r="B12" s="109"/>
      <c r="C12" s="110"/>
      <c r="D12" s="109"/>
      <c r="E12" s="110"/>
      <c r="F12" s="109"/>
      <c r="G12" s="110"/>
      <c r="H12" s="109"/>
      <c r="I12" s="111"/>
      <c r="J12" s="109"/>
      <c r="K12" s="111"/>
      <c r="L12" s="109"/>
      <c r="M12" s="111"/>
      <c r="N12" s="74" t="s">
        <v>35</v>
      </c>
    </row>
    <row r="13" spans="1:14" ht="15.75" customHeight="1">
      <c r="A13" s="64" t="s">
        <v>41</v>
      </c>
      <c r="B13" s="109">
        <f>_xlfn.COMPOUNDVALUE(357)</f>
        <v>4210</v>
      </c>
      <c r="C13" s="110">
        <v>29784643</v>
      </c>
      <c r="D13" s="109">
        <f>_xlfn.COMPOUNDVALUE(358)</f>
        <v>1880</v>
      </c>
      <c r="E13" s="110">
        <v>1404631</v>
      </c>
      <c r="F13" s="109">
        <f>_xlfn.COMPOUNDVALUE(359)</f>
        <v>6090</v>
      </c>
      <c r="G13" s="110">
        <v>31189274</v>
      </c>
      <c r="H13" s="109">
        <f>_xlfn.COMPOUNDVALUE(360)</f>
        <v>563</v>
      </c>
      <c r="I13" s="111">
        <v>4465063</v>
      </c>
      <c r="J13" s="109">
        <v>280</v>
      </c>
      <c r="K13" s="111">
        <v>16871</v>
      </c>
      <c r="L13" s="109">
        <v>6731</v>
      </c>
      <c r="M13" s="111">
        <v>26741083</v>
      </c>
      <c r="N13" s="74" t="s">
        <v>41</v>
      </c>
    </row>
    <row r="14" spans="1:14" ht="15.75" customHeight="1">
      <c r="A14" s="64" t="s">
        <v>42</v>
      </c>
      <c r="B14" s="109">
        <f>_xlfn.COMPOUNDVALUE(361)</f>
        <v>1147</v>
      </c>
      <c r="C14" s="110">
        <v>5496307</v>
      </c>
      <c r="D14" s="109">
        <f>_xlfn.COMPOUNDVALUE(362)</f>
        <v>464</v>
      </c>
      <c r="E14" s="110">
        <v>308274</v>
      </c>
      <c r="F14" s="109">
        <f>_xlfn.COMPOUNDVALUE(363)</f>
        <v>1611</v>
      </c>
      <c r="G14" s="110">
        <v>5804581</v>
      </c>
      <c r="H14" s="109">
        <f>_xlfn.COMPOUNDVALUE(364)</f>
        <v>145</v>
      </c>
      <c r="I14" s="111">
        <v>292710</v>
      </c>
      <c r="J14" s="109">
        <v>63</v>
      </c>
      <c r="K14" s="111">
        <v>-16711</v>
      </c>
      <c r="L14" s="109">
        <v>1775</v>
      </c>
      <c r="M14" s="111">
        <v>5495160</v>
      </c>
      <c r="N14" s="74" t="s">
        <v>42</v>
      </c>
    </row>
    <row r="15" spans="1:14" ht="15.75" customHeight="1">
      <c r="A15" s="64" t="s">
        <v>43</v>
      </c>
      <c r="B15" s="109">
        <f>_xlfn.COMPOUNDVALUE(365)</f>
        <v>2807</v>
      </c>
      <c r="C15" s="110">
        <v>19237217</v>
      </c>
      <c r="D15" s="109">
        <f>_xlfn.COMPOUNDVALUE(366)</f>
        <v>1294</v>
      </c>
      <c r="E15" s="110">
        <v>991386</v>
      </c>
      <c r="F15" s="109">
        <f>_xlfn.COMPOUNDVALUE(367)</f>
        <v>4101</v>
      </c>
      <c r="G15" s="110">
        <v>20228603</v>
      </c>
      <c r="H15" s="109">
        <f>_xlfn.COMPOUNDVALUE(368)</f>
        <v>278</v>
      </c>
      <c r="I15" s="111">
        <v>2355484</v>
      </c>
      <c r="J15" s="109">
        <v>179</v>
      </c>
      <c r="K15" s="111">
        <v>91625</v>
      </c>
      <c r="L15" s="109">
        <v>4455</v>
      </c>
      <c r="M15" s="111">
        <v>17964744</v>
      </c>
      <c r="N15" s="74" t="s">
        <v>43</v>
      </c>
    </row>
    <row r="16" spans="1:14" ht="15.75" customHeight="1">
      <c r="A16" s="66" t="s">
        <v>44</v>
      </c>
      <c r="B16" s="112">
        <f>_xlfn.COMPOUNDVALUE(369)</f>
        <v>5191</v>
      </c>
      <c r="C16" s="113">
        <v>31297538</v>
      </c>
      <c r="D16" s="112">
        <f>_xlfn.COMPOUNDVALUE(370)</f>
        <v>2423</v>
      </c>
      <c r="E16" s="113">
        <v>1726184</v>
      </c>
      <c r="F16" s="112">
        <f>_xlfn.COMPOUNDVALUE(371)</f>
        <v>7614</v>
      </c>
      <c r="G16" s="113">
        <v>33023722</v>
      </c>
      <c r="H16" s="112">
        <f>_xlfn.COMPOUNDVALUE(372)</f>
        <v>754</v>
      </c>
      <c r="I16" s="114">
        <v>3591215</v>
      </c>
      <c r="J16" s="112">
        <v>351</v>
      </c>
      <c r="K16" s="114">
        <v>45251</v>
      </c>
      <c r="L16" s="112">
        <v>8473</v>
      </c>
      <c r="M16" s="114">
        <v>29477758</v>
      </c>
      <c r="N16" s="65" t="s">
        <v>44</v>
      </c>
    </row>
    <row r="17" spans="1:14" ht="13.5" customHeight="1">
      <c r="A17" s="66" t="s">
        <v>45</v>
      </c>
      <c r="B17" s="112">
        <f>_xlfn.COMPOUNDVALUE(373)</f>
        <v>1097</v>
      </c>
      <c r="C17" s="113">
        <v>6394301</v>
      </c>
      <c r="D17" s="112">
        <f>_xlfn.COMPOUNDVALUE(374)</f>
        <v>376</v>
      </c>
      <c r="E17" s="113">
        <v>242026</v>
      </c>
      <c r="F17" s="112">
        <f>_xlfn.COMPOUNDVALUE(375)</f>
        <v>1473</v>
      </c>
      <c r="G17" s="113">
        <v>6636327</v>
      </c>
      <c r="H17" s="112">
        <f>_xlfn.COMPOUNDVALUE(376)</f>
        <v>135</v>
      </c>
      <c r="I17" s="114">
        <v>592756</v>
      </c>
      <c r="J17" s="112">
        <v>48</v>
      </c>
      <c r="K17" s="114">
        <v>-71214</v>
      </c>
      <c r="L17" s="112">
        <v>1625</v>
      </c>
      <c r="M17" s="114">
        <v>5972357</v>
      </c>
      <c r="N17" s="65" t="s">
        <v>45</v>
      </c>
    </row>
    <row r="18" spans="1:14" ht="15.75" customHeight="1">
      <c r="A18" s="66"/>
      <c r="B18" s="112"/>
      <c r="C18" s="113"/>
      <c r="D18" s="112"/>
      <c r="E18" s="113"/>
      <c r="F18" s="112"/>
      <c r="G18" s="113"/>
      <c r="H18" s="112"/>
      <c r="I18" s="114"/>
      <c r="J18" s="112"/>
      <c r="K18" s="114"/>
      <c r="L18" s="112"/>
      <c r="M18" s="114"/>
      <c r="N18" s="65" t="s">
        <v>35</v>
      </c>
    </row>
    <row r="19" spans="1:14" ht="15.75" customHeight="1">
      <c r="A19" s="66" t="s">
        <v>46</v>
      </c>
      <c r="B19" s="112">
        <f>_xlfn.COMPOUNDVALUE(377)</f>
        <v>1852</v>
      </c>
      <c r="C19" s="113">
        <v>9528180</v>
      </c>
      <c r="D19" s="112">
        <f>_xlfn.COMPOUNDVALUE(378)</f>
        <v>810</v>
      </c>
      <c r="E19" s="113">
        <v>594672</v>
      </c>
      <c r="F19" s="112">
        <f>_xlfn.COMPOUNDVALUE(379)</f>
        <v>2662</v>
      </c>
      <c r="G19" s="113">
        <v>10122852</v>
      </c>
      <c r="H19" s="112">
        <f>_xlfn.COMPOUNDVALUE(380)</f>
        <v>244</v>
      </c>
      <c r="I19" s="114">
        <v>753940</v>
      </c>
      <c r="J19" s="112">
        <v>179</v>
      </c>
      <c r="K19" s="114">
        <v>77598</v>
      </c>
      <c r="L19" s="112">
        <v>2943</v>
      </c>
      <c r="M19" s="114">
        <v>9446510</v>
      </c>
      <c r="N19" s="65" t="s">
        <v>46</v>
      </c>
    </row>
    <row r="20" spans="1:14" ht="15.75" customHeight="1">
      <c r="A20" s="66" t="s">
        <v>47</v>
      </c>
      <c r="B20" s="112">
        <f>_xlfn.COMPOUNDVALUE(381)</f>
        <v>5540</v>
      </c>
      <c r="C20" s="113">
        <v>30113656</v>
      </c>
      <c r="D20" s="112">
        <f>_xlfn.COMPOUNDVALUE(382)</f>
        <v>2196</v>
      </c>
      <c r="E20" s="113">
        <v>1625342</v>
      </c>
      <c r="F20" s="112">
        <f>_xlfn.COMPOUNDVALUE(383)</f>
        <v>7736</v>
      </c>
      <c r="G20" s="113">
        <v>31738998</v>
      </c>
      <c r="H20" s="112">
        <f>_xlfn.COMPOUNDVALUE(384)</f>
        <v>1336</v>
      </c>
      <c r="I20" s="114">
        <v>10945773</v>
      </c>
      <c r="J20" s="112">
        <v>403</v>
      </c>
      <c r="K20" s="114">
        <v>41593</v>
      </c>
      <c r="L20" s="112">
        <v>9219</v>
      </c>
      <c r="M20" s="114">
        <v>20834819</v>
      </c>
      <c r="N20" s="65" t="s">
        <v>47</v>
      </c>
    </row>
    <row r="21" spans="1:14" ht="15.75" customHeight="1">
      <c r="A21" s="66" t="s">
        <v>48</v>
      </c>
      <c r="B21" s="112">
        <f>_xlfn.COMPOUNDVALUE(385)</f>
        <v>1849</v>
      </c>
      <c r="C21" s="113">
        <v>9649147</v>
      </c>
      <c r="D21" s="112">
        <f>_xlfn.COMPOUNDVALUE(386)</f>
        <v>762</v>
      </c>
      <c r="E21" s="113">
        <v>551475</v>
      </c>
      <c r="F21" s="112">
        <f>_xlfn.COMPOUNDVALUE(387)</f>
        <v>2611</v>
      </c>
      <c r="G21" s="113">
        <v>10200622</v>
      </c>
      <c r="H21" s="112">
        <f>_xlfn.COMPOUNDVALUE(388)</f>
        <v>259</v>
      </c>
      <c r="I21" s="114">
        <v>800872</v>
      </c>
      <c r="J21" s="112">
        <v>153</v>
      </c>
      <c r="K21" s="114">
        <v>25942</v>
      </c>
      <c r="L21" s="112">
        <v>2925</v>
      </c>
      <c r="M21" s="114">
        <v>9425692</v>
      </c>
      <c r="N21" s="65" t="s">
        <v>48</v>
      </c>
    </row>
    <row r="22" spans="1:14" ht="15.75" customHeight="1">
      <c r="A22" s="66" t="s">
        <v>149</v>
      </c>
      <c r="B22" s="112">
        <f>_xlfn.COMPOUNDVALUE(389)</f>
        <v>5371</v>
      </c>
      <c r="C22" s="113">
        <v>36193432</v>
      </c>
      <c r="D22" s="112">
        <f>_xlfn.COMPOUNDVALUE(390)</f>
        <v>2340</v>
      </c>
      <c r="E22" s="113">
        <v>1700484</v>
      </c>
      <c r="F22" s="112">
        <f>_xlfn.COMPOUNDVALUE(391)</f>
        <v>7711</v>
      </c>
      <c r="G22" s="113">
        <v>37893916</v>
      </c>
      <c r="H22" s="112">
        <f>_xlfn.COMPOUNDVALUE(392)</f>
        <v>852</v>
      </c>
      <c r="I22" s="114">
        <v>5271939</v>
      </c>
      <c r="J22" s="112">
        <v>332</v>
      </c>
      <c r="K22" s="114">
        <v>121644</v>
      </c>
      <c r="L22" s="112">
        <v>8677</v>
      </c>
      <c r="M22" s="114">
        <v>32743621</v>
      </c>
      <c r="N22" s="65" t="s">
        <v>49</v>
      </c>
    </row>
    <row r="23" spans="1:14" ht="15.75" customHeight="1">
      <c r="A23" s="130" t="s">
        <v>152</v>
      </c>
      <c r="B23" s="131">
        <v>48796</v>
      </c>
      <c r="C23" s="132">
        <v>402122311</v>
      </c>
      <c r="D23" s="131">
        <v>20759</v>
      </c>
      <c r="E23" s="132">
        <v>15107616</v>
      </c>
      <c r="F23" s="131">
        <v>69555</v>
      </c>
      <c r="G23" s="132">
        <v>417229927</v>
      </c>
      <c r="H23" s="131">
        <v>7474</v>
      </c>
      <c r="I23" s="133">
        <v>50556697</v>
      </c>
      <c r="J23" s="131">
        <v>3086</v>
      </c>
      <c r="K23" s="133">
        <v>1105036</v>
      </c>
      <c r="L23" s="131">
        <v>78016</v>
      </c>
      <c r="M23" s="133">
        <v>367778266</v>
      </c>
      <c r="N23" s="134" t="s">
        <v>51</v>
      </c>
    </row>
    <row r="24" spans="1:14" ht="15.75" customHeight="1">
      <c r="A24" s="135"/>
      <c r="B24" s="136"/>
      <c r="C24" s="137"/>
      <c r="D24" s="136"/>
      <c r="E24" s="137"/>
      <c r="F24" s="138"/>
      <c r="G24" s="137"/>
      <c r="H24" s="138"/>
      <c r="I24" s="137"/>
      <c r="J24" s="138"/>
      <c r="K24" s="137"/>
      <c r="L24" s="138"/>
      <c r="M24" s="137"/>
      <c r="N24" s="139"/>
    </row>
    <row r="25" spans="1:14" ht="15.75" customHeight="1">
      <c r="A25" s="64" t="s">
        <v>52</v>
      </c>
      <c r="B25" s="109">
        <f>_xlfn.COMPOUNDVALUE(393)</f>
        <v>12049</v>
      </c>
      <c r="C25" s="110">
        <v>1522254161</v>
      </c>
      <c r="D25" s="109">
        <f>_xlfn.COMPOUNDVALUE(394)</f>
        <v>1817</v>
      </c>
      <c r="E25" s="110">
        <v>2386434</v>
      </c>
      <c r="F25" s="109">
        <f>_xlfn.COMPOUNDVALUE(395)</f>
        <v>13866</v>
      </c>
      <c r="G25" s="110">
        <v>1524640595</v>
      </c>
      <c r="H25" s="109">
        <f>_xlfn.COMPOUNDVALUE(396)</f>
        <v>5439</v>
      </c>
      <c r="I25" s="111">
        <v>846748944</v>
      </c>
      <c r="J25" s="109">
        <v>920</v>
      </c>
      <c r="K25" s="111">
        <v>6207922</v>
      </c>
      <c r="L25" s="109">
        <v>19456</v>
      </c>
      <c r="M25" s="111">
        <v>684099573</v>
      </c>
      <c r="N25" s="74" t="s">
        <v>52</v>
      </c>
    </row>
    <row r="26" spans="1:14" ht="15.75" customHeight="1">
      <c r="A26" s="64" t="s">
        <v>53</v>
      </c>
      <c r="B26" s="109">
        <f>_xlfn.COMPOUNDVALUE(397)</f>
        <v>11611</v>
      </c>
      <c r="C26" s="110">
        <v>428844986</v>
      </c>
      <c r="D26" s="109">
        <f>_xlfn.COMPOUNDVALUE(398)</f>
        <v>2255</v>
      </c>
      <c r="E26" s="110">
        <v>2033965</v>
      </c>
      <c r="F26" s="109">
        <f>_xlfn.COMPOUNDVALUE(399)</f>
        <v>13866</v>
      </c>
      <c r="G26" s="110">
        <v>430878951</v>
      </c>
      <c r="H26" s="109">
        <f>_xlfn.COMPOUNDVALUE(400)</f>
        <v>2889</v>
      </c>
      <c r="I26" s="111">
        <v>107001223</v>
      </c>
      <c r="J26" s="109">
        <v>777</v>
      </c>
      <c r="K26" s="111">
        <v>1906200</v>
      </c>
      <c r="L26" s="109">
        <v>16957</v>
      </c>
      <c r="M26" s="111">
        <v>325783928</v>
      </c>
      <c r="N26" s="74" t="s">
        <v>53</v>
      </c>
    </row>
    <row r="27" spans="1:14" ht="15.75" customHeight="1">
      <c r="A27" s="64" t="s">
        <v>54</v>
      </c>
      <c r="B27" s="109">
        <f>_xlfn.COMPOUNDVALUE(401)</f>
        <v>9626</v>
      </c>
      <c r="C27" s="110">
        <v>451943714</v>
      </c>
      <c r="D27" s="109">
        <f>_xlfn.COMPOUNDVALUE(402)</f>
        <v>1733</v>
      </c>
      <c r="E27" s="110">
        <v>1421767</v>
      </c>
      <c r="F27" s="109">
        <f>_xlfn.COMPOUNDVALUE(403)</f>
        <v>11359</v>
      </c>
      <c r="G27" s="110">
        <v>453365480</v>
      </c>
      <c r="H27" s="109">
        <f>_xlfn.COMPOUNDVALUE(404)</f>
        <v>3054</v>
      </c>
      <c r="I27" s="111">
        <v>188611019</v>
      </c>
      <c r="J27" s="109">
        <v>680</v>
      </c>
      <c r="K27" s="111">
        <v>2418624</v>
      </c>
      <c r="L27" s="109">
        <v>14540</v>
      </c>
      <c r="M27" s="111">
        <v>267173086</v>
      </c>
      <c r="N27" s="74" t="s">
        <v>54</v>
      </c>
    </row>
    <row r="28" spans="1:14" ht="15.75" customHeight="1">
      <c r="A28" s="64" t="s">
        <v>55</v>
      </c>
      <c r="B28" s="109">
        <f>_xlfn.COMPOUNDVALUE(405)</f>
        <v>11307</v>
      </c>
      <c r="C28" s="110">
        <v>450466143</v>
      </c>
      <c r="D28" s="109">
        <f>_xlfn.COMPOUNDVALUE(406)</f>
        <v>2272</v>
      </c>
      <c r="E28" s="110">
        <v>1979962</v>
      </c>
      <c r="F28" s="109">
        <f>_xlfn.COMPOUNDVALUE(407)</f>
        <v>13579</v>
      </c>
      <c r="G28" s="110">
        <v>452446105</v>
      </c>
      <c r="H28" s="109">
        <f>_xlfn.COMPOUNDVALUE(408)</f>
        <v>3878</v>
      </c>
      <c r="I28" s="111">
        <v>91337497</v>
      </c>
      <c r="J28" s="109">
        <v>798</v>
      </c>
      <c r="K28" s="111">
        <v>3685892</v>
      </c>
      <c r="L28" s="109">
        <v>17662</v>
      </c>
      <c r="M28" s="111">
        <v>364794500</v>
      </c>
      <c r="N28" s="74" t="s">
        <v>55</v>
      </c>
    </row>
    <row r="29" spans="1:14" ht="15.75" customHeight="1">
      <c r="A29" s="64" t="s">
        <v>150</v>
      </c>
      <c r="B29" s="109">
        <f>_xlfn.COMPOUNDVALUE(409)</f>
        <v>16299</v>
      </c>
      <c r="C29" s="110">
        <v>1204960817</v>
      </c>
      <c r="D29" s="109">
        <f>_xlfn.COMPOUNDVALUE(410)</f>
        <v>2847</v>
      </c>
      <c r="E29" s="110">
        <v>2786132</v>
      </c>
      <c r="F29" s="109">
        <f>_xlfn.COMPOUNDVALUE(411)</f>
        <v>19146</v>
      </c>
      <c r="G29" s="110">
        <v>1207746949</v>
      </c>
      <c r="H29" s="109">
        <f>_xlfn.COMPOUNDVALUE(412)</f>
        <v>5781</v>
      </c>
      <c r="I29" s="111">
        <v>583179249</v>
      </c>
      <c r="J29" s="109">
        <v>1327</v>
      </c>
      <c r="K29" s="111">
        <v>-118994</v>
      </c>
      <c r="L29" s="109">
        <v>25196</v>
      </c>
      <c r="M29" s="111">
        <v>624448706</v>
      </c>
      <c r="N29" s="74" t="s">
        <v>56</v>
      </c>
    </row>
    <row r="30" spans="1:14" ht="15.75" customHeight="1">
      <c r="A30" s="64"/>
      <c r="B30" s="109"/>
      <c r="C30" s="110"/>
      <c r="D30" s="109"/>
      <c r="E30" s="110"/>
      <c r="F30" s="109"/>
      <c r="G30" s="110"/>
      <c r="H30" s="109"/>
      <c r="I30" s="111"/>
      <c r="J30" s="109"/>
      <c r="K30" s="111"/>
      <c r="L30" s="109"/>
      <c r="M30" s="111"/>
      <c r="N30" s="74" t="s">
        <v>35</v>
      </c>
    </row>
    <row r="31" spans="1:14" ht="15.75" customHeight="1">
      <c r="A31" s="64" t="s">
        <v>57</v>
      </c>
      <c r="B31" s="109">
        <f>_xlfn.COMPOUNDVALUE(413)</f>
        <v>15047</v>
      </c>
      <c r="C31" s="110">
        <v>492272781</v>
      </c>
      <c r="D31" s="109">
        <f>_xlfn.COMPOUNDVALUE(414)</f>
        <v>3060</v>
      </c>
      <c r="E31" s="110">
        <v>3205292</v>
      </c>
      <c r="F31" s="109">
        <f>_xlfn.COMPOUNDVALUE(415)</f>
        <v>18107</v>
      </c>
      <c r="G31" s="110">
        <v>495478073</v>
      </c>
      <c r="H31" s="109">
        <f>_xlfn.COMPOUNDVALUE(416)</f>
        <v>4772</v>
      </c>
      <c r="I31" s="111">
        <v>341074409</v>
      </c>
      <c r="J31" s="109">
        <v>1027</v>
      </c>
      <c r="K31" s="111">
        <v>-89028599</v>
      </c>
      <c r="L31" s="109">
        <v>23183</v>
      </c>
      <c r="M31" s="111">
        <v>65375065</v>
      </c>
      <c r="N31" s="74" t="s">
        <v>57</v>
      </c>
    </row>
    <row r="32" spans="1:14" ht="15.75" customHeight="1">
      <c r="A32" s="64" t="s">
        <v>58</v>
      </c>
      <c r="B32" s="109">
        <f>_xlfn.COMPOUNDVALUE(417)</f>
        <v>7233</v>
      </c>
      <c r="C32" s="110">
        <v>328867665</v>
      </c>
      <c r="D32" s="109">
        <f>_xlfn.COMPOUNDVALUE(418)</f>
        <v>1753</v>
      </c>
      <c r="E32" s="110">
        <v>1543726</v>
      </c>
      <c r="F32" s="109">
        <f>_xlfn.COMPOUNDVALUE(419)</f>
        <v>8986</v>
      </c>
      <c r="G32" s="110">
        <v>330411391</v>
      </c>
      <c r="H32" s="109">
        <f>_xlfn.COMPOUNDVALUE(420)</f>
        <v>1692</v>
      </c>
      <c r="I32" s="111">
        <v>127118961</v>
      </c>
      <c r="J32" s="109">
        <v>474</v>
      </c>
      <c r="K32" s="111">
        <v>515764</v>
      </c>
      <c r="L32" s="109">
        <v>10775</v>
      </c>
      <c r="M32" s="111">
        <v>203808194</v>
      </c>
      <c r="N32" s="74" t="s">
        <v>58</v>
      </c>
    </row>
    <row r="33" spans="1:14" ht="15.75" customHeight="1">
      <c r="A33" s="64" t="s">
        <v>59</v>
      </c>
      <c r="B33" s="109">
        <f>_xlfn.COMPOUNDVALUE(421)</f>
        <v>8177</v>
      </c>
      <c r="C33" s="110">
        <v>186944955</v>
      </c>
      <c r="D33" s="109">
        <f>_xlfn.COMPOUNDVALUE(422)</f>
        <v>2267</v>
      </c>
      <c r="E33" s="110">
        <v>2353466</v>
      </c>
      <c r="F33" s="109">
        <f>_xlfn.COMPOUNDVALUE(423)</f>
        <v>10444</v>
      </c>
      <c r="G33" s="110">
        <v>189298421</v>
      </c>
      <c r="H33" s="109">
        <f>_xlfn.COMPOUNDVALUE(424)</f>
        <v>1793</v>
      </c>
      <c r="I33" s="111">
        <v>31726498</v>
      </c>
      <c r="J33" s="109">
        <v>570</v>
      </c>
      <c r="K33" s="111">
        <v>-413999</v>
      </c>
      <c r="L33" s="109">
        <v>12410</v>
      </c>
      <c r="M33" s="111">
        <v>157157924</v>
      </c>
      <c r="N33" s="74" t="s">
        <v>59</v>
      </c>
    </row>
    <row r="34" spans="1:14" ht="15.75" customHeight="1">
      <c r="A34" s="64" t="s">
        <v>60</v>
      </c>
      <c r="B34" s="109">
        <f>_xlfn.COMPOUNDVALUE(425)</f>
        <v>9333</v>
      </c>
      <c r="C34" s="110">
        <v>459132964</v>
      </c>
      <c r="D34" s="109">
        <f>_xlfn.COMPOUNDVALUE(426)</f>
        <v>2262</v>
      </c>
      <c r="E34" s="110">
        <v>2095264</v>
      </c>
      <c r="F34" s="109">
        <f>_xlfn.COMPOUNDVALUE(427)</f>
        <v>11595</v>
      </c>
      <c r="G34" s="110">
        <v>461228228</v>
      </c>
      <c r="H34" s="109">
        <f>_xlfn.COMPOUNDVALUE(428)</f>
        <v>2547</v>
      </c>
      <c r="I34" s="111">
        <v>53320233</v>
      </c>
      <c r="J34" s="109">
        <v>757</v>
      </c>
      <c r="K34" s="111">
        <v>2130797</v>
      </c>
      <c r="L34" s="109">
        <v>14345</v>
      </c>
      <c r="M34" s="111">
        <v>410038792</v>
      </c>
      <c r="N34" s="74" t="s">
        <v>60</v>
      </c>
    </row>
    <row r="35" spans="1:14" ht="15.75" customHeight="1">
      <c r="A35" s="64" t="s">
        <v>61</v>
      </c>
      <c r="B35" s="109">
        <f>_xlfn.COMPOUNDVALUE(429)</f>
        <v>2358</v>
      </c>
      <c r="C35" s="110">
        <v>60478929</v>
      </c>
      <c r="D35" s="109">
        <f>_xlfn.COMPOUNDVALUE(430)</f>
        <v>868</v>
      </c>
      <c r="E35" s="110">
        <v>643163</v>
      </c>
      <c r="F35" s="109">
        <f>_xlfn.COMPOUNDVALUE(431)</f>
        <v>3226</v>
      </c>
      <c r="G35" s="110">
        <v>61122092</v>
      </c>
      <c r="H35" s="109">
        <f>_xlfn.COMPOUNDVALUE(432)</f>
        <v>428</v>
      </c>
      <c r="I35" s="111">
        <v>6261423</v>
      </c>
      <c r="J35" s="109">
        <v>172</v>
      </c>
      <c r="K35" s="111">
        <v>-1166620</v>
      </c>
      <c r="L35" s="109">
        <v>3672</v>
      </c>
      <c r="M35" s="111">
        <v>53694049</v>
      </c>
      <c r="N35" s="74" t="s">
        <v>61</v>
      </c>
    </row>
    <row r="36" spans="1:14" ht="15.75" customHeight="1">
      <c r="A36" s="64"/>
      <c r="B36" s="109"/>
      <c r="C36" s="110"/>
      <c r="D36" s="109"/>
      <c r="E36" s="110"/>
      <c r="F36" s="109"/>
      <c r="G36" s="110"/>
      <c r="H36" s="109"/>
      <c r="I36" s="111"/>
      <c r="J36" s="109"/>
      <c r="K36" s="111"/>
      <c r="L36" s="109"/>
      <c r="M36" s="111"/>
      <c r="N36" s="74" t="s">
        <v>35</v>
      </c>
    </row>
    <row r="37" spans="1:14" ht="15.75" customHeight="1">
      <c r="A37" s="64" t="s">
        <v>62</v>
      </c>
      <c r="B37" s="109">
        <f>_xlfn.COMPOUNDVALUE(433)</f>
        <v>3137</v>
      </c>
      <c r="C37" s="110">
        <v>53700793</v>
      </c>
      <c r="D37" s="109">
        <f>_xlfn.COMPOUNDVALUE(434)</f>
        <v>1039</v>
      </c>
      <c r="E37" s="110">
        <v>829075</v>
      </c>
      <c r="F37" s="109">
        <f>_xlfn.COMPOUNDVALUE(435)</f>
        <v>4176</v>
      </c>
      <c r="G37" s="110">
        <v>54529868</v>
      </c>
      <c r="H37" s="109">
        <f>_xlfn.COMPOUNDVALUE(436)</f>
        <v>639</v>
      </c>
      <c r="I37" s="111">
        <v>8703122</v>
      </c>
      <c r="J37" s="109">
        <v>195</v>
      </c>
      <c r="K37" s="111">
        <v>13771</v>
      </c>
      <c r="L37" s="109">
        <v>4854</v>
      </c>
      <c r="M37" s="111">
        <v>45840516</v>
      </c>
      <c r="N37" s="74" t="s">
        <v>62</v>
      </c>
    </row>
    <row r="38" spans="1:14" ht="15.75" customHeight="1">
      <c r="A38" s="64" t="s">
        <v>63</v>
      </c>
      <c r="B38" s="109">
        <f>_xlfn.COMPOUNDVALUE(437)</f>
        <v>5173</v>
      </c>
      <c r="C38" s="110">
        <v>99219673</v>
      </c>
      <c r="D38" s="109">
        <f>_xlfn.COMPOUNDVALUE(438)</f>
        <v>1346</v>
      </c>
      <c r="E38" s="110">
        <v>986072</v>
      </c>
      <c r="F38" s="109">
        <f>_xlfn.COMPOUNDVALUE(439)</f>
        <v>6519</v>
      </c>
      <c r="G38" s="110">
        <v>100205745</v>
      </c>
      <c r="H38" s="109">
        <f>_xlfn.COMPOUNDVALUE(440)</f>
        <v>1539</v>
      </c>
      <c r="I38" s="111">
        <v>50566785</v>
      </c>
      <c r="J38" s="109">
        <v>319</v>
      </c>
      <c r="K38" s="111">
        <v>216033</v>
      </c>
      <c r="L38" s="109">
        <v>8122</v>
      </c>
      <c r="M38" s="111">
        <v>49854993</v>
      </c>
      <c r="N38" s="74" t="s">
        <v>63</v>
      </c>
    </row>
    <row r="39" spans="1:14" ht="15.75" customHeight="1">
      <c r="A39" s="64" t="s">
        <v>64</v>
      </c>
      <c r="B39" s="109">
        <f>_xlfn.COMPOUNDVALUE(441)</f>
        <v>4765</v>
      </c>
      <c r="C39" s="110">
        <v>92726555</v>
      </c>
      <c r="D39" s="109">
        <f>_xlfn.COMPOUNDVALUE(442)</f>
        <v>1553</v>
      </c>
      <c r="E39" s="110">
        <v>932749</v>
      </c>
      <c r="F39" s="109">
        <f>_xlfn.COMPOUNDVALUE(443)</f>
        <v>6318</v>
      </c>
      <c r="G39" s="110">
        <v>93659303</v>
      </c>
      <c r="H39" s="109">
        <f>_xlfn.COMPOUNDVALUE(444)</f>
        <v>1275</v>
      </c>
      <c r="I39" s="111">
        <v>6723725</v>
      </c>
      <c r="J39" s="109">
        <v>292</v>
      </c>
      <c r="K39" s="111">
        <v>2377820</v>
      </c>
      <c r="L39" s="109">
        <v>7683</v>
      </c>
      <c r="M39" s="111">
        <v>89313398</v>
      </c>
      <c r="N39" s="74" t="s">
        <v>64</v>
      </c>
    </row>
    <row r="40" spans="1:14" ht="15.75" customHeight="1">
      <c r="A40" s="64" t="s">
        <v>65</v>
      </c>
      <c r="B40" s="109">
        <f>_xlfn.COMPOUNDVALUE(445)</f>
        <v>4063</v>
      </c>
      <c r="C40" s="110">
        <v>89615087</v>
      </c>
      <c r="D40" s="109">
        <f>_xlfn.COMPOUNDVALUE(446)</f>
        <v>1262</v>
      </c>
      <c r="E40" s="110">
        <v>861198</v>
      </c>
      <c r="F40" s="109">
        <f>_xlfn.COMPOUNDVALUE(447)</f>
        <v>5325</v>
      </c>
      <c r="G40" s="110">
        <v>90476285</v>
      </c>
      <c r="H40" s="109">
        <f>_xlfn.COMPOUNDVALUE(448)</f>
        <v>710</v>
      </c>
      <c r="I40" s="111">
        <v>8922691</v>
      </c>
      <c r="J40" s="109">
        <v>214</v>
      </c>
      <c r="K40" s="111">
        <v>172180</v>
      </c>
      <c r="L40" s="109">
        <v>6101</v>
      </c>
      <c r="M40" s="111">
        <v>81725774</v>
      </c>
      <c r="N40" s="74" t="s">
        <v>65</v>
      </c>
    </row>
    <row r="41" spans="1:14" ht="15.75" customHeight="1">
      <c r="A41" s="64" t="s">
        <v>66</v>
      </c>
      <c r="B41" s="109">
        <f>_xlfn.COMPOUNDVALUE(449)</f>
        <v>1405</v>
      </c>
      <c r="C41" s="110">
        <v>13528973</v>
      </c>
      <c r="D41" s="109">
        <f>_xlfn.COMPOUNDVALUE(450)</f>
        <v>675</v>
      </c>
      <c r="E41" s="110">
        <v>374443</v>
      </c>
      <c r="F41" s="109">
        <f>_xlfn.COMPOUNDVALUE(451)</f>
        <v>2080</v>
      </c>
      <c r="G41" s="110">
        <v>13903416</v>
      </c>
      <c r="H41" s="109">
        <f>_xlfn.COMPOUNDVALUE(452)</f>
        <v>208</v>
      </c>
      <c r="I41" s="111">
        <v>616748</v>
      </c>
      <c r="J41" s="109">
        <v>93</v>
      </c>
      <c r="K41" s="111">
        <v>33398</v>
      </c>
      <c r="L41" s="109">
        <v>2300</v>
      </c>
      <c r="M41" s="111">
        <v>13320066</v>
      </c>
      <c r="N41" s="74" t="s">
        <v>66</v>
      </c>
    </row>
    <row r="42" spans="1:14" ht="15.75" customHeight="1">
      <c r="A42" s="223"/>
      <c r="B42" s="224"/>
      <c r="C42" s="228"/>
      <c r="D42" s="224"/>
      <c r="E42" s="228"/>
      <c r="F42" s="224"/>
      <c r="G42" s="228"/>
      <c r="H42" s="224"/>
      <c r="I42" s="227"/>
      <c r="J42" s="224"/>
      <c r="K42" s="227"/>
      <c r="L42" s="224"/>
      <c r="M42" s="227"/>
      <c r="N42" s="229" t="s">
        <v>35</v>
      </c>
    </row>
    <row r="43" spans="1:14" ht="15.75" customHeight="1">
      <c r="A43" s="87" t="s">
        <v>67</v>
      </c>
      <c r="B43" s="109">
        <f>_xlfn.COMPOUNDVALUE(453)</f>
        <v>5353</v>
      </c>
      <c r="C43" s="110">
        <v>212354810</v>
      </c>
      <c r="D43" s="109">
        <f>_xlfn.COMPOUNDVALUE(454)</f>
        <v>1466</v>
      </c>
      <c r="E43" s="110">
        <v>995360</v>
      </c>
      <c r="F43" s="109">
        <f>_xlfn.COMPOUNDVALUE(455)</f>
        <v>6819</v>
      </c>
      <c r="G43" s="110">
        <v>213350169</v>
      </c>
      <c r="H43" s="109">
        <f>_xlfn.COMPOUNDVALUE(456)</f>
        <v>1162</v>
      </c>
      <c r="I43" s="111">
        <v>42558199</v>
      </c>
      <c r="J43" s="109">
        <v>333</v>
      </c>
      <c r="K43" s="111">
        <v>4855194</v>
      </c>
      <c r="L43" s="109">
        <v>8077</v>
      </c>
      <c r="M43" s="111">
        <v>175647164</v>
      </c>
      <c r="N43" s="74" t="s">
        <v>67</v>
      </c>
    </row>
    <row r="44" spans="1:14" ht="15.75" customHeight="1">
      <c r="A44" s="64" t="s">
        <v>68</v>
      </c>
      <c r="B44" s="109">
        <f>_xlfn.COMPOUNDVALUE(457)</f>
        <v>2452</v>
      </c>
      <c r="C44" s="110">
        <v>68090716</v>
      </c>
      <c r="D44" s="109">
        <f>_xlfn.COMPOUNDVALUE(458)</f>
        <v>996</v>
      </c>
      <c r="E44" s="110">
        <v>676514</v>
      </c>
      <c r="F44" s="109">
        <f>_xlfn.COMPOUNDVALUE(459)</f>
        <v>3448</v>
      </c>
      <c r="G44" s="110">
        <v>68767231</v>
      </c>
      <c r="H44" s="109">
        <f>_xlfn.COMPOUNDVALUE(460)</f>
        <v>513</v>
      </c>
      <c r="I44" s="111">
        <v>4737786</v>
      </c>
      <c r="J44" s="109">
        <v>157</v>
      </c>
      <c r="K44" s="111">
        <v>60408</v>
      </c>
      <c r="L44" s="109">
        <v>3996</v>
      </c>
      <c r="M44" s="111">
        <v>64089853</v>
      </c>
      <c r="N44" s="74" t="s">
        <v>68</v>
      </c>
    </row>
    <row r="45" spans="1:14" ht="15.75" customHeight="1">
      <c r="A45" s="64" t="s">
        <v>69</v>
      </c>
      <c r="B45" s="109">
        <f>_xlfn.COMPOUNDVALUE(461)</f>
        <v>1699</v>
      </c>
      <c r="C45" s="110">
        <v>15783940</v>
      </c>
      <c r="D45" s="109">
        <f>_xlfn.COMPOUNDVALUE(462)</f>
        <v>828</v>
      </c>
      <c r="E45" s="110">
        <v>538677</v>
      </c>
      <c r="F45" s="109">
        <f>_xlfn.COMPOUNDVALUE(463)</f>
        <v>2527</v>
      </c>
      <c r="G45" s="110">
        <v>16322617</v>
      </c>
      <c r="H45" s="109">
        <f>_xlfn.COMPOUNDVALUE(464)</f>
        <v>299</v>
      </c>
      <c r="I45" s="111">
        <v>1933966</v>
      </c>
      <c r="J45" s="109">
        <v>117</v>
      </c>
      <c r="K45" s="111">
        <v>265985</v>
      </c>
      <c r="L45" s="109">
        <v>2869</v>
      </c>
      <c r="M45" s="111">
        <v>14654636</v>
      </c>
      <c r="N45" s="74" t="s">
        <v>69</v>
      </c>
    </row>
    <row r="46" spans="1:14" ht="15.75" customHeight="1">
      <c r="A46" s="64" t="s">
        <v>70</v>
      </c>
      <c r="B46" s="109">
        <f>_xlfn.COMPOUNDVALUE(465)</f>
        <v>6015</v>
      </c>
      <c r="C46" s="110">
        <v>129143071</v>
      </c>
      <c r="D46" s="109">
        <f>_xlfn.COMPOUNDVALUE(466)</f>
        <v>2173</v>
      </c>
      <c r="E46" s="110">
        <v>1575275</v>
      </c>
      <c r="F46" s="109">
        <f>_xlfn.COMPOUNDVALUE(467)</f>
        <v>8188</v>
      </c>
      <c r="G46" s="110">
        <v>130718346</v>
      </c>
      <c r="H46" s="109">
        <f>_xlfn.COMPOUNDVALUE(468)</f>
        <v>1198</v>
      </c>
      <c r="I46" s="111">
        <v>10591325</v>
      </c>
      <c r="J46" s="109">
        <v>360</v>
      </c>
      <c r="K46" s="111">
        <v>58615</v>
      </c>
      <c r="L46" s="109">
        <v>9492</v>
      </c>
      <c r="M46" s="111">
        <v>120185636</v>
      </c>
      <c r="N46" s="74" t="s">
        <v>70</v>
      </c>
    </row>
    <row r="47" spans="1:14" ht="15.75" customHeight="1">
      <c r="A47" s="64" t="s">
        <v>71</v>
      </c>
      <c r="B47" s="109">
        <f>_xlfn.COMPOUNDVALUE(469)</f>
        <v>3529</v>
      </c>
      <c r="C47" s="110">
        <v>50254532</v>
      </c>
      <c r="D47" s="109">
        <f>_xlfn.COMPOUNDVALUE(470)</f>
        <v>1345</v>
      </c>
      <c r="E47" s="110">
        <v>926177</v>
      </c>
      <c r="F47" s="109">
        <f>_xlfn.COMPOUNDVALUE(471)</f>
        <v>4874</v>
      </c>
      <c r="G47" s="110">
        <v>51180709</v>
      </c>
      <c r="H47" s="109">
        <f>_xlfn.COMPOUNDVALUE(472)</f>
        <v>493</v>
      </c>
      <c r="I47" s="111">
        <v>19437024</v>
      </c>
      <c r="J47" s="109">
        <v>233</v>
      </c>
      <c r="K47" s="111">
        <v>168406</v>
      </c>
      <c r="L47" s="109">
        <v>5419</v>
      </c>
      <c r="M47" s="111">
        <v>31912091</v>
      </c>
      <c r="N47" s="74" t="s">
        <v>71</v>
      </c>
    </row>
    <row r="48" spans="1:14" ht="15.75" customHeight="1">
      <c r="A48" s="64"/>
      <c r="B48" s="109"/>
      <c r="C48" s="110"/>
      <c r="D48" s="109"/>
      <c r="E48" s="110"/>
      <c r="F48" s="109"/>
      <c r="G48" s="110"/>
      <c r="H48" s="109"/>
      <c r="I48" s="111"/>
      <c r="J48" s="109"/>
      <c r="K48" s="111"/>
      <c r="L48" s="109"/>
      <c r="M48" s="111"/>
      <c r="N48" s="74" t="s">
        <v>35</v>
      </c>
    </row>
    <row r="49" spans="1:14" ht="15.75" customHeight="1">
      <c r="A49" s="64" t="s">
        <v>72</v>
      </c>
      <c r="B49" s="109">
        <f>_xlfn.COMPOUNDVALUE(473)</f>
        <v>1949</v>
      </c>
      <c r="C49" s="110">
        <v>13606822</v>
      </c>
      <c r="D49" s="109">
        <f>_xlfn.COMPOUNDVALUE(474)</f>
        <v>902</v>
      </c>
      <c r="E49" s="110">
        <v>643503</v>
      </c>
      <c r="F49" s="109">
        <f>_xlfn.COMPOUNDVALUE(475)</f>
        <v>2851</v>
      </c>
      <c r="G49" s="110">
        <v>14250326</v>
      </c>
      <c r="H49" s="109">
        <f>_xlfn.COMPOUNDVALUE(476)</f>
        <v>317</v>
      </c>
      <c r="I49" s="111">
        <v>11791921</v>
      </c>
      <c r="J49" s="109">
        <v>160</v>
      </c>
      <c r="K49" s="111">
        <v>73374</v>
      </c>
      <c r="L49" s="109">
        <v>3226</v>
      </c>
      <c r="M49" s="111">
        <v>2531779</v>
      </c>
      <c r="N49" s="74" t="s">
        <v>72</v>
      </c>
    </row>
    <row r="50" spans="1:14" ht="15.75" customHeight="1">
      <c r="A50" s="64" t="s">
        <v>73</v>
      </c>
      <c r="B50" s="109">
        <f>_xlfn.COMPOUNDVALUE(477)</f>
        <v>3867</v>
      </c>
      <c r="C50" s="110">
        <v>66979381</v>
      </c>
      <c r="D50" s="109">
        <f>_xlfn.COMPOUNDVALUE(478)</f>
        <v>1819</v>
      </c>
      <c r="E50" s="110">
        <v>1187105</v>
      </c>
      <c r="F50" s="109">
        <f>_xlfn.COMPOUNDVALUE(479)</f>
        <v>5686</v>
      </c>
      <c r="G50" s="110">
        <v>68166486</v>
      </c>
      <c r="H50" s="109">
        <f>_xlfn.COMPOUNDVALUE(480)</f>
        <v>538</v>
      </c>
      <c r="I50" s="111">
        <v>53481971</v>
      </c>
      <c r="J50" s="109">
        <v>172</v>
      </c>
      <c r="K50" s="111">
        <v>495538</v>
      </c>
      <c r="L50" s="109">
        <v>6255</v>
      </c>
      <c r="M50" s="111">
        <v>15180053</v>
      </c>
      <c r="N50" s="74" t="s">
        <v>73</v>
      </c>
    </row>
    <row r="51" spans="1:14" ht="15.75" customHeight="1">
      <c r="A51" s="64" t="s">
        <v>74</v>
      </c>
      <c r="B51" s="109">
        <f>_xlfn.COMPOUNDVALUE(481)</f>
        <v>3973</v>
      </c>
      <c r="C51" s="110">
        <v>27735115</v>
      </c>
      <c r="D51" s="109">
        <f>_xlfn.COMPOUNDVALUE(482)</f>
        <v>1738</v>
      </c>
      <c r="E51" s="110">
        <v>1251050</v>
      </c>
      <c r="F51" s="109">
        <f>_xlfn.COMPOUNDVALUE(483)</f>
        <v>5711</v>
      </c>
      <c r="G51" s="110">
        <v>28986165</v>
      </c>
      <c r="H51" s="109">
        <f>_xlfn.COMPOUNDVALUE(484)</f>
        <v>732</v>
      </c>
      <c r="I51" s="111">
        <v>2400114</v>
      </c>
      <c r="J51" s="109">
        <v>282</v>
      </c>
      <c r="K51" s="111">
        <v>184121</v>
      </c>
      <c r="L51" s="109">
        <v>6544</v>
      </c>
      <c r="M51" s="111">
        <v>26770172</v>
      </c>
      <c r="N51" s="74" t="s">
        <v>74</v>
      </c>
    </row>
    <row r="52" spans="1:14" ht="15.75" customHeight="1">
      <c r="A52" s="64" t="s">
        <v>75</v>
      </c>
      <c r="B52" s="109">
        <f>_xlfn.COMPOUNDVALUE(485)</f>
        <v>3412</v>
      </c>
      <c r="C52" s="110">
        <v>22528199</v>
      </c>
      <c r="D52" s="109">
        <f>_xlfn.COMPOUNDVALUE(486)</f>
        <v>1617</v>
      </c>
      <c r="E52" s="110">
        <v>1205275</v>
      </c>
      <c r="F52" s="109">
        <f>_xlfn.COMPOUNDVALUE(487)</f>
        <v>5029</v>
      </c>
      <c r="G52" s="110">
        <v>23733474</v>
      </c>
      <c r="H52" s="109">
        <f>_xlfn.COMPOUNDVALUE(488)</f>
        <v>595</v>
      </c>
      <c r="I52" s="111">
        <v>825250</v>
      </c>
      <c r="J52" s="109">
        <v>220</v>
      </c>
      <c r="K52" s="111">
        <v>105796</v>
      </c>
      <c r="L52" s="109">
        <v>5705</v>
      </c>
      <c r="M52" s="111">
        <v>23014021</v>
      </c>
      <c r="N52" s="74" t="s">
        <v>75</v>
      </c>
    </row>
    <row r="53" spans="1:14" ht="15.75" customHeight="1">
      <c r="A53" s="64" t="s">
        <v>76</v>
      </c>
      <c r="B53" s="109">
        <f>_xlfn.COMPOUNDVALUE(489)</f>
        <v>3530</v>
      </c>
      <c r="C53" s="110">
        <v>57150093</v>
      </c>
      <c r="D53" s="109">
        <f>_xlfn.COMPOUNDVALUE(490)</f>
        <v>1548</v>
      </c>
      <c r="E53" s="110">
        <v>1603261</v>
      </c>
      <c r="F53" s="109">
        <f>_xlfn.COMPOUNDVALUE(491)</f>
        <v>5078</v>
      </c>
      <c r="G53" s="110">
        <v>58753353</v>
      </c>
      <c r="H53" s="109">
        <f>_xlfn.COMPOUNDVALUE(492)</f>
        <v>701</v>
      </c>
      <c r="I53" s="111">
        <v>55018575</v>
      </c>
      <c r="J53" s="109">
        <v>199</v>
      </c>
      <c r="K53" s="111">
        <v>476659</v>
      </c>
      <c r="L53" s="109">
        <v>5845</v>
      </c>
      <c r="M53" s="111">
        <v>4211437</v>
      </c>
      <c r="N53" s="74" t="s">
        <v>76</v>
      </c>
    </row>
    <row r="54" spans="1:14" ht="15.75" customHeight="1">
      <c r="A54" s="64"/>
      <c r="B54" s="109"/>
      <c r="C54" s="110"/>
      <c r="D54" s="109"/>
      <c r="E54" s="110"/>
      <c r="F54" s="109"/>
      <c r="G54" s="110"/>
      <c r="H54" s="109"/>
      <c r="I54" s="111"/>
      <c r="J54" s="109"/>
      <c r="K54" s="111"/>
      <c r="L54" s="109"/>
      <c r="M54" s="111"/>
      <c r="N54" s="74" t="s">
        <v>35</v>
      </c>
    </row>
    <row r="55" spans="1:14" ht="15.75" customHeight="1">
      <c r="A55" s="64" t="s">
        <v>77</v>
      </c>
      <c r="B55" s="109">
        <f>_xlfn.COMPOUNDVALUE(493)</f>
        <v>21421</v>
      </c>
      <c r="C55" s="110">
        <v>630160818</v>
      </c>
      <c r="D55" s="109">
        <f>_xlfn.COMPOUNDVALUE(494)</f>
        <v>4971</v>
      </c>
      <c r="E55" s="110">
        <v>5160612</v>
      </c>
      <c r="F55" s="109">
        <f>_xlfn.COMPOUNDVALUE(495)</f>
        <v>26392</v>
      </c>
      <c r="G55" s="110">
        <v>635321430</v>
      </c>
      <c r="H55" s="109">
        <f>_xlfn.COMPOUNDVALUE(496)</f>
        <v>4532</v>
      </c>
      <c r="I55" s="111">
        <v>149516761</v>
      </c>
      <c r="J55" s="109">
        <v>1344</v>
      </c>
      <c r="K55" s="111">
        <v>-487754</v>
      </c>
      <c r="L55" s="109">
        <v>31349</v>
      </c>
      <c r="M55" s="111">
        <v>485316915</v>
      </c>
      <c r="N55" s="74" t="s">
        <v>77</v>
      </c>
    </row>
    <row r="56" spans="1:14" ht="15.75" customHeight="1">
      <c r="A56" s="64" t="s">
        <v>78</v>
      </c>
      <c r="B56" s="109">
        <f>_xlfn.COMPOUNDVALUE(497)</f>
        <v>4069</v>
      </c>
      <c r="C56" s="110">
        <v>77496964</v>
      </c>
      <c r="D56" s="109">
        <f>_xlfn.COMPOUNDVALUE(498)</f>
        <v>1666</v>
      </c>
      <c r="E56" s="110">
        <v>1242194</v>
      </c>
      <c r="F56" s="109">
        <f>_xlfn.COMPOUNDVALUE(499)</f>
        <v>5735</v>
      </c>
      <c r="G56" s="110">
        <v>78739158</v>
      </c>
      <c r="H56" s="109">
        <f>_xlfn.COMPOUNDVALUE(500)</f>
        <v>842</v>
      </c>
      <c r="I56" s="111">
        <v>6636287</v>
      </c>
      <c r="J56" s="109">
        <v>270</v>
      </c>
      <c r="K56" s="111">
        <v>45626</v>
      </c>
      <c r="L56" s="109">
        <v>6648</v>
      </c>
      <c r="M56" s="111">
        <v>72148497</v>
      </c>
      <c r="N56" s="74" t="s">
        <v>78</v>
      </c>
    </row>
    <row r="57" spans="1:14" ht="15.75" customHeight="1">
      <c r="A57" s="64" t="s">
        <v>79</v>
      </c>
      <c r="B57" s="109">
        <f>_xlfn.COMPOUNDVALUE(501)</f>
        <v>3183</v>
      </c>
      <c r="C57" s="110">
        <v>23129020</v>
      </c>
      <c r="D57" s="109">
        <f>_xlfn.COMPOUNDVALUE(502)</f>
        <v>1460</v>
      </c>
      <c r="E57" s="110">
        <v>1029643</v>
      </c>
      <c r="F57" s="109">
        <f>_xlfn.COMPOUNDVALUE(503)</f>
        <v>4643</v>
      </c>
      <c r="G57" s="110">
        <v>24158663</v>
      </c>
      <c r="H57" s="109">
        <f>_xlfn.COMPOUNDVALUE(504)</f>
        <v>567</v>
      </c>
      <c r="I57" s="111">
        <v>1639386</v>
      </c>
      <c r="J57" s="109">
        <v>158</v>
      </c>
      <c r="K57" s="111">
        <v>78093</v>
      </c>
      <c r="L57" s="109">
        <v>5251</v>
      </c>
      <c r="M57" s="111">
        <v>22597371</v>
      </c>
      <c r="N57" s="74" t="s">
        <v>79</v>
      </c>
    </row>
    <row r="58" spans="1:14" ht="15.75" customHeight="1">
      <c r="A58" s="64" t="s">
        <v>80</v>
      </c>
      <c r="B58" s="109">
        <f>_xlfn.COMPOUNDVALUE(505)</f>
        <v>2282</v>
      </c>
      <c r="C58" s="110">
        <v>17710359</v>
      </c>
      <c r="D58" s="109">
        <f>_xlfn.COMPOUNDVALUE(506)</f>
        <v>1132</v>
      </c>
      <c r="E58" s="110">
        <v>812032</v>
      </c>
      <c r="F58" s="109">
        <f>_xlfn.COMPOUNDVALUE(507)</f>
        <v>3414</v>
      </c>
      <c r="G58" s="110">
        <v>18522391</v>
      </c>
      <c r="H58" s="109">
        <f>_xlfn.COMPOUNDVALUE(508)</f>
        <v>430</v>
      </c>
      <c r="I58" s="111">
        <v>1403780</v>
      </c>
      <c r="J58" s="109">
        <v>140</v>
      </c>
      <c r="K58" s="111">
        <v>21558</v>
      </c>
      <c r="L58" s="109">
        <v>3886</v>
      </c>
      <c r="M58" s="111">
        <v>17140169</v>
      </c>
      <c r="N58" s="74" t="s">
        <v>80</v>
      </c>
    </row>
    <row r="59" spans="1:14" ht="15.75" customHeight="1">
      <c r="A59" s="64" t="s">
        <v>81</v>
      </c>
      <c r="B59" s="109">
        <f>_xlfn.COMPOUNDVALUE(509)</f>
        <v>8412</v>
      </c>
      <c r="C59" s="110">
        <v>143146958</v>
      </c>
      <c r="D59" s="109">
        <f>_xlfn.COMPOUNDVALUE(510)</f>
        <v>2547</v>
      </c>
      <c r="E59" s="110">
        <v>2160304</v>
      </c>
      <c r="F59" s="109">
        <f>_xlfn.COMPOUNDVALUE(511)</f>
        <v>10959</v>
      </c>
      <c r="G59" s="110">
        <v>145307263</v>
      </c>
      <c r="H59" s="109">
        <f>_xlfn.COMPOUNDVALUE(512)</f>
        <v>2044</v>
      </c>
      <c r="I59" s="111">
        <v>21014285</v>
      </c>
      <c r="J59" s="109">
        <v>625</v>
      </c>
      <c r="K59" s="111">
        <v>104698</v>
      </c>
      <c r="L59" s="109">
        <v>13222</v>
      </c>
      <c r="M59" s="111">
        <v>124397676</v>
      </c>
      <c r="N59" s="74" t="s">
        <v>81</v>
      </c>
    </row>
    <row r="60" spans="1:14" ht="15.75" customHeight="1">
      <c r="A60" s="64"/>
      <c r="B60" s="109"/>
      <c r="C60" s="110"/>
      <c r="D60" s="109"/>
      <c r="E60" s="110"/>
      <c r="F60" s="109"/>
      <c r="G60" s="110"/>
      <c r="H60" s="109"/>
      <c r="I60" s="111"/>
      <c r="J60" s="109"/>
      <c r="K60" s="111"/>
      <c r="L60" s="109"/>
      <c r="M60" s="111"/>
      <c r="N60" s="74" t="s">
        <v>35</v>
      </c>
    </row>
    <row r="61" spans="1:14" ht="15.75" customHeight="1">
      <c r="A61" s="64" t="s">
        <v>82</v>
      </c>
      <c r="B61" s="109">
        <f>_xlfn.COMPOUNDVALUE(513)</f>
        <v>3730</v>
      </c>
      <c r="C61" s="110">
        <v>53158277</v>
      </c>
      <c r="D61" s="109">
        <f>_xlfn.COMPOUNDVALUE(514)</f>
        <v>1516</v>
      </c>
      <c r="E61" s="110">
        <v>1008239</v>
      </c>
      <c r="F61" s="109">
        <f>_xlfn.COMPOUNDVALUE(515)</f>
        <v>5246</v>
      </c>
      <c r="G61" s="110">
        <v>54166516</v>
      </c>
      <c r="H61" s="109">
        <f>_xlfn.COMPOUNDVALUE(516)</f>
        <v>721</v>
      </c>
      <c r="I61" s="111">
        <v>10025917</v>
      </c>
      <c r="J61" s="109">
        <v>223</v>
      </c>
      <c r="K61" s="111">
        <v>465331</v>
      </c>
      <c r="L61" s="109">
        <v>6031</v>
      </c>
      <c r="M61" s="111">
        <v>44605929</v>
      </c>
      <c r="N61" s="74" t="s">
        <v>82</v>
      </c>
    </row>
    <row r="62" spans="1:14" ht="15.75" customHeight="1">
      <c r="A62" s="64" t="s">
        <v>83</v>
      </c>
      <c r="B62" s="109">
        <f>_xlfn.COMPOUNDVALUE(517)</f>
        <v>3224</v>
      </c>
      <c r="C62" s="110">
        <v>27906672</v>
      </c>
      <c r="D62" s="109">
        <f>_xlfn.COMPOUNDVALUE(518)</f>
        <v>1325</v>
      </c>
      <c r="E62" s="110">
        <v>857638</v>
      </c>
      <c r="F62" s="109">
        <f>_xlfn.COMPOUNDVALUE(519)</f>
        <v>4549</v>
      </c>
      <c r="G62" s="110">
        <v>28764310</v>
      </c>
      <c r="H62" s="109">
        <f>_xlfn.COMPOUNDVALUE(520)</f>
        <v>622</v>
      </c>
      <c r="I62" s="111">
        <v>3849293</v>
      </c>
      <c r="J62" s="109">
        <v>259</v>
      </c>
      <c r="K62" s="111">
        <v>1613</v>
      </c>
      <c r="L62" s="109">
        <v>5274</v>
      </c>
      <c r="M62" s="111">
        <v>24916630</v>
      </c>
      <c r="N62" s="74" t="s">
        <v>83</v>
      </c>
    </row>
    <row r="63" spans="1:14" ht="15.75" customHeight="1">
      <c r="A63" s="64" t="s">
        <v>84</v>
      </c>
      <c r="B63" s="109">
        <f>_xlfn.COMPOUNDVALUE(521)</f>
        <v>5836</v>
      </c>
      <c r="C63" s="110">
        <v>54661926</v>
      </c>
      <c r="D63" s="109">
        <f>_xlfn.COMPOUNDVALUE(522)</f>
        <v>2423</v>
      </c>
      <c r="E63" s="110">
        <v>1631705</v>
      </c>
      <c r="F63" s="109">
        <f>_xlfn.COMPOUNDVALUE(523)</f>
        <v>8259</v>
      </c>
      <c r="G63" s="110">
        <v>56293631</v>
      </c>
      <c r="H63" s="109">
        <f>_xlfn.COMPOUNDVALUE(524)</f>
        <v>909</v>
      </c>
      <c r="I63" s="111">
        <v>6635408</v>
      </c>
      <c r="J63" s="109">
        <v>392</v>
      </c>
      <c r="K63" s="111">
        <v>-47845</v>
      </c>
      <c r="L63" s="109">
        <v>9248</v>
      </c>
      <c r="M63" s="111">
        <v>49610379</v>
      </c>
      <c r="N63" s="74" t="s">
        <v>84</v>
      </c>
    </row>
    <row r="64" spans="1:14" ht="15.75" customHeight="1">
      <c r="A64" s="64" t="s">
        <v>85</v>
      </c>
      <c r="B64" s="109">
        <f>_xlfn.COMPOUNDVALUE(525)</f>
        <v>4100</v>
      </c>
      <c r="C64" s="110">
        <v>24089781</v>
      </c>
      <c r="D64" s="109">
        <f>_xlfn.COMPOUNDVALUE(526)</f>
        <v>1823</v>
      </c>
      <c r="E64" s="110">
        <v>1502078</v>
      </c>
      <c r="F64" s="109">
        <f>_xlfn.COMPOUNDVALUE(527)</f>
        <v>5923</v>
      </c>
      <c r="G64" s="110">
        <v>25591859</v>
      </c>
      <c r="H64" s="109">
        <f>_xlfn.COMPOUNDVALUE(528)</f>
        <v>624</v>
      </c>
      <c r="I64" s="111">
        <v>2131084</v>
      </c>
      <c r="J64" s="109">
        <v>255</v>
      </c>
      <c r="K64" s="111">
        <v>188333</v>
      </c>
      <c r="L64" s="109">
        <v>6646</v>
      </c>
      <c r="M64" s="111">
        <v>23649107</v>
      </c>
      <c r="N64" s="74" t="s">
        <v>85</v>
      </c>
    </row>
    <row r="65" spans="1:14" ht="15.75" customHeight="1">
      <c r="A65" s="66" t="s">
        <v>86</v>
      </c>
      <c r="B65" s="112">
        <f>_xlfn.COMPOUNDVALUE(529)</f>
        <v>2376</v>
      </c>
      <c r="C65" s="113">
        <v>10595064</v>
      </c>
      <c r="D65" s="112">
        <f>_xlfn.COMPOUNDVALUE(530)</f>
        <v>1227</v>
      </c>
      <c r="E65" s="113">
        <v>833242</v>
      </c>
      <c r="F65" s="112">
        <f>_xlfn.COMPOUNDVALUE(531)</f>
        <v>3603</v>
      </c>
      <c r="G65" s="113">
        <v>11428306</v>
      </c>
      <c r="H65" s="112">
        <f>_xlfn.COMPOUNDVALUE(532)</f>
        <v>318</v>
      </c>
      <c r="I65" s="114">
        <v>916471</v>
      </c>
      <c r="J65" s="112">
        <v>197</v>
      </c>
      <c r="K65" s="114">
        <v>-221074</v>
      </c>
      <c r="L65" s="112">
        <v>3992</v>
      </c>
      <c r="M65" s="114">
        <v>10290761</v>
      </c>
      <c r="N65" s="65" t="s">
        <v>86</v>
      </c>
    </row>
    <row r="66" spans="1:14" ht="15.75" customHeight="1">
      <c r="A66" s="66"/>
      <c r="B66" s="112"/>
      <c r="C66" s="113"/>
      <c r="D66" s="112"/>
      <c r="E66" s="113"/>
      <c r="F66" s="112"/>
      <c r="G66" s="113"/>
      <c r="H66" s="112"/>
      <c r="I66" s="114"/>
      <c r="J66" s="112"/>
      <c r="K66" s="114"/>
      <c r="L66" s="112"/>
      <c r="M66" s="114"/>
      <c r="N66" s="65" t="s">
        <v>35</v>
      </c>
    </row>
    <row r="67" spans="1:14" ht="15.75" customHeight="1">
      <c r="A67" s="66" t="s">
        <v>87</v>
      </c>
      <c r="B67" s="112">
        <f>_xlfn.COMPOUNDVALUE(533)</f>
        <v>4539</v>
      </c>
      <c r="C67" s="113">
        <v>29237203</v>
      </c>
      <c r="D67" s="112">
        <f>_xlfn.COMPOUNDVALUE(534)</f>
        <v>1746</v>
      </c>
      <c r="E67" s="113">
        <v>1225659</v>
      </c>
      <c r="F67" s="112">
        <f>_xlfn.COMPOUNDVALUE(535)</f>
        <v>6285</v>
      </c>
      <c r="G67" s="113">
        <v>30462862</v>
      </c>
      <c r="H67" s="112">
        <f>_xlfn.COMPOUNDVALUE(536)</f>
        <v>631</v>
      </c>
      <c r="I67" s="114">
        <v>4581209</v>
      </c>
      <c r="J67" s="112">
        <v>266</v>
      </c>
      <c r="K67" s="114">
        <v>139397</v>
      </c>
      <c r="L67" s="112">
        <v>6985</v>
      </c>
      <c r="M67" s="114">
        <v>26021049</v>
      </c>
      <c r="N67" s="65" t="s">
        <v>87</v>
      </c>
    </row>
    <row r="68" spans="1:14" ht="15.75" customHeight="1">
      <c r="A68" s="66" t="s">
        <v>88</v>
      </c>
      <c r="B68" s="112">
        <f>_xlfn.COMPOUNDVALUE(537)</f>
        <v>3703</v>
      </c>
      <c r="C68" s="113">
        <v>21785790</v>
      </c>
      <c r="D68" s="112">
        <f>_xlfn.COMPOUNDVALUE(538)</f>
        <v>1467</v>
      </c>
      <c r="E68" s="113">
        <v>1008030</v>
      </c>
      <c r="F68" s="112">
        <f>_xlfn.COMPOUNDVALUE(539)</f>
        <v>5170</v>
      </c>
      <c r="G68" s="113">
        <v>22793820</v>
      </c>
      <c r="H68" s="112">
        <f>_xlfn.COMPOUNDVALUE(540)</f>
        <v>454</v>
      </c>
      <c r="I68" s="114">
        <v>2370567</v>
      </c>
      <c r="J68" s="112">
        <v>250</v>
      </c>
      <c r="K68" s="114">
        <v>109723</v>
      </c>
      <c r="L68" s="112">
        <v>5747</v>
      </c>
      <c r="M68" s="114">
        <v>20532976</v>
      </c>
      <c r="N68" s="65" t="s">
        <v>88</v>
      </c>
    </row>
    <row r="69" spans="1:14" ht="15.75" customHeight="1">
      <c r="A69" s="66" t="s">
        <v>89</v>
      </c>
      <c r="B69" s="112">
        <f>_xlfn.COMPOUNDVALUE(541)</f>
        <v>4638</v>
      </c>
      <c r="C69" s="113">
        <v>27040508</v>
      </c>
      <c r="D69" s="112">
        <f>_xlfn.COMPOUNDVALUE(542)</f>
        <v>2199</v>
      </c>
      <c r="E69" s="113">
        <v>1441758</v>
      </c>
      <c r="F69" s="112">
        <f>_xlfn.COMPOUNDVALUE(543)</f>
        <v>6837</v>
      </c>
      <c r="G69" s="113">
        <v>28482266</v>
      </c>
      <c r="H69" s="112">
        <f>_xlfn.COMPOUNDVALUE(544)</f>
        <v>726</v>
      </c>
      <c r="I69" s="114">
        <v>3011100</v>
      </c>
      <c r="J69" s="112">
        <v>276</v>
      </c>
      <c r="K69" s="114">
        <v>38673</v>
      </c>
      <c r="L69" s="112">
        <v>7666</v>
      </c>
      <c r="M69" s="114">
        <v>25509840</v>
      </c>
      <c r="N69" s="65" t="s">
        <v>89</v>
      </c>
    </row>
    <row r="70" spans="1:14" ht="15.75" customHeight="1">
      <c r="A70" s="66" t="s">
        <v>90</v>
      </c>
      <c r="B70" s="112">
        <f>_xlfn.COMPOUNDVALUE(545)</f>
        <v>5417</v>
      </c>
      <c r="C70" s="113">
        <v>31939737</v>
      </c>
      <c r="D70" s="112">
        <f>_xlfn.COMPOUNDVALUE(546)</f>
        <v>2263</v>
      </c>
      <c r="E70" s="113">
        <v>1554168</v>
      </c>
      <c r="F70" s="112">
        <f>_xlfn.COMPOUNDVALUE(547)</f>
        <v>7680</v>
      </c>
      <c r="G70" s="113">
        <v>33493905</v>
      </c>
      <c r="H70" s="112">
        <f>_xlfn.COMPOUNDVALUE(548)</f>
        <v>786</v>
      </c>
      <c r="I70" s="114">
        <v>4000333</v>
      </c>
      <c r="J70" s="112">
        <v>269</v>
      </c>
      <c r="K70" s="114">
        <v>80130</v>
      </c>
      <c r="L70" s="112">
        <v>8532</v>
      </c>
      <c r="M70" s="114">
        <v>29573702</v>
      </c>
      <c r="N70" s="65" t="s">
        <v>90</v>
      </c>
    </row>
    <row r="71" spans="1:14" ht="15.75" customHeight="1">
      <c r="A71" s="66" t="s">
        <v>91</v>
      </c>
      <c r="B71" s="112">
        <f>_xlfn.COMPOUNDVALUE(549)</f>
        <v>2559</v>
      </c>
      <c r="C71" s="113">
        <v>23443164</v>
      </c>
      <c r="D71" s="112">
        <f>_xlfn.COMPOUNDVALUE(550)</f>
        <v>963</v>
      </c>
      <c r="E71" s="113">
        <v>706709</v>
      </c>
      <c r="F71" s="112">
        <f>_xlfn.COMPOUNDVALUE(551)</f>
        <v>3522</v>
      </c>
      <c r="G71" s="113">
        <v>24149873</v>
      </c>
      <c r="H71" s="112">
        <f>_xlfn.COMPOUNDVALUE(552)</f>
        <v>357</v>
      </c>
      <c r="I71" s="114">
        <v>2207207</v>
      </c>
      <c r="J71" s="112">
        <v>166</v>
      </c>
      <c r="K71" s="114">
        <v>142790</v>
      </c>
      <c r="L71" s="112">
        <v>3956</v>
      </c>
      <c r="M71" s="114">
        <v>22085455</v>
      </c>
      <c r="N71" s="65" t="s">
        <v>91</v>
      </c>
    </row>
    <row r="72" spans="1:14" ht="15.75" customHeight="1">
      <c r="A72" s="150" t="s">
        <v>153</v>
      </c>
      <c r="B72" s="151">
        <v>236851</v>
      </c>
      <c r="C72" s="152">
        <v>7794087116</v>
      </c>
      <c r="D72" s="131">
        <v>70169</v>
      </c>
      <c r="E72" s="132">
        <v>57208916</v>
      </c>
      <c r="F72" s="131">
        <v>307020</v>
      </c>
      <c r="G72" s="132">
        <v>7851296031</v>
      </c>
      <c r="H72" s="131">
        <v>57755</v>
      </c>
      <c r="I72" s="133">
        <v>2874627746</v>
      </c>
      <c r="J72" s="131">
        <v>15938</v>
      </c>
      <c r="K72" s="133">
        <v>-63646423</v>
      </c>
      <c r="L72" s="131">
        <v>369117</v>
      </c>
      <c r="M72" s="133">
        <v>4913021862</v>
      </c>
      <c r="N72" s="134" t="s">
        <v>93</v>
      </c>
    </row>
    <row r="73" spans="1:14" ht="15.75" customHeight="1">
      <c r="A73" s="145"/>
      <c r="B73" s="146"/>
      <c r="C73" s="147"/>
      <c r="D73" s="146"/>
      <c r="E73" s="147"/>
      <c r="F73" s="146"/>
      <c r="G73" s="147"/>
      <c r="H73" s="146"/>
      <c r="I73" s="148"/>
      <c r="J73" s="146"/>
      <c r="K73" s="148"/>
      <c r="L73" s="146"/>
      <c r="M73" s="148"/>
      <c r="N73" s="149" t="s">
        <v>35</v>
      </c>
    </row>
    <row r="74" spans="1:14" ht="15.75" customHeight="1">
      <c r="A74" s="64" t="s">
        <v>94</v>
      </c>
      <c r="B74" s="109">
        <f>_xlfn.COMPOUNDVALUE(553)</f>
        <v>4637</v>
      </c>
      <c r="C74" s="110">
        <v>37085266</v>
      </c>
      <c r="D74" s="109">
        <f>_xlfn.COMPOUNDVALUE(554)</f>
        <v>2158</v>
      </c>
      <c r="E74" s="110">
        <v>1525329</v>
      </c>
      <c r="F74" s="109">
        <f>_xlfn.COMPOUNDVALUE(555)</f>
        <v>6795</v>
      </c>
      <c r="G74" s="110">
        <v>38610595</v>
      </c>
      <c r="H74" s="109">
        <f>_xlfn.COMPOUNDVALUE(556)</f>
        <v>576</v>
      </c>
      <c r="I74" s="111">
        <v>23077839</v>
      </c>
      <c r="J74" s="109">
        <v>227</v>
      </c>
      <c r="K74" s="111">
        <v>277997</v>
      </c>
      <c r="L74" s="109">
        <v>7444</v>
      </c>
      <c r="M74" s="111">
        <v>15810752</v>
      </c>
      <c r="N74" s="74" t="s">
        <v>94</v>
      </c>
    </row>
    <row r="75" spans="1:14" ht="15.75" customHeight="1">
      <c r="A75" s="66" t="s">
        <v>95</v>
      </c>
      <c r="B75" s="112">
        <f>_xlfn.COMPOUNDVALUE(557)</f>
        <v>5739</v>
      </c>
      <c r="C75" s="113">
        <v>48511854</v>
      </c>
      <c r="D75" s="112">
        <f>_xlfn.COMPOUNDVALUE(558)</f>
        <v>2595</v>
      </c>
      <c r="E75" s="113">
        <v>1906170</v>
      </c>
      <c r="F75" s="112">
        <f>_xlfn.COMPOUNDVALUE(559)</f>
        <v>8334</v>
      </c>
      <c r="G75" s="113">
        <v>50418025</v>
      </c>
      <c r="H75" s="112">
        <f>_xlfn.COMPOUNDVALUE(560)</f>
        <v>724</v>
      </c>
      <c r="I75" s="114">
        <v>5707073</v>
      </c>
      <c r="J75" s="112">
        <v>460</v>
      </c>
      <c r="K75" s="114">
        <v>103560</v>
      </c>
      <c r="L75" s="112">
        <v>9182</v>
      </c>
      <c r="M75" s="114">
        <v>44814512</v>
      </c>
      <c r="N75" s="65" t="s">
        <v>95</v>
      </c>
    </row>
    <row r="76" spans="1:14" ht="15.75" customHeight="1">
      <c r="A76" s="66" t="s">
        <v>96</v>
      </c>
      <c r="B76" s="112">
        <f>_xlfn.COMPOUNDVALUE(561)</f>
        <v>3876</v>
      </c>
      <c r="C76" s="113">
        <v>41299608</v>
      </c>
      <c r="D76" s="112">
        <f>_xlfn.COMPOUNDVALUE(562)</f>
        <v>1922</v>
      </c>
      <c r="E76" s="113">
        <v>1418333</v>
      </c>
      <c r="F76" s="112">
        <f>_xlfn.COMPOUNDVALUE(563)</f>
        <v>5798</v>
      </c>
      <c r="G76" s="113">
        <v>42717941</v>
      </c>
      <c r="H76" s="112">
        <f>_xlfn.COMPOUNDVALUE(564)</f>
        <v>684</v>
      </c>
      <c r="I76" s="114">
        <v>8581790</v>
      </c>
      <c r="J76" s="112">
        <v>243</v>
      </c>
      <c r="K76" s="114">
        <v>35560</v>
      </c>
      <c r="L76" s="112">
        <v>6558</v>
      </c>
      <c r="M76" s="114">
        <v>34171711</v>
      </c>
      <c r="N76" s="65" t="s">
        <v>96</v>
      </c>
    </row>
    <row r="77" spans="1:14" ht="15.75" customHeight="1">
      <c r="A77" s="66" t="s">
        <v>97</v>
      </c>
      <c r="B77" s="112">
        <f>_xlfn.COMPOUNDVALUE(565)</f>
        <v>3346</v>
      </c>
      <c r="C77" s="113">
        <v>23025667</v>
      </c>
      <c r="D77" s="112">
        <f>_xlfn.COMPOUNDVALUE(566)</f>
        <v>1565</v>
      </c>
      <c r="E77" s="113">
        <v>1173735</v>
      </c>
      <c r="F77" s="112">
        <f>_xlfn.COMPOUNDVALUE(567)</f>
        <v>4911</v>
      </c>
      <c r="G77" s="113">
        <v>24199402</v>
      </c>
      <c r="H77" s="112">
        <f>_xlfn.COMPOUNDVALUE(568)</f>
        <v>330</v>
      </c>
      <c r="I77" s="114">
        <v>3540151</v>
      </c>
      <c r="J77" s="112">
        <v>211</v>
      </c>
      <c r="K77" s="114">
        <v>96171</v>
      </c>
      <c r="L77" s="112">
        <v>5304</v>
      </c>
      <c r="M77" s="114">
        <v>20755423</v>
      </c>
      <c r="N77" s="65" t="s">
        <v>97</v>
      </c>
    </row>
    <row r="78" spans="1:14" ht="15.75" customHeight="1">
      <c r="A78" s="66" t="s">
        <v>98</v>
      </c>
      <c r="B78" s="112">
        <f>_xlfn.COMPOUNDVALUE(569)</f>
        <v>4572</v>
      </c>
      <c r="C78" s="113">
        <v>45634646</v>
      </c>
      <c r="D78" s="112">
        <f>_xlfn.COMPOUNDVALUE(570)</f>
        <v>2172</v>
      </c>
      <c r="E78" s="113">
        <v>1532213</v>
      </c>
      <c r="F78" s="112">
        <f>_xlfn.COMPOUNDVALUE(571)</f>
        <v>6744</v>
      </c>
      <c r="G78" s="113">
        <v>47166859</v>
      </c>
      <c r="H78" s="112">
        <f>_xlfn.COMPOUNDVALUE(572)</f>
        <v>608</v>
      </c>
      <c r="I78" s="114">
        <v>5209017</v>
      </c>
      <c r="J78" s="112">
        <v>248</v>
      </c>
      <c r="K78" s="114">
        <v>23418</v>
      </c>
      <c r="L78" s="112">
        <v>7426</v>
      </c>
      <c r="M78" s="114">
        <v>41981260</v>
      </c>
      <c r="N78" s="65" t="s">
        <v>98</v>
      </c>
    </row>
    <row r="79" spans="1:14" ht="15.75" customHeight="1">
      <c r="A79" s="223"/>
      <c r="B79" s="224"/>
      <c r="C79" s="228"/>
      <c r="D79" s="224"/>
      <c r="E79" s="228"/>
      <c r="F79" s="224"/>
      <c r="G79" s="228"/>
      <c r="H79" s="224"/>
      <c r="I79" s="227"/>
      <c r="J79" s="224"/>
      <c r="K79" s="227"/>
      <c r="L79" s="224"/>
      <c r="M79" s="227"/>
      <c r="N79" s="229" t="s">
        <v>35</v>
      </c>
    </row>
    <row r="80" spans="1:14" ht="15.75" customHeight="1">
      <c r="A80" s="87" t="s">
        <v>99</v>
      </c>
      <c r="B80" s="109">
        <f>_xlfn.COMPOUNDVALUE(573)</f>
        <v>3225</v>
      </c>
      <c r="C80" s="110">
        <v>19402400</v>
      </c>
      <c r="D80" s="109">
        <f>_xlfn.COMPOUNDVALUE(574)</f>
        <v>1615</v>
      </c>
      <c r="E80" s="110">
        <v>1216465</v>
      </c>
      <c r="F80" s="109">
        <f>_xlfn.COMPOUNDVALUE(575)</f>
        <v>4840</v>
      </c>
      <c r="G80" s="110">
        <v>20618864</v>
      </c>
      <c r="H80" s="109">
        <f>_xlfn.COMPOUNDVALUE(576)</f>
        <v>407</v>
      </c>
      <c r="I80" s="111">
        <v>1919785</v>
      </c>
      <c r="J80" s="109">
        <v>174</v>
      </c>
      <c r="K80" s="111">
        <v>6232</v>
      </c>
      <c r="L80" s="109">
        <v>5293</v>
      </c>
      <c r="M80" s="111">
        <v>18705311</v>
      </c>
      <c r="N80" s="74" t="s">
        <v>99</v>
      </c>
    </row>
    <row r="81" spans="1:14" ht="15.75" customHeight="1">
      <c r="A81" s="66" t="s">
        <v>100</v>
      </c>
      <c r="B81" s="112">
        <f>_xlfn.COMPOUNDVALUE(577)</f>
        <v>2460</v>
      </c>
      <c r="C81" s="113">
        <v>21895331</v>
      </c>
      <c r="D81" s="112">
        <f>_xlfn.COMPOUNDVALUE(578)</f>
        <v>1166</v>
      </c>
      <c r="E81" s="113">
        <v>852523</v>
      </c>
      <c r="F81" s="112">
        <f>_xlfn.COMPOUNDVALUE(579)</f>
        <v>3626</v>
      </c>
      <c r="G81" s="113">
        <v>22747854</v>
      </c>
      <c r="H81" s="112">
        <f>_xlfn.COMPOUNDVALUE(580)</f>
        <v>384</v>
      </c>
      <c r="I81" s="114">
        <v>10945812</v>
      </c>
      <c r="J81" s="112">
        <v>129</v>
      </c>
      <c r="K81" s="114">
        <v>-175417</v>
      </c>
      <c r="L81" s="112">
        <v>4044</v>
      </c>
      <c r="M81" s="114">
        <v>11626625</v>
      </c>
      <c r="N81" s="65" t="s">
        <v>100</v>
      </c>
    </row>
    <row r="82" spans="1:14" ht="15.75" customHeight="1">
      <c r="A82" s="66" t="s">
        <v>101</v>
      </c>
      <c r="B82" s="112">
        <f>_xlfn.COMPOUNDVALUE(581)</f>
        <v>4584</v>
      </c>
      <c r="C82" s="113">
        <v>28192411</v>
      </c>
      <c r="D82" s="112">
        <f>_xlfn.COMPOUNDVALUE(582)</f>
        <v>2362</v>
      </c>
      <c r="E82" s="113">
        <v>1685837</v>
      </c>
      <c r="F82" s="112">
        <f>_xlfn.COMPOUNDVALUE(583)</f>
        <v>6946</v>
      </c>
      <c r="G82" s="113">
        <v>29878247</v>
      </c>
      <c r="H82" s="112">
        <f>_xlfn.COMPOUNDVALUE(584)</f>
        <v>522</v>
      </c>
      <c r="I82" s="114">
        <v>3947857</v>
      </c>
      <c r="J82" s="112">
        <v>307</v>
      </c>
      <c r="K82" s="114">
        <v>120877</v>
      </c>
      <c r="L82" s="112">
        <v>7567</v>
      </c>
      <c r="M82" s="114">
        <v>26051267</v>
      </c>
      <c r="N82" s="65" t="s">
        <v>101</v>
      </c>
    </row>
    <row r="83" spans="1:14" ht="15.75" customHeight="1">
      <c r="A83" s="130" t="s">
        <v>154</v>
      </c>
      <c r="B83" s="131">
        <v>32439</v>
      </c>
      <c r="C83" s="132">
        <v>265047183</v>
      </c>
      <c r="D83" s="131">
        <v>15555</v>
      </c>
      <c r="E83" s="132">
        <v>11310605</v>
      </c>
      <c r="F83" s="131">
        <v>47994</v>
      </c>
      <c r="G83" s="132">
        <v>276357787</v>
      </c>
      <c r="H83" s="131">
        <v>4235</v>
      </c>
      <c r="I83" s="133">
        <v>62929324</v>
      </c>
      <c r="J83" s="131">
        <v>1999</v>
      </c>
      <c r="K83" s="133">
        <v>488398</v>
      </c>
      <c r="L83" s="131">
        <v>52818</v>
      </c>
      <c r="M83" s="133">
        <v>213916861</v>
      </c>
      <c r="N83" s="134" t="s">
        <v>103</v>
      </c>
    </row>
    <row r="84" spans="1:14" ht="15.75" customHeight="1">
      <c r="A84" s="145"/>
      <c r="B84" s="146"/>
      <c r="C84" s="147"/>
      <c r="D84" s="146"/>
      <c r="E84" s="147"/>
      <c r="F84" s="146"/>
      <c r="G84" s="147"/>
      <c r="H84" s="146"/>
      <c r="I84" s="148"/>
      <c r="J84" s="146"/>
      <c r="K84" s="148"/>
      <c r="L84" s="146"/>
      <c r="M84" s="148"/>
      <c r="N84" s="149" t="s">
        <v>35</v>
      </c>
    </row>
    <row r="85" spans="1:14" ht="15.75" customHeight="1">
      <c r="A85" s="140" t="s">
        <v>155</v>
      </c>
      <c r="B85" s="141">
        <v>269290</v>
      </c>
      <c r="C85" s="142">
        <v>8059134296</v>
      </c>
      <c r="D85" s="141">
        <v>85724</v>
      </c>
      <c r="E85" s="142">
        <v>68519521</v>
      </c>
      <c r="F85" s="141">
        <v>355014</v>
      </c>
      <c r="G85" s="142">
        <v>8127653816</v>
      </c>
      <c r="H85" s="141">
        <v>61990</v>
      </c>
      <c r="I85" s="143">
        <v>2937557066</v>
      </c>
      <c r="J85" s="141">
        <v>17937</v>
      </c>
      <c r="K85" s="143">
        <v>-63158026</v>
      </c>
      <c r="L85" s="141">
        <v>421935</v>
      </c>
      <c r="M85" s="143">
        <v>5126938724</v>
      </c>
      <c r="N85" s="144" t="s">
        <v>105</v>
      </c>
    </row>
    <row r="86" spans="1:14" ht="15.75" customHeight="1">
      <c r="A86" s="135"/>
      <c r="B86" s="136"/>
      <c r="C86" s="137"/>
      <c r="D86" s="136"/>
      <c r="E86" s="137"/>
      <c r="F86" s="138"/>
      <c r="G86" s="137"/>
      <c r="H86" s="138"/>
      <c r="I86" s="137"/>
      <c r="J86" s="138"/>
      <c r="K86" s="137"/>
      <c r="L86" s="138"/>
      <c r="M86" s="137"/>
      <c r="N86" s="139"/>
    </row>
    <row r="87" spans="1:14" ht="15.75" customHeight="1">
      <c r="A87" s="64" t="s">
        <v>106</v>
      </c>
      <c r="B87" s="109">
        <f>_xlfn.COMPOUNDVALUE(585)</f>
        <v>2864</v>
      </c>
      <c r="C87" s="110">
        <v>29262278</v>
      </c>
      <c r="D87" s="109">
        <f>_xlfn.COMPOUNDVALUE(586)</f>
        <v>1268</v>
      </c>
      <c r="E87" s="110">
        <v>908717</v>
      </c>
      <c r="F87" s="109">
        <f>_xlfn.COMPOUNDVALUE(587)</f>
        <v>4132</v>
      </c>
      <c r="G87" s="110">
        <v>30170994</v>
      </c>
      <c r="H87" s="109">
        <f>_xlfn.COMPOUNDVALUE(588)</f>
        <v>332</v>
      </c>
      <c r="I87" s="111">
        <v>2678237</v>
      </c>
      <c r="J87" s="109">
        <v>141</v>
      </c>
      <c r="K87" s="111">
        <v>1511820</v>
      </c>
      <c r="L87" s="109">
        <v>4509</v>
      </c>
      <c r="M87" s="111">
        <v>29004578</v>
      </c>
      <c r="N87" s="74" t="s">
        <v>106</v>
      </c>
    </row>
    <row r="88" spans="1:14" ht="15.75" customHeight="1">
      <c r="A88" s="64" t="s">
        <v>107</v>
      </c>
      <c r="B88" s="109">
        <f>_xlfn.COMPOUNDVALUE(589)</f>
        <v>7450</v>
      </c>
      <c r="C88" s="110">
        <v>192438040</v>
      </c>
      <c r="D88" s="109">
        <f>_xlfn.COMPOUNDVALUE(590)</f>
        <v>2402</v>
      </c>
      <c r="E88" s="110">
        <v>1855793</v>
      </c>
      <c r="F88" s="109">
        <f>_xlfn.COMPOUNDVALUE(591)</f>
        <v>9852</v>
      </c>
      <c r="G88" s="110">
        <v>194293832</v>
      </c>
      <c r="H88" s="109">
        <f>_xlfn.COMPOUNDVALUE(592)</f>
        <v>2026</v>
      </c>
      <c r="I88" s="111">
        <v>77694354</v>
      </c>
      <c r="J88" s="109">
        <v>448</v>
      </c>
      <c r="K88" s="111">
        <v>668129</v>
      </c>
      <c r="L88" s="109">
        <v>11982</v>
      </c>
      <c r="M88" s="111">
        <v>117267608</v>
      </c>
      <c r="N88" s="74" t="s">
        <v>107</v>
      </c>
    </row>
    <row r="89" spans="1:14" ht="15.75" customHeight="1">
      <c r="A89" s="64" t="s">
        <v>108</v>
      </c>
      <c r="B89" s="109">
        <f>_xlfn.COMPOUNDVALUE(593)</f>
        <v>3968</v>
      </c>
      <c r="C89" s="110">
        <v>28243176</v>
      </c>
      <c r="D89" s="109">
        <f>_xlfn.COMPOUNDVALUE(594)</f>
        <v>1958</v>
      </c>
      <c r="E89" s="110">
        <v>1351961</v>
      </c>
      <c r="F89" s="109">
        <f>_xlfn.COMPOUNDVALUE(595)</f>
        <v>5926</v>
      </c>
      <c r="G89" s="110">
        <v>29595136</v>
      </c>
      <c r="H89" s="109">
        <f>_xlfn.COMPOUNDVALUE(596)</f>
        <v>430</v>
      </c>
      <c r="I89" s="111">
        <v>3162300</v>
      </c>
      <c r="J89" s="109">
        <v>199</v>
      </c>
      <c r="K89" s="111">
        <v>111129</v>
      </c>
      <c r="L89" s="109">
        <v>6411</v>
      </c>
      <c r="M89" s="111">
        <v>26543965</v>
      </c>
      <c r="N89" s="74" t="s">
        <v>108</v>
      </c>
    </row>
    <row r="90" spans="1:14" ht="15.75" customHeight="1">
      <c r="A90" s="64" t="s">
        <v>109</v>
      </c>
      <c r="B90" s="109">
        <f>_xlfn.COMPOUNDVALUE(597)</f>
        <v>5460</v>
      </c>
      <c r="C90" s="110">
        <v>37261513</v>
      </c>
      <c r="D90" s="109">
        <f>_xlfn.COMPOUNDVALUE(598)</f>
        <v>2642</v>
      </c>
      <c r="E90" s="110">
        <v>1811703</v>
      </c>
      <c r="F90" s="109">
        <f>_xlfn.COMPOUNDVALUE(599)</f>
        <v>8102</v>
      </c>
      <c r="G90" s="110">
        <v>39073216</v>
      </c>
      <c r="H90" s="109">
        <f>_xlfn.COMPOUNDVALUE(600)</f>
        <v>748</v>
      </c>
      <c r="I90" s="111">
        <v>5463091</v>
      </c>
      <c r="J90" s="109">
        <v>388</v>
      </c>
      <c r="K90" s="111">
        <v>10210</v>
      </c>
      <c r="L90" s="109">
        <v>8927</v>
      </c>
      <c r="M90" s="111">
        <v>33620334</v>
      </c>
      <c r="N90" s="74" t="s">
        <v>109</v>
      </c>
    </row>
    <row r="91" spans="1:14" ht="15.75" customHeight="1">
      <c r="A91" s="64" t="s">
        <v>110</v>
      </c>
      <c r="B91" s="109">
        <f>_xlfn.COMPOUNDVALUE(601)</f>
        <v>6519</v>
      </c>
      <c r="C91" s="110">
        <v>107260111</v>
      </c>
      <c r="D91" s="109">
        <f>_xlfn.COMPOUNDVALUE(602)</f>
        <v>2647</v>
      </c>
      <c r="E91" s="110">
        <v>1953588</v>
      </c>
      <c r="F91" s="109">
        <f>_xlfn.COMPOUNDVALUE(603)</f>
        <v>9166</v>
      </c>
      <c r="G91" s="110">
        <v>109213699</v>
      </c>
      <c r="H91" s="109">
        <f>_xlfn.COMPOUNDVALUE(604)</f>
        <v>1183</v>
      </c>
      <c r="I91" s="111">
        <v>159798885</v>
      </c>
      <c r="J91" s="109">
        <v>338</v>
      </c>
      <c r="K91" s="111">
        <v>132516</v>
      </c>
      <c r="L91" s="109">
        <v>10423</v>
      </c>
      <c r="M91" s="111">
        <v>-50452670</v>
      </c>
      <c r="N91" s="74" t="s">
        <v>110</v>
      </c>
    </row>
    <row r="92" spans="1:14" ht="15.75" customHeight="1">
      <c r="A92" s="64"/>
      <c r="B92" s="109"/>
      <c r="C92" s="110"/>
      <c r="D92" s="109"/>
      <c r="E92" s="110"/>
      <c r="F92" s="109"/>
      <c r="G92" s="110"/>
      <c r="H92" s="109"/>
      <c r="I92" s="111"/>
      <c r="J92" s="109"/>
      <c r="K92" s="111"/>
      <c r="L92" s="109"/>
      <c r="M92" s="111"/>
      <c r="N92" s="74" t="s">
        <v>35</v>
      </c>
    </row>
    <row r="93" spans="1:14" ht="15.75" customHeight="1">
      <c r="A93" s="64" t="s">
        <v>111</v>
      </c>
      <c r="B93" s="109">
        <f>_xlfn.COMPOUNDVALUE(605)</f>
        <v>3212</v>
      </c>
      <c r="C93" s="110">
        <v>25982296</v>
      </c>
      <c r="D93" s="109">
        <f>_xlfn.COMPOUNDVALUE(606)</f>
        <v>1598</v>
      </c>
      <c r="E93" s="110">
        <v>1146250</v>
      </c>
      <c r="F93" s="109">
        <f>_xlfn.COMPOUNDVALUE(607)</f>
        <v>4810</v>
      </c>
      <c r="G93" s="110">
        <v>27128546</v>
      </c>
      <c r="H93" s="109">
        <f>_xlfn.COMPOUNDVALUE(608)</f>
        <v>359</v>
      </c>
      <c r="I93" s="111">
        <v>4926676</v>
      </c>
      <c r="J93" s="109">
        <v>178</v>
      </c>
      <c r="K93" s="111">
        <v>23148</v>
      </c>
      <c r="L93" s="109">
        <v>5218</v>
      </c>
      <c r="M93" s="111">
        <v>22225017</v>
      </c>
      <c r="N93" s="74" t="s">
        <v>111</v>
      </c>
    </row>
    <row r="94" spans="1:14" ht="15.75" customHeight="1">
      <c r="A94" s="64" t="s">
        <v>151</v>
      </c>
      <c r="B94" s="109">
        <f>_xlfn.COMPOUNDVALUE(609)</f>
        <v>5765</v>
      </c>
      <c r="C94" s="110">
        <v>39628791</v>
      </c>
      <c r="D94" s="109">
        <f>_xlfn.COMPOUNDVALUE(610)</f>
        <v>2745</v>
      </c>
      <c r="E94" s="110">
        <v>2029530</v>
      </c>
      <c r="F94" s="109">
        <f>_xlfn.COMPOUNDVALUE(611)</f>
        <v>8510</v>
      </c>
      <c r="G94" s="110">
        <v>41658321</v>
      </c>
      <c r="H94" s="109">
        <f>_xlfn.COMPOUNDVALUE(612)</f>
        <v>834</v>
      </c>
      <c r="I94" s="111">
        <v>9088822</v>
      </c>
      <c r="J94" s="109">
        <v>336</v>
      </c>
      <c r="K94" s="111">
        <v>10033</v>
      </c>
      <c r="L94" s="109">
        <v>9445</v>
      </c>
      <c r="M94" s="111">
        <v>32579532</v>
      </c>
      <c r="N94" s="74" t="s">
        <v>112</v>
      </c>
    </row>
    <row r="95" spans="1:14" ht="15.75" customHeight="1">
      <c r="A95" s="64" t="s">
        <v>113</v>
      </c>
      <c r="B95" s="109">
        <f>_xlfn.COMPOUNDVALUE(613)</f>
        <v>4543</v>
      </c>
      <c r="C95" s="110">
        <v>106142182</v>
      </c>
      <c r="D95" s="109">
        <f>_xlfn.COMPOUNDVALUE(614)</f>
        <v>1863</v>
      </c>
      <c r="E95" s="110">
        <v>1373869</v>
      </c>
      <c r="F95" s="109">
        <f>_xlfn.COMPOUNDVALUE(615)</f>
        <v>6406</v>
      </c>
      <c r="G95" s="110">
        <v>107516051</v>
      </c>
      <c r="H95" s="109">
        <f>_xlfn.COMPOUNDVALUE(616)</f>
        <v>624</v>
      </c>
      <c r="I95" s="111">
        <v>15149734</v>
      </c>
      <c r="J95" s="109">
        <v>306</v>
      </c>
      <c r="K95" s="111">
        <v>-721073</v>
      </c>
      <c r="L95" s="109">
        <v>7109</v>
      </c>
      <c r="M95" s="111">
        <v>91645244</v>
      </c>
      <c r="N95" s="74" t="s">
        <v>113</v>
      </c>
    </row>
    <row r="96" spans="1:14" ht="15.75" customHeight="1">
      <c r="A96" s="64" t="s">
        <v>114</v>
      </c>
      <c r="B96" s="109">
        <f>_xlfn.COMPOUNDVALUE(617)</f>
        <v>5227</v>
      </c>
      <c r="C96" s="110">
        <v>79435214</v>
      </c>
      <c r="D96" s="109">
        <f>_xlfn.COMPOUNDVALUE(618)</f>
        <v>2593</v>
      </c>
      <c r="E96" s="110">
        <v>1819722</v>
      </c>
      <c r="F96" s="109">
        <f>_xlfn.COMPOUNDVALUE(619)</f>
        <v>7820</v>
      </c>
      <c r="G96" s="110">
        <v>81254936</v>
      </c>
      <c r="H96" s="109">
        <f>_xlfn.COMPOUNDVALUE(620)</f>
        <v>668</v>
      </c>
      <c r="I96" s="111">
        <v>8663318</v>
      </c>
      <c r="J96" s="109">
        <v>327</v>
      </c>
      <c r="K96" s="111">
        <v>168877</v>
      </c>
      <c r="L96" s="109">
        <v>8582</v>
      </c>
      <c r="M96" s="111">
        <v>72760495</v>
      </c>
      <c r="N96" s="74" t="s">
        <v>114</v>
      </c>
    </row>
    <row r="97" spans="1:14" ht="15.75" customHeight="1">
      <c r="A97" s="64" t="s">
        <v>115</v>
      </c>
      <c r="B97" s="109">
        <f>_xlfn.COMPOUNDVALUE(621)</f>
        <v>2202</v>
      </c>
      <c r="C97" s="110">
        <v>10290339</v>
      </c>
      <c r="D97" s="109">
        <f>_xlfn.COMPOUNDVALUE(622)</f>
        <v>1233</v>
      </c>
      <c r="E97" s="110">
        <v>941394</v>
      </c>
      <c r="F97" s="109">
        <f>_xlfn.COMPOUNDVALUE(623)</f>
        <v>3435</v>
      </c>
      <c r="G97" s="110">
        <v>11231733</v>
      </c>
      <c r="H97" s="109">
        <f>_xlfn.COMPOUNDVALUE(624)</f>
        <v>353</v>
      </c>
      <c r="I97" s="111">
        <v>2923036</v>
      </c>
      <c r="J97" s="109">
        <v>162</v>
      </c>
      <c r="K97" s="111">
        <v>79414</v>
      </c>
      <c r="L97" s="109">
        <v>3829</v>
      </c>
      <c r="M97" s="111">
        <v>8388110</v>
      </c>
      <c r="N97" s="74" t="s">
        <v>115</v>
      </c>
    </row>
    <row r="98" spans="1:14" ht="15.75" customHeight="1">
      <c r="A98" s="64"/>
      <c r="B98" s="109"/>
      <c r="C98" s="110"/>
      <c r="D98" s="109"/>
      <c r="E98" s="110"/>
      <c r="F98" s="109"/>
      <c r="G98" s="110"/>
      <c r="H98" s="109"/>
      <c r="I98" s="111"/>
      <c r="J98" s="109"/>
      <c r="K98" s="111"/>
      <c r="L98" s="109"/>
      <c r="M98" s="111"/>
      <c r="N98" s="74" t="s">
        <v>35</v>
      </c>
    </row>
    <row r="99" spans="1:14" ht="15.75" customHeight="1">
      <c r="A99" s="64" t="s">
        <v>116</v>
      </c>
      <c r="B99" s="109">
        <f>_xlfn.COMPOUNDVALUE(625)</f>
        <v>3093</v>
      </c>
      <c r="C99" s="110">
        <v>19912276</v>
      </c>
      <c r="D99" s="109">
        <f>_xlfn.COMPOUNDVALUE(626)</f>
        <v>1627</v>
      </c>
      <c r="E99" s="110">
        <v>1173973</v>
      </c>
      <c r="F99" s="109">
        <f>_xlfn.COMPOUNDVALUE(627)</f>
        <v>4720</v>
      </c>
      <c r="G99" s="110">
        <v>21086249</v>
      </c>
      <c r="H99" s="109">
        <f>_xlfn.COMPOUNDVALUE(628)</f>
        <v>316</v>
      </c>
      <c r="I99" s="111">
        <v>1575136</v>
      </c>
      <c r="J99" s="109">
        <v>214</v>
      </c>
      <c r="K99" s="111">
        <v>15840</v>
      </c>
      <c r="L99" s="109">
        <v>5077</v>
      </c>
      <c r="M99" s="111">
        <v>19526953</v>
      </c>
      <c r="N99" s="74" t="s">
        <v>116</v>
      </c>
    </row>
    <row r="100" spans="1:14" ht="15.75" customHeight="1">
      <c r="A100" s="64" t="s">
        <v>117</v>
      </c>
      <c r="B100" s="109">
        <f>_xlfn.COMPOUNDVALUE(629)</f>
        <v>4228</v>
      </c>
      <c r="C100" s="110">
        <v>35759393</v>
      </c>
      <c r="D100" s="109">
        <f>_xlfn.COMPOUNDVALUE(630)</f>
        <v>2218</v>
      </c>
      <c r="E100" s="110">
        <v>1482800</v>
      </c>
      <c r="F100" s="109">
        <f>_xlfn.COMPOUNDVALUE(631)</f>
        <v>6446</v>
      </c>
      <c r="G100" s="110">
        <v>37242194</v>
      </c>
      <c r="H100" s="109">
        <f>_xlfn.COMPOUNDVALUE(632)</f>
        <v>470</v>
      </c>
      <c r="I100" s="111">
        <v>4503629</v>
      </c>
      <c r="J100" s="109">
        <v>285</v>
      </c>
      <c r="K100" s="111">
        <v>97236</v>
      </c>
      <c r="L100" s="109">
        <v>6983</v>
      </c>
      <c r="M100" s="111">
        <v>32835800</v>
      </c>
      <c r="N100" s="74" t="s">
        <v>117</v>
      </c>
    </row>
    <row r="101" spans="1:14" ht="15.75" customHeight="1">
      <c r="A101" s="66" t="s">
        <v>118</v>
      </c>
      <c r="B101" s="112">
        <f>_xlfn.COMPOUNDVALUE(633)</f>
        <v>2224</v>
      </c>
      <c r="C101" s="113">
        <v>10775660</v>
      </c>
      <c r="D101" s="112">
        <f>_xlfn.COMPOUNDVALUE(634)</f>
        <v>1308</v>
      </c>
      <c r="E101" s="113">
        <v>914535</v>
      </c>
      <c r="F101" s="112">
        <f>_xlfn.COMPOUNDVALUE(635)</f>
        <v>3532</v>
      </c>
      <c r="G101" s="113">
        <v>11690194</v>
      </c>
      <c r="H101" s="112">
        <f>_xlfn.COMPOUNDVALUE(636)</f>
        <v>404</v>
      </c>
      <c r="I101" s="114">
        <v>593979</v>
      </c>
      <c r="J101" s="112">
        <v>166</v>
      </c>
      <c r="K101" s="114">
        <v>92526</v>
      </c>
      <c r="L101" s="112">
        <v>3985</v>
      </c>
      <c r="M101" s="114">
        <v>11188742</v>
      </c>
      <c r="N101" s="65" t="s">
        <v>118</v>
      </c>
    </row>
    <row r="102" spans="1:14" ht="15.75" customHeight="1">
      <c r="A102" s="66" t="s">
        <v>119</v>
      </c>
      <c r="B102" s="112">
        <f>_xlfn.COMPOUNDVALUE(637)</f>
        <v>5376</v>
      </c>
      <c r="C102" s="113">
        <v>35734524</v>
      </c>
      <c r="D102" s="112">
        <f>_xlfn.COMPOUNDVALUE(638)</f>
        <v>2631</v>
      </c>
      <c r="E102" s="113">
        <v>1861960</v>
      </c>
      <c r="F102" s="112">
        <f>_xlfn.COMPOUNDVALUE(639)</f>
        <v>8007</v>
      </c>
      <c r="G102" s="113">
        <v>37596483</v>
      </c>
      <c r="H102" s="112">
        <f>_xlfn.COMPOUNDVALUE(640)</f>
        <v>747</v>
      </c>
      <c r="I102" s="114">
        <v>5168146</v>
      </c>
      <c r="J102" s="112">
        <v>294</v>
      </c>
      <c r="K102" s="114">
        <v>83642</v>
      </c>
      <c r="L102" s="112">
        <v>8839</v>
      </c>
      <c r="M102" s="114">
        <v>32511979</v>
      </c>
      <c r="N102" s="65" t="s">
        <v>119</v>
      </c>
    </row>
    <row r="103" spans="1:14" ht="15.75" customHeight="1">
      <c r="A103" s="66" t="s">
        <v>120</v>
      </c>
      <c r="B103" s="112">
        <f>_xlfn.COMPOUNDVALUE(641)</f>
        <v>3257</v>
      </c>
      <c r="C103" s="113">
        <v>21884585</v>
      </c>
      <c r="D103" s="112">
        <f>_xlfn.COMPOUNDVALUE(642)</f>
        <v>1570</v>
      </c>
      <c r="E103" s="113">
        <v>1078015</v>
      </c>
      <c r="F103" s="112">
        <f>_xlfn.COMPOUNDVALUE(643)</f>
        <v>4827</v>
      </c>
      <c r="G103" s="113">
        <v>22962600</v>
      </c>
      <c r="H103" s="112">
        <f>_xlfn.COMPOUNDVALUE(644)</f>
        <v>316</v>
      </c>
      <c r="I103" s="114">
        <v>880016</v>
      </c>
      <c r="J103" s="112">
        <v>205</v>
      </c>
      <c r="K103" s="114">
        <v>36887</v>
      </c>
      <c r="L103" s="112">
        <v>5203</v>
      </c>
      <c r="M103" s="114">
        <v>22119472</v>
      </c>
      <c r="N103" s="65" t="s">
        <v>120</v>
      </c>
    </row>
    <row r="104" spans="1:14" ht="15.75" customHeight="1">
      <c r="A104" s="66"/>
      <c r="B104" s="112"/>
      <c r="C104" s="113"/>
      <c r="D104" s="112"/>
      <c r="E104" s="113"/>
      <c r="F104" s="112"/>
      <c r="G104" s="113"/>
      <c r="H104" s="112"/>
      <c r="I104" s="114"/>
      <c r="J104" s="112"/>
      <c r="K104" s="114"/>
      <c r="L104" s="112"/>
      <c r="M104" s="114"/>
      <c r="N104" s="65" t="s">
        <v>35</v>
      </c>
    </row>
    <row r="105" spans="1:14" ht="15.75" customHeight="1">
      <c r="A105" s="66" t="s">
        <v>121</v>
      </c>
      <c r="B105" s="112">
        <f>_xlfn.COMPOUNDVALUE(645)</f>
        <v>5703</v>
      </c>
      <c r="C105" s="113">
        <v>41164545</v>
      </c>
      <c r="D105" s="112">
        <f>_xlfn.COMPOUNDVALUE(646)</f>
        <v>2731</v>
      </c>
      <c r="E105" s="113">
        <v>1966936</v>
      </c>
      <c r="F105" s="112">
        <f>_xlfn.COMPOUNDVALUE(647)</f>
        <v>8434</v>
      </c>
      <c r="G105" s="113">
        <v>43131481</v>
      </c>
      <c r="H105" s="112">
        <f>_xlfn.COMPOUNDVALUE(648)</f>
        <v>583</v>
      </c>
      <c r="I105" s="114">
        <v>6220923</v>
      </c>
      <c r="J105" s="112">
        <v>320</v>
      </c>
      <c r="K105" s="114">
        <v>225562</v>
      </c>
      <c r="L105" s="112">
        <v>9119</v>
      </c>
      <c r="M105" s="114">
        <v>37136120</v>
      </c>
      <c r="N105" s="65" t="s">
        <v>121</v>
      </c>
    </row>
    <row r="106" spans="1:14" ht="15.75" customHeight="1">
      <c r="A106" s="66" t="s">
        <v>122</v>
      </c>
      <c r="B106" s="112">
        <f>_xlfn.COMPOUNDVALUE(649)</f>
        <v>2758</v>
      </c>
      <c r="C106" s="113">
        <v>27677485</v>
      </c>
      <c r="D106" s="112">
        <f>_xlfn.COMPOUNDVALUE(650)</f>
        <v>1210</v>
      </c>
      <c r="E106" s="113">
        <v>896293</v>
      </c>
      <c r="F106" s="112">
        <f>_xlfn.COMPOUNDVALUE(651)</f>
        <v>3968</v>
      </c>
      <c r="G106" s="113">
        <v>28573779</v>
      </c>
      <c r="H106" s="112">
        <f>_xlfn.COMPOUNDVALUE(652)</f>
        <v>344</v>
      </c>
      <c r="I106" s="114">
        <v>52167103</v>
      </c>
      <c r="J106" s="112">
        <v>163</v>
      </c>
      <c r="K106" s="114">
        <v>22389</v>
      </c>
      <c r="L106" s="112">
        <v>4365</v>
      </c>
      <c r="M106" s="114">
        <v>-23570935</v>
      </c>
      <c r="N106" s="65" t="s">
        <v>122</v>
      </c>
    </row>
    <row r="107" spans="1:14" ht="15.75" customHeight="1">
      <c r="A107" s="66" t="s">
        <v>123</v>
      </c>
      <c r="B107" s="112">
        <f>_xlfn.COMPOUNDVALUE(653)</f>
        <v>4453</v>
      </c>
      <c r="C107" s="113">
        <v>30881054</v>
      </c>
      <c r="D107" s="112">
        <f>_xlfn.COMPOUNDVALUE(654)</f>
        <v>2062</v>
      </c>
      <c r="E107" s="113">
        <v>1538150</v>
      </c>
      <c r="F107" s="112">
        <f>_xlfn.COMPOUNDVALUE(655)</f>
        <v>6515</v>
      </c>
      <c r="G107" s="113">
        <v>32419204</v>
      </c>
      <c r="H107" s="112">
        <f>_xlfn.COMPOUNDVALUE(656)</f>
        <v>487</v>
      </c>
      <c r="I107" s="114">
        <v>6413725</v>
      </c>
      <c r="J107" s="112">
        <v>242</v>
      </c>
      <c r="K107" s="114">
        <v>37210</v>
      </c>
      <c r="L107" s="112">
        <v>7104</v>
      </c>
      <c r="M107" s="114">
        <v>26042689</v>
      </c>
      <c r="N107" s="65" t="s">
        <v>123</v>
      </c>
    </row>
    <row r="108" spans="1:14" ht="15.75" customHeight="1">
      <c r="A108" s="130" t="s">
        <v>156</v>
      </c>
      <c r="B108" s="131">
        <v>78302</v>
      </c>
      <c r="C108" s="132">
        <v>879733461</v>
      </c>
      <c r="D108" s="131">
        <v>36306</v>
      </c>
      <c r="E108" s="132">
        <v>26105188</v>
      </c>
      <c r="F108" s="131">
        <v>114608</v>
      </c>
      <c r="G108" s="132">
        <v>905838648</v>
      </c>
      <c r="H108" s="131">
        <v>11224</v>
      </c>
      <c r="I108" s="133">
        <v>367071109</v>
      </c>
      <c r="J108" s="131">
        <v>4712</v>
      </c>
      <c r="K108" s="133">
        <v>2605494</v>
      </c>
      <c r="L108" s="131">
        <v>127110</v>
      </c>
      <c r="M108" s="133">
        <v>541373033</v>
      </c>
      <c r="N108" s="134" t="s">
        <v>125</v>
      </c>
    </row>
    <row r="109" spans="1:14" ht="15.75" customHeight="1">
      <c r="A109" s="135"/>
      <c r="B109" s="136"/>
      <c r="C109" s="137"/>
      <c r="D109" s="136"/>
      <c r="E109" s="137"/>
      <c r="F109" s="138"/>
      <c r="G109" s="137"/>
      <c r="H109" s="138"/>
      <c r="I109" s="137"/>
      <c r="J109" s="138"/>
      <c r="K109" s="137"/>
      <c r="L109" s="138"/>
      <c r="M109" s="137"/>
      <c r="N109" s="139"/>
    </row>
    <row r="110" spans="1:14" ht="15.75" customHeight="1">
      <c r="A110" s="64" t="s">
        <v>126</v>
      </c>
      <c r="B110" s="109">
        <f>_xlfn.COMPOUNDVALUE(657)</f>
        <v>4682</v>
      </c>
      <c r="C110" s="110">
        <v>39060845</v>
      </c>
      <c r="D110" s="109">
        <f>_xlfn.COMPOUNDVALUE(658)</f>
        <v>1805</v>
      </c>
      <c r="E110" s="110">
        <v>1286077</v>
      </c>
      <c r="F110" s="109">
        <f>_xlfn.COMPOUNDVALUE(659)</f>
        <v>6487</v>
      </c>
      <c r="G110" s="110">
        <v>40346922</v>
      </c>
      <c r="H110" s="109">
        <f>_xlfn.COMPOUNDVALUE(660)</f>
        <v>489</v>
      </c>
      <c r="I110" s="111">
        <v>4020181</v>
      </c>
      <c r="J110" s="109">
        <v>399</v>
      </c>
      <c r="K110" s="111">
        <v>62979</v>
      </c>
      <c r="L110" s="109">
        <v>7066</v>
      </c>
      <c r="M110" s="111">
        <v>36389721</v>
      </c>
      <c r="N110" s="74" t="s">
        <v>126</v>
      </c>
    </row>
    <row r="111" spans="1:14" ht="15.75" customHeight="1">
      <c r="A111" s="66" t="s">
        <v>127</v>
      </c>
      <c r="B111" s="112">
        <f>_xlfn.COMPOUNDVALUE(661)</f>
        <v>1160</v>
      </c>
      <c r="C111" s="113">
        <v>6825011</v>
      </c>
      <c r="D111" s="112">
        <f>_xlfn.COMPOUNDVALUE(662)</f>
        <v>411</v>
      </c>
      <c r="E111" s="113">
        <v>297507</v>
      </c>
      <c r="F111" s="112">
        <f>_xlfn.COMPOUNDVALUE(663)</f>
        <v>1571</v>
      </c>
      <c r="G111" s="113">
        <v>7122518</v>
      </c>
      <c r="H111" s="112">
        <f>_xlfn.COMPOUNDVALUE(664)</f>
        <v>114</v>
      </c>
      <c r="I111" s="114">
        <v>653157</v>
      </c>
      <c r="J111" s="112">
        <v>70</v>
      </c>
      <c r="K111" s="114">
        <v>13861</v>
      </c>
      <c r="L111" s="112">
        <v>1701</v>
      </c>
      <c r="M111" s="114">
        <v>6483222</v>
      </c>
      <c r="N111" s="65" t="s">
        <v>127</v>
      </c>
    </row>
    <row r="112" spans="1:14" ht="15.75" customHeight="1">
      <c r="A112" s="66" t="s">
        <v>128</v>
      </c>
      <c r="B112" s="112">
        <f>_xlfn.COMPOUNDVALUE(665)</f>
        <v>1950</v>
      </c>
      <c r="C112" s="113">
        <v>12589419</v>
      </c>
      <c r="D112" s="112">
        <f>_xlfn.COMPOUNDVALUE(666)</f>
        <v>862</v>
      </c>
      <c r="E112" s="113">
        <v>585793</v>
      </c>
      <c r="F112" s="112">
        <f>_xlfn.COMPOUNDVALUE(667)</f>
        <v>2812</v>
      </c>
      <c r="G112" s="113">
        <v>13175212</v>
      </c>
      <c r="H112" s="112">
        <f>_xlfn.COMPOUNDVALUE(668)</f>
        <v>268</v>
      </c>
      <c r="I112" s="114">
        <v>22159480</v>
      </c>
      <c r="J112" s="112">
        <v>142</v>
      </c>
      <c r="K112" s="114">
        <v>52271</v>
      </c>
      <c r="L112" s="112">
        <v>3105</v>
      </c>
      <c r="M112" s="114">
        <v>-8931997</v>
      </c>
      <c r="N112" s="65" t="s">
        <v>128</v>
      </c>
    </row>
    <row r="113" spans="1:14" ht="15.75" customHeight="1">
      <c r="A113" s="66" t="s">
        <v>129</v>
      </c>
      <c r="B113" s="112">
        <f>_xlfn.COMPOUNDVALUE(669)</f>
        <v>440</v>
      </c>
      <c r="C113" s="113">
        <v>2852915</v>
      </c>
      <c r="D113" s="112">
        <f>_xlfn.COMPOUNDVALUE(670)</f>
        <v>184</v>
      </c>
      <c r="E113" s="113">
        <v>107510</v>
      </c>
      <c r="F113" s="112">
        <f>_xlfn.COMPOUNDVALUE(671)</f>
        <v>624</v>
      </c>
      <c r="G113" s="113">
        <v>2960425</v>
      </c>
      <c r="H113" s="112">
        <f>_xlfn.COMPOUNDVALUE(672)</f>
        <v>23</v>
      </c>
      <c r="I113" s="114">
        <v>27832</v>
      </c>
      <c r="J113" s="112">
        <v>32</v>
      </c>
      <c r="K113" s="114">
        <v>12461</v>
      </c>
      <c r="L113" s="112">
        <v>650</v>
      </c>
      <c r="M113" s="114">
        <v>2945053</v>
      </c>
      <c r="N113" s="65" t="s">
        <v>129</v>
      </c>
    </row>
    <row r="114" spans="1:14" ht="15.75" customHeight="1">
      <c r="A114" s="67" t="s">
        <v>157</v>
      </c>
      <c r="B114" s="115">
        <v>8232</v>
      </c>
      <c r="C114" s="116">
        <v>61328191</v>
      </c>
      <c r="D114" s="115">
        <v>3262</v>
      </c>
      <c r="E114" s="116">
        <v>2276886</v>
      </c>
      <c r="F114" s="115">
        <v>11494</v>
      </c>
      <c r="G114" s="116">
        <v>63605077</v>
      </c>
      <c r="H114" s="115">
        <v>894</v>
      </c>
      <c r="I114" s="117">
        <v>26860650</v>
      </c>
      <c r="J114" s="115">
        <v>643</v>
      </c>
      <c r="K114" s="117">
        <v>141572</v>
      </c>
      <c r="L114" s="115">
        <v>12522</v>
      </c>
      <c r="M114" s="117">
        <v>36885999</v>
      </c>
      <c r="N114" s="72" t="s">
        <v>131</v>
      </c>
    </row>
    <row r="115" spans="1:14" ht="15.75" customHeight="1" thickBot="1">
      <c r="A115" s="159"/>
      <c r="B115" s="160"/>
      <c r="C115" s="161"/>
      <c r="D115" s="160"/>
      <c r="E115" s="161"/>
      <c r="F115" s="162"/>
      <c r="G115" s="161"/>
      <c r="H115" s="162"/>
      <c r="I115" s="161"/>
      <c r="J115" s="162"/>
      <c r="K115" s="161"/>
      <c r="L115" s="162"/>
      <c r="M115" s="161"/>
      <c r="N115" s="163"/>
    </row>
    <row r="116" spans="1:14" ht="15.75" customHeight="1" thickBot="1" thickTop="1">
      <c r="A116" s="70" t="s">
        <v>158</v>
      </c>
      <c r="B116" s="121">
        <v>404620</v>
      </c>
      <c r="C116" s="122">
        <v>9402318258</v>
      </c>
      <c r="D116" s="121">
        <v>146051</v>
      </c>
      <c r="E116" s="122">
        <v>112009211</v>
      </c>
      <c r="F116" s="121">
        <v>550671</v>
      </c>
      <c r="G116" s="122">
        <v>9514327468</v>
      </c>
      <c r="H116" s="121">
        <v>81582</v>
      </c>
      <c r="I116" s="123">
        <v>3382045522</v>
      </c>
      <c r="J116" s="121">
        <v>26378</v>
      </c>
      <c r="K116" s="123">
        <v>-59305924</v>
      </c>
      <c r="L116" s="121">
        <v>639583</v>
      </c>
      <c r="M116" s="123">
        <v>6072976022</v>
      </c>
      <c r="N116" s="79" t="s">
        <v>34</v>
      </c>
    </row>
    <row r="117" spans="1:14" ht="15" customHeight="1">
      <c r="A117" s="277" t="s">
        <v>159</v>
      </c>
      <c r="B117" s="277"/>
      <c r="C117" s="277"/>
      <c r="D117" s="277"/>
      <c r="E117" s="277"/>
      <c r="F117" s="277"/>
      <c r="G117" s="277"/>
      <c r="H117" s="277"/>
      <c r="I117" s="277"/>
      <c r="J117" s="54"/>
      <c r="K117" s="54"/>
      <c r="L117" s="53"/>
      <c r="M117" s="53"/>
      <c r="N117" s="53"/>
    </row>
  </sheetData>
  <sheetProtection/>
  <mergeCells count="11">
    <mergeCell ref="A2:I2"/>
    <mergeCell ref="A3:A5"/>
    <mergeCell ref="B3:G3"/>
    <mergeCell ref="H3:I4"/>
    <mergeCell ref="J3:K4"/>
    <mergeCell ref="L3:M4"/>
    <mergeCell ref="N3:N5"/>
    <mergeCell ref="B4:C4"/>
    <mergeCell ref="D4:E4"/>
    <mergeCell ref="F4:G4"/>
    <mergeCell ref="A117:I117"/>
  </mergeCells>
  <printOptions horizontalCentered="1"/>
  <pageMargins left="0.7874015748031497" right="0.7874015748031497" top="0.7874015748031497" bottom="0.7874015748031497" header="0.5118110236220472" footer="0.35433070866141736"/>
  <pageSetup fitToHeight="0" horizontalDpi="600" verticalDpi="600" orientation="landscape" paperSize="9" scale="65" r:id="rId1"/>
  <headerFooter alignWithMargins="0">
    <oddFooter>&amp;R&amp;K01+000東京国税局
消費税
(R03)</oddFooter>
  </headerFooter>
  <rowBreaks count="2" manualBreakCount="2">
    <brk id="42" max="13" man="1"/>
    <brk id="79" max="13" man="1"/>
  </rowBreaks>
</worksheet>
</file>

<file path=xl/worksheets/sheet6.xml><?xml version="1.0" encoding="utf-8"?>
<worksheet xmlns="http://schemas.openxmlformats.org/spreadsheetml/2006/main" xmlns:r="http://schemas.openxmlformats.org/officeDocument/2006/relationships">
  <sheetPr>
    <pageSetUpPr fitToPage="1"/>
  </sheetPr>
  <dimension ref="A1:R117"/>
  <sheetViews>
    <sheetView showGridLines="0" tabSelected="1" zoomScaleSheetLayoutView="100" workbookViewId="0" topLeftCell="A1">
      <selection activeCell="E20" sqref="E20"/>
    </sheetView>
  </sheetViews>
  <sheetFormatPr defaultColWidth="9.00390625" defaultRowHeight="13.5"/>
  <cols>
    <col min="1" max="1" width="10.375" style="108" customWidth="1"/>
    <col min="2" max="2" width="10.625" style="108" customWidth="1"/>
    <col min="3" max="3" width="12.625" style="108" customWidth="1"/>
    <col min="4" max="4" width="10.625" style="108" customWidth="1"/>
    <col min="5" max="5" width="12.625" style="108" customWidth="1"/>
    <col min="6" max="6" width="10.625" style="108" customWidth="1"/>
    <col min="7" max="7" width="12.625" style="108" customWidth="1"/>
    <col min="8" max="8" width="10.625" style="108" customWidth="1"/>
    <col min="9" max="9" width="12.625" style="108" customWidth="1"/>
    <col min="10" max="10" width="10.625" style="108" customWidth="1"/>
    <col min="11" max="11" width="12.625" style="108" customWidth="1"/>
    <col min="12" max="12" width="10.625" style="108" customWidth="1"/>
    <col min="13" max="13" width="12.625" style="108" customWidth="1"/>
    <col min="14" max="17" width="10.625" style="108" customWidth="1"/>
    <col min="18" max="18" width="10.375" style="108" customWidth="1"/>
    <col min="19" max="16384" width="9.00390625" style="108" customWidth="1"/>
  </cols>
  <sheetData>
    <row r="1" spans="1:16" ht="13.5">
      <c r="A1" s="52" t="s">
        <v>163</v>
      </c>
      <c r="B1" s="52"/>
      <c r="C1" s="52"/>
      <c r="D1" s="52"/>
      <c r="E1" s="52"/>
      <c r="F1" s="52"/>
      <c r="G1" s="52"/>
      <c r="H1" s="52"/>
      <c r="I1" s="52"/>
      <c r="J1" s="52"/>
      <c r="K1" s="52"/>
      <c r="L1" s="53"/>
      <c r="M1" s="53"/>
      <c r="N1" s="53"/>
      <c r="O1" s="53"/>
      <c r="P1" s="53"/>
    </row>
    <row r="2" spans="1:16" ht="14.25" thickBot="1">
      <c r="A2" s="278" t="s">
        <v>23</v>
      </c>
      <c r="B2" s="278"/>
      <c r="C2" s="278"/>
      <c r="D2" s="278"/>
      <c r="E2" s="278"/>
      <c r="F2" s="278"/>
      <c r="G2" s="278"/>
      <c r="H2" s="278"/>
      <c r="I2" s="278"/>
      <c r="J2" s="54"/>
      <c r="K2" s="54"/>
      <c r="L2" s="53"/>
      <c r="M2" s="53"/>
      <c r="N2" s="53"/>
      <c r="O2" s="53"/>
      <c r="P2" s="53"/>
    </row>
    <row r="3" spans="1:18" ht="19.5" customHeight="1">
      <c r="A3" s="272" t="s">
        <v>24</v>
      </c>
      <c r="B3" s="275" t="s">
        <v>25</v>
      </c>
      <c r="C3" s="275"/>
      <c r="D3" s="275"/>
      <c r="E3" s="275"/>
      <c r="F3" s="275"/>
      <c r="G3" s="275"/>
      <c r="H3" s="275" t="s">
        <v>11</v>
      </c>
      <c r="I3" s="275"/>
      <c r="J3" s="288" t="s">
        <v>26</v>
      </c>
      <c r="K3" s="275"/>
      <c r="L3" s="275" t="s">
        <v>27</v>
      </c>
      <c r="M3" s="275"/>
      <c r="N3" s="279" t="s">
        <v>144</v>
      </c>
      <c r="O3" s="280"/>
      <c r="P3" s="280"/>
      <c r="Q3" s="280"/>
      <c r="R3" s="265" t="s">
        <v>28</v>
      </c>
    </row>
    <row r="4" spans="1:18" ht="17.25" customHeight="1">
      <c r="A4" s="273"/>
      <c r="B4" s="268" t="s">
        <v>13</v>
      </c>
      <c r="C4" s="268"/>
      <c r="D4" s="268" t="s">
        <v>29</v>
      </c>
      <c r="E4" s="268"/>
      <c r="F4" s="268" t="s">
        <v>30</v>
      </c>
      <c r="G4" s="268"/>
      <c r="H4" s="268"/>
      <c r="I4" s="268"/>
      <c r="J4" s="268"/>
      <c r="K4" s="268"/>
      <c r="L4" s="268"/>
      <c r="M4" s="268"/>
      <c r="N4" s="281" t="s">
        <v>31</v>
      </c>
      <c r="O4" s="283" t="s">
        <v>145</v>
      </c>
      <c r="P4" s="285" t="s">
        <v>146</v>
      </c>
      <c r="Q4" s="264" t="s">
        <v>32</v>
      </c>
      <c r="R4" s="266"/>
    </row>
    <row r="5" spans="1:18" ht="28.5" customHeight="1">
      <c r="A5" s="274"/>
      <c r="B5" s="55" t="s">
        <v>33</v>
      </c>
      <c r="C5" s="56" t="s">
        <v>135</v>
      </c>
      <c r="D5" s="55" t="s">
        <v>33</v>
      </c>
      <c r="E5" s="56" t="s">
        <v>135</v>
      </c>
      <c r="F5" s="55" t="s">
        <v>33</v>
      </c>
      <c r="G5" s="56" t="s">
        <v>136</v>
      </c>
      <c r="H5" s="55" t="s">
        <v>33</v>
      </c>
      <c r="I5" s="56" t="s">
        <v>137</v>
      </c>
      <c r="J5" s="55" t="s">
        <v>33</v>
      </c>
      <c r="K5" s="56" t="s">
        <v>138</v>
      </c>
      <c r="L5" s="55" t="s">
        <v>33</v>
      </c>
      <c r="M5" s="57" t="s">
        <v>147</v>
      </c>
      <c r="N5" s="282"/>
      <c r="O5" s="284"/>
      <c r="P5" s="286"/>
      <c r="Q5" s="287"/>
      <c r="R5" s="267"/>
    </row>
    <row r="6" spans="1:18" s="83" customFormat="1" ht="10.5">
      <c r="A6" s="58"/>
      <c r="B6" s="59" t="s">
        <v>3</v>
      </c>
      <c r="C6" s="60" t="s">
        <v>4</v>
      </c>
      <c r="D6" s="59" t="s">
        <v>3</v>
      </c>
      <c r="E6" s="60" t="s">
        <v>4</v>
      </c>
      <c r="F6" s="59" t="s">
        <v>3</v>
      </c>
      <c r="G6" s="60" t="s">
        <v>4</v>
      </c>
      <c r="H6" s="59" t="s">
        <v>3</v>
      </c>
      <c r="I6" s="60" t="s">
        <v>4</v>
      </c>
      <c r="J6" s="59" t="s">
        <v>3</v>
      </c>
      <c r="K6" s="60" t="s">
        <v>4</v>
      </c>
      <c r="L6" s="59" t="s">
        <v>161</v>
      </c>
      <c r="M6" s="60" t="s">
        <v>4</v>
      </c>
      <c r="N6" s="59" t="s">
        <v>3</v>
      </c>
      <c r="O6" s="61" t="s">
        <v>3</v>
      </c>
      <c r="P6" s="61" t="s">
        <v>3</v>
      </c>
      <c r="Q6" s="62" t="s">
        <v>3</v>
      </c>
      <c r="R6" s="63"/>
    </row>
    <row r="7" spans="1:18" ht="15.75" customHeight="1">
      <c r="A7" s="86" t="s">
        <v>36</v>
      </c>
      <c r="B7" s="109">
        <f>_xlfn.COMPOUNDVALUE(673)</f>
        <v>5801</v>
      </c>
      <c r="C7" s="110">
        <v>56217918</v>
      </c>
      <c r="D7" s="109">
        <f>_xlfn.COMPOUNDVALUE(674)</f>
        <v>3400</v>
      </c>
      <c r="E7" s="110">
        <v>2378771</v>
      </c>
      <c r="F7" s="109">
        <f>_xlfn.COMPOUNDVALUE(675)</f>
        <v>9201</v>
      </c>
      <c r="G7" s="110">
        <v>58596689</v>
      </c>
      <c r="H7" s="109">
        <f>_xlfn.COMPOUNDVALUE(676)</f>
        <v>950</v>
      </c>
      <c r="I7" s="111">
        <v>2969349</v>
      </c>
      <c r="J7" s="109">
        <v>523</v>
      </c>
      <c r="K7" s="111">
        <v>147430</v>
      </c>
      <c r="L7" s="109">
        <v>10420</v>
      </c>
      <c r="M7" s="111">
        <v>55774771</v>
      </c>
      <c r="N7" s="190">
        <v>10476</v>
      </c>
      <c r="O7" s="191">
        <v>482</v>
      </c>
      <c r="P7" s="191">
        <v>34</v>
      </c>
      <c r="Q7" s="192">
        <v>10992</v>
      </c>
      <c r="R7" s="85" t="s">
        <v>36</v>
      </c>
    </row>
    <row r="8" spans="1:18" ht="15.75" customHeight="1">
      <c r="A8" s="64" t="s">
        <v>37</v>
      </c>
      <c r="B8" s="109">
        <f>_xlfn.COMPOUNDVALUE(677)</f>
        <v>5035</v>
      </c>
      <c r="C8" s="110">
        <v>36126308</v>
      </c>
      <c r="D8" s="109">
        <f>_xlfn.COMPOUNDVALUE(678)</f>
        <v>3197</v>
      </c>
      <c r="E8" s="110">
        <v>2082545</v>
      </c>
      <c r="F8" s="109">
        <f>_xlfn.COMPOUNDVALUE(679)</f>
        <v>8232</v>
      </c>
      <c r="G8" s="110">
        <v>38208853</v>
      </c>
      <c r="H8" s="109">
        <f>_xlfn.COMPOUNDVALUE(680)</f>
        <v>614</v>
      </c>
      <c r="I8" s="111">
        <v>2415410</v>
      </c>
      <c r="J8" s="109">
        <v>426</v>
      </c>
      <c r="K8" s="111">
        <v>82919</v>
      </c>
      <c r="L8" s="109">
        <v>9034</v>
      </c>
      <c r="M8" s="111">
        <v>35876362</v>
      </c>
      <c r="N8" s="190">
        <v>9259</v>
      </c>
      <c r="O8" s="191">
        <v>322</v>
      </c>
      <c r="P8" s="191">
        <v>22</v>
      </c>
      <c r="Q8" s="192">
        <v>9603</v>
      </c>
      <c r="R8" s="65" t="s">
        <v>37</v>
      </c>
    </row>
    <row r="9" spans="1:18" ht="15.75" customHeight="1">
      <c r="A9" s="64" t="s">
        <v>38</v>
      </c>
      <c r="B9" s="109">
        <f>_xlfn.COMPOUNDVALUE(681)</f>
        <v>5589</v>
      </c>
      <c r="C9" s="110">
        <v>82501876</v>
      </c>
      <c r="D9" s="109">
        <f>_xlfn.COMPOUNDVALUE(682)</f>
        <v>3676</v>
      </c>
      <c r="E9" s="110">
        <v>2338109</v>
      </c>
      <c r="F9" s="109">
        <f>_xlfn.COMPOUNDVALUE(683)</f>
        <v>9265</v>
      </c>
      <c r="G9" s="110">
        <v>84839985</v>
      </c>
      <c r="H9" s="109">
        <f>_xlfn.COMPOUNDVALUE(684)</f>
        <v>1018</v>
      </c>
      <c r="I9" s="111">
        <v>11918825</v>
      </c>
      <c r="J9" s="109">
        <v>509</v>
      </c>
      <c r="K9" s="111">
        <v>679873</v>
      </c>
      <c r="L9" s="109">
        <v>10502</v>
      </c>
      <c r="M9" s="111">
        <v>73601033</v>
      </c>
      <c r="N9" s="190">
        <v>10911</v>
      </c>
      <c r="O9" s="191">
        <v>540</v>
      </c>
      <c r="P9" s="191">
        <v>48</v>
      </c>
      <c r="Q9" s="192">
        <v>11499</v>
      </c>
      <c r="R9" s="65" t="s">
        <v>38</v>
      </c>
    </row>
    <row r="10" spans="1:18" ht="15.75" customHeight="1">
      <c r="A10" s="64" t="s">
        <v>39</v>
      </c>
      <c r="B10" s="109">
        <f>_xlfn.COMPOUNDVALUE(685)</f>
        <v>2395</v>
      </c>
      <c r="C10" s="110">
        <v>10098141</v>
      </c>
      <c r="D10" s="109">
        <f>_xlfn.COMPOUNDVALUE(686)</f>
        <v>2882</v>
      </c>
      <c r="E10" s="110">
        <v>1249800</v>
      </c>
      <c r="F10" s="109">
        <f>_xlfn.COMPOUNDVALUE(687)</f>
        <v>5277</v>
      </c>
      <c r="G10" s="110">
        <v>11347941</v>
      </c>
      <c r="H10" s="109">
        <f>_xlfn.COMPOUNDVALUE(688)</f>
        <v>332</v>
      </c>
      <c r="I10" s="111">
        <v>1528537</v>
      </c>
      <c r="J10" s="109">
        <v>327</v>
      </c>
      <c r="K10" s="111">
        <v>75072</v>
      </c>
      <c r="L10" s="109">
        <v>5725</v>
      </c>
      <c r="M10" s="111">
        <v>9894476</v>
      </c>
      <c r="N10" s="190">
        <v>5821</v>
      </c>
      <c r="O10" s="191">
        <v>200</v>
      </c>
      <c r="P10" s="191">
        <v>12</v>
      </c>
      <c r="Q10" s="192">
        <v>6033</v>
      </c>
      <c r="R10" s="65" t="s">
        <v>39</v>
      </c>
    </row>
    <row r="11" spans="1:18" ht="15.75" customHeight="1">
      <c r="A11" s="64" t="s">
        <v>40</v>
      </c>
      <c r="B11" s="109">
        <f>_xlfn.COMPOUNDVALUE(689)</f>
        <v>6096</v>
      </c>
      <c r="C11" s="110">
        <v>43365870</v>
      </c>
      <c r="D11" s="109">
        <f>_xlfn.COMPOUNDVALUE(690)</f>
        <v>4328</v>
      </c>
      <c r="E11" s="110">
        <v>2823963</v>
      </c>
      <c r="F11" s="109">
        <f>_xlfn.COMPOUNDVALUE(691)</f>
        <v>10424</v>
      </c>
      <c r="G11" s="110">
        <v>46189833</v>
      </c>
      <c r="H11" s="109">
        <f>_xlfn.COMPOUNDVALUE(692)</f>
        <v>1070</v>
      </c>
      <c r="I11" s="111">
        <v>3436523</v>
      </c>
      <c r="J11" s="109">
        <v>567</v>
      </c>
      <c r="K11" s="111">
        <v>67245</v>
      </c>
      <c r="L11" s="109">
        <v>11753</v>
      </c>
      <c r="M11" s="111">
        <v>42820555</v>
      </c>
      <c r="N11" s="190">
        <v>11903</v>
      </c>
      <c r="O11" s="191">
        <v>596</v>
      </c>
      <c r="P11" s="191">
        <v>29</v>
      </c>
      <c r="Q11" s="192">
        <v>12528</v>
      </c>
      <c r="R11" s="65" t="s">
        <v>40</v>
      </c>
    </row>
    <row r="12" spans="1:18" ht="15.75" customHeight="1">
      <c r="A12" s="64"/>
      <c r="B12" s="109"/>
      <c r="C12" s="110"/>
      <c r="D12" s="109"/>
      <c r="E12" s="110"/>
      <c r="F12" s="109"/>
      <c r="G12" s="110"/>
      <c r="H12" s="109"/>
      <c r="I12" s="111"/>
      <c r="J12" s="109"/>
      <c r="K12" s="111"/>
      <c r="L12" s="109"/>
      <c r="M12" s="111"/>
      <c r="N12" s="190"/>
      <c r="O12" s="191"/>
      <c r="P12" s="191"/>
      <c r="Q12" s="192"/>
      <c r="R12" s="65" t="s">
        <v>35</v>
      </c>
    </row>
    <row r="13" spans="1:18" ht="15.75" customHeight="1">
      <c r="A13" s="64" t="s">
        <v>41</v>
      </c>
      <c r="B13" s="109">
        <f>_xlfn.COMPOUNDVALUE(693)</f>
        <v>5412</v>
      </c>
      <c r="C13" s="110">
        <v>30749044</v>
      </c>
      <c r="D13" s="109">
        <f>_xlfn.COMPOUNDVALUE(694)</f>
        <v>3831</v>
      </c>
      <c r="E13" s="110">
        <v>2474399</v>
      </c>
      <c r="F13" s="109">
        <f>_xlfn.COMPOUNDVALUE(695)</f>
        <v>9243</v>
      </c>
      <c r="G13" s="110">
        <v>33223444</v>
      </c>
      <c r="H13" s="109">
        <f>_xlfn.COMPOUNDVALUE(696)</f>
        <v>798</v>
      </c>
      <c r="I13" s="111">
        <v>4673807</v>
      </c>
      <c r="J13" s="109">
        <v>633</v>
      </c>
      <c r="K13" s="111">
        <v>78228</v>
      </c>
      <c r="L13" s="109">
        <v>10306</v>
      </c>
      <c r="M13" s="111">
        <v>28627865</v>
      </c>
      <c r="N13" s="190">
        <v>10807</v>
      </c>
      <c r="O13" s="191">
        <v>485</v>
      </c>
      <c r="P13" s="191">
        <v>35</v>
      </c>
      <c r="Q13" s="192">
        <v>11327</v>
      </c>
      <c r="R13" s="65" t="s">
        <v>41</v>
      </c>
    </row>
    <row r="14" spans="1:18" ht="15.75" customHeight="1">
      <c r="A14" s="64" t="s">
        <v>42</v>
      </c>
      <c r="B14" s="109">
        <f>_xlfn.COMPOUNDVALUE(697)</f>
        <v>1578</v>
      </c>
      <c r="C14" s="110">
        <v>5725179</v>
      </c>
      <c r="D14" s="109">
        <f>_xlfn.COMPOUNDVALUE(698)</f>
        <v>1275</v>
      </c>
      <c r="E14" s="110">
        <v>650989</v>
      </c>
      <c r="F14" s="109">
        <f>_xlfn.COMPOUNDVALUE(699)</f>
        <v>2853</v>
      </c>
      <c r="G14" s="110">
        <v>6376168</v>
      </c>
      <c r="H14" s="109">
        <f>_xlfn.COMPOUNDVALUE(700)</f>
        <v>268</v>
      </c>
      <c r="I14" s="111">
        <v>345404</v>
      </c>
      <c r="J14" s="109">
        <v>136</v>
      </c>
      <c r="K14" s="111">
        <v>-3094</v>
      </c>
      <c r="L14" s="109">
        <v>3187</v>
      </c>
      <c r="M14" s="111">
        <v>6027669</v>
      </c>
      <c r="N14" s="190">
        <v>3146</v>
      </c>
      <c r="O14" s="191">
        <v>95</v>
      </c>
      <c r="P14" s="191">
        <v>3</v>
      </c>
      <c r="Q14" s="192">
        <v>3244</v>
      </c>
      <c r="R14" s="65" t="s">
        <v>42</v>
      </c>
    </row>
    <row r="15" spans="1:18" ht="15.75" customHeight="1">
      <c r="A15" s="64" t="s">
        <v>43</v>
      </c>
      <c r="B15" s="109">
        <f>_xlfn.COMPOUNDVALUE(701)</f>
        <v>3638</v>
      </c>
      <c r="C15" s="110">
        <v>19769745</v>
      </c>
      <c r="D15" s="109">
        <f>_xlfn.COMPOUNDVALUE(702)</f>
        <v>2692</v>
      </c>
      <c r="E15" s="110">
        <v>1610404</v>
      </c>
      <c r="F15" s="109">
        <f>_xlfn.COMPOUNDVALUE(703)</f>
        <v>6330</v>
      </c>
      <c r="G15" s="110">
        <v>21380149</v>
      </c>
      <c r="H15" s="109">
        <f>_xlfn.COMPOUNDVALUE(704)</f>
        <v>405</v>
      </c>
      <c r="I15" s="111">
        <v>2431393</v>
      </c>
      <c r="J15" s="109">
        <v>399</v>
      </c>
      <c r="K15" s="111">
        <v>106784</v>
      </c>
      <c r="L15" s="109">
        <v>6900</v>
      </c>
      <c r="M15" s="111">
        <v>19055540</v>
      </c>
      <c r="N15" s="190">
        <v>6859</v>
      </c>
      <c r="O15" s="191">
        <v>217</v>
      </c>
      <c r="P15" s="191">
        <v>18</v>
      </c>
      <c r="Q15" s="192">
        <v>7094</v>
      </c>
      <c r="R15" s="65" t="s">
        <v>43</v>
      </c>
    </row>
    <row r="16" spans="1:18" ht="15.75" customHeight="1">
      <c r="A16" s="66" t="s">
        <v>44</v>
      </c>
      <c r="B16" s="112">
        <f>_xlfn.COMPOUNDVALUE(705)</f>
        <v>6798</v>
      </c>
      <c r="C16" s="113">
        <v>32588556</v>
      </c>
      <c r="D16" s="112">
        <f>_xlfn.COMPOUNDVALUE(706)</f>
        <v>5232</v>
      </c>
      <c r="E16" s="113">
        <v>3283833</v>
      </c>
      <c r="F16" s="112">
        <f>_xlfn.COMPOUNDVALUE(707)</f>
        <v>12030</v>
      </c>
      <c r="G16" s="113">
        <v>35872389</v>
      </c>
      <c r="H16" s="112">
        <f>_xlfn.COMPOUNDVALUE(708)</f>
        <v>1056</v>
      </c>
      <c r="I16" s="114">
        <v>3842217</v>
      </c>
      <c r="J16" s="112">
        <v>818</v>
      </c>
      <c r="K16" s="114">
        <v>158113</v>
      </c>
      <c r="L16" s="112">
        <v>13468</v>
      </c>
      <c r="M16" s="114">
        <v>32188285</v>
      </c>
      <c r="N16" s="190">
        <v>13738</v>
      </c>
      <c r="O16" s="191">
        <v>618</v>
      </c>
      <c r="P16" s="191">
        <v>27</v>
      </c>
      <c r="Q16" s="192">
        <v>14383</v>
      </c>
      <c r="R16" s="65" t="s">
        <v>44</v>
      </c>
    </row>
    <row r="17" spans="1:18" ht="13.5" customHeight="1">
      <c r="A17" s="66" t="s">
        <v>45</v>
      </c>
      <c r="B17" s="112">
        <f>_xlfn.COMPOUNDVALUE(709)</f>
        <v>1564</v>
      </c>
      <c r="C17" s="113">
        <v>6744399</v>
      </c>
      <c r="D17" s="112">
        <f>_xlfn.COMPOUNDVALUE(710)</f>
        <v>1323</v>
      </c>
      <c r="E17" s="113">
        <v>591920</v>
      </c>
      <c r="F17" s="112">
        <f>_xlfn.COMPOUNDVALUE(711)</f>
        <v>2887</v>
      </c>
      <c r="G17" s="113">
        <v>7336319</v>
      </c>
      <c r="H17" s="112">
        <f>_xlfn.COMPOUNDVALUE(712)</f>
        <v>222</v>
      </c>
      <c r="I17" s="114">
        <v>658276</v>
      </c>
      <c r="J17" s="112">
        <v>129</v>
      </c>
      <c r="K17" s="114">
        <v>-53717</v>
      </c>
      <c r="L17" s="112">
        <v>3176</v>
      </c>
      <c r="M17" s="114">
        <v>6624326</v>
      </c>
      <c r="N17" s="190">
        <v>3766</v>
      </c>
      <c r="O17" s="191">
        <v>106</v>
      </c>
      <c r="P17" s="191">
        <v>3</v>
      </c>
      <c r="Q17" s="192">
        <v>3875</v>
      </c>
      <c r="R17" s="65" t="s">
        <v>45</v>
      </c>
    </row>
    <row r="18" spans="1:18" ht="15.75" customHeight="1">
      <c r="A18" s="66"/>
      <c r="B18" s="112"/>
      <c r="C18" s="113"/>
      <c r="D18" s="112"/>
      <c r="E18" s="113"/>
      <c r="F18" s="112"/>
      <c r="G18" s="113"/>
      <c r="H18" s="112"/>
      <c r="I18" s="114"/>
      <c r="J18" s="112"/>
      <c r="K18" s="114"/>
      <c r="L18" s="112"/>
      <c r="M18" s="114"/>
      <c r="N18" s="190"/>
      <c r="O18" s="191"/>
      <c r="P18" s="191"/>
      <c r="Q18" s="192"/>
      <c r="R18" s="65" t="s">
        <v>35</v>
      </c>
    </row>
    <row r="19" spans="1:18" ht="15.75" customHeight="1">
      <c r="A19" s="66" t="s">
        <v>46</v>
      </c>
      <c r="B19" s="112">
        <f>_xlfn.COMPOUNDVALUE(713)</f>
        <v>2522</v>
      </c>
      <c r="C19" s="113">
        <v>9918953</v>
      </c>
      <c r="D19" s="112">
        <f>_xlfn.COMPOUNDVALUE(714)</f>
        <v>1955</v>
      </c>
      <c r="E19" s="113">
        <v>1068549</v>
      </c>
      <c r="F19" s="112">
        <f>_xlfn.COMPOUNDVALUE(715)</f>
        <v>4477</v>
      </c>
      <c r="G19" s="113">
        <v>10987502</v>
      </c>
      <c r="H19" s="112">
        <f>_xlfn.COMPOUNDVALUE(716)</f>
        <v>358</v>
      </c>
      <c r="I19" s="114">
        <v>795748</v>
      </c>
      <c r="J19" s="112">
        <v>320</v>
      </c>
      <c r="K19" s="114">
        <v>101699</v>
      </c>
      <c r="L19" s="112">
        <v>4951</v>
      </c>
      <c r="M19" s="114">
        <v>10293453</v>
      </c>
      <c r="N19" s="190">
        <v>4972</v>
      </c>
      <c r="O19" s="191">
        <v>182</v>
      </c>
      <c r="P19" s="191">
        <v>5</v>
      </c>
      <c r="Q19" s="192">
        <v>5159</v>
      </c>
      <c r="R19" s="65" t="s">
        <v>46</v>
      </c>
    </row>
    <row r="20" spans="1:18" ht="15.75" customHeight="1">
      <c r="A20" s="66" t="s">
        <v>47</v>
      </c>
      <c r="B20" s="112">
        <f>_xlfn.COMPOUNDVALUE(717)</f>
        <v>7182</v>
      </c>
      <c r="C20" s="113">
        <v>31129827</v>
      </c>
      <c r="D20" s="112">
        <f>_xlfn.COMPOUNDVALUE(718)</f>
        <v>5139</v>
      </c>
      <c r="E20" s="113">
        <v>2940435</v>
      </c>
      <c r="F20" s="112">
        <f>_xlfn.COMPOUNDVALUE(719)</f>
        <v>12321</v>
      </c>
      <c r="G20" s="113">
        <v>34070262</v>
      </c>
      <c r="H20" s="112">
        <f>_xlfn.COMPOUNDVALUE(720)</f>
        <v>1705</v>
      </c>
      <c r="I20" s="114">
        <v>11234740</v>
      </c>
      <c r="J20" s="112">
        <v>988</v>
      </c>
      <c r="K20" s="114">
        <v>104152</v>
      </c>
      <c r="L20" s="112">
        <v>14493</v>
      </c>
      <c r="M20" s="114">
        <v>22939673</v>
      </c>
      <c r="N20" s="190">
        <v>13925</v>
      </c>
      <c r="O20" s="191">
        <v>952</v>
      </c>
      <c r="P20" s="191">
        <v>26</v>
      </c>
      <c r="Q20" s="192">
        <v>14903</v>
      </c>
      <c r="R20" s="65" t="s">
        <v>47</v>
      </c>
    </row>
    <row r="21" spans="1:18" ht="15.75" customHeight="1">
      <c r="A21" s="66" t="s">
        <v>48</v>
      </c>
      <c r="B21" s="112">
        <f>_xlfn.COMPOUNDVALUE(721)</f>
        <v>2474</v>
      </c>
      <c r="C21" s="113">
        <v>10024345</v>
      </c>
      <c r="D21" s="112">
        <f>_xlfn.COMPOUNDVALUE(722)</f>
        <v>2114</v>
      </c>
      <c r="E21" s="113">
        <v>1065094</v>
      </c>
      <c r="F21" s="112">
        <f>_xlfn.COMPOUNDVALUE(723)</f>
        <v>4588</v>
      </c>
      <c r="G21" s="113">
        <v>11089440</v>
      </c>
      <c r="H21" s="112">
        <f>_xlfn.COMPOUNDVALUE(724)</f>
        <v>396</v>
      </c>
      <c r="I21" s="114">
        <v>860313</v>
      </c>
      <c r="J21" s="112">
        <v>380</v>
      </c>
      <c r="K21" s="114">
        <v>56798</v>
      </c>
      <c r="L21" s="112">
        <v>5151</v>
      </c>
      <c r="M21" s="114">
        <v>10285924</v>
      </c>
      <c r="N21" s="190">
        <v>5223</v>
      </c>
      <c r="O21" s="191">
        <v>215</v>
      </c>
      <c r="P21" s="191">
        <v>14</v>
      </c>
      <c r="Q21" s="192">
        <v>5452</v>
      </c>
      <c r="R21" s="65" t="s">
        <v>48</v>
      </c>
    </row>
    <row r="22" spans="1:18" ht="15.75" customHeight="1">
      <c r="A22" s="66" t="s">
        <v>149</v>
      </c>
      <c r="B22" s="112">
        <f>_xlfn.COMPOUNDVALUE(725)</f>
        <v>6925</v>
      </c>
      <c r="C22" s="113">
        <v>37497263</v>
      </c>
      <c r="D22" s="112">
        <f>_xlfn.COMPOUNDVALUE(726)</f>
        <v>5106</v>
      </c>
      <c r="E22" s="113">
        <v>3194174</v>
      </c>
      <c r="F22" s="112">
        <f>_xlfn.COMPOUNDVALUE(727)</f>
        <v>12031</v>
      </c>
      <c r="G22" s="113">
        <v>40691437</v>
      </c>
      <c r="H22" s="112">
        <f>_xlfn.COMPOUNDVALUE(728)</f>
        <v>1139</v>
      </c>
      <c r="I22" s="114">
        <v>5455160</v>
      </c>
      <c r="J22" s="112">
        <v>714</v>
      </c>
      <c r="K22" s="114">
        <v>219580</v>
      </c>
      <c r="L22" s="112">
        <v>13526</v>
      </c>
      <c r="M22" s="114">
        <v>35455857</v>
      </c>
      <c r="N22" s="190">
        <v>13241</v>
      </c>
      <c r="O22" s="191">
        <v>682</v>
      </c>
      <c r="P22" s="191">
        <v>28</v>
      </c>
      <c r="Q22" s="192">
        <v>13951</v>
      </c>
      <c r="R22" s="65" t="s">
        <v>49</v>
      </c>
    </row>
    <row r="23" spans="1:18" ht="15.75" customHeight="1">
      <c r="A23" s="130" t="s">
        <v>50</v>
      </c>
      <c r="B23" s="131">
        <v>63009</v>
      </c>
      <c r="C23" s="132">
        <v>412457424</v>
      </c>
      <c r="D23" s="131">
        <v>46150</v>
      </c>
      <c r="E23" s="132">
        <v>27752985</v>
      </c>
      <c r="F23" s="131">
        <v>109159</v>
      </c>
      <c r="G23" s="132">
        <v>440210409</v>
      </c>
      <c r="H23" s="131">
        <v>10331</v>
      </c>
      <c r="I23" s="133">
        <v>52565701</v>
      </c>
      <c r="J23" s="131">
        <v>6869</v>
      </c>
      <c r="K23" s="133">
        <v>1821082</v>
      </c>
      <c r="L23" s="131">
        <v>122592</v>
      </c>
      <c r="M23" s="133">
        <v>389465790</v>
      </c>
      <c r="N23" s="193">
        <v>124047</v>
      </c>
      <c r="O23" s="194">
        <v>5692</v>
      </c>
      <c r="P23" s="194">
        <v>304</v>
      </c>
      <c r="Q23" s="195">
        <v>130043</v>
      </c>
      <c r="R23" s="134" t="s">
        <v>51</v>
      </c>
    </row>
    <row r="24" spans="1:18" ht="15.75" customHeight="1">
      <c r="A24" s="135"/>
      <c r="B24" s="136"/>
      <c r="C24" s="137"/>
      <c r="D24" s="136"/>
      <c r="E24" s="137"/>
      <c r="F24" s="138"/>
      <c r="G24" s="137"/>
      <c r="H24" s="138"/>
      <c r="I24" s="137"/>
      <c r="J24" s="138"/>
      <c r="K24" s="137"/>
      <c r="L24" s="138"/>
      <c r="M24" s="137"/>
      <c r="N24" s="196"/>
      <c r="O24" s="197"/>
      <c r="P24" s="197"/>
      <c r="Q24" s="198"/>
      <c r="R24" s="139" t="s">
        <v>35</v>
      </c>
    </row>
    <row r="25" spans="1:18" ht="15.75" customHeight="1">
      <c r="A25" s="64" t="s">
        <v>52</v>
      </c>
      <c r="B25" s="109">
        <f>_xlfn.COMPOUNDVALUE(729)</f>
        <v>13381</v>
      </c>
      <c r="C25" s="110">
        <v>1529328503</v>
      </c>
      <c r="D25" s="109">
        <f>_xlfn.COMPOUNDVALUE(730)</f>
        <v>3570</v>
      </c>
      <c r="E25" s="110">
        <v>3869669</v>
      </c>
      <c r="F25" s="109">
        <f>_xlfn.COMPOUNDVALUE(731)</f>
        <v>16951</v>
      </c>
      <c r="G25" s="110">
        <v>1533198171</v>
      </c>
      <c r="H25" s="109">
        <f>_xlfn.COMPOUNDVALUE(732)</f>
        <v>5582</v>
      </c>
      <c r="I25" s="111">
        <v>847016777</v>
      </c>
      <c r="J25" s="109">
        <v>1046</v>
      </c>
      <c r="K25" s="111">
        <v>6210879</v>
      </c>
      <c r="L25" s="109">
        <v>22740</v>
      </c>
      <c r="M25" s="111">
        <v>692392274</v>
      </c>
      <c r="N25" s="190">
        <v>17531</v>
      </c>
      <c r="O25" s="191">
        <v>5350</v>
      </c>
      <c r="P25" s="191">
        <v>549</v>
      </c>
      <c r="Q25" s="192">
        <v>23430</v>
      </c>
      <c r="R25" s="74" t="s">
        <v>52</v>
      </c>
    </row>
    <row r="26" spans="1:18" ht="15.75" customHeight="1">
      <c r="A26" s="64" t="s">
        <v>53</v>
      </c>
      <c r="B26" s="109">
        <f>_xlfn.COMPOUNDVALUE(733)</f>
        <v>12139</v>
      </c>
      <c r="C26" s="110">
        <v>429902511</v>
      </c>
      <c r="D26" s="109">
        <f>_xlfn.COMPOUNDVALUE(734)</f>
        <v>3319</v>
      </c>
      <c r="E26" s="110">
        <v>2906136</v>
      </c>
      <c r="F26" s="109">
        <f>_xlfn.COMPOUNDVALUE(735)</f>
        <v>15458</v>
      </c>
      <c r="G26" s="110">
        <v>432808647</v>
      </c>
      <c r="H26" s="109">
        <f>_xlfn.COMPOUNDVALUE(736)</f>
        <v>3053</v>
      </c>
      <c r="I26" s="111">
        <v>107090614</v>
      </c>
      <c r="J26" s="109">
        <v>855</v>
      </c>
      <c r="K26" s="111">
        <v>1936791</v>
      </c>
      <c r="L26" s="109">
        <v>18750</v>
      </c>
      <c r="M26" s="111">
        <v>327654824</v>
      </c>
      <c r="N26" s="190">
        <v>17627</v>
      </c>
      <c r="O26" s="191">
        <v>1544</v>
      </c>
      <c r="P26" s="191">
        <v>265</v>
      </c>
      <c r="Q26" s="192">
        <v>19436</v>
      </c>
      <c r="R26" s="65" t="s">
        <v>53</v>
      </c>
    </row>
    <row r="27" spans="1:18" ht="15.75" customHeight="1">
      <c r="A27" s="64" t="s">
        <v>54</v>
      </c>
      <c r="B27" s="109">
        <f>_xlfn.COMPOUNDVALUE(737)</f>
        <v>10102</v>
      </c>
      <c r="C27" s="110">
        <v>452870273</v>
      </c>
      <c r="D27" s="109">
        <f>_xlfn.COMPOUNDVALUE(738)</f>
        <v>2556</v>
      </c>
      <c r="E27" s="110">
        <v>2034801</v>
      </c>
      <c r="F27" s="109">
        <f>_xlfn.COMPOUNDVALUE(739)</f>
        <v>12658</v>
      </c>
      <c r="G27" s="110">
        <v>454905074</v>
      </c>
      <c r="H27" s="109">
        <f>_xlfn.COMPOUNDVALUE(740)</f>
        <v>3245</v>
      </c>
      <c r="I27" s="111">
        <v>188741803</v>
      </c>
      <c r="J27" s="109">
        <v>811</v>
      </c>
      <c r="K27" s="111">
        <v>2430505</v>
      </c>
      <c r="L27" s="109">
        <v>16098</v>
      </c>
      <c r="M27" s="111">
        <v>268593776</v>
      </c>
      <c r="N27" s="190">
        <v>14255</v>
      </c>
      <c r="O27" s="191">
        <v>1827</v>
      </c>
      <c r="P27" s="191">
        <v>263</v>
      </c>
      <c r="Q27" s="192">
        <v>16345</v>
      </c>
      <c r="R27" s="65" t="s">
        <v>54</v>
      </c>
    </row>
    <row r="28" spans="1:18" ht="15.75" customHeight="1">
      <c r="A28" s="64" t="s">
        <v>55</v>
      </c>
      <c r="B28" s="109">
        <f>_xlfn.COMPOUNDVALUE(741)</f>
        <v>12421</v>
      </c>
      <c r="C28" s="110">
        <v>452405483</v>
      </c>
      <c r="D28" s="109">
        <f>_xlfn.COMPOUNDVALUE(742)</f>
        <v>3809</v>
      </c>
      <c r="E28" s="110">
        <v>3104600</v>
      </c>
      <c r="F28" s="109">
        <f>_xlfn.COMPOUNDVALUE(743)</f>
        <v>16230</v>
      </c>
      <c r="G28" s="110">
        <v>455510082</v>
      </c>
      <c r="H28" s="109">
        <f>_xlfn.COMPOUNDVALUE(744)</f>
        <v>4352</v>
      </c>
      <c r="I28" s="111">
        <v>91635698</v>
      </c>
      <c r="J28" s="109">
        <v>1022</v>
      </c>
      <c r="K28" s="111">
        <v>3725248</v>
      </c>
      <c r="L28" s="109">
        <v>20879</v>
      </c>
      <c r="M28" s="111">
        <v>367599632</v>
      </c>
      <c r="N28" s="190">
        <v>20162</v>
      </c>
      <c r="O28" s="191">
        <v>1867</v>
      </c>
      <c r="P28" s="191">
        <v>304</v>
      </c>
      <c r="Q28" s="192">
        <v>22333</v>
      </c>
      <c r="R28" s="65" t="s">
        <v>55</v>
      </c>
    </row>
    <row r="29" spans="1:18" ht="15.75" customHeight="1">
      <c r="A29" s="64" t="s">
        <v>150</v>
      </c>
      <c r="B29" s="109">
        <f>_xlfn.COMPOUNDVALUE(745)</f>
        <v>17927</v>
      </c>
      <c r="C29" s="110">
        <v>1207837931</v>
      </c>
      <c r="D29" s="109">
        <f>_xlfn.COMPOUNDVALUE(746)</f>
        <v>5132</v>
      </c>
      <c r="E29" s="110">
        <v>4454588</v>
      </c>
      <c r="F29" s="109">
        <f>_xlfn.COMPOUNDVALUE(747)</f>
        <v>23059</v>
      </c>
      <c r="G29" s="110">
        <v>1212292519</v>
      </c>
      <c r="H29" s="109">
        <f>_xlfn.COMPOUNDVALUE(748)</f>
        <v>6265</v>
      </c>
      <c r="I29" s="111">
        <v>583667490</v>
      </c>
      <c r="J29" s="109">
        <v>1550</v>
      </c>
      <c r="K29" s="111">
        <v>121462</v>
      </c>
      <c r="L29" s="109">
        <v>29705</v>
      </c>
      <c r="M29" s="111">
        <v>628746490</v>
      </c>
      <c r="N29" s="190">
        <v>26779</v>
      </c>
      <c r="O29" s="191">
        <v>3996</v>
      </c>
      <c r="P29" s="191">
        <v>600</v>
      </c>
      <c r="Q29" s="192">
        <v>31375</v>
      </c>
      <c r="R29" s="65" t="s">
        <v>56</v>
      </c>
    </row>
    <row r="30" spans="1:18" ht="15.75" customHeight="1">
      <c r="A30" s="64"/>
      <c r="B30" s="109"/>
      <c r="C30" s="110"/>
      <c r="D30" s="109"/>
      <c r="E30" s="110"/>
      <c r="F30" s="109"/>
      <c r="G30" s="110"/>
      <c r="H30" s="109"/>
      <c r="I30" s="111"/>
      <c r="J30" s="109"/>
      <c r="K30" s="111"/>
      <c r="L30" s="109"/>
      <c r="M30" s="111"/>
      <c r="N30" s="190"/>
      <c r="O30" s="191"/>
      <c r="P30" s="191"/>
      <c r="Q30" s="192"/>
      <c r="R30" s="65" t="s">
        <v>35</v>
      </c>
    </row>
    <row r="31" spans="1:18" ht="15.75" customHeight="1">
      <c r="A31" s="64" t="s">
        <v>57</v>
      </c>
      <c r="B31" s="109">
        <f>_xlfn.COMPOUNDVALUE(749)</f>
        <v>16633</v>
      </c>
      <c r="C31" s="110">
        <v>498321540</v>
      </c>
      <c r="D31" s="109">
        <f>_xlfn.COMPOUNDVALUE(750)</f>
        <v>5153</v>
      </c>
      <c r="E31" s="110">
        <v>4740715</v>
      </c>
      <c r="F31" s="109">
        <f>_xlfn.COMPOUNDVALUE(751)</f>
        <v>21786</v>
      </c>
      <c r="G31" s="110">
        <v>503062255</v>
      </c>
      <c r="H31" s="109">
        <f>_xlfn.COMPOUNDVALUE(752)</f>
        <v>5266</v>
      </c>
      <c r="I31" s="111">
        <v>341983811</v>
      </c>
      <c r="J31" s="109">
        <v>1234</v>
      </c>
      <c r="K31" s="111">
        <v>-88989383</v>
      </c>
      <c r="L31" s="109">
        <v>27457</v>
      </c>
      <c r="M31" s="111">
        <v>72089061</v>
      </c>
      <c r="N31" s="190">
        <v>26494</v>
      </c>
      <c r="O31" s="191">
        <v>3362</v>
      </c>
      <c r="P31" s="191">
        <v>566</v>
      </c>
      <c r="Q31" s="192">
        <v>30422</v>
      </c>
      <c r="R31" s="65" t="s">
        <v>57</v>
      </c>
    </row>
    <row r="32" spans="1:18" ht="15.75" customHeight="1">
      <c r="A32" s="64" t="s">
        <v>58</v>
      </c>
      <c r="B32" s="109">
        <f>_xlfn.COMPOUNDVALUE(753)</f>
        <v>8255</v>
      </c>
      <c r="C32" s="110">
        <v>330326002</v>
      </c>
      <c r="D32" s="109">
        <f>_xlfn.COMPOUNDVALUE(754)</f>
        <v>3240</v>
      </c>
      <c r="E32" s="110">
        <v>2517096</v>
      </c>
      <c r="F32" s="109">
        <f>_xlfn.COMPOUNDVALUE(755)</f>
        <v>11495</v>
      </c>
      <c r="G32" s="110">
        <v>332843098</v>
      </c>
      <c r="H32" s="109">
        <f>_xlfn.COMPOUNDVALUE(756)</f>
        <v>1962</v>
      </c>
      <c r="I32" s="111">
        <v>127306957</v>
      </c>
      <c r="J32" s="109">
        <v>673</v>
      </c>
      <c r="K32" s="111">
        <v>565061</v>
      </c>
      <c r="L32" s="109">
        <v>13682</v>
      </c>
      <c r="M32" s="111">
        <v>206101201</v>
      </c>
      <c r="N32" s="190">
        <v>13774</v>
      </c>
      <c r="O32" s="191">
        <v>1111</v>
      </c>
      <c r="P32" s="191">
        <v>149</v>
      </c>
      <c r="Q32" s="192">
        <v>15034</v>
      </c>
      <c r="R32" s="65" t="s">
        <v>58</v>
      </c>
    </row>
    <row r="33" spans="1:18" ht="15.75" customHeight="1">
      <c r="A33" s="64" t="s">
        <v>59</v>
      </c>
      <c r="B33" s="109">
        <f>_xlfn.COMPOUNDVALUE(757)</f>
        <v>9136</v>
      </c>
      <c r="C33" s="110">
        <v>188503537</v>
      </c>
      <c r="D33" s="109">
        <f>_xlfn.COMPOUNDVALUE(758)</f>
        <v>3955</v>
      </c>
      <c r="E33" s="110">
        <v>3581450</v>
      </c>
      <c r="F33" s="109">
        <f>_xlfn.COMPOUNDVALUE(759)</f>
        <v>13091</v>
      </c>
      <c r="G33" s="110">
        <v>192084987</v>
      </c>
      <c r="H33" s="109">
        <f>_xlfn.COMPOUNDVALUE(760)</f>
        <v>2126</v>
      </c>
      <c r="I33" s="111">
        <v>32044861</v>
      </c>
      <c r="J33" s="109">
        <v>765</v>
      </c>
      <c r="K33" s="111">
        <v>-367160</v>
      </c>
      <c r="L33" s="109">
        <v>15491</v>
      </c>
      <c r="M33" s="111">
        <v>159672965</v>
      </c>
      <c r="N33" s="190">
        <v>16145</v>
      </c>
      <c r="O33" s="191">
        <v>1013</v>
      </c>
      <c r="P33" s="191">
        <v>125</v>
      </c>
      <c r="Q33" s="192">
        <v>17283</v>
      </c>
      <c r="R33" s="65" t="s">
        <v>59</v>
      </c>
    </row>
    <row r="34" spans="1:18" ht="15.75" customHeight="1">
      <c r="A34" s="64" t="s">
        <v>60</v>
      </c>
      <c r="B34" s="109">
        <f>_xlfn.COMPOUNDVALUE(761)</f>
        <v>10379</v>
      </c>
      <c r="C34" s="110">
        <v>460631666</v>
      </c>
      <c r="D34" s="109">
        <f>_xlfn.COMPOUNDVALUE(762)</f>
        <v>3690</v>
      </c>
      <c r="E34" s="110">
        <v>3101517</v>
      </c>
      <c r="F34" s="109">
        <f>_xlfn.COMPOUNDVALUE(763)</f>
        <v>14069</v>
      </c>
      <c r="G34" s="110">
        <v>463733183</v>
      </c>
      <c r="H34" s="109">
        <f>_xlfn.COMPOUNDVALUE(764)</f>
        <v>3062</v>
      </c>
      <c r="I34" s="111">
        <v>53534742</v>
      </c>
      <c r="J34" s="109">
        <v>1171</v>
      </c>
      <c r="K34" s="111">
        <v>2224983</v>
      </c>
      <c r="L34" s="109">
        <v>17618</v>
      </c>
      <c r="M34" s="111">
        <v>412423425</v>
      </c>
      <c r="N34" s="190">
        <v>17630</v>
      </c>
      <c r="O34" s="191">
        <v>1585</v>
      </c>
      <c r="P34" s="191">
        <v>219</v>
      </c>
      <c r="Q34" s="192">
        <v>19434</v>
      </c>
      <c r="R34" s="65" t="s">
        <v>60</v>
      </c>
    </row>
    <row r="35" spans="1:18" ht="15.75" customHeight="1">
      <c r="A35" s="64" t="s">
        <v>61</v>
      </c>
      <c r="B35" s="109">
        <f>_xlfn.COMPOUNDVALUE(765)</f>
        <v>2761</v>
      </c>
      <c r="C35" s="110">
        <v>61305560</v>
      </c>
      <c r="D35" s="109">
        <f>_xlfn.COMPOUNDVALUE(766)</f>
        <v>1807</v>
      </c>
      <c r="E35" s="110">
        <v>1331018</v>
      </c>
      <c r="F35" s="109">
        <f>_xlfn.COMPOUNDVALUE(767)</f>
        <v>4568</v>
      </c>
      <c r="G35" s="110">
        <v>62636578</v>
      </c>
      <c r="H35" s="109">
        <f>_xlfn.COMPOUNDVALUE(768)</f>
        <v>527</v>
      </c>
      <c r="I35" s="111">
        <v>6351752</v>
      </c>
      <c r="J35" s="109">
        <v>260</v>
      </c>
      <c r="K35" s="111">
        <v>-1152414</v>
      </c>
      <c r="L35" s="109">
        <v>5153</v>
      </c>
      <c r="M35" s="111">
        <v>55132412</v>
      </c>
      <c r="N35" s="190">
        <v>5515</v>
      </c>
      <c r="O35" s="191">
        <v>290</v>
      </c>
      <c r="P35" s="191">
        <v>31</v>
      </c>
      <c r="Q35" s="192">
        <v>5836</v>
      </c>
      <c r="R35" s="65" t="s">
        <v>61</v>
      </c>
    </row>
    <row r="36" spans="1:18" ht="15.75" customHeight="1">
      <c r="A36" s="64"/>
      <c r="B36" s="109"/>
      <c r="C36" s="110"/>
      <c r="D36" s="109"/>
      <c r="E36" s="110"/>
      <c r="F36" s="109"/>
      <c r="G36" s="110"/>
      <c r="H36" s="109"/>
      <c r="I36" s="111"/>
      <c r="J36" s="109"/>
      <c r="K36" s="111"/>
      <c r="L36" s="109"/>
      <c r="M36" s="111"/>
      <c r="N36" s="190"/>
      <c r="O36" s="191"/>
      <c r="P36" s="191"/>
      <c r="Q36" s="192"/>
      <c r="R36" s="65" t="s">
        <v>35</v>
      </c>
    </row>
    <row r="37" spans="1:18" ht="15.75" customHeight="1">
      <c r="A37" s="64" t="s">
        <v>62</v>
      </c>
      <c r="B37" s="109">
        <f>_xlfn.COMPOUNDVALUE(769)</f>
        <v>3600</v>
      </c>
      <c r="C37" s="110">
        <v>54342990</v>
      </c>
      <c r="D37" s="109">
        <f>_xlfn.COMPOUNDVALUE(770)</f>
        <v>1923</v>
      </c>
      <c r="E37" s="110">
        <v>1408949</v>
      </c>
      <c r="F37" s="109">
        <f>_xlfn.COMPOUNDVALUE(771)</f>
        <v>5523</v>
      </c>
      <c r="G37" s="110">
        <v>55751939</v>
      </c>
      <c r="H37" s="109">
        <f>_xlfn.COMPOUNDVALUE(772)</f>
        <v>770</v>
      </c>
      <c r="I37" s="111">
        <v>8761368</v>
      </c>
      <c r="J37" s="109">
        <v>274</v>
      </c>
      <c r="K37" s="111">
        <v>25953</v>
      </c>
      <c r="L37" s="109">
        <v>6383</v>
      </c>
      <c r="M37" s="111">
        <v>47016523</v>
      </c>
      <c r="N37" s="190">
        <v>6443</v>
      </c>
      <c r="O37" s="191">
        <v>408</v>
      </c>
      <c r="P37" s="191">
        <v>53</v>
      </c>
      <c r="Q37" s="192">
        <v>6904</v>
      </c>
      <c r="R37" s="65" t="s">
        <v>62</v>
      </c>
    </row>
    <row r="38" spans="1:18" ht="15.75" customHeight="1">
      <c r="A38" s="64" t="s">
        <v>63</v>
      </c>
      <c r="B38" s="109">
        <f>_xlfn.COMPOUNDVALUE(773)</f>
        <v>5621</v>
      </c>
      <c r="C38" s="110">
        <v>99721774</v>
      </c>
      <c r="D38" s="109">
        <f>_xlfn.COMPOUNDVALUE(774)</f>
        <v>2179</v>
      </c>
      <c r="E38" s="110">
        <v>1496289</v>
      </c>
      <c r="F38" s="109">
        <f>_xlfn.COMPOUNDVALUE(775)</f>
        <v>7800</v>
      </c>
      <c r="G38" s="110">
        <v>101218063</v>
      </c>
      <c r="H38" s="109">
        <f>_xlfn.COMPOUNDVALUE(776)</f>
        <v>1703</v>
      </c>
      <c r="I38" s="111">
        <v>50660262</v>
      </c>
      <c r="J38" s="109">
        <v>406</v>
      </c>
      <c r="K38" s="111">
        <v>232436</v>
      </c>
      <c r="L38" s="109">
        <v>9632</v>
      </c>
      <c r="M38" s="111">
        <v>50790237</v>
      </c>
      <c r="N38" s="190">
        <v>9209</v>
      </c>
      <c r="O38" s="191">
        <v>574</v>
      </c>
      <c r="P38" s="191">
        <v>76</v>
      </c>
      <c r="Q38" s="192">
        <v>9859</v>
      </c>
      <c r="R38" s="65" t="s">
        <v>63</v>
      </c>
    </row>
    <row r="39" spans="1:18" ht="15.75" customHeight="1">
      <c r="A39" s="64" t="s">
        <v>64</v>
      </c>
      <c r="B39" s="109">
        <f>_xlfn.COMPOUNDVALUE(777)</f>
        <v>5283</v>
      </c>
      <c r="C39" s="110">
        <v>93174851</v>
      </c>
      <c r="D39" s="109">
        <f>_xlfn.COMPOUNDVALUE(778)</f>
        <v>2468</v>
      </c>
      <c r="E39" s="110">
        <v>1403825</v>
      </c>
      <c r="F39" s="109">
        <f>_xlfn.COMPOUNDVALUE(779)</f>
        <v>7751</v>
      </c>
      <c r="G39" s="110">
        <v>94578676</v>
      </c>
      <c r="H39" s="109">
        <f>_xlfn.COMPOUNDVALUE(780)</f>
        <v>1495</v>
      </c>
      <c r="I39" s="111">
        <v>6823594</v>
      </c>
      <c r="J39" s="109">
        <v>412</v>
      </c>
      <c r="K39" s="111">
        <v>2410985</v>
      </c>
      <c r="L39" s="109">
        <v>9416</v>
      </c>
      <c r="M39" s="111">
        <v>90166067</v>
      </c>
      <c r="N39" s="190">
        <v>9210</v>
      </c>
      <c r="O39" s="191">
        <v>697</v>
      </c>
      <c r="P39" s="191">
        <v>59</v>
      </c>
      <c r="Q39" s="192">
        <v>9966</v>
      </c>
      <c r="R39" s="65" t="s">
        <v>64</v>
      </c>
    </row>
    <row r="40" spans="1:18" ht="15.75" customHeight="1">
      <c r="A40" s="64" t="s">
        <v>65</v>
      </c>
      <c r="B40" s="109">
        <f>_xlfn.COMPOUNDVALUE(781)</f>
        <v>4576</v>
      </c>
      <c r="C40" s="110">
        <v>90077111</v>
      </c>
      <c r="D40" s="109">
        <f>_xlfn.COMPOUNDVALUE(782)</f>
        <v>2090</v>
      </c>
      <c r="E40" s="110">
        <v>1344426</v>
      </c>
      <c r="F40" s="109">
        <f>_xlfn.COMPOUNDVALUE(783)</f>
        <v>6666</v>
      </c>
      <c r="G40" s="110">
        <v>91421536</v>
      </c>
      <c r="H40" s="109">
        <f>_xlfn.COMPOUNDVALUE(784)</f>
        <v>915</v>
      </c>
      <c r="I40" s="111">
        <v>9347171</v>
      </c>
      <c r="J40" s="109">
        <v>345</v>
      </c>
      <c r="K40" s="111">
        <v>207544</v>
      </c>
      <c r="L40" s="109">
        <v>7728</v>
      </c>
      <c r="M40" s="111">
        <v>82281910</v>
      </c>
      <c r="N40" s="190">
        <v>7677</v>
      </c>
      <c r="O40" s="191">
        <v>369</v>
      </c>
      <c r="P40" s="191">
        <v>51</v>
      </c>
      <c r="Q40" s="192">
        <v>8097</v>
      </c>
      <c r="R40" s="65" t="s">
        <v>65</v>
      </c>
    </row>
    <row r="41" spans="1:18" ht="15.75" customHeight="1">
      <c r="A41" s="64" t="s">
        <v>66</v>
      </c>
      <c r="B41" s="109">
        <f>_xlfn.COMPOUNDVALUE(785)</f>
        <v>1731</v>
      </c>
      <c r="C41" s="110">
        <v>13749427</v>
      </c>
      <c r="D41" s="109">
        <f>_xlfn.COMPOUNDVALUE(786)</f>
        <v>1143</v>
      </c>
      <c r="E41" s="110">
        <v>628742</v>
      </c>
      <c r="F41" s="109">
        <f>_xlfn.COMPOUNDVALUE(787)</f>
        <v>2874</v>
      </c>
      <c r="G41" s="110">
        <v>14378169</v>
      </c>
      <c r="H41" s="109">
        <f>_xlfn.COMPOUNDVALUE(788)</f>
        <v>291</v>
      </c>
      <c r="I41" s="111">
        <v>653865</v>
      </c>
      <c r="J41" s="109">
        <v>173</v>
      </c>
      <c r="K41" s="111">
        <v>48920</v>
      </c>
      <c r="L41" s="109">
        <v>3238</v>
      </c>
      <c r="M41" s="111">
        <v>13773224</v>
      </c>
      <c r="N41" s="190">
        <v>3232</v>
      </c>
      <c r="O41" s="191">
        <v>123</v>
      </c>
      <c r="P41" s="191">
        <v>5</v>
      </c>
      <c r="Q41" s="192">
        <v>3360</v>
      </c>
      <c r="R41" s="65" t="s">
        <v>66</v>
      </c>
    </row>
    <row r="42" spans="1:18" ht="15.75" customHeight="1">
      <c r="A42" s="91"/>
      <c r="B42" s="109"/>
      <c r="C42" s="110"/>
      <c r="D42" s="109"/>
      <c r="E42" s="110"/>
      <c r="F42" s="109"/>
      <c r="G42" s="110"/>
      <c r="H42" s="109"/>
      <c r="I42" s="111"/>
      <c r="J42" s="109"/>
      <c r="K42" s="111"/>
      <c r="L42" s="109"/>
      <c r="M42" s="111"/>
      <c r="N42" s="190"/>
      <c r="O42" s="191"/>
      <c r="P42" s="191"/>
      <c r="Q42" s="192"/>
      <c r="R42" s="92" t="s">
        <v>35</v>
      </c>
    </row>
    <row r="43" spans="1:18" ht="15.75" customHeight="1">
      <c r="A43" s="86" t="s">
        <v>67</v>
      </c>
      <c r="B43" s="109">
        <f>_xlfn.COMPOUNDVALUE(789)</f>
        <v>6181</v>
      </c>
      <c r="C43" s="110">
        <v>213114837</v>
      </c>
      <c r="D43" s="109">
        <f>_xlfn.COMPOUNDVALUE(790)</f>
        <v>2714</v>
      </c>
      <c r="E43" s="110">
        <v>1747275</v>
      </c>
      <c r="F43" s="109">
        <f>_xlfn.COMPOUNDVALUE(791)</f>
        <v>8895</v>
      </c>
      <c r="G43" s="110">
        <v>214862112</v>
      </c>
      <c r="H43" s="109">
        <f>_xlfn.COMPOUNDVALUE(792)</f>
        <v>1523</v>
      </c>
      <c r="I43" s="111">
        <v>42748869</v>
      </c>
      <c r="J43" s="109">
        <v>519</v>
      </c>
      <c r="K43" s="111">
        <v>4887659</v>
      </c>
      <c r="L43" s="109">
        <v>10626</v>
      </c>
      <c r="M43" s="111">
        <v>177000902</v>
      </c>
      <c r="N43" s="190">
        <v>10307</v>
      </c>
      <c r="O43" s="191">
        <v>732</v>
      </c>
      <c r="P43" s="191">
        <v>56</v>
      </c>
      <c r="Q43" s="192">
        <v>11095</v>
      </c>
      <c r="R43" s="85" t="s">
        <v>67</v>
      </c>
    </row>
    <row r="44" spans="1:18" ht="15.75" customHeight="1">
      <c r="A44" s="64" t="s">
        <v>68</v>
      </c>
      <c r="B44" s="109">
        <f>_xlfn.COMPOUNDVALUE(793)</f>
        <v>2999</v>
      </c>
      <c r="C44" s="110">
        <v>68499044</v>
      </c>
      <c r="D44" s="109">
        <f>_xlfn.COMPOUNDVALUE(794)</f>
        <v>1827</v>
      </c>
      <c r="E44" s="110">
        <v>1112968</v>
      </c>
      <c r="F44" s="109">
        <f>_xlfn.COMPOUNDVALUE(795)</f>
        <v>4826</v>
      </c>
      <c r="G44" s="110">
        <v>69612012</v>
      </c>
      <c r="H44" s="109">
        <f>_xlfn.COMPOUNDVALUE(796)</f>
        <v>668</v>
      </c>
      <c r="I44" s="111">
        <v>4865617</v>
      </c>
      <c r="J44" s="109">
        <v>330</v>
      </c>
      <c r="K44" s="111">
        <v>92491</v>
      </c>
      <c r="L44" s="109">
        <v>5632</v>
      </c>
      <c r="M44" s="111">
        <v>64838886</v>
      </c>
      <c r="N44" s="190">
        <v>5587</v>
      </c>
      <c r="O44" s="191">
        <v>319</v>
      </c>
      <c r="P44" s="191">
        <v>16</v>
      </c>
      <c r="Q44" s="192">
        <v>5922</v>
      </c>
      <c r="R44" s="65" t="s">
        <v>68</v>
      </c>
    </row>
    <row r="45" spans="1:18" ht="15.75" customHeight="1">
      <c r="A45" s="64" t="s">
        <v>69</v>
      </c>
      <c r="B45" s="109">
        <f>_xlfn.COMPOUNDVALUE(797)</f>
        <v>2115</v>
      </c>
      <c r="C45" s="110">
        <v>16097201</v>
      </c>
      <c r="D45" s="109">
        <f>_xlfn.COMPOUNDVALUE(798)</f>
        <v>1564</v>
      </c>
      <c r="E45" s="110">
        <v>960848</v>
      </c>
      <c r="F45" s="109">
        <f>_xlfn.COMPOUNDVALUE(799)</f>
        <v>3679</v>
      </c>
      <c r="G45" s="110">
        <v>17058049</v>
      </c>
      <c r="H45" s="109">
        <f>_xlfn.COMPOUNDVALUE(800)</f>
        <v>433</v>
      </c>
      <c r="I45" s="111">
        <v>1997578</v>
      </c>
      <c r="J45" s="109">
        <v>204</v>
      </c>
      <c r="K45" s="111">
        <v>275190</v>
      </c>
      <c r="L45" s="109">
        <v>4188</v>
      </c>
      <c r="M45" s="111">
        <v>15335660</v>
      </c>
      <c r="N45" s="190">
        <v>4375</v>
      </c>
      <c r="O45" s="191">
        <v>195</v>
      </c>
      <c r="P45" s="191">
        <v>19</v>
      </c>
      <c r="Q45" s="192">
        <v>4589</v>
      </c>
      <c r="R45" s="65" t="s">
        <v>69</v>
      </c>
    </row>
    <row r="46" spans="1:18" ht="15.75" customHeight="1">
      <c r="A46" s="64" t="s">
        <v>70</v>
      </c>
      <c r="B46" s="109">
        <f>_xlfn.COMPOUNDVALUE(801)</f>
        <v>7536</v>
      </c>
      <c r="C46" s="110">
        <v>131202625</v>
      </c>
      <c r="D46" s="109">
        <f>_xlfn.COMPOUNDVALUE(802)</f>
        <v>4338</v>
      </c>
      <c r="E46" s="110">
        <v>3071354</v>
      </c>
      <c r="F46" s="109">
        <f>_xlfn.COMPOUNDVALUE(803)</f>
        <v>11874</v>
      </c>
      <c r="G46" s="110">
        <v>134273979</v>
      </c>
      <c r="H46" s="109">
        <f>_xlfn.COMPOUNDVALUE(804)</f>
        <v>1599</v>
      </c>
      <c r="I46" s="111">
        <v>10873185</v>
      </c>
      <c r="J46" s="109">
        <v>683</v>
      </c>
      <c r="K46" s="111">
        <v>223500</v>
      </c>
      <c r="L46" s="109">
        <v>13738</v>
      </c>
      <c r="M46" s="111">
        <v>123624293</v>
      </c>
      <c r="N46" s="190">
        <v>14891</v>
      </c>
      <c r="O46" s="191">
        <v>811</v>
      </c>
      <c r="P46" s="191">
        <v>79</v>
      </c>
      <c r="Q46" s="192">
        <v>15781</v>
      </c>
      <c r="R46" s="65" t="s">
        <v>70</v>
      </c>
    </row>
    <row r="47" spans="1:18" ht="15.75" customHeight="1">
      <c r="A47" s="64" t="s">
        <v>71</v>
      </c>
      <c r="B47" s="109">
        <f>_xlfn.COMPOUNDVALUE(805)</f>
        <v>4142</v>
      </c>
      <c r="C47" s="110">
        <v>50761952</v>
      </c>
      <c r="D47" s="109">
        <f>_xlfn.COMPOUNDVALUE(806)</f>
        <v>2405</v>
      </c>
      <c r="E47" s="110">
        <v>1511155</v>
      </c>
      <c r="F47" s="109">
        <f>_xlfn.COMPOUNDVALUE(807)</f>
        <v>6547</v>
      </c>
      <c r="G47" s="110">
        <v>52273106</v>
      </c>
      <c r="H47" s="109">
        <f>_xlfn.COMPOUNDVALUE(808)</f>
        <v>651</v>
      </c>
      <c r="I47" s="111">
        <v>19601237</v>
      </c>
      <c r="J47" s="109">
        <v>374</v>
      </c>
      <c r="K47" s="111">
        <v>253570</v>
      </c>
      <c r="L47" s="109">
        <v>7336</v>
      </c>
      <c r="M47" s="111">
        <v>32925439</v>
      </c>
      <c r="N47" s="190">
        <v>7522</v>
      </c>
      <c r="O47" s="191">
        <v>310</v>
      </c>
      <c r="P47" s="191">
        <v>34</v>
      </c>
      <c r="Q47" s="192">
        <v>7866</v>
      </c>
      <c r="R47" s="65" t="s">
        <v>71</v>
      </c>
    </row>
    <row r="48" spans="1:18" ht="15.75" customHeight="1">
      <c r="A48" s="64"/>
      <c r="B48" s="109"/>
      <c r="C48" s="110"/>
      <c r="D48" s="109"/>
      <c r="E48" s="110"/>
      <c r="F48" s="109"/>
      <c r="G48" s="110"/>
      <c r="H48" s="109"/>
      <c r="I48" s="111"/>
      <c r="J48" s="109"/>
      <c r="K48" s="111"/>
      <c r="L48" s="109"/>
      <c r="M48" s="111"/>
      <c r="N48" s="190"/>
      <c r="O48" s="191"/>
      <c r="P48" s="191"/>
      <c r="Q48" s="192"/>
      <c r="R48" s="65" t="s">
        <v>35</v>
      </c>
    </row>
    <row r="49" spans="1:18" ht="15.75" customHeight="1">
      <c r="A49" s="64" t="s">
        <v>72</v>
      </c>
      <c r="B49" s="109">
        <f>_xlfn.COMPOUNDVALUE(809)</f>
        <v>2495</v>
      </c>
      <c r="C49" s="110">
        <v>14345807</v>
      </c>
      <c r="D49" s="109">
        <f>_xlfn.COMPOUNDVALUE(810)</f>
        <v>1878</v>
      </c>
      <c r="E49" s="110">
        <v>1270845</v>
      </c>
      <c r="F49" s="109">
        <f>_xlfn.COMPOUNDVALUE(811)</f>
        <v>4373</v>
      </c>
      <c r="G49" s="110">
        <v>15616652</v>
      </c>
      <c r="H49" s="109">
        <f>_xlfn.COMPOUNDVALUE(812)</f>
        <v>444</v>
      </c>
      <c r="I49" s="111">
        <v>11997128</v>
      </c>
      <c r="J49" s="109">
        <v>270</v>
      </c>
      <c r="K49" s="111">
        <v>100833</v>
      </c>
      <c r="L49" s="109">
        <v>4910</v>
      </c>
      <c r="M49" s="111">
        <v>3720358</v>
      </c>
      <c r="N49" s="190">
        <v>5210</v>
      </c>
      <c r="O49" s="191">
        <v>281</v>
      </c>
      <c r="P49" s="191">
        <v>29</v>
      </c>
      <c r="Q49" s="192">
        <v>5520</v>
      </c>
      <c r="R49" s="65" t="s">
        <v>72</v>
      </c>
    </row>
    <row r="50" spans="1:18" ht="15.75" customHeight="1">
      <c r="A50" s="64" t="s">
        <v>73</v>
      </c>
      <c r="B50" s="109">
        <f>_xlfn.COMPOUNDVALUE(813)</f>
        <v>4570</v>
      </c>
      <c r="C50" s="110">
        <v>67547848</v>
      </c>
      <c r="D50" s="109">
        <f>_xlfn.COMPOUNDVALUE(814)</f>
        <v>2906</v>
      </c>
      <c r="E50" s="110">
        <v>1771928</v>
      </c>
      <c r="F50" s="109">
        <f>_xlfn.COMPOUNDVALUE(815)</f>
        <v>7476</v>
      </c>
      <c r="G50" s="110">
        <v>69319776</v>
      </c>
      <c r="H50" s="109">
        <f>_xlfn.COMPOUNDVALUE(816)</f>
        <v>719</v>
      </c>
      <c r="I50" s="111">
        <v>53603057</v>
      </c>
      <c r="J50" s="109">
        <v>364</v>
      </c>
      <c r="K50" s="111">
        <v>542688</v>
      </c>
      <c r="L50" s="109">
        <v>8313</v>
      </c>
      <c r="M50" s="111">
        <v>16259407</v>
      </c>
      <c r="N50" s="190">
        <v>8590</v>
      </c>
      <c r="O50" s="191">
        <v>300</v>
      </c>
      <c r="P50" s="191">
        <v>21</v>
      </c>
      <c r="Q50" s="192">
        <v>8911</v>
      </c>
      <c r="R50" s="65" t="s">
        <v>73</v>
      </c>
    </row>
    <row r="51" spans="1:18" ht="15.75" customHeight="1">
      <c r="A51" s="64" t="s">
        <v>74</v>
      </c>
      <c r="B51" s="109">
        <f>_xlfn.COMPOUNDVALUE(817)</f>
        <v>5451</v>
      </c>
      <c r="C51" s="110">
        <v>29363059</v>
      </c>
      <c r="D51" s="109">
        <f>_xlfn.COMPOUNDVALUE(818)</f>
        <v>3872</v>
      </c>
      <c r="E51" s="110">
        <v>2643368</v>
      </c>
      <c r="F51" s="109">
        <f>_xlfn.COMPOUNDVALUE(819)</f>
        <v>9323</v>
      </c>
      <c r="G51" s="110">
        <v>32006428</v>
      </c>
      <c r="H51" s="109">
        <f>_xlfn.COMPOUNDVALUE(820)</f>
        <v>1100</v>
      </c>
      <c r="I51" s="111">
        <v>2631931</v>
      </c>
      <c r="J51" s="109">
        <v>589</v>
      </c>
      <c r="K51" s="111">
        <v>274483</v>
      </c>
      <c r="L51" s="109">
        <v>10685</v>
      </c>
      <c r="M51" s="111">
        <v>29648980</v>
      </c>
      <c r="N51" s="190">
        <v>12179</v>
      </c>
      <c r="O51" s="191">
        <v>568</v>
      </c>
      <c r="P51" s="191">
        <v>52</v>
      </c>
      <c r="Q51" s="192">
        <v>12799</v>
      </c>
      <c r="R51" s="65" t="s">
        <v>74</v>
      </c>
    </row>
    <row r="52" spans="1:18" ht="15.75" customHeight="1">
      <c r="A52" s="64" t="s">
        <v>75</v>
      </c>
      <c r="B52" s="109">
        <f>_xlfn.COMPOUNDVALUE(821)</f>
        <v>4620</v>
      </c>
      <c r="C52" s="110">
        <v>24039524</v>
      </c>
      <c r="D52" s="109">
        <f>_xlfn.COMPOUNDVALUE(822)</f>
        <v>3601</v>
      </c>
      <c r="E52" s="110">
        <v>2465032</v>
      </c>
      <c r="F52" s="109">
        <f>_xlfn.COMPOUNDVALUE(823)</f>
        <v>8221</v>
      </c>
      <c r="G52" s="110">
        <v>26504556</v>
      </c>
      <c r="H52" s="109">
        <f>_xlfn.COMPOUNDVALUE(824)</f>
        <v>934</v>
      </c>
      <c r="I52" s="111">
        <v>1230635</v>
      </c>
      <c r="J52" s="109">
        <v>443</v>
      </c>
      <c r="K52" s="111">
        <v>124781</v>
      </c>
      <c r="L52" s="109">
        <v>9332</v>
      </c>
      <c r="M52" s="111">
        <v>25398703</v>
      </c>
      <c r="N52" s="190">
        <v>10441</v>
      </c>
      <c r="O52" s="191">
        <v>452</v>
      </c>
      <c r="P52" s="191">
        <v>32</v>
      </c>
      <c r="Q52" s="192">
        <v>10925</v>
      </c>
      <c r="R52" s="65" t="s">
        <v>75</v>
      </c>
    </row>
    <row r="53" spans="1:18" ht="15.75" customHeight="1">
      <c r="A53" s="64" t="s">
        <v>76</v>
      </c>
      <c r="B53" s="109">
        <f>_xlfn.COMPOUNDVALUE(825)</f>
        <v>4738</v>
      </c>
      <c r="C53" s="110">
        <v>59045806</v>
      </c>
      <c r="D53" s="109">
        <f>_xlfn.COMPOUNDVALUE(826)</f>
        <v>3455</v>
      </c>
      <c r="E53" s="110">
        <v>2873579</v>
      </c>
      <c r="F53" s="109">
        <f>_xlfn.COMPOUNDVALUE(827)</f>
        <v>8193</v>
      </c>
      <c r="G53" s="110">
        <v>61919385</v>
      </c>
      <c r="H53" s="109">
        <f>_xlfn.COMPOUNDVALUE(828)</f>
        <v>977</v>
      </c>
      <c r="I53" s="111">
        <v>55234456</v>
      </c>
      <c r="J53" s="109">
        <v>450</v>
      </c>
      <c r="K53" s="111">
        <v>544731</v>
      </c>
      <c r="L53" s="109">
        <v>9362</v>
      </c>
      <c r="M53" s="111">
        <v>7229660</v>
      </c>
      <c r="N53" s="190">
        <v>9965</v>
      </c>
      <c r="O53" s="191">
        <v>538</v>
      </c>
      <c r="P53" s="191">
        <v>42</v>
      </c>
      <c r="Q53" s="192">
        <v>10545</v>
      </c>
      <c r="R53" s="65" t="s">
        <v>76</v>
      </c>
    </row>
    <row r="54" spans="1:18" ht="15.75" customHeight="1">
      <c r="A54" s="64"/>
      <c r="B54" s="109"/>
      <c r="C54" s="110"/>
      <c r="D54" s="109"/>
      <c r="E54" s="110"/>
      <c r="F54" s="109"/>
      <c r="G54" s="110"/>
      <c r="H54" s="109"/>
      <c r="I54" s="111"/>
      <c r="J54" s="109"/>
      <c r="K54" s="111"/>
      <c r="L54" s="109"/>
      <c r="M54" s="111"/>
      <c r="N54" s="190"/>
      <c r="O54" s="191"/>
      <c r="P54" s="191"/>
      <c r="Q54" s="192"/>
      <c r="R54" s="65" t="s">
        <v>35</v>
      </c>
    </row>
    <row r="55" spans="1:18" ht="15.75" customHeight="1">
      <c r="A55" s="64" t="s">
        <v>77</v>
      </c>
      <c r="B55" s="109">
        <f>_xlfn.COMPOUNDVALUE(829)</f>
        <v>23693</v>
      </c>
      <c r="C55" s="110">
        <v>634508152</v>
      </c>
      <c r="D55" s="109">
        <f>_xlfn.COMPOUNDVALUE(830)</f>
        <v>8141</v>
      </c>
      <c r="E55" s="110">
        <v>7510808</v>
      </c>
      <c r="F55" s="109">
        <f>_xlfn.COMPOUNDVALUE(831)</f>
        <v>31834</v>
      </c>
      <c r="G55" s="110">
        <v>642018960</v>
      </c>
      <c r="H55" s="109">
        <f>_xlfn.COMPOUNDVALUE(832)</f>
        <v>5100</v>
      </c>
      <c r="I55" s="111">
        <v>149987502</v>
      </c>
      <c r="J55" s="109">
        <v>1744</v>
      </c>
      <c r="K55" s="111">
        <v>-353422</v>
      </c>
      <c r="L55" s="109">
        <v>37535</v>
      </c>
      <c r="M55" s="111">
        <v>491678036</v>
      </c>
      <c r="N55" s="190">
        <v>39298</v>
      </c>
      <c r="O55" s="191">
        <v>2436</v>
      </c>
      <c r="P55" s="191">
        <v>582</v>
      </c>
      <c r="Q55" s="192">
        <v>42316</v>
      </c>
      <c r="R55" s="65" t="s">
        <v>77</v>
      </c>
    </row>
    <row r="56" spans="1:18" ht="15.75" customHeight="1">
      <c r="A56" s="64" t="s">
        <v>78</v>
      </c>
      <c r="B56" s="109">
        <f>_xlfn.COMPOUNDVALUE(833)</f>
        <v>5106</v>
      </c>
      <c r="C56" s="110">
        <v>78476263</v>
      </c>
      <c r="D56" s="109">
        <f>_xlfn.COMPOUNDVALUE(834)</f>
        <v>3400</v>
      </c>
      <c r="E56" s="110">
        <v>2301977</v>
      </c>
      <c r="F56" s="109">
        <f>_xlfn.COMPOUNDVALUE(835)</f>
        <v>8506</v>
      </c>
      <c r="G56" s="110">
        <v>80778240</v>
      </c>
      <c r="H56" s="109">
        <f>_xlfn.COMPOUNDVALUE(836)</f>
        <v>1133</v>
      </c>
      <c r="I56" s="111">
        <v>6883216</v>
      </c>
      <c r="J56" s="109">
        <v>487</v>
      </c>
      <c r="K56" s="111">
        <v>97986</v>
      </c>
      <c r="L56" s="109">
        <v>9843</v>
      </c>
      <c r="M56" s="111">
        <v>73993010</v>
      </c>
      <c r="N56" s="190">
        <v>10900</v>
      </c>
      <c r="O56" s="191">
        <v>561</v>
      </c>
      <c r="P56" s="191">
        <v>44</v>
      </c>
      <c r="Q56" s="192">
        <v>11505</v>
      </c>
      <c r="R56" s="65" t="s">
        <v>78</v>
      </c>
    </row>
    <row r="57" spans="1:18" ht="15.75" customHeight="1">
      <c r="A57" s="64" t="s">
        <v>79</v>
      </c>
      <c r="B57" s="109">
        <f>_xlfn.COMPOUNDVALUE(837)</f>
        <v>4193</v>
      </c>
      <c r="C57" s="110">
        <v>24150454</v>
      </c>
      <c r="D57" s="109">
        <f>_xlfn.COMPOUNDVALUE(838)</f>
        <v>3187</v>
      </c>
      <c r="E57" s="110">
        <v>2078796</v>
      </c>
      <c r="F57" s="109">
        <f>_xlfn.COMPOUNDVALUE(839)</f>
        <v>7380</v>
      </c>
      <c r="G57" s="110">
        <v>26229251</v>
      </c>
      <c r="H57" s="109">
        <f>_xlfn.COMPOUNDVALUE(840)</f>
        <v>820</v>
      </c>
      <c r="I57" s="111">
        <v>1813109</v>
      </c>
      <c r="J57" s="109">
        <v>459</v>
      </c>
      <c r="K57" s="111">
        <v>125524</v>
      </c>
      <c r="L57" s="109">
        <v>8404</v>
      </c>
      <c r="M57" s="111">
        <v>24541666</v>
      </c>
      <c r="N57" s="190">
        <v>9114</v>
      </c>
      <c r="O57" s="191">
        <v>435</v>
      </c>
      <c r="P57" s="191">
        <v>19</v>
      </c>
      <c r="Q57" s="192">
        <v>9568</v>
      </c>
      <c r="R57" s="65" t="s">
        <v>79</v>
      </c>
    </row>
    <row r="58" spans="1:18" ht="15.75" customHeight="1">
      <c r="A58" s="64" t="s">
        <v>80</v>
      </c>
      <c r="B58" s="109">
        <f>_xlfn.COMPOUNDVALUE(841)</f>
        <v>3026</v>
      </c>
      <c r="C58" s="110">
        <v>18605614</v>
      </c>
      <c r="D58" s="109">
        <f>_xlfn.COMPOUNDVALUE(842)</f>
        <v>2533</v>
      </c>
      <c r="E58" s="110">
        <v>1702427</v>
      </c>
      <c r="F58" s="109">
        <f>_xlfn.COMPOUNDVALUE(843)</f>
        <v>5559</v>
      </c>
      <c r="G58" s="110">
        <v>20308041</v>
      </c>
      <c r="H58" s="109">
        <f>_xlfn.COMPOUNDVALUE(844)</f>
        <v>617</v>
      </c>
      <c r="I58" s="111">
        <v>1547537</v>
      </c>
      <c r="J58" s="109">
        <v>248</v>
      </c>
      <c r="K58" s="111">
        <v>47903</v>
      </c>
      <c r="L58" s="109">
        <v>6277</v>
      </c>
      <c r="M58" s="111">
        <v>18808406</v>
      </c>
      <c r="N58" s="190">
        <v>6749</v>
      </c>
      <c r="O58" s="191">
        <v>365</v>
      </c>
      <c r="P58" s="191">
        <v>15</v>
      </c>
      <c r="Q58" s="192">
        <v>7129</v>
      </c>
      <c r="R58" s="65" t="s">
        <v>80</v>
      </c>
    </row>
    <row r="59" spans="1:18" ht="15.75" customHeight="1">
      <c r="A59" s="64" t="s">
        <v>81</v>
      </c>
      <c r="B59" s="109">
        <f>_xlfn.COMPOUNDVALUE(845)</f>
        <v>9559</v>
      </c>
      <c r="C59" s="110">
        <v>144797161</v>
      </c>
      <c r="D59" s="109">
        <f>_xlfn.COMPOUNDVALUE(846)</f>
        <v>4397</v>
      </c>
      <c r="E59" s="110">
        <v>3377883</v>
      </c>
      <c r="F59" s="109">
        <f>_xlfn.COMPOUNDVALUE(847)</f>
        <v>13956</v>
      </c>
      <c r="G59" s="110">
        <v>148175044</v>
      </c>
      <c r="H59" s="109">
        <f>_xlfn.COMPOUNDVALUE(848)</f>
        <v>2388</v>
      </c>
      <c r="I59" s="111">
        <v>21208084</v>
      </c>
      <c r="J59" s="109">
        <v>887</v>
      </c>
      <c r="K59" s="111">
        <v>197110</v>
      </c>
      <c r="L59" s="109">
        <v>16697</v>
      </c>
      <c r="M59" s="111">
        <v>127164070</v>
      </c>
      <c r="N59" s="190">
        <v>16794</v>
      </c>
      <c r="O59" s="191">
        <v>1049</v>
      </c>
      <c r="P59" s="191">
        <v>142</v>
      </c>
      <c r="Q59" s="192">
        <v>17985</v>
      </c>
      <c r="R59" s="65" t="s">
        <v>81</v>
      </c>
    </row>
    <row r="60" spans="1:18" ht="15.75" customHeight="1">
      <c r="A60" s="64"/>
      <c r="B60" s="109"/>
      <c r="C60" s="110"/>
      <c r="D60" s="109"/>
      <c r="E60" s="110"/>
      <c r="F60" s="109"/>
      <c r="G60" s="110"/>
      <c r="H60" s="109"/>
      <c r="I60" s="111"/>
      <c r="J60" s="109"/>
      <c r="K60" s="111"/>
      <c r="L60" s="109"/>
      <c r="M60" s="111"/>
      <c r="N60" s="190"/>
      <c r="O60" s="191"/>
      <c r="P60" s="191"/>
      <c r="Q60" s="192"/>
      <c r="R60" s="65" t="s">
        <v>35</v>
      </c>
    </row>
    <row r="61" spans="1:18" ht="15.75" customHeight="1">
      <c r="A61" s="64" t="s">
        <v>82</v>
      </c>
      <c r="B61" s="109">
        <f>_xlfn.COMPOUNDVALUE(849)</f>
        <v>4585</v>
      </c>
      <c r="C61" s="110">
        <v>53874561</v>
      </c>
      <c r="D61" s="109">
        <f>_xlfn.COMPOUNDVALUE(850)</f>
        <v>2909</v>
      </c>
      <c r="E61" s="110">
        <v>1795630</v>
      </c>
      <c r="F61" s="109">
        <f>_xlfn.COMPOUNDVALUE(851)</f>
        <v>7494</v>
      </c>
      <c r="G61" s="110">
        <v>55670190</v>
      </c>
      <c r="H61" s="109">
        <f>_xlfn.COMPOUNDVALUE(852)</f>
        <v>929</v>
      </c>
      <c r="I61" s="111">
        <v>10119060</v>
      </c>
      <c r="J61" s="109">
        <v>403</v>
      </c>
      <c r="K61" s="111">
        <v>510034</v>
      </c>
      <c r="L61" s="109">
        <v>8575</v>
      </c>
      <c r="M61" s="111">
        <v>46061164</v>
      </c>
      <c r="N61" s="190">
        <v>8541</v>
      </c>
      <c r="O61" s="191">
        <v>405</v>
      </c>
      <c r="P61" s="191">
        <v>38</v>
      </c>
      <c r="Q61" s="192">
        <v>8984</v>
      </c>
      <c r="R61" s="65" t="s">
        <v>82</v>
      </c>
    </row>
    <row r="62" spans="1:18" ht="15.75" customHeight="1">
      <c r="A62" s="64" t="s">
        <v>83</v>
      </c>
      <c r="B62" s="109">
        <f>_xlfn.COMPOUNDVALUE(853)</f>
        <v>3834</v>
      </c>
      <c r="C62" s="110">
        <v>28399415</v>
      </c>
      <c r="D62" s="109">
        <f>_xlfn.COMPOUNDVALUE(854)</f>
        <v>2274</v>
      </c>
      <c r="E62" s="110">
        <v>1361155</v>
      </c>
      <c r="F62" s="109">
        <f>_xlfn.COMPOUNDVALUE(855)</f>
        <v>6108</v>
      </c>
      <c r="G62" s="110">
        <v>29760569</v>
      </c>
      <c r="H62" s="109">
        <f>_xlfn.COMPOUNDVALUE(856)</f>
        <v>841</v>
      </c>
      <c r="I62" s="111">
        <v>3991809</v>
      </c>
      <c r="J62" s="109">
        <v>390</v>
      </c>
      <c r="K62" s="111">
        <v>5863</v>
      </c>
      <c r="L62" s="109">
        <v>7120</v>
      </c>
      <c r="M62" s="111">
        <v>25774623</v>
      </c>
      <c r="N62" s="190">
        <v>7217</v>
      </c>
      <c r="O62" s="191">
        <v>375</v>
      </c>
      <c r="P62" s="191">
        <v>27</v>
      </c>
      <c r="Q62" s="192">
        <v>7619</v>
      </c>
      <c r="R62" s="65" t="s">
        <v>83</v>
      </c>
    </row>
    <row r="63" spans="1:18" ht="15.75" customHeight="1">
      <c r="A63" s="64" t="s">
        <v>84</v>
      </c>
      <c r="B63" s="109">
        <f>_xlfn.COMPOUNDVALUE(857)</f>
        <v>7422</v>
      </c>
      <c r="C63" s="110">
        <v>55942120</v>
      </c>
      <c r="D63" s="109">
        <f>_xlfn.COMPOUNDVALUE(858)</f>
        <v>4730</v>
      </c>
      <c r="E63" s="110">
        <v>2920212</v>
      </c>
      <c r="F63" s="109">
        <f>_xlfn.COMPOUNDVALUE(859)</f>
        <v>12152</v>
      </c>
      <c r="G63" s="110">
        <v>58862332</v>
      </c>
      <c r="H63" s="109">
        <f>_xlfn.COMPOUNDVALUE(860)</f>
        <v>1166</v>
      </c>
      <c r="I63" s="111">
        <v>6792992</v>
      </c>
      <c r="J63" s="109">
        <v>702</v>
      </c>
      <c r="K63" s="111">
        <v>4694</v>
      </c>
      <c r="L63" s="109">
        <v>13536</v>
      </c>
      <c r="M63" s="111">
        <v>52074034</v>
      </c>
      <c r="N63" s="190">
        <v>13931</v>
      </c>
      <c r="O63" s="191">
        <v>597</v>
      </c>
      <c r="P63" s="191">
        <v>41</v>
      </c>
      <c r="Q63" s="192">
        <v>14569</v>
      </c>
      <c r="R63" s="65" t="s">
        <v>84</v>
      </c>
    </row>
    <row r="64" spans="1:18" ht="15.75" customHeight="1">
      <c r="A64" s="64" t="s">
        <v>85</v>
      </c>
      <c r="B64" s="109">
        <f>_xlfn.COMPOUNDVALUE(861)</f>
        <v>5258</v>
      </c>
      <c r="C64" s="110">
        <v>25275097</v>
      </c>
      <c r="D64" s="109">
        <f>_xlfn.COMPOUNDVALUE(862)</f>
        <v>3832</v>
      </c>
      <c r="E64" s="110">
        <v>2803799</v>
      </c>
      <c r="F64" s="109">
        <f>_xlfn.COMPOUNDVALUE(863)</f>
        <v>9090</v>
      </c>
      <c r="G64" s="110">
        <v>28078896</v>
      </c>
      <c r="H64" s="109">
        <f>_xlfn.COMPOUNDVALUE(864)</f>
        <v>889</v>
      </c>
      <c r="I64" s="111">
        <v>2263611</v>
      </c>
      <c r="J64" s="109">
        <v>583</v>
      </c>
      <c r="K64" s="111">
        <v>278129</v>
      </c>
      <c r="L64" s="109">
        <v>10255</v>
      </c>
      <c r="M64" s="111">
        <v>26093415</v>
      </c>
      <c r="N64" s="190">
        <v>10747</v>
      </c>
      <c r="O64" s="191">
        <v>465</v>
      </c>
      <c r="P64" s="191">
        <v>16</v>
      </c>
      <c r="Q64" s="192">
        <v>11228</v>
      </c>
      <c r="R64" s="65" t="s">
        <v>85</v>
      </c>
    </row>
    <row r="65" spans="1:18" ht="15.75" customHeight="1">
      <c r="A65" s="66" t="s">
        <v>86</v>
      </c>
      <c r="B65" s="112">
        <f>_xlfn.COMPOUNDVALUE(865)</f>
        <v>3167</v>
      </c>
      <c r="C65" s="113">
        <v>11266623</v>
      </c>
      <c r="D65" s="112">
        <f>_xlfn.COMPOUNDVALUE(866)</f>
        <v>2709</v>
      </c>
      <c r="E65" s="113">
        <v>1692380</v>
      </c>
      <c r="F65" s="112">
        <f>_xlfn.COMPOUNDVALUE(867)</f>
        <v>5876</v>
      </c>
      <c r="G65" s="113">
        <v>12959003</v>
      </c>
      <c r="H65" s="112">
        <f>_xlfn.COMPOUNDVALUE(868)</f>
        <v>489</v>
      </c>
      <c r="I65" s="114">
        <v>1042052</v>
      </c>
      <c r="J65" s="112">
        <v>455</v>
      </c>
      <c r="K65" s="114">
        <v>-173892</v>
      </c>
      <c r="L65" s="112">
        <v>6607</v>
      </c>
      <c r="M65" s="114">
        <v>11743059</v>
      </c>
      <c r="N65" s="190">
        <v>7165</v>
      </c>
      <c r="O65" s="191">
        <v>247</v>
      </c>
      <c r="P65" s="191">
        <v>18</v>
      </c>
      <c r="Q65" s="192">
        <v>7430</v>
      </c>
      <c r="R65" s="65" t="s">
        <v>86</v>
      </c>
    </row>
    <row r="66" spans="1:18" ht="15.75" customHeight="1">
      <c r="A66" s="66"/>
      <c r="B66" s="112"/>
      <c r="C66" s="113"/>
      <c r="D66" s="112"/>
      <c r="E66" s="113"/>
      <c r="F66" s="112"/>
      <c r="G66" s="113"/>
      <c r="H66" s="112"/>
      <c r="I66" s="114"/>
      <c r="J66" s="112"/>
      <c r="K66" s="114"/>
      <c r="L66" s="112"/>
      <c r="M66" s="114"/>
      <c r="N66" s="190"/>
      <c r="O66" s="191"/>
      <c r="P66" s="191"/>
      <c r="Q66" s="192"/>
      <c r="R66" s="65" t="s">
        <v>35</v>
      </c>
    </row>
    <row r="67" spans="1:18" ht="15.75" customHeight="1">
      <c r="A67" s="66" t="s">
        <v>87</v>
      </c>
      <c r="B67" s="112">
        <f>_xlfn.COMPOUNDVALUE(869)</f>
        <v>5698</v>
      </c>
      <c r="C67" s="113">
        <v>30132450</v>
      </c>
      <c r="D67" s="112">
        <f>_xlfn.COMPOUNDVALUE(870)</f>
        <v>3550</v>
      </c>
      <c r="E67" s="113">
        <v>2276462</v>
      </c>
      <c r="F67" s="112">
        <f>_xlfn.COMPOUNDVALUE(871)</f>
        <v>9248</v>
      </c>
      <c r="G67" s="113">
        <v>32408912</v>
      </c>
      <c r="H67" s="112">
        <f>_xlfn.COMPOUNDVALUE(872)</f>
        <v>864</v>
      </c>
      <c r="I67" s="114">
        <v>4699798</v>
      </c>
      <c r="J67" s="112">
        <v>537</v>
      </c>
      <c r="K67" s="114">
        <v>157745</v>
      </c>
      <c r="L67" s="112">
        <v>10299</v>
      </c>
      <c r="M67" s="114">
        <v>27866859</v>
      </c>
      <c r="N67" s="190">
        <v>10720</v>
      </c>
      <c r="O67" s="191">
        <v>389</v>
      </c>
      <c r="P67" s="191">
        <v>31</v>
      </c>
      <c r="Q67" s="192">
        <v>11140</v>
      </c>
      <c r="R67" s="65" t="s">
        <v>87</v>
      </c>
    </row>
    <row r="68" spans="1:18" ht="15.75" customHeight="1">
      <c r="A68" s="66" t="s">
        <v>88</v>
      </c>
      <c r="B68" s="112">
        <f>_xlfn.COMPOUNDVALUE(873)</f>
        <v>4606</v>
      </c>
      <c r="C68" s="113">
        <v>22423430</v>
      </c>
      <c r="D68" s="112">
        <f>_xlfn.COMPOUNDVALUE(874)</f>
        <v>3023</v>
      </c>
      <c r="E68" s="113">
        <v>1836702</v>
      </c>
      <c r="F68" s="112">
        <f>_xlfn.COMPOUNDVALUE(875)</f>
        <v>7629</v>
      </c>
      <c r="G68" s="113">
        <v>24260132</v>
      </c>
      <c r="H68" s="112">
        <f>_xlfn.COMPOUNDVALUE(876)</f>
        <v>614</v>
      </c>
      <c r="I68" s="114">
        <v>2445318</v>
      </c>
      <c r="J68" s="112">
        <v>475</v>
      </c>
      <c r="K68" s="114">
        <v>103720</v>
      </c>
      <c r="L68" s="112">
        <v>8478</v>
      </c>
      <c r="M68" s="114">
        <v>21918535</v>
      </c>
      <c r="N68" s="190">
        <v>8565</v>
      </c>
      <c r="O68" s="191">
        <v>281</v>
      </c>
      <c r="P68" s="191">
        <v>18</v>
      </c>
      <c r="Q68" s="192">
        <v>8864</v>
      </c>
      <c r="R68" s="65" t="s">
        <v>88</v>
      </c>
    </row>
    <row r="69" spans="1:18" ht="15.75" customHeight="1">
      <c r="A69" s="66" t="s">
        <v>89</v>
      </c>
      <c r="B69" s="112">
        <f>_xlfn.COMPOUNDVALUE(877)</f>
        <v>5768</v>
      </c>
      <c r="C69" s="113">
        <v>27968027</v>
      </c>
      <c r="D69" s="112">
        <f>_xlfn.COMPOUNDVALUE(878)</f>
        <v>4265</v>
      </c>
      <c r="E69" s="113">
        <v>2550217</v>
      </c>
      <c r="F69" s="112">
        <f>_xlfn.COMPOUNDVALUE(879)</f>
        <v>10033</v>
      </c>
      <c r="G69" s="113">
        <v>30518245</v>
      </c>
      <c r="H69" s="112">
        <f>_xlfn.COMPOUNDVALUE(880)</f>
        <v>1012</v>
      </c>
      <c r="I69" s="114">
        <v>3232121</v>
      </c>
      <c r="J69" s="112">
        <v>576</v>
      </c>
      <c r="K69" s="114">
        <v>137745</v>
      </c>
      <c r="L69" s="112">
        <v>11337</v>
      </c>
      <c r="M69" s="114">
        <v>27423869</v>
      </c>
      <c r="N69" s="190">
        <v>11745</v>
      </c>
      <c r="O69" s="191">
        <v>456</v>
      </c>
      <c r="P69" s="191">
        <v>25</v>
      </c>
      <c r="Q69" s="192">
        <v>12226</v>
      </c>
      <c r="R69" s="65" t="s">
        <v>89</v>
      </c>
    </row>
    <row r="70" spans="1:18" ht="15.75" customHeight="1">
      <c r="A70" s="66" t="s">
        <v>90</v>
      </c>
      <c r="B70" s="112">
        <f>_xlfn.COMPOUNDVALUE(881)</f>
        <v>6701</v>
      </c>
      <c r="C70" s="113">
        <v>32951468</v>
      </c>
      <c r="D70" s="112">
        <f>_xlfn.COMPOUNDVALUE(882)</f>
        <v>4297</v>
      </c>
      <c r="E70" s="113">
        <v>2660152</v>
      </c>
      <c r="F70" s="112">
        <f>_xlfn.COMPOUNDVALUE(883)</f>
        <v>10998</v>
      </c>
      <c r="G70" s="113">
        <v>35611620</v>
      </c>
      <c r="H70" s="112">
        <f>_xlfn.COMPOUNDVALUE(884)</f>
        <v>1049</v>
      </c>
      <c r="I70" s="114">
        <v>4163866</v>
      </c>
      <c r="J70" s="112">
        <v>618</v>
      </c>
      <c r="K70" s="114">
        <v>164252</v>
      </c>
      <c r="L70" s="112">
        <v>12329</v>
      </c>
      <c r="M70" s="114">
        <v>31612007</v>
      </c>
      <c r="N70" s="190">
        <v>12598</v>
      </c>
      <c r="O70" s="191">
        <v>431</v>
      </c>
      <c r="P70" s="191">
        <v>37</v>
      </c>
      <c r="Q70" s="192">
        <v>13066</v>
      </c>
      <c r="R70" s="65" t="s">
        <v>90</v>
      </c>
    </row>
    <row r="71" spans="1:18" ht="15.75" customHeight="1">
      <c r="A71" s="66" t="s">
        <v>91</v>
      </c>
      <c r="B71" s="112">
        <f>_xlfn.COMPOUNDVALUE(885)</f>
        <v>3140</v>
      </c>
      <c r="C71" s="113">
        <v>24507864</v>
      </c>
      <c r="D71" s="112">
        <f>_xlfn.COMPOUNDVALUE(886)</f>
        <v>1878</v>
      </c>
      <c r="E71" s="113">
        <v>1328927</v>
      </c>
      <c r="F71" s="112">
        <f>_xlfn.COMPOUNDVALUE(887)</f>
        <v>5018</v>
      </c>
      <c r="G71" s="113">
        <v>25836791</v>
      </c>
      <c r="H71" s="112">
        <f>_xlfn.COMPOUNDVALUE(888)</f>
        <v>499</v>
      </c>
      <c r="I71" s="114">
        <v>2322338</v>
      </c>
      <c r="J71" s="112">
        <v>285</v>
      </c>
      <c r="K71" s="114">
        <v>177933</v>
      </c>
      <c r="L71" s="112">
        <v>5651</v>
      </c>
      <c r="M71" s="114">
        <v>23692386</v>
      </c>
      <c r="N71" s="190">
        <v>5778</v>
      </c>
      <c r="O71" s="191">
        <v>289</v>
      </c>
      <c r="P71" s="191">
        <v>17</v>
      </c>
      <c r="Q71" s="192">
        <v>6084</v>
      </c>
      <c r="R71" s="65" t="s">
        <v>91</v>
      </c>
    </row>
    <row r="72" spans="1:18" ht="15.75" customHeight="1">
      <c r="A72" s="130" t="s">
        <v>92</v>
      </c>
      <c r="B72" s="131">
        <v>274548</v>
      </c>
      <c r="C72" s="132">
        <v>7849795561</v>
      </c>
      <c r="D72" s="131">
        <v>129719</v>
      </c>
      <c r="E72" s="132">
        <v>95549700</v>
      </c>
      <c r="F72" s="131">
        <v>404267</v>
      </c>
      <c r="G72" s="132">
        <v>7945345258</v>
      </c>
      <c r="H72" s="131">
        <v>68072</v>
      </c>
      <c r="I72" s="133">
        <v>2882916871</v>
      </c>
      <c r="J72" s="131">
        <v>24072</v>
      </c>
      <c r="K72" s="133">
        <v>-61566940</v>
      </c>
      <c r="L72" s="131">
        <v>481035</v>
      </c>
      <c r="M72" s="133">
        <v>5000861448</v>
      </c>
      <c r="N72" s="193">
        <v>480612</v>
      </c>
      <c r="O72" s="194">
        <v>37403</v>
      </c>
      <c r="P72" s="194">
        <v>4765</v>
      </c>
      <c r="Q72" s="195">
        <v>522780</v>
      </c>
      <c r="R72" s="134" t="s">
        <v>93</v>
      </c>
    </row>
    <row r="73" spans="1:18" ht="15.75" customHeight="1">
      <c r="A73" s="145"/>
      <c r="B73" s="146"/>
      <c r="C73" s="147"/>
      <c r="D73" s="146"/>
      <c r="E73" s="147"/>
      <c r="F73" s="146"/>
      <c r="G73" s="147"/>
      <c r="H73" s="146"/>
      <c r="I73" s="148"/>
      <c r="J73" s="146"/>
      <c r="K73" s="148"/>
      <c r="L73" s="146"/>
      <c r="M73" s="148"/>
      <c r="N73" s="199"/>
      <c r="O73" s="200"/>
      <c r="P73" s="200"/>
      <c r="Q73" s="201"/>
      <c r="R73" s="149" t="s">
        <v>35</v>
      </c>
    </row>
    <row r="74" spans="1:18" ht="15.75" customHeight="1">
      <c r="A74" s="64" t="s">
        <v>94</v>
      </c>
      <c r="B74" s="109">
        <f>_xlfn.COMPOUNDVALUE(889)</f>
        <v>5899</v>
      </c>
      <c r="C74" s="110">
        <v>38017227</v>
      </c>
      <c r="D74" s="109">
        <f>_xlfn.COMPOUNDVALUE(890)</f>
        <v>4426</v>
      </c>
      <c r="E74" s="110">
        <v>2810176</v>
      </c>
      <c r="F74" s="109">
        <f>_xlfn.COMPOUNDVALUE(891)</f>
        <v>10325</v>
      </c>
      <c r="G74" s="110">
        <v>40827402</v>
      </c>
      <c r="H74" s="109">
        <f>_xlfn.COMPOUNDVALUE(892)</f>
        <v>838</v>
      </c>
      <c r="I74" s="111">
        <v>23182780</v>
      </c>
      <c r="J74" s="109">
        <v>452</v>
      </c>
      <c r="K74" s="111">
        <v>328464</v>
      </c>
      <c r="L74" s="109">
        <v>11362</v>
      </c>
      <c r="M74" s="111">
        <v>17973087</v>
      </c>
      <c r="N74" s="190">
        <v>11708</v>
      </c>
      <c r="O74" s="191">
        <v>411</v>
      </c>
      <c r="P74" s="191">
        <v>30</v>
      </c>
      <c r="Q74" s="192">
        <v>12149</v>
      </c>
      <c r="R74" s="74" t="s">
        <v>94</v>
      </c>
    </row>
    <row r="75" spans="1:18" ht="15.75" customHeight="1">
      <c r="A75" s="66" t="s">
        <v>95</v>
      </c>
      <c r="B75" s="112">
        <f>_xlfn.COMPOUNDVALUE(893)</f>
        <v>7362</v>
      </c>
      <c r="C75" s="113">
        <v>50003922</v>
      </c>
      <c r="D75" s="112">
        <f>_xlfn.COMPOUNDVALUE(894)</f>
        <v>5722</v>
      </c>
      <c r="E75" s="113">
        <v>3697942</v>
      </c>
      <c r="F75" s="112">
        <f>_xlfn.COMPOUNDVALUE(895)</f>
        <v>13084</v>
      </c>
      <c r="G75" s="113">
        <v>53701864</v>
      </c>
      <c r="H75" s="112">
        <f>_xlfn.COMPOUNDVALUE(896)</f>
        <v>1076</v>
      </c>
      <c r="I75" s="114">
        <v>5994844</v>
      </c>
      <c r="J75" s="112">
        <v>838</v>
      </c>
      <c r="K75" s="114">
        <v>168269</v>
      </c>
      <c r="L75" s="112">
        <v>14488</v>
      </c>
      <c r="M75" s="114">
        <v>47875289</v>
      </c>
      <c r="N75" s="190">
        <v>14275</v>
      </c>
      <c r="O75" s="191">
        <v>549</v>
      </c>
      <c r="P75" s="191">
        <v>48</v>
      </c>
      <c r="Q75" s="192">
        <v>14872</v>
      </c>
      <c r="R75" s="65" t="s">
        <v>95</v>
      </c>
    </row>
    <row r="76" spans="1:18" ht="15.75" customHeight="1">
      <c r="A76" s="66" t="s">
        <v>96</v>
      </c>
      <c r="B76" s="112">
        <f>_xlfn.COMPOUNDVALUE(897)</f>
        <v>5078</v>
      </c>
      <c r="C76" s="113">
        <v>42879189</v>
      </c>
      <c r="D76" s="112">
        <f>_xlfn.COMPOUNDVALUE(898)</f>
        <v>4426</v>
      </c>
      <c r="E76" s="113">
        <v>3023431</v>
      </c>
      <c r="F76" s="112">
        <f>_xlfn.COMPOUNDVALUE(899)</f>
        <v>9504</v>
      </c>
      <c r="G76" s="113">
        <v>45902621</v>
      </c>
      <c r="H76" s="112">
        <f>_xlfn.COMPOUNDVALUE(900)</f>
        <v>975</v>
      </c>
      <c r="I76" s="114">
        <v>8850353</v>
      </c>
      <c r="J76" s="112">
        <v>505</v>
      </c>
      <c r="K76" s="114">
        <v>84651</v>
      </c>
      <c r="L76" s="112">
        <v>10678</v>
      </c>
      <c r="M76" s="114">
        <v>37136918</v>
      </c>
      <c r="N76" s="190">
        <v>11069</v>
      </c>
      <c r="O76" s="191">
        <v>470</v>
      </c>
      <c r="P76" s="191">
        <v>33</v>
      </c>
      <c r="Q76" s="192">
        <v>11572</v>
      </c>
      <c r="R76" s="65" t="s">
        <v>96</v>
      </c>
    </row>
    <row r="77" spans="1:18" ht="15.75" customHeight="1">
      <c r="A77" s="66" t="s">
        <v>97</v>
      </c>
      <c r="B77" s="112">
        <f>_xlfn.COMPOUNDVALUE(901)</f>
        <v>4449</v>
      </c>
      <c r="C77" s="113">
        <v>23738517</v>
      </c>
      <c r="D77" s="112">
        <f>_xlfn.COMPOUNDVALUE(902)</f>
        <v>3478</v>
      </c>
      <c r="E77" s="113">
        <v>2152912</v>
      </c>
      <c r="F77" s="112">
        <f>_xlfn.COMPOUNDVALUE(903)</f>
        <v>7927</v>
      </c>
      <c r="G77" s="113">
        <v>25891429</v>
      </c>
      <c r="H77" s="112">
        <f>_xlfn.COMPOUNDVALUE(904)</f>
        <v>555</v>
      </c>
      <c r="I77" s="114">
        <v>3630820</v>
      </c>
      <c r="J77" s="112">
        <v>359</v>
      </c>
      <c r="K77" s="114">
        <v>129928</v>
      </c>
      <c r="L77" s="112">
        <v>8650</v>
      </c>
      <c r="M77" s="114">
        <v>22390537</v>
      </c>
      <c r="N77" s="190">
        <v>8623</v>
      </c>
      <c r="O77" s="191">
        <v>207</v>
      </c>
      <c r="P77" s="191">
        <v>26</v>
      </c>
      <c r="Q77" s="192">
        <v>8856</v>
      </c>
      <c r="R77" s="65" t="s">
        <v>97</v>
      </c>
    </row>
    <row r="78" spans="1:18" ht="15.75" customHeight="1">
      <c r="A78" s="66" t="s">
        <v>98</v>
      </c>
      <c r="B78" s="112">
        <f>_xlfn.COMPOUNDVALUE(905)</f>
        <v>5940</v>
      </c>
      <c r="C78" s="113">
        <v>46746381</v>
      </c>
      <c r="D78" s="112">
        <f>_xlfn.COMPOUNDVALUE(906)</f>
        <v>4741</v>
      </c>
      <c r="E78" s="113">
        <v>3031894</v>
      </c>
      <c r="F78" s="112">
        <f>_xlfn.COMPOUNDVALUE(907)</f>
        <v>10681</v>
      </c>
      <c r="G78" s="113">
        <v>49778276</v>
      </c>
      <c r="H78" s="112">
        <f>_xlfn.COMPOUNDVALUE(908)</f>
        <v>881</v>
      </c>
      <c r="I78" s="114">
        <v>5322214</v>
      </c>
      <c r="J78" s="112">
        <v>682</v>
      </c>
      <c r="K78" s="114">
        <v>125180</v>
      </c>
      <c r="L78" s="112">
        <v>11886</v>
      </c>
      <c r="M78" s="114">
        <v>44581242</v>
      </c>
      <c r="N78" s="190">
        <v>12223</v>
      </c>
      <c r="O78" s="191">
        <v>477</v>
      </c>
      <c r="P78" s="191">
        <v>36</v>
      </c>
      <c r="Q78" s="192">
        <v>12736</v>
      </c>
      <c r="R78" s="65" t="s">
        <v>98</v>
      </c>
    </row>
    <row r="79" spans="1:18" ht="15.75" customHeight="1">
      <c r="A79" s="223"/>
      <c r="B79" s="224"/>
      <c r="C79" s="228"/>
      <c r="D79" s="224"/>
      <c r="E79" s="228"/>
      <c r="F79" s="224"/>
      <c r="G79" s="228"/>
      <c r="H79" s="224"/>
      <c r="I79" s="227"/>
      <c r="J79" s="224"/>
      <c r="K79" s="227"/>
      <c r="L79" s="224"/>
      <c r="M79" s="228"/>
      <c r="N79" s="231"/>
      <c r="O79" s="232"/>
      <c r="P79" s="232"/>
      <c r="Q79" s="233"/>
      <c r="R79" s="229" t="s">
        <v>35</v>
      </c>
    </row>
    <row r="80" spans="1:18" ht="15.75" customHeight="1">
      <c r="A80" s="87" t="s">
        <v>99</v>
      </c>
      <c r="B80" s="109">
        <f>_xlfn.COMPOUNDVALUE(909)</f>
        <v>4272</v>
      </c>
      <c r="C80" s="110">
        <v>20418379</v>
      </c>
      <c r="D80" s="109">
        <f>_xlfn.COMPOUNDVALUE(910)</f>
        <v>3377</v>
      </c>
      <c r="E80" s="110">
        <v>2290092</v>
      </c>
      <c r="F80" s="109">
        <f>_xlfn.COMPOUNDVALUE(911)</f>
        <v>7649</v>
      </c>
      <c r="G80" s="110">
        <v>22708471</v>
      </c>
      <c r="H80" s="109">
        <f>_xlfn.COMPOUNDVALUE(912)</f>
        <v>598</v>
      </c>
      <c r="I80" s="111">
        <v>2068314</v>
      </c>
      <c r="J80" s="109">
        <v>310</v>
      </c>
      <c r="K80" s="111">
        <v>18685</v>
      </c>
      <c r="L80" s="109">
        <v>8345</v>
      </c>
      <c r="M80" s="110">
        <v>20658841</v>
      </c>
      <c r="N80" s="190">
        <v>8760</v>
      </c>
      <c r="O80" s="191">
        <v>333</v>
      </c>
      <c r="P80" s="191">
        <v>22</v>
      </c>
      <c r="Q80" s="192">
        <v>9115</v>
      </c>
      <c r="R80" s="74" t="s">
        <v>99</v>
      </c>
    </row>
    <row r="81" spans="1:18" ht="15.75" customHeight="1">
      <c r="A81" s="66" t="s">
        <v>100</v>
      </c>
      <c r="B81" s="112">
        <f>_xlfn.COMPOUNDVALUE(913)</f>
        <v>3291</v>
      </c>
      <c r="C81" s="113">
        <v>22501204</v>
      </c>
      <c r="D81" s="112">
        <f>_xlfn.COMPOUNDVALUE(914)</f>
        <v>2699</v>
      </c>
      <c r="E81" s="113">
        <v>1708741</v>
      </c>
      <c r="F81" s="112">
        <f>_xlfn.COMPOUNDVALUE(915)</f>
        <v>5990</v>
      </c>
      <c r="G81" s="113">
        <v>24209945</v>
      </c>
      <c r="H81" s="112">
        <f>_xlfn.COMPOUNDVALUE(916)</f>
        <v>565</v>
      </c>
      <c r="I81" s="114">
        <v>11057878</v>
      </c>
      <c r="J81" s="112">
        <v>341</v>
      </c>
      <c r="K81" s="114">
        <v>-138547</v>
      </c>
      <c r="L81" s="112">
        <v>6713</v>
      </c>
      <c r="M81" s="114">
        <v>13013520</v>
      </c>
      <c r="N81" s="190">
        <v>7009</v>
      </c>
      <c r="O81" s="191">
        <v>278</v>
      </c>
      <c r="P81" s="191">
        <v>14</v>
      </c>
      <c r="Q81" s="192">
        <v>7301</v>
      </c>
      <c r="R81" s="65" t="s">
        <v>100</v>
      </c>
    </row>
    <row r="82" spans="1:18" ht="15.75" customHeight="1">
      <c r="A82" s="66" t="s">
        <v>101</v>
      </c>
      <c r="B82" s="112">
        <f>_xlfn.COMPOUNDVALUE(917)</f>
        <v>6188</v>
      </c>
      <c r="C82" s="113">
        <v>29418947</v>
      </c>
      <c r="D82" s="112">
        <f>_xlfn.COMPOUNDVALUE(918)</f>
        <v>5427</v>
      </c>
      <c r="E82" s="113">
        <v>3394968</v>
      </c>
      <c r="F82" s="112">
        <f>_xlfn.COMPOUNDVALUE(919)</f>
        <v>11615</v>
      </c>
      <c r="G82" s="113">
        <v>32813915</v>
      </c>
      <c r="H82" s="112">
        <f>_xlfn.COMPOUNDVALUE(920)</f>
        <v>774</v>
      </c>
      <c r="I82" s="114">
        <v>4060796</v>
      </c>
      <c r="J82" s="112">
        <v>675</v>
      </c>
      <c r="K82" s="114">
        <v>198874</v>
      </c>
      <c r="L82" s="112">
        <v>12668</v>
      </c>
      <c r="M82" s="114">
        <v>28951994</v>
      </c>
      <c r="N82" s="190">
        <v>13199</v>
      </c>
      <c r="O82" s="191">
        <v>499</v>
      </c>
      <c r="P82" s="191">
        <v>21</v>
      </c>
      <c r="Q82" s="192">
        <v>13719</v>
      </c>
      <c r="R82" s="65" t="s">
        <v>101</v>
      </c>
    </row>
    <row r="83" spans="1:18" ht="15.75" customHeight="1">
      <c r="A83" s="130" t="s">
        <v>102</v>
      </c>
      <c r="B83" s="131">
        <v>42479</v>
      </c>
      <c r="C83" s="132">
        <v>273723766</v>
      </c>
      <c r="D83" s="131">
        <v>34296</v>
      </c>
      <c r="E83" s="132">
        <v>22110156</v>
      </c>
      <c r="F83" s="131">
        <v>76775</v>
      </c>
      <c r="G83" s="132">
        <v>295833923</v>
      </c>
      <c r="H83" s="131">
        <v>6262</v>
      </c>
      <c r="I83" s="133">
        <v>64167999</v>
      </c>
      <c r="J83" s="131">
        <v>4162</v>
      </c>
      <c r="K83" s="133">
        <v>915504</v>
      </c>
      <c r="L83" s="131">
        <v>84790</v>
      </c>
      <c r="M83" s="133">
        <v>232581428</v>
      </c>
      <c r="N83" s="193">
        <v>86866</v>
      </c>
      <c r="O83" s="194">
        <v>3224</v>
      </c>
      <c r="P83" s="194">
        <v>230</v>
      </c>
      <c r="Q83" s="195">
        <v>90320</v>
      </c>
      <c r="R83" s="134" t="s">
        <v>103</v>
      </c>
    </row>
    <row r="84" spans="1:18" ht="15.75" customHeight="1">
      <c r="A84" s="145"/>
      <c r="B84" s="146"/>
      <c r="C84" s="147"/>
      <c r="D84" s="146"/>
      <c r="E84" s="147"/>
      <c r="F84" s="146"/>
      <c r="G84" s="147"/>
      <c r="H84" s="146"/>
      <c r="I84" s="148"/>
      <c r="J84" s="146"/>
      <c r="K84" s="148"/>
      <c r="L84" s="146"/>
      <c r="M84" s="148"/>
      <c r="N84" s="199"/>
      <c r="O84" s="200"/>
      <c r="P84" s="200"/>
      <c r="Q84" s="201"/>
      <c r="R84" s="149" t="s">
        <v>35</v>
      </c>
    </row>
    <row r="85" spans="1:18" ht="15.75" customHeight="1">
      <c r="A85" s="140" t="s">
        <v>104</v>
      </c>
      <c r="B85" s="141">
        <v>317027</v>
      </c>
      <c r="C85" s="142">
        <v>8123519326</v>
      </c>
      <c r="D85" s="141">
        <v>164015</v>
      </c>
      <c r="E85" s="142">
        <v>117659851</v>
      </c>
      <c r="F85" s="141">
        <v>481042</v>
      </c>
      <c r="G85" s="142">
        <v>8241179177</v>
      </c>
      <c r="H85" s="141">
        <v>74334</v>
      </c>
      <c r="I85" s="143">
        <v>2947084868</v>
      </c>
      <c r="J85" s="141">
        <v>28234</v>
      </c>
      <c r="K85" s="143">
        <v>-60651431</v>
      </c>
      <c r="L85" s="141">
        <v>565825</v>
      </c>
      <c r="M85" s="143">
        <v>5233442878</v>
      </c>
      <c r="N85" s="202">
        <v>567478</v>
      </c>
      <c r="O85" s="203">
        <v>40627</v>
      </c>
      <c r="P85" s="203">
        <v>4995</v>
      </c>
      <c r="Q85" s="204">
        <v>613100</v>
      </c>
      <c r="R85" s="144" t="s">
        <v>105</v>
      </c>
    </row>
    <row r="86" spans="1:18" ht="15.75" customHeight="1">
      <c r="A86" s="135"/>
      <c r="B86" s="136"/>
      <c r="C86" s="137"/>
      <c r="D86" s="136"/>
      <c r="E86" s="137"/>
      <c r="F86" s="138"/>
      <c r="G86" s="137"/>
      <c r="H86" s="138"/>
      <c r="I86" s="137"/>
      <c r="J86" s="138"/>
      <c r="K86" s="137"/>
      <c r="L86" s="138"/>
      <c r="M86" s="137"/>
      <c r="N86" s="196"/>
      <c r="O86" s="197"/>
      <c r="P86" s="197"/>
      <c r="Q86" s="198"/>
      <c r="R86" s="139" t="s">
        <v>35</v>
      </c>
    </row>
    <row r="87" spans="1:18" ht="15.75" customHeight="1">
      <c r="A87" s="64" t="s">
        <v>106</v>
      </c>
      <c r="B87" s="109">
        <f>_xlfn.COMPOUNDVALUE(921)</f>
        <v>3447</v>
      </c>
      <c r="C87" s="110">
        <v>29645236</v>
      </c>
      <c r="D87" s="109">
        <f>_xlfn.COMPOUNDVALUE(922)</f>
        <v>2249</v>
      </c>
      <c r="E87" s="110">
        <v>1417160</v>
      </c>
      <c r="F87" s="109">
        <f>_xlfn.COMPOUNDVALUE(923)</f>
        <v>5696</v>
      </c>
      <c r="G87" s="110">
        <v>31062395</v>
      </c>
      <c r="H87" s="109">
        <f>_xlfn.COMPOUNDVALUE(924)</f>
        <v>476</v>
      </c>
      <c r="I87" s="111">
        <v>2882269</v>
      </c>
      <c r="J87" s="109">
        <v>274</v>
      </c>
      <c r="K87" s="111">
        <v>1545834</v>
      </c>
      <c r="L87" s="109">
        <v>6287</v>
      </c>
      <c r="M87" s="111">
        <v>29725960</v>
      </c>
      <c r="N87" s="190">
        <v>6484</v>
      </c>
      <c r="O87" s="191">
        <v>271</v>
      </c>
      <c r="P87" s="191">
        <v>18</v>
      </c>
      <c r="Q87" s="192">
        <v>6773</v>
      </c>
      <c r="R87" s="74" t="s">
        <v>106</v>
      </c>
    </row>
    <row r="88" spans="1:18" ht="15.75" customHeight="1">
      <c r="A88" s="64" t="s">
        <v>107</v>
      </c>
      <c r="B88" s="109">
        <f>_xlfn.COMPOUNDVALUE(925)</f>
        <v>8434</v>
      </c>
      <c r="C88" s="110">
        <v>193650411</v>
      </c>
      <c r="D88" s="109">
        <f>_xlfn.COMPOUNDVALUE(926)</f>
        <v>3911</v>
      </c>
      <c r="E88" s="110">
        <v>2855440</v>
      </c>
      <c r="F88" s="109">
        <f>_xlfn.COMPOUNDVALUE(927)</f>
        <v>12345</v>
      </c>
      <c r="G88" s="110">
        <v>196505851</v>
      </c>
      <c r="H88" s="109">
        <f>_xlfn.COMPOUNDVALUE(928)</f>
        <v>2478</v>
      </c>
      <c r="I88" s="111">
        <v>78021975</v>
      </c>
      <c r="J88" s="109">
        <v>604</v>
      </c>
      <c r="K88" s="111">
        <v>752533</v>
      </c>
      <c r="L88" s="109">
        <v>15013</v>
      </c>
      <c r="M88" s="111">
        <v>119236410</v>
      </c>
      <c r="N88" s="190">
        <v>14968</v>
      </c>
      <c r="O88" s="191">
        <v>1001</v>
      </c>
      <c r="P88" s="191">
        <v>109</v>
      </c>
      <c r="Q88" s="192">
        <v>16078</v>
      </c>
      <c r="R88" s="65" t="s">
        <v>107</v>
      </c>
    </row>
    <row r="89" spans="1:18" ht="15.75" customHeight="1">
      <c r="A89" s="64" t="s">
        <v>108</v>
      </c>
      <c r="B89" s="109">
        <f>_xlfn.COMPOUNDVALUE(929)</f>
        <v>5043</v>
      </c>
      <c r="C89" s="110">
        <v>29107431</v>
      </c>
      <c r="D89" s="109">
        <f>_xlfn.COMPOUNDVALUE(930)</f>
        <v>3905</v>
      </c>
      <c r="E89" s="110">
        <v>2395421</v>
      </c>
      <c r="F89" s="109">
        <f>_xlfn.COMPOUNDVALUE(931)</f>
        <v>8948</v>
      </c>
      <c r="G89" s="110">
        <v>31502852</v>
      </c>
      <c r="H89" s="109">
        <f>_xlfn.COMPOUNDVALUE(932)</f>
        <v>608</v>
      </c>
      <c r="I89" s="111">
        <v>3317626</v>
      </c>
      <c r="J89" s="109">
        <v>515</v>
      </c>
      <c r="K89" s="111">
        <v>148427</v>
      </c>
      <c r="L89" s="109">
        <v>9778</v>
      </c>
      <c r="M89" s="111">
        <v>28333652</v>
      </c>
      <c r="N89" s="190">
        <v>10459</v>
      </c>
      <c r="O89" s="191">
        <v>310</v>
      </c>
      <c r="P89" s="191">
        <v>13</v>
      </c>
      <c r="Q89" s="192">
        <v>10782</v>
      </c>
      <c r="R89" s="65" t="s">
        <v>108</v>
      </c>
    </row>
    <row r="90" spans="1:18" ht="15.75" customHeight="1">
      <c r="A90" s="64" t="s">
        <v>109</v>
      </c>
      <c r="B90" s="109">
        <f>_xlfn.COMPOUNDVALUE(933)</f>
        <v>6871</v>
      </c>
      <c r="C90" s="110">
        <v>38430594</v>
      </c>
      <c r="D90" s="109">
        <f>_xlfn.COMPOUNDVALUE(934)</f>
        <v>5030</v>
      </c>
      <c r="E90" s="110">
        <v>3167113</v>
      </c>
      <c r="F90" s="109">
        <f>_xlfn.COMPOUNDVALUE(935)</f>
        <v>11901</v>
      </c>
      <c r="G90" s="110">
        <v>41597706</v>
      </c>
      <c r="H90" s="109">
        <f>_xlfn.COMPOUNDVALUE(936)</f>
        <v>1133</v>
      </c>
      <c r="I90" s="111">
        <v>5697050</v>
      </c>
      <c r="J90" s="109">
        <v>706</v>
      </c>
      <c r="K90" s="111">
        <v>91649</v>
      </c>
      <c r="L90" s="109">
        <v>13313</v>
      </c>
      <c r="M90" s="111">
        <v>35992305</v>
      </c>
      <c r="N90" s="190">
        <v>13405</v>
      </c>
      <c r="O90" s="191">
        <v>515</v>
      </c>
      <c r="P90" s="191">
        <v>28</v>
      </c>
      <c r="Q90" s="192">
        <v>13948</v>
      </c>
      <c r="R90" s="65" t="s">
        <v>109</v>
      </c>
    </row>
    <row r="91" spans="1:18" ht="15.75" customHeight="1">
      <c r="A91" s="64" t="s">
        <v>110</v>
      </c>
      <c r="B91" s="109">
        <f>_xlfn.COMPOUNDVALUE(937)</f>
        <v>7847</v>
      </c>
      <c r="C91" s="110">
        <v>108773068</v>
      </c>
      <c r="D91" s="109">
        <f>_xlfn.COMPOUNDVALUE(938)</f>
        <v>4936</v>
      </c>
      <c r="E91" s="110">
        <v>3348725</v>
      </c>
      <c r="F91" s="109">
        <f>_xlfn.COMPOUNDVALUE(939)</f>
        <v>12783</v>
      </c>
      <c r="G91" s="110">
        <v>112121792</v>
      </c>
      <c r="H91" s="109">
        <f>_xlfn.COMPOUNDVALUE(940)</f>
        <v>1512</v>
      </c>
      <c r="I91" s="111">
        <v>160240435</v>
      </c>
      <c r="J91" s="109">
        <v>575</v>
      </c>
      <c r="K91" s="111">
        <v>171231</v>
      </c>
      <c r="L91" s="109">
        <v>14504</v>
      </c>
      <c r="M91" s="111">
        <v>-47947412</v>
      </c>
      <c r="N91" s="190">
        <v>14538</v>
      </c>
      <c r="O91" s="191">
        <v>803</v>
      </c>
      <c r="P91" s="191">
        <v>86</v>
      </c>
      <c r="Q91" s="192">
        <v>15427</v>
      </c>
      <c r="R91" s="65" t="s">
        <v>110</v>
      </c>
    </row>
    <row r="92" spans="1:18" ht="15.75" customHeight="1">
      <c r="A92" s="64"/>
      <c r="B92" s="109"/>
      <c r="C92" s="110"/>
      <c r="D92" s="109"/>
      <c r="E92" s="110"/>
      <c r="F92" s="109"/>
      <c r="G92" s="110"/>
      <c r="H92" s="109"/>
      <c r="I92" s="111"/>
      <c r="J92" s="109"/>
      <c r="K92" s="111"/>
      <c r="L92" s="109"/>
      <c r="M92" s="111"/>
      <c r="N92" s="190"/>
      <c r="O92" s="191"/>
      <c r="P92" s="191"/>
      <c r="Q92" s="192"/>
      <c r="R92" s="65" t="s">
        <v>35</v>
      </c>
    </row>
    <row r="93" spans="1:18" ht="15.75" customHeight="1">
      <c r="A93" s="64" t="s">
        <v>111</v>
      </c>
      <c r="B93" s="109">
        <f>_xlfn.COMPOUNDVALUE(941)</f>
        <v>4254</v>
      </c>
      <c r="C93" s="110">
        <v>26976884</v>
      </c>
      <c r="D93" s="109">
        <f>_xlfn.COMPOUNDVALUE(942)</f>
        <v>3443</v>
      </c>
      <c r="E93" s="110">
        <v>2213505</v>
      </c>
      <c r="F93" s="109">
        <f>_xlfn.COMPOUNDVALUE(943)</f>
        <v>7697</v>
      </c>
      <c r="G93" s="110">
        <v>29190388</v>
      </c>
      <c r="H93" s="109">
        <f>_xlfn.COMPOUNDVALUE(944)</f>
        <v>563</v>
      </c>
      <c r="I93" s="111">
        <v>5170521</v>
      </c>
      <c r="J93" s="109">
        <v>409</v>
      </c>
      <c r="K93" s="111">
        <v>78665</v>
      </c>
      <c r="L93" s="109">
        <v>8473</v>
      </c>
      <c r="M93" s="111">
        <v>24098532</v>
      </c>
      <c r="N93" s="190">
        <v>8620</v>
      </c>
      <c r="O93" s="191">
        <v>336</v>
      </c>
      <c r="P93" s="191">
        <v>21</v>
      </c>
      <c r="Q93" s="192">
        <v>8977</v>
      </c>
      <c r="R93" s="65" t="s">
        <v>111</v>
      </c>
    </row>
    <row r="94" spans="1:18" ht="15.75" customHeight="1">
      <c r="A94" s="64" t="s">
        <v>151</v>
      </c>
      <c r="B94" s="109">
        <f>_xlfn.COMPOUNDVALUE(945)</f>
        <v>7492</v>
      </c>
      <c r="C94" s="110">
        <v>41583213</v>
      </c>
      <c r="D94" s="109">
        <f>_xlfn.COMPOUNDVALUE(946)</f>
        <v>5970</v>
      </c>
      <c r="E94" s="110">
        <v>4169865</v>
      </c>
      <c r="F94" s="109">
        <f>_xlfn.COMPOUNDVALUE(947)</f>
        <v>13462</v>
      </c>
      <c r="G94" s="110">
        <v>45753078</v>
      </c>
      <c r="H94" s="109">
        <f>_xlfn.COMPOUNDVALUE(948)</f>
        <v>1194</v>
      </c>
      <c r="I94" s="111">
        <v>9479076</v>
      </c>
      <c r="J94" s="109">
        <v>675</v>
      </c>
      <c r="K94" s="111">
        <v>62913</v>
      </c>
      <c r="L94" s="109">
        <v>14915</v>
      </c>
      <c r="M94" s="111">
        <v>36336915</v>
      </c>
      <c r="N94" s="190">
        <v>15180</v>
      </c>
      <c r="O94" s="191">
        <v>681</v>
      </c>
      <c r="P94" s="191">
        <v>45</v>
      </c>
      <c r="Q94" s="192">
        <v>15906</v>
      </c>
      <c r="R94" s="65" t="s">
        <v>112</v>
      </c>
    </row>
    <row r="95" spans="1:18" ht="15.75" customHeight="1">
      <c r="A95" s="64" t="s">
        <v>113</v>
      </c>
      <c r="B95" s="109">
        <f>_xlfn.COMPOUNDVALUE(949)</f>
        <v>5373</v>
      </c>
      <c r="C95" s="110">
        <v>106768171</v>
      </c>
      <c r="D95" s="109">
        <f>_xlfn.COMPOUNDVALUE(950)</f>
        <v>3219</v>
      </c>
      <c r="E95" s="110">
        <v>2113570</v>
      </c>
      <c r="F95" s="109">
        <f>_xlfn.COMPOUNDVALUE(951)</f>
        <v>8592</v>
      </c>
      <c r="G95" s="110">
        <v>108881741</v>
      </c>
      <c r="H95" s="109">
        <f>_xlfn.COMPOUNDVALUE(952)</f>
        <v>843</v>
      </c>
      <c r="I95" s="111">
        <v>15341612</v>
      </c>
      <c r="J95" s="109">
        <v>462</v>
      </c>
      <c r="K95" s="111">
        <v>-701049</v>
      </c>
      <c r="L95" s="109">
        <v>9588</v>
      </c>
      <c r="M95" s="111">
        <v>92839080</v>
      </c>
      <c r="N95" s="190">
        <v>9657</v>
      </c>
      <c r="O95" s="191">
        <v>374</v>
      </c>
      <c r="P95" s="191">
        <v>32</v>
      </c>
      <c r="Q95" s="192">
        <v>10063</v>
      </c>
      <c r="R95" s="65" t="s">
        <v>113</v>
      </c>
    </row>
    <row r="96" spans="1:18" ht="15.75" customHeight="1">
      <c r="A96" s="64" t="s">
        <v>114</v>
      </c>
      <c r="B96" s="109">
        <f>_xlfn.COMPOUNDVALUE(953)</f>
        <v>6910</v>
      </c>
      <c r="C96" s="110">
        <v>80824941</v>
      </c>
      <c r="D96" s="109">
        <f>_xlfn.COMPOUNDVALUE(954)</f>
        <v>5457</v>
      </c>
      <c r="E96" s="110">
        <v>3555186</v>
      </c>
      <c r="F96" s="109">
        <f>_xlfn.COMPOUNDVALUE(955)</f>
        <v>12367</v>
      </c>
      <c r="G96" s="110">
        <v>84380126</v>
      </c>
      <c r="H96" s="109">
        <f>_xlfn.COMPOUNDVALUE(956)</f>
        <v>975</v>
      </c>
      <c r="I96" s="111">
        <v>8903818</v>
      </c>
      <c r="J96" s="109">
        <v>684</v>
      </c>
      <c r="K96" s="111">
        <v>269572</v>
      </c>
      <c r="L96" s="109">
        <v>13654</v>
      </c>
      <c r="M96" s="111">
        <v>75745881</v>
      </c>
      <c r="N96" s="190">
        <v>14517</v>
      </c>
      <c r="O96" s="191">
        <v>648</v>
      </c>
      <c r="P96" s="191">
        <v>27</v>
      </c>
      <c r="Q96" s="192">
        <v>15192</v>
      </c>
      <c r="R96" s="65" t="s">
        <v>114</v>
      </c>
    </row>
    <row r="97" spans="1:18" ht="15.75" customHeight="1">
      <c r="A97" s="64" t="s">
        <v>115</v>
      </c>
      <c r="B97" s="109">
        <f>_xlfn.COMPOUNDVALUE(957)</f>
        <v>3119</v>
      </c>
      <c r="C97" s="110">
        <v>11106244</v>
      </c>
      <c r="D97" s="109">
        <f>_xlfn.COMPOUNDVALUE(958)</f>
        <v>2731</v>
      </c>
      <c r="E97" s="110">
        <v>1810647</v>
      </c>
      <c r="F97" s="109">
        <f>_xlfn.COMPOUNDVALUE(959)</f>
        <v>5850</v>
      </c>
      <c r="G97" s="110">
        <v>12916891</v>
      </c>
      <c r="H97" s="109">
        <f>_xlfn.COMPOUNDVALUE(960)</f>
        <v>530</v>
      </c>
      <c r="I97" s="111">
        <v>3097178</v>
      </c>
      <c r="J97" s="109">
        <v>383</v>
      </c>
      <c r="K97" s="111">
        <v>126029</v>
      </c>
      <c r="L97" s="109">
        <v>6558</v>
      </c>
      <c r="M97" s="111">
        <v>9945742</v>
      </c>
      <c r="N97" s="190">
        <v>6723</v>
      </c>
      <c r="O97" s="191">
        <v>312</v>
      </c>
      <c r="P97" s="191">
        <v>8</v>
      </c>
      <c r="Q97" s="192">
        <v>7043</v>
      </c>
      <c r="R97" s="65" t="s">
        <v>115</v>
      </c>
    </row>
    <row r="98" spans="1:18" ht="15.75" customHeight="1">
      <c r="A98" s="64"/>
      <c r="B98" s="109"/>
      <c r="C98" s="110"/>
      <c r="D98" s="109"/>
      <c r="E98" s="110"/>
      <c r="F98" s="109"/>
      <c r="G98" s="110"/>
      <c r="H98" s="109"/>
      <c r="I98" s="111"/>
      <c r="J98" s="109"/>
      <c r="K98" s="111"/>
      <c r="L98" s="109"/>
      <c r="M98" s="111"/>
      <c r="N98" s="190"/>
      <c r="O98" s="191"/>
      <c r="P98" s="191"/>
      <c r="Q98" s="192"/>
      <c r="R98" s="65" t="s">
        <v>35</v>
      </c>
    </row>
    <row r="99" spans="1:18" ht="15.75" customHeight="1">
      <c r="A99" s="64" t="s">
        <v>116</v>
      </c>
      <c r="B99" s="109">
        <f>_xlfn.COMPOUNDVALUE(961)</f>
        <v>3958</v>
      </c>
      <c r="C99" s="110">
        <v>20498730</v>
      </c>
      <c r="D99" s="109">
        <f>_xlfn.COMPOUNDVALUE(962)</f>
        <v>3697</v>
      </c>
      <c r="E99" s="110">
        <v>2063062</v>
      </c>
      <c r="F99" s="109">
        <f>_xlfn.COMPOUNDVALUE(963)</f>
        <v>7655</v>
      </c>
      <c r="G99" s="110">
        <v>22561791</v>
      </c>
      <c r="H99" s="109">
        <f>_xlfn.COMPOUNDVALUE(964)</f>
        <v>501</v>
      </c>
      <c r="I99" s="111">
        <v>1640467</v>
      </c>
      <c r="J99" s="109">
        <v>498</v>
      </c>
      <c r="K99" s="111">
        <v>54671</v>
      </c>
      <c r="L99" s="109">
        <v>8298</v>
      </c>
      <c r="M99" s="111">
        <v>20975996</v>
      </c>
      <c r="N99" s="190">
        <v>8544</v>
      </c>
      <c r="O99" s="191">
        <v>203</v>
      </c>
      <c r="P99" s="191">
        <v>21</v>
      </c>
      <c r="Q99" s="192">
        <v>8768</v>
      </c>
      <c r="R99" s="65" t="s">
        <v>116</v>
      </c>
    </row>
    <row r="100" spans="1:18" ht="15.75" customHeight="1">
      <c r="A100" s="64" t="s">
        <v>117</v>
      </c>
      <c r="B100" s="109">
        <f>_xlfn.COMPOUNDVALUE(965)</f>
        <v>5352</v>
      </c>
      <c r="C100" s="110">
        <v>36475847</v>
      </c>
      <c r="D100" s="109">
        <f>_xlfn.COMPOUNDVALUE(966)</f>
        <v>4411</v>
      </c>
      <c r="E100" s="110">
        <v>2570909</v>
      </c>
      <c r="F100" s="109">
        <f>_xlfn.COMPOUNDVALUE(967)</f>
        <v>9763</v>
      </c>
      <c r="G100" s="110">
        <v>39046756</v>
      </c>
      <c r="H100" s="109">
        <f>_xlfn.COMPOUNDVALUE(968)</f>
        <v>692</v>
      </c>
      <c r="I100" s="111">
        <v>4672918</v>
      </c>
      <c r="J100" s="109">
        <v>589</v>
      </c>
      <c r="K100" s="111">
        <v>141555</v>
      </c>
      <c r="L100" s="109">
        <v>10643</v>
      </c>
      <c r="M100" s="111">
        <v>34515393</v>
      </c>
      <c r="N100" s="190">
        <v>10595</v>
      </c>
      <c r="O100" s="191">
        <v>336</v>
      </c>
      <c r="P100" s="191">
        <v>14</v>
      </c>
      <c r="Q100" s="192">
        <v>10945</v>
      </c>
      <c r="R100" s="65" t="s">
        <v>117</v>
      </c>
    </row>
    <row r="101" spans="1:18" ht="15.75" customHeight="1">
      <c r="A101" s="66" t="s">
        <v>118</v>
      </c>
      <c r="B101" s="112">
        <f>_xlfn.COMPOUNDVALUE(969)</f>
        <v>2984</v>
      </c>
      <c r="C101" s="113">
        <v>11444661</v>
      </c>
      <c r="D101" s="112">
        <f>_xlfn.COMPOUNDVALUE(970)</f>
        <v>2693</v>
      </c>
      <c r="E101" s="113">
        <v>1704824</v>
      </c>
      <c r="F101" s="112">
        <f>_xlfn.COMPOUNDVALUE(971)</f>
        <v>5677</v>
      </c>
      <c r="G101" s="113">
        <v>13149485</v>
      </c>
      <c r="H101" s="112">
        <f>_xlfn.COMPOUNDVALUE(972)</f>
        <v>628</v>
      </c>
      <c r="I101" s="114">
        <v>695905</v>
      </c>
      <c r="J101" s="112">
        <v>368</v>
      </c>
      <c r="K101" s="114">
        <v>128991</v>
      </c>
      <c r="L101" s="112">
        <v>6470</v>
      </c>
      <c r="M101" s="114">
        <v>12582571</v>
      </c>
      <c r="N101" s="190">
        <v>6618</v>
      </c>
      <c r="O101" s="191">
        <v>309</v>
      </c>
      <c r="P101" s="191">
        <v>11</v>
      </c>
      <c r="Q101" s="192">
        <v>6938</v>
      </c>
      <c r="R101" s="65" t="s">
        <v>118</v>
      </c>
    </row>
    <row r="102" spans="1:18" ht="15.75" customHeight="1">
      <c r="A102" s="66" t="s">
        <v>119</v>
      </c>
      <c r="B102" s="112">
        <f>_xlfn.COMPOUNDVALUE(973)</f>
        <v>7072</v>
      </c>
      <c r="C102" s="113">
        <v>37326693</v>
      </c>
      <c r="D102" s="112">
        <f>_xlfn.COMPOUNDVALUE(974)</f>
        <v>5682</v>
      </c>
      <c r="E102" s="113">
        <v>3545532</v>
      </c>
      <c r="F102" s="112">
        <f>_xlfn.COMPOUNDVALUE(975)</f>
        <v>12754</v>
      </c>
      <c r="G102" s="113">
        <v>40872225</v>
      </c>
      <c r="H102" s="112">
        <f>_xlfn.COMPOUNDVALUE(976)</f>
        <v>1160</v>
      </c>
      <c r="I102" s="114">
        <v>5464916</v>
      </c>
      <c r="J102" s="112">
        <v>631</v>
      </c>
      <c r="K102" s="114">
        <v>173558</v>
      </c>
      <c r="L102" s="112">
        <v>14196</v>
      </c>
      <c r="M102" s="114">
        <v>35580867</v>
      </c>
      <c r="N102" s="190">
        <v>14067</v>
      </c>
      <c r="O102" s="191">
        <v>594</v>
      </c>
      <c r="P102" s="191">
        <v>36</v>
      </c>
      <c r="Q102" s="192">
        <v>14697</v>
      </c>
      <c r="R102" s="65" t="s">
        <v>119</v>
      </c>
    </row>
    <row r="103" spans="1:18" ht="15.75" customHeight="1">
      <c r="A103" s="66" t="s">
        <v>120</v>
      </c>
      <c r="B103" s="112">
        <f>_xlfn.COMPOUNDVALUE(977)</f>
        <v>4070</v>
      </c>
      <c r="C103" s="113">
        <v>22385846</v>
      </c>
      <c r="D103" s="112">
        <f>_xlfn.COMPOUNDVALUE(978)</f>
        <v>3088</v>
      </c>
      <c r="E103" s="113">
        <v>1790264</v>
      </c>
      <c r="F103" s="112">
        <f>_xlfn.COMPOUNDVALUE(979)</f>
        <v>7158</v>
      </c>
      <c r="G103" s="113">
        <v>24176110</v>
      </c>
      <c r="H103" s="112">
        <f>_xlfn.COMPOUNDVALUE(980)</f>
        <v>520</v>
      </c>
      <c r="I103" s="114">
        <v>941347</v>
      </c>
      <c r="J103" s="112">
        <v>309</v>
      </c>
      <c r="K103" s="114">
        <v>57979</v>
      </c>
      <c r="L103" s="112">
        <v>7795</v>
      </c>
      <c r="M103" s="114">
        <v>23292741</v>
      </c>
      <c r="N103" s="190">
        <v>7710</v>
      </c>
      <c r="O103" s="191">
        <v>190</v>
      </c>
      <c r="P103" s="191">
        <v>14</v>
      </c>
      <c r="Q103" s="192">
        <v>7914</v>
      </c>
      <c r="R103" s="65" t="s">
        <v>120</v>
      </c>
    </row>
    <row r="104" spans="1:18" ht="15.75" customHeight="1">
      <c r="A104" s="66"/>
      <c r="B104" s="112"/>
      <c r="C104" s="113"/>
      <c r="D104" s="112"/>
      <c r="E104" s="113"/>
      <c r="F104" s="112"/>
      <c r="G104" s="113"/>
      <c r="H104" s="112"/>
      <c r="I104" s="114"/>
      <c r="J104" s="112"/>
      <c r="K104" s="114"/>
      <c r="L104" s="112"/>
      <c r="M104" s="114"/>
      <c r="N104" s="190"/>
      <c r="O104" s="191"/>
      <c r="P104" s="191"/>
      <c r="Q104" s="192"/>
      <c r="R104" s="65" t="s">
        <v>35</v>
      </c>
    </row>
    <row r="105" spans="1:18" ht="15.75" customHeight="1">
      <c r="A105" s="66" t="s">
        <v>121</v>
      </c>
      <c r="B105" s="112">
        <f>_xlfn.COMPOUNDVALUE(981)</f>
        <v>7206</v>
      </c>
      <c r="C105" s="113">
        <v>42312993</v>
      </c>
      <c r="D105" s="112">
        <f>_xlfn.COMPOUNDVALUE(982)</f>
        <v>5421</v>
      </c>
      <c r="E105" s="113">
        <v>3517410</v>
      </c>
      <c r="F105" s="112">
        <f>_xlfn.COMPOUNDVALUE(983)</f>
        <v>12627</v>
      </c>
      <c r="G105" s="113">
        <v>45830403</v>
      </c>
      <c r="H105" s="112">
        <f>_xlfn.COMPOUNDVALUE(984)</f>
        <v>839</v>
      </c>
      <c r="I105" s="114">
        <v>6458721</v>
      </c>
      <c r="J105" s="112">
        <v>582</v>
      </c>
      <c r="K105" s="114">
        <v>281021</v>
      </c>
      <c r="L105" s="112">
        <v>13748</v>
      </c>
      <c r="M105" s="114">
        <v>39652704</v>
      </c>
      <c r="N105" s="190">
        <v>13973</v>
      </c>
      <c r="O105" s="191">
        <v>498</v>
      </c>
      <c r="P105" s="191">
        <v>45</v>
      </c>
      <c r="Q105" s="192">
        <v>14516</v>
      </c>
      <c r="R105" s="65" t="s">
        <v>121</v>
      </c>
    </row>
    <row r="106" spans="1:18" ht="15.75" customHeight="1">
      <c r="A106" s="66" t="s">
        <v>122</v>
      </c>
      <c r="B106" s="112">
        <f>_xlfn.COMPOUNDVALUE(985)</f>
        <v>3417</v>
      </c>
      <c r="C106" s="113">
        <v>28133530</v>
      </c>
      <c r="D106" s="112">
        <f>_xlfn.COMPOUNDVALUE(986)</f>
        <v>2439</v>
      </c>
      <c r="E106" s="113">
        <v>1554374</v>
      </c>
      <c r="F106" s="112">
        <f>_xlfn.COMPOUNDVALUE(987)</f>
        <v>5856</v>
      </c>
      <c r="G106" s="113">
        <v>29687904</v>
      </c>
      <c r="H106" s="112">
        <f>_xlfn.COMPOUNDVALUE(988)</f>
        <v>460</v>
      </c>
      <c r="I106" s="114">
        <v>52267956</v>
      </c>
      <c r="J106" s="112">
        <v>355</v>
      </c>
      <c r="K106" s="114">
        <v>77406</v>
      </c>
      <c r="L106" s="112">
        <v>6485</v>
      </c>
      <c r="M106" s="114">
        <v>-22502645</v>
      </c>
      <c r="N106" s="190">
        <v>6425</v>
      </c>
      <c r="O106" s="191">
        <v>244</v>
      </c>
      <c r="P106" s="191">
        <v>27</v>
      </c>
      <c r="Q106" s="192">
        <v>6696</v>
      </c>
      <c r="R106" s="65" t="s">
        <v>122</v>
      </c>
    </row>
    <row r="107" spans="1:18" ht="15.75" customHeight="1">
      <c r="A107" s="66" t="s">
        <v>123</v>
      </c>
      <c r="B107" s="112">
        <f>_xlfn.COMPOUNDVALUE(989)</f>
        <v>5645</v>
      </c>
      <c r="C107" s="113">
        <v>31797018</v>
      </c>
      <c r="D107" s="112">
        <f>_xlfn.COMPOUNDVALUE(990)</f>
        <v>4270</v>
      </c>
      <c r="E107" s="113">
        <v>2774051</v>
      </c>
      <c r="F107" s="112">
        <f>_xlfn.COMPOUNDVALUE(991)</f>
        <v>9915</v>
      </c>
      <c r="G107" s="113">
        <v>34571069</v>
      </c>
      <c r="H107" s="112">
        <f>_xlfn.COMPOUNDVALUE(992)</f>
        <v>692</v>
      </c>
      <c r="I107" s="114">
        <v>6547400</v>
      </c>
      <c r="J107" s="112">
        <v>489</v>
      </c>
      <c r="K107" s="114">
        <v>89367</v>
      </c>
      <c r="L107" s="112">
        <v>10864</v>
      </c>
      <c r="M107" s="114">
        <v>28113037</v>
      </c>
      <c r="N107" s="190">
        <v>11003</v>
      </c>
      <c r="O107" s="191">
        <v>414</v>
      </c>
      <c r="P107" s="191">
        <v>30</v>
      </c>
      <c r="Q107" s="192">
        <v>11447</v>
      </c>
      <c r="R107" s="65" t="s">
        <v>123</v>
      </c>
    </row>
    <row r="108" spans="1:18" ht="15.75" customHeight="1">
      <c r="A108" s="130" t="s">
        <v>124</v>
      </c>
      <c r="B108" s="131">
        <v>98494</v>
      </c>
      <c r="C108" s="132">
        <v>897241508</v>
      </c>
      <c r="D108" s="131">
        <v>72552</v>
      </c>
      <c r="E108" s="132">
        <v>46567057</v>
      </c>
      <c r="F108" s="131">
        <v>171046</v>
      </c>
      <c r="G108" s="132">
        <v>943808565</v>
      </c>
      <c r="H108" s="131">
        <v>15804</v>
      </c>
      <c r="I108" s="133">
        <v>370841189</v>
      </c>
      <c r="J108" s="131">
        <v>9108</v>
      </c>
      <c r="K108" s="133">
        <v>3550351</v>
      </c>
      <c r="L108" s="131">
        <v>190582</v>
      </c>
      <c r="M108" s="133">
        <v>576517727</v>
      </c>
      <c r="N108" s="193">
        <v>193486</v>
      </c>
      <c r="O108" s="194">
        <v>8039</v>
      </c>
      <c r="P108" s="194">
        <v>585</v>
      </c>
      <c r="Q108" s="195">
        <v>202110</v>
      </c>
      <c r="R108" s="134" t="s">
        <v>125</v>
      </c>
    </row>
    <row r="109" spans="1:18" ht="15.75" customHeight="1">
      <c r="A109" s="135"/>
      <c r="B109" s="136"/>
      <c r="C109" s="137"/>
      <c r="D109" s="136"/>
      <c r="E109" s="137"/>
      <c r="F109" s="138"/>
      <c r="G109" s="137"/>
      <c r="H109" s="138"/>
      <c r="I109" s="137"/>
      <c r="J109" s="138"/>
      <c r="K109" s="137"/>
      <c r="L109" s="138"/>
      <c r="M109" s="137"/>
      <c r="N109" s="196"/>
      <c r="O109" s="197"/>
      <c r="P109" s="197"/>
      <c r="Q109" s="198"/>
      <c r="R109" s="139" t="s">
        <v>35</v>
      </c>
    </row>
    <row r="110" spans="1:18" ht="15.75" customHeight="1">
      <c r="A110" s="64" t="s">
        <v>126</v>
      </c>
      <c r="B110" s="109">
        <f>_xlfn.COMPOUNDVALUE(993)</f>
        <v>6559</v>
      </c>
      <c r="C110" s="110">
        <v>40500253</v>
      </c>
      <c r="D110" s="109">
        <f>_xlfn.COMPOUNDVALUE(994)</f>
        <v>4617</v>
      </c>
      <c r="E110" s="110">
        <v>2619577</v>
      </c>
      <c r="F110" s="109">
        <f>_xlfn.COMPOUNDVALUE(995)</f>
        <v>11176</v>
      </c>
      <c r="G110" s="110">
        <v>43119830</v>
      </c>
      <c r="H110" s="109">
        <f>_xlfn.COMPOUNDVALUE(996)</f>
        <v>701</v>
      </c>
      <c r="I110" s="111">
        <v>4134766</v>
      </c>
      <c r="J110" s="109">
        <v>753</v>
      </c>
      <c r="K110" s="111">
        <v>176082</v>
      </c>
      <c r="L110" s="109">
        <v>12176</v>
      </c>
      <c r="M110" s="111">
        <v>39161145</v>
      </c>
      <c r="N110" s="190">
        <v>11918</v>
      </c>
      <c r="O110" s="191">
        <v>379</v>
      </c>
      <c r="P110" s="191">
        <v>42</v>
      </c>
      <c r="Q110" s="192">
        <v>12339</v>
      </c>
      <c r="R110" s="74" t="s">
        <v>126</v>
      </c>
    </row>
    <row r="111" spans="1:18" ht="15.75" customHeight="1">
      <c r="A111" s="66" t="s">
        <v>127</v>
      </c>
      <c r="B111" s="112">
        <f>_xlfn.COMPOUNDVALUE(997)</f>
        <v>1732</v>
      </c>
      <c r="C111" s="113">
        <v>7218182</v>
      </c>
      <c r="D111" s="112">
        <f>_xlfn.COMPOUNDVALUE(998)</f>
        <v>1843</v>
      </c>
      <c r="E111" s="113">
        <v>798929</v>
      </c>
      <c r="F111" s="112">
        <f>_xlfn.COMPOUNDVALUE(999)</f>
        <v>3575</v>
      </c>
      <c r="G111" s="113">
        <v>8017111</v>
      </c>
      <c r="H111" s="112">
        <f>_xlfn.COMPOUNDVALUE(1000)</f>
        <v>177</v>
      </c>
      <c r="I111" s="114">
        <v>670987</v>
      </c>
      <c r="J111" s="112">
        <v>181</v>
      </c>
      <c r="K111" s="114">
        <v>22904</v>
      </c>
      <c r="L111" s="112">
        <v>3824</v>
      </c>
      <c r="M111" s="114">
        <v>7369028</v>
      </c>
      <c r="N111" s="190">
        <v>4332</v>
      </c>
      <c r="O111" s="191">
        <v>106</v>
      </c>
      <c r="P111" s="191">
        <v>8</v>
      </c>
      <c r="Q111" s="192">
        <v>4446</v>
      </c>
      <c r="R111" s="65" t="s">
        <v>127</v>
      </c>
    </row>
    <row r="112" spans="1:18" ht="15.75" customHeight="1">
      <c r="A112" s="66" t="s">
        <v>128</v>
      </c>
      <c r="B112" s="112">
        <f>_xlfn.COMPOUNDVALUE(1001)</f>
        <v>2771</v>
      </c>
      <c r="C112" s="113">
        <v>13124187</v>
      </c>
      <c r="D112" s="112">
        <f>_xlfn.COMPOUNDVALUE(1002)</f>
        <v>2092</v>
      </c>
      <c r="E112" s="113">
        <v>1152146</v>
      </c>
      <c r="F112" s="112">
        <f>_xlfn.COMPOUNDVALUE(1003)</f>
        <v>4863</v>
      </c>
      <c r="G112" s="113">
        <v>14276333</v>
      </c>
      <c r="H112" s="112">
        <f>_xlfn.COMPOUNDVALUE(1004)</f>
        <v>403</v>
      </c>
      <c r="I112" s="114">
        <v>22217228</v>
      </c>
      <c r="J112" s="112">
        <v>246</v>
      </c>
      <c r="K112" s="114">
        <v>61373</v>
      </c>
      <c r="L112" s="112">
        <v>5345</v>
      </c>
      <c r="M112" s="114">
        <v>-7879521</v>
      </c>
      <c r="N112" s="190">
        <v>4945</v>
      </c>
      <c r="O112" s="191">
        <v>177</v>
      </c>
      <c r="P112" s="191">
        <v>10</v>
      </c>
      <c r="Q112" s="192">
        <v>5132</v>
      </c>
      <c r="R112" s="65" t="s">
        <v>128</v>
      </c>
    </row>
    <row r="113" spans="1:18" ht="15.75" customHeight="1">
      <c r="A113" s="66" t="s">
        <v>129</v>
      </c>
      <c r="B113" s="112">
        <f>_xlfn.COMPOUNDVALUE(1005)</f>
        <v>623</v>
      </c>
      <c r="C113" s="113">
        <v>2983994</v>
      </c>
      <c r="D113" s="112">
        <f>_xlfn.COMPOUNDVALUE(1006)</f>
        <v>520</v>
      </c>
      <c r="E113" s="113">
        <v>252010</v>
      </c>
      <c r="F113" s="112">
        <f>_xlfn.COMPOUNDVALUE(1007)</f>
        <v>1143</v>
      </c>
      <c r="G113" s="113">
        <v>3236005</v>
      </c>
      <c r="H113" s="112">
        <f>_xlfn.COMPOUNDVALUE(1008)</f>
        <v>36</v>
      </c>
      <c r="I113" s="114">
        <v>30566</v>
      </c>
      <c r="J113" s="112">
        <v>82</v>
      </c>
      <c r="K113" s="114">
        <v>19468</v>
      </c>
      <c r="L113" s="112">
        <v>1193</v>
      </c>
      <c r="M113" s="114">
        <v>3224906</v>
      </c>
      <c r="N113" s="190">
        <v>1266</v>
      </c>
      <c r="O113" s="191">
        <v>16</v>
      </c>
      <c r="P113" s="191">
        <v>1</v>
      </c>
      <c r="Q113" s="192">
        <v>1283</v>
      </c>
      <c r="R113" s="65" t="s">
        <v>129</v>
      </c>
    </row>
    <row r="114" spans="1:18" ht="15.75" customHeight="1">
      <c r="A114" s="67" t="s">
        <v>130</v>
      </c>
      <c r="B114" s="115">
        <v>11685</v>
      </c>
      <c r="C114" s="116">
        <v>63826616</v>
      </c>
      <c r="D114" s="115">
        <v>9072</v>
      </c>
      <c r="E114" s="116">
        <v>4822663</v>
      </c>
      <c r="F114" s="115">
        <v>20757</v>
      </c>
      <c r="G114" s="116">
        <v>68649278</v>
      </c>
      <c r="H114" s="115">
        <v>1317</v>
      </c>
      <c r="I114" s="117">
        <v>27053547</v>
      </c>
      <c r="J114" s="115">
        <v>1262</v>
      </c>
      <c r="K114" s="117">
        <v>279826</v>
      </c>
      <c r="L114" s="115">
        <v>22538</v>
      </c>
      <c r="M114" s="117">
        <v>41875558</v>
      </c>
      <c r="N114" s="205">
        <v>22461</v>
      </c>
      <c r="O114" s="206">
        <v>678</v>
      </c>
      <c r="P114" s="206">
        <v>61</v>
      </c>
      <c r="Q114" s="207">
        <v>23200</v>
      </c>
      <c r="R114" s="72" t="s">
        <v>131</v>
      </c>
    </row>
    <row r="115" spans="1:18" ht="15.75" customHeight="1" thickBot="1">
      <c r="A115" s="68"/>
      <c r="B115" s="118"/>
      <c r="C115" s="119"/>
      <c r="D115" s="118"/>
      <c r="E115" s="119"/>
      <c r="F115" s="120"/>
      <c r="G115" s="119"/>
      <c r="H115" s="120"/>
      <c r="I115" s="119"/>
      <c r="J115" s="120"/>
      <c r="K115" s="119"/>
      <c r="L115" s="120"/>
      <c r="M115" s="119"/>
      <c r="N115" s="208"/>
      <c r="O115" s="209"/>
      <c r="P115" s="209"/>
      <c r="Q115" s="210"/>
      <c r="R115" s="69" t="s">
        <v>35</v>
      </c>
    </row>
    <row r="116" spans="1:18" ht="15.75" customHeight="1" thickBot="1" thickTop="1">
      <c r="A116" s="70" t="s">
        <v>34</v>
      </c>
      <c r="B116" s="121">
        <v>490215</v>
      </c>
      <c r="C116" s="122">
        <v>9497044873</v>
      </c>
      <c r="D116" s="121">
        <v>291789</v>
      </c>
      <c r="E116" s="122">
        <v>196802555</v>
      </c>
      <c r="F116" s="121">
        <v>782004</v>
      </c>
      <c r="G116" s="122">
        <v>9693847429</v>
      </c>
      <c r="H116" s="121">
        <v>101786</v>
      </c>
      <c r="I116" s="123">
        <v>3397545305</v>
      </c>
      <c r="J116" s="121">
        <v>45473</v>
      </c>
      <c r="K116" s="123">
        <v>-55000172</v>
      </c>
      <c r="L116" s="121">
        <v>901537</v>
      </c>
      <c r="M116" s="123">
        <v>6241301952</v>
      </c>
      <c r="N116" s="211">
        <v>907472</v>
      </c>
      <c r="O116" s="212">
        <v>55036</v>
      </c>
      <c r="P116" s="212">
        <v>5945</v>
      </c>
      <c r="Q116" s="213">
        <v>968453</v>
      </c>
      <c r="R116" s="71" t="s">
        <v>34</v>
      </c>
    </row>
    <row r="117" spans="1:10" ht="15" customHeight="1">
      <c r="A117" s="277" t="s">
        <v>160</v>
      </c>
      <c r="B117" s="277"/>
      <c r="C117" s="277"/>
      <c r="D117" s="277"/>
      <c r="E117" s="277"/>
      <c r="F117" s="277"/>
      <c r="G117" s="277"/>
      <c r="H117" s="277"/>
      <c r="I117" s="277"/>
      <c r="J117" s="277"/>
    </row>
  </sheetData>
  <sheetProtection/>
  <mergeCells count="16">
    <mergeCell ref="A117:J117"/>
    <mergeCell ref="A2:I2"/>
    <mergeCell ref="A3:A5"/>
    <mergeCell ref="B3:G3"/>
    <mergeCell ref="H3:I4"/>
    <mergeCell ref="J3:K4"/>
    <mergeCell ref="L3:M4"/>
    <mergeCell ref="N3:Q3"/>
    <mergeCell ref="R3:R5"/>
    <mergeCell ref="B4:C4"/>
    <mergeCell ref="D4:E4"/>
    <mergeCell ref="F4:G4"/>
    <mergeCell ref="N4:N5"/>
    <mergeCell ref="O4:O5"/>
    <mergeCell ref="P4:P5"/>
    <mergeCell ref="Q4:Q5"/>
  </mergeCells>
  <printOptions horizontalCentered="1"/>
  <pageMargins left="0.7874015748031497" right="0.7874015748031497" top="0.7874015748031497" bottom="0.7874015748031497" header="0.5118110236220472" footer="0.35433070866141736"/>
  <pageSetup fitToHeight="0" fitToWidth="1" horizontalDpi="600" verticalDpi="600" orientation="landscape" paperSize="9" scale="64" r:id="rId1"/>
  <headerFooter alignWithMargins="0">
    <oddFooter>&amp;R&amp;K01+000東京国税局
消費税
(R03)</oddFooter>
  </headerFooter>
  <rowBreaks count="2" manualBreakCount="2">
    <brk id="42" max="17" man="1"/>
    <brk id="7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2023-01-27T07:20:43Z</dcterms:created>
  <dcterms:modified xsi:type="dcterms:W3CDTF">2023-05-31T04:57:11Z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