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20490" windowHeight="792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'(4)税務署別(個人事業者）'!$A$1:$N$117</definedName>
    <definedName name="_xlnm.Print_Area" localSheetId="5">'(4)税務署別（合計）'!$A$1:$R$117</definedName>
    <definedName name="_xlnm.Print_Area" localSheetId="4">'(4)税務署別（法人）'!$A$1:$N$117</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<sst xmlns="http://schemas.openxmlformats.org/spreadsheetml/2006/main" count="787" uniqueCount="187">
  <si>
    <t>区　　　分</t>
  </si>
  <si>
    <t>件　　　数</t>
  </si>
  <si>
    <t>税　　　額</t>
  </si>
  <si>
    <t>件</t>
  </si>
  <si>
    <t>千円</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</si>
  <si>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</si>
  <si>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</si>
  <si>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</si>
  <si>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</si>
  <si>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</si>
  <si>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</si>
  <si>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</si>
  <si>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個　人　事　業　者</t>
  </si>
  <si>
    <t>一般申告及び処理</t>
  </si>
  <si>
    <t>合　　　　　　　　　計</t>
  </si>
  <si>
    <t>法　　　　　　　人</t>
  </si>
  <si>
    <t>合　　　　　　　計</t>
  </si>
  <si>
    <t>件　　数</t>
  </si>
  <si>
    <t>税　　額</t>
  </si>
  <si>
    <t>(3)　課税事業者等届出件数</t>
  </si>
  <si>
    <t>千円</t>
  </si>
  <si>
    <t>件</t>
  </si>
  <si>
    <t>(2)　課税状況の累年比較</t>
  </si>
  <si>
    <t>　ハ　個人事業者と法人の合計</t>
  </si>
  <si>
    <t>税務署名</t>
  </si>
  <si>
    <t>納　　　税　　　申　　　告　　　及　　　び　　　処　　　理</t>
  </si>
  <si>
    <t>既往年分の
申告及び処理</t>
  </si>
  <si>
    <t>合　　　　　　計</t>
  </si>
  <si>
    <t>税務署名</t>
  </si>
  <si>
    <t>簡易申告及び処理</t>
  </si>
  <si>
    <t>小　　　　　　計</t>
  </si>
  <si>
    <t>課税事業者
届出</t>
  </si>
  <si>
    <t>合　　　計</t>
  </si>
  <si>
    <t>件数</t>
  </si>
  <si>
    <t>総　計</t>
  </si>
  <si>
    <t/>
  </si>
  <si>
    <t>千葉東</t>
  </si>
  <si>
    <t>千葉南</t>
  </si>
  <si>
    <t>千葉西</t>
  </si>
  <si>
    <t>銚子</t>
  </si>
  <si>
    <t>市川</t>
  </si>
  <si>
    <t>船橋</t>
  </si>
  <si>
    <t>館山</t>
  </si>
  <si>
    <t>木更津</t>
  </si>
  <si>
    <t>松戸</t>
  </si>
  <si>
    <t>佐原</t>
  </si>
  <si>
    <t>茂原</t>
  </si>
  <si>
    <t>成田</t>
  </si>
  <si>
    <t>東金</t>
  </si>
  <si>
    <t>柏</t>
  </si>
  <si>
    <t>千葉県計</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</si>
  <si>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</si>
  <si>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</si>
  <si>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</si>
  <si>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</si>
  <si>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</si>
  <si>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</si>
  <si>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</si>
  <si>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</si>
  <si>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</si>
  <si>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</si>
  <si>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</si>
  <si>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</si>
  <si>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</si>
  <si>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</si>
  <si>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</si>
  <si>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</si>
  <si>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</si>
  <si>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</si>
  <si>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</si>
  <si>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</si>
  <si>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</si>
  <si>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</si>
  <si>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</si>
  <si>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</si>
  <si>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</si>
  <si>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</si>
  <si>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</si>
  <si>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</si>
  <si>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</si>
  <si>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</si>
  <si>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</si>
  <si>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</si>
  <si>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</si>
  <si>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</si>
  <si>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</si>
  <si>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</si>
  <si>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</si>
  <si>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</si>
  <si>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</si>
  <si>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</si>
  <si>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</si>
  <si>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</si>
  <si>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都区内計</t>
  </si>
  <si>
    <t>八王子</t>
  </si>
  <si>
    <t>立川</t>
  </si>
  <si>
    <t>武蔵野</t>
  </si>
  <si>
    <t>青梅</t>
  </si>
  <si>
    <t>武蔵府中</t>
  </si>
  <si>
    <t>町田</t>
  </si>
  <si>
    <t>日野</t>
  </si>
  <si>
    <t>東村山</t>
  </si>
  <si>
    <t>多摩地区計</t>
  </si>
  <si>
    <t>多摩地区計</t>
  </si>
  <si>
    <t>東京都計</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</si>
  <si>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</si>
  <si>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</si>
  <si>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</si>
  <si>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</si>
  <si>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</si>
  <si>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</si>
  <si>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</si>
  <si>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</si>
  <si>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</si>
  <si>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</si>
  <si>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</si>
  <si>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</si>
  <si>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</si>
  <si>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</si>
  <si>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</si>
  <si>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</si>
  <si>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</si>
  <si>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</si>
  <si>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</si>
  <si>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</si>
  <si>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神奈川県計</t>
  </si>
  <si>
    <t>甲府</t>
  </si>
  <si>
    <t>山梨</t>
  </si>
  <si>
    <t>大月</t>
  </si>
  <si>
    <t>鰍沢</t>
  </si>
  <si>
    <t>山梨県計</t>
  </si>
  <si>
    <t>山梨県計</t>
  </si>
  <si>
    <t>　ロ　法　　　人</t>
  </si>
  <si>
    <t>　イ　個人事業者</t>
  </si>
  <si>
    <t>税務署名</t>
  </si>
  <si>
    <t>税額</t>
  </si>
  <si>
    <t>税　額　①</t>
  </si>
  <si>
    <t>税　額　②</t>
  </si>
  <si>
    <t>税　額　③</t>
  </si>
  <si>
    <t>税　　　額
(①－②＋③)</t>
  </si>
  <si>
    <t>都区内計</t>
  </si>
  <si>
    <t>東京都計</t>
  </si>
  <si>
    <t>神奈川県計</t>
  </si>
  <si>
    <t>総　計</t>
  </si>
  <si>
    <t>課　税　事　業　者　等　届　出　件　数</t>
  </si>
  <si>
    <t>課税事業者
選択届出</t>
  </si>
  <si>
    <t>新設法人に
該当する旨
の届出</t>
  </si>
  <si>
    <t>税　　額
(①－②＋③)</t>
  </si>
  <si>
    <t>申告及び処理による
減差税額のあるもの</t>
  </si>
  <si>
    <t>柏</t>
  </si>
  <si>
    <t>芝</t>
  </si>
  <si>
    <t>緑</t>
  </si>
  <si>
    <t>千葉県計</t>
  </si>
  <si>
    <t>都区内計</t>
  </si>
  <si>
    <t>多摩地区計</t>
  </si>
  <si>
    <t>東京都計</t>
  </si>
  <si>
    <t>神奈川県計</t>
  </si>
  <si>
    <t>山梨県計</t>
  </si>
  <si>
    <t>総　計</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</si>
  <si>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</si>
  <si>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</si>
  <si>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平成28年度</t>
  </si>
  <si>
    <t>実件</t>
  </si>
  <si>
    <t>(4)　税務署別課税状況等</t>
  </si>
  <si>
    <t>(4)　税務署別課税状況等（続）</t>
  </si>
  <si>
    <t>平成29年度</t>
  </si>
  <si>
    <t>平成30年度</t>
  </si>
  <si>
    <t>令和元年度</t>
  </si>
  <si>
    <t>令和２年度</t>
  </si>
  <si>
    <t>調査対象等：令和２年度末（令和３年３月31日現在）の届出件数を示している。</t>
  </si>
  <si>
    <t>７　消　費　税</t>
  </si>
  <si>
    <t>個　人　事　業　者</t>
  </si>
  <si>
    <t>法　　　　　人</t>
  </si>
  <si>
    <t>合　　　　　計</t>
  </si>
  <si>
    <t>現年分</t>
  </si>
  <si>
    <t>一般申告及び処理</t>
  </si>
  <si>
    <t>納税申告計</t>
  </si>
  <si>
    <t>既往年分</t>
  </si>
  <si>
    <t>　（注）</t>
  </si>
  <si>
    <t>(1)　課税状況</t>
  </si>
  <si>
    <t>簡易申告及び処理</t>
  </si>
  <si>
    <t>還付申告及び処理</t>
  </si>
  <si>
    <t>申告及び処理による
増差税額のあるもの</t>
  </si>
  <si>
    <t>税関分は含まない。</t>
  </si>
  <si>
    <t>調査対象等：</t>
  </si>
  <si>
    <t xml:space="preserve"> 「現年分」は、令和２年４月１日から令和３年３月31日までに終了した課税期間に係る消費税の申告及び処理（更正、決定等）による課税事績(令和３年６月30日までのもの。国・地方公共団体等及び消費税申告期限延長届出書を提出した法人については令和３年９月30日までのもの。)に基づいて作成した。</t>
  </si>
  <si>
    <t xml:space="preserve"> 「既往年分」は、令和２年３月31日以前に終了した課税期間に係る消費税の申告及び処理（更正、決定等）による課税事績（令和２年７月１日から令和３年６月30日までのもの。国・地方公共団体等及び消費税申告期限延長届出書を提出した法人については令和２年10月１日から令和３年６月30日までのもの。）に基づいて作成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</si>
</sst>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5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8"/>
      <name val="ＭＳ Ｐゴシック"/>
      <family val="3"/>
    </font>
    <font>
      <sz val="11"/>
      <name val="ＭＳ ゴシック"/>
      <family val="3"/>
    </font>
    <font>
      <b/>
      <sz val="11"/>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b/>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b/>
      <sz val="9"/>
      <color theme="1"/>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99"/>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hair"/>
      <right style="medium"/>
      <top style="thin"/>
      <bottom>
        <color indexed="63"/>
      </botto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hair"/>
      <top style="hair"/>
      <bottom style="thin"/>
    </border>
    <border>
      <left style="hair"/>
      <right style="thin"/>
      <top style="hair"/>
      <bottom style="thin"/>
    </border>
    <border>
      <left style="hair"/>
      <right/>
      <top style="thin"/>
      <bottom/>
    </border>
    <border>
      <left style="medium"/>
      <right/>
      <top/>
      <bottom style="hair">
        <color indexed="55"/>
      </bottom>
    </border>
    <border>
      <left style="thin"/>
      <right style="medium"/>
      <top style="hair">
        <color indexed="55"/>
      </top>
      <bottom style="hair">
        <color indexed="55"/>
      </bottom>
    </border>
    <border>
      <left style="medium"/>
      <right/>
      <top style="hair">
        <color indexed="55"/>
      </top>
      <bottom style="hair">
        <color indexed="55"/>
      </bottom>
    </border>
    <border>
      <left style="medium"/>
      <right/>
      <top style="hair">
        <color indexed="55"/>
      </top>
      <bottom style="thin">
        <color indexed="55"/>
      </bottom>
    </border>
    <border>
      <left style="medium"/>
      <right/>
      <top/>
      <bottom style="double"/>
    </border>
    <border>
      <left style="thin"/>
      <right style="medium"/>
      <top style="thin">
        <color indexed="23"/>
      </top>
      <bottom/>
    </border>
    <border>
      <left style="medium"/>
      <right>
        <color indexed="63"/>
      </right>
      <top>
        <color indexed="63"/>
      </top>
      <bottom style="medium"/>
    </border>
    <border>
      <left style="thin"/>
      <right style="medium"/>
      <top style="double"/>
      <bottom style="mediu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bottom style="hair">
        <color indexed="55"/>
      </bottom>
    </border>
    <border>
      <left style="hair"/>
      <right/>
      <top style="hair"/>
      <bottom style="thin"/>
    </border>
    <border>
      <left style="thin"/>
      <right style="medium"/>
      <top/>
      <bottom style="double"/>
    </border>
    <border>
      <left style="thin"/>
      <right style="medium"/>
      <top>
        <color indexed="63"/>
      </top>
      <bottom style="medium"/>
    </border>
    <border>
      <left style="thin"/>
      <right style="medium"/>
      <top style="thin"/>
      <bottom style="thin">
        <color rgb="FFCCFFFF"/>
      </bottom>
    </border>
    <border>
      <left style="thin"/>
      <right style="medium"/>
      <top style="thin">
        <color rgb="FFCCFFFF"/>
      </top>
      <bottom style="hair">
        <color indexed="55"/>
      </bottom>
    </border>
    <border>
      <left style="medium"/>
      <right style="thin"/>
      <top style="thin">
        <color rgb="FFCCFFFF"/>
      </top>
      <bottom style="hair">
        <color indexed="55"/>
      </bottom>
    </border>
    <border>
      <left style="medium"/>
      <right style="thin"/>
      <top>
        <color indexed="63"/>
      </top>
      <bottom style="hair">
        <color indexed="55"/>
      </bottom>
    </border>
    <border>
      <left style="medium"/>
      <right>
        <color indexed="63"/>
      </right>
      <top style="thin"/>
      <bottom style="thin">
        <color rgb="FFCCFFFF"/>
      </bottom>
    </border>
    <border>
      <left style="medium"/>
      <right style="thin"/>
      <top style="hair">
        <color indexed="55"/>
      </top>
      <bottom style="hair"/>
    </border>
    <border>
      <left style="thin"/>
      <right style="medium"/>
      <top style="hair">
        <color indexed="55"/>
      </top>
      <bottom style="hair"/>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color indexed="63"/>
      </top>
      <bottom style="medium"/>
    </border>
    <border>
      <left style="hair"/>
      <right/>
      <top/>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hair"/>
      <top style="thin">
        <color indexed="55"/>
      </top>
      <bottom style="thin">
        <color indexed="55"/>
      </bottom>
    </border>
    <border>
      <left style="hair"/>
      <right/>
      <top style="thin">
        <color indexed="55"/>
      </top>
      <bottom style="thin">
        <color indexed="55"/>
      </bottom>
    </border>
    <border>
      <left style="medium"/>
      <right/>
      <top style="hair">
        <color indexed="55"/>
      </top>
      <bottom>
        <color indexed="63"/>
      </bottom>
    </border>
    <border>
      <left style="thin"/>
      <right style="hair"/>
      <top style="hair">
        <color indexed="55"/>
      </top>
      <bottom>
        <color indexed="63"/>
      </bottom>
    </border>
    <border>
      <left style="hair"/>
      <right/>
      <top style="hair">
        <color indexed="55"/>
      </top>
      <bottom>
        <color indexed="63"/>
      </bottom>
    </border>
    <border>
      <left style="thin"/>
      <right style="medium"/>
      <top style="hair">
        <color indexed="55"/>
      </top>
      <bottom>
        <color indexed="63"/>
      </bottom>
    </border>
    <border>
      <left style="medium"/>
      <right/>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color indexed="63"/>
      </right>
      <top>
        <color indexed="63"/>
      </top>
      <bottom>
        <color indexed="63"/>
      </bottom>
    </border>
    <border>
      <left style="thin"/>
      <right style="hair"/>
      <top>
        <color indexed="63"/>
      </top>
      <bottom>
        <color indexed="63"/>
      </bottom>
    </border>
    <border>
      <left style="hair"/>
      <right style="thin"/>
      <top>
        <color indexed="63"/>
      </top>
      <bottom>
        <color indexed="63"/>
      </bottom>
    </border>
    <border>
      <left style="hair"/>
      <right/>
      <top>
        <color indexed="63"/>
      </top>
      <bottom>
        <color indexed="63"/>
      </bottom>
    </border>
    <border>
      <left style="thin"/>
      <right style="medium"/>
      <top/>
      <bottom/>
    </border>
    <border>
      <left style="hair"/>
      <right/>
      <top style="thin">
        <color theme="0" tint="-0.3499799966812134"/>
      </top>
      <bottom style="thin">
        <color theme="0" tint="-0.3499799966812134"/>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hair"/>
      <bottom style="hair"/>
    </border>
    <border>
      <left style="medium"/>
      <right/>
      <top style="thin">
        <color indexed="55"/>
      </top>
      <bottom style="double"/>
    </border>
    <border>
      <left style="thin"/>
      <right style="medium"/>
      <top style="thin">
        <color indexed="55"/>
      </top>
      <bottom style="double"/>
    </border>
    <border>
      <left style="hair"/>
      <right style="thin"/>
      <top style="thin">
        <color indexed="55"/>
      </top>
      <bottom style="thin">
        <color indexed="55"/>
      </bottom>
    </border>
    <border>
      <left style="hair"/>
      <right style="hair"/>
      <top style="thin">
        <color theme="0" tint="-0.3499799966812134"/>
      </top>
      <bottom style="thin">
        <color theme="0" tint="-0.3499799966812134"/>
      </bottom>
    </border>
    <border>
      <left style="hair"/>
      <right style="hair"/>
      <top>
        <color indexed="63"/>
      </top>
      <bottom>
        <color indexed="63"/>
      </bottom>
    </border>
    <border>
      <left style="hair"/>
      <right style="hair"/>
      <top style="hair">
        <color indexed="55"/>
      </top>
      <bottom style="thin">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hair"/>
      <top style="double"/>
      <bottom style="medium"/>
    </border>
    <border>
      <left style="hair"/>
      <right style="hair"/>
      <top style="double"/>
      <bottom style="medium"/>
    </border>
    <border>
      <left style="hair"/>
      <right/>
      <top style="double"/>
      <bottom style="medium"/>
    </border>
    <border>
      <left style="hair"/>
      <right style="hair"/>
      <top style="hair">
        <color indexed="55"/>
      </top>
      <bottom style="thin"/>
    </border>
    <border>
      <left style="medium"/>
      <right style="thin"/>
      <top style="hair">
        <color indexed="55"/>
      </top>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medium"/>
    </border>
    <border>
      <left style="medium"/>
      <right style="hair"/>
      <top style="thin"/>
      <bottom style="hair"/>
    </border>
    <border>
      <left style="medium"/>
      <right style="hair"/>
      <top style="hair"/>
      <bottom style="thin"/>
    </border>
    <border>
      <left style="medium"/>
      <right style="hair"/>
      <top>
        <color indexed="63"/>
      </top>
      <bottom>
        <color indexed="63"/>
      </bottom>
    </border>
    <border>
      <left style="medium"/>
      <right style="hair"/>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thin"/>
      <bottom>
        <color indexed="63"/>
      </bottom>
    </border>
    <border>
      <left style="medium"/>
      <right style="hair"/>
      <top>
        <color indexed="63"/>
      </top>
      <bottom style="mediu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hair"/>
      <right/>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 fillId="0" borderId="0" applyNumberFormat="0" applyFill="0" applyBorder="0" applyAlignment="0" applyProtection="0"/>
    <xf numFmtId="0" fontId="49" fillId="32" borderId="0" applyNumberFormat="0" applyBorder="0" applyAlignment="0" applyProtection="0"/>
  </cellStyleXfs>
  <cellXfs count="28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3" fontId="2" fillId="33" borderId="19"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0" fontId="2" fillId="0" borderId="19" xfId="0" applyFont="1" applyBorder="1" applyAlignment="1">
      <alignment horizontal="distributed" vertical="center"/>
    </xf>
    <xf numFmtId="0" fontId="2" fillId="0" borderId="21" xfId="0" applyFont="1" applyBorder="1" applyAlignment="1">
      <alignment horizontal="distributed" vertical="center"/>
    </xf>
    <xf numFmtId="0" fontId="6" fillId="0" borderId="21" xfId="0" applyFont="1" applyBorder="1" applyAlignment="1">
      <alignment horizontal="distributed" vertical="center"/>
    </xf>
    <xf numFmtId="0" fontId="2" fillId="0" borderId="22" xfId="0" applyFont="1" applyBorder="1" applyAlignment="1">
      <alignment horizontal="distributed" vertical="center"/>
    </xf>
    <xf numFmtId="3" fontId="2" fillId="34" borderId="23" xfId="0" applyNumberFormat="1" applyFont="1" applyFill="1" applyBorder="1" applyAlignment="1">
      <alignment horizontal="right" vertical="center"/>
    </xf>
    <xf numFmtId="3" fontId="2" fillId="34" borderId="24"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0" fontId="2" fillId="0" borderId="26" xfId="0" applyFont="1" applyBorder="1" applyAlignment="1">
      <alignment horizontal="distributed" vertical="center"/>
    </xf>
    <xf numFmtId="3" fontId="2" fillId="34" borderId="27" xfId="0" applyNumberFormat="1" applyFont="1" applyFill="1" applyBorder="1" applyAlignment="1">
      <alignment horizontal="right" vertical="center"/>
    </xf>
    <xf numFmtId="3" fontId="2" fillId="33" borderId="26"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29" xfId="0" applyFont="1" applyFill="1" applyBorder="1" applyAlignment="1">
      <alignment horizontal="right" vertical="top"/>
    </xf>
    <xf numFmtId="0" fontId="2" fillId="0" borderId="30"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0" borderId="32" xfId="0" applyFont="1" applyFill="1" applyBorder="1" applyAlignment="1">
      <alignment horizontal="center" vertical="center"/>
    </xf>
    <xf numFmtId="0" fontId="7" fillId="33" borderId="18"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3" xfId="0" applyNumberFormat="1" applyFont="1" applyFill="1" applyBorder="1" applyAlignment="1">
      <alignment horizontal="right" vertical="center"/>
    </xf>
    <xf numFmtId="0" fontId="2" fillId="0" borderId="32"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8"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5" fillId="0" borderId="0" xfId="0" applyFont="1" applyAlignment="1">
      <alignment horizontal="center" vertical="top"/>
    </xf>
    <xf numFmtId="0" fontId="2" fillId="0" borderId="19"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0" xfId="61" applyFont="1" applyBorder="1" applyAlignment="1">
      <alignment horizontal="left" vertical="center"/>
      <protection/>
    </xf>
    <xf numFmtId="0" fontId="2" fillId="0" borderId="38" xfId="61" applyFont="1" applyBorder="1" applyAlignment="1">
      <alignment horizontal="distributed" vertical="center" indent="1"/>
      <protection/>
    </xf>
    <xf numFmtId="0" fontId="2" fillId="0" borderId="39" xfId="61" applyFont="1" applyBorder="1" applyAlignment="1">
      <alignment horizontal="distributed" vertical="center" indent="1"/>
      <protection/>
    </xf>
    <xf numFmtId="0" fontId="2" fillId="0" borderId="39" xfId="61" applyFont="1" applyBorder="1" applyAlignment="1">
      <alignment horizontal="center" vertical="center" wrapText="1"/>
      <protection/>
    </xf>
    <xf numFmtId="0" fontId="7" fillId="35" borderId="32"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4" borderId="29" xfId="61" applyFont="1" applyFill="1" applyBorder="1" applyAlignment="1">
      <alignment horizontal="right" vertical="top"/>
      <protection/>
    </xf>
    <xf numFmtId="0" fontId="7" fillId="34" borderId="40" xfId="61" applyFont="1" applyFill="1" applyBorder="1" applyAlignment="1">
      <alignment horizontal="right" vertical="top"/>
      <protection/>
    </xf>
    <xf numFmtId="0" fontId="7" fillId="35" borderId="37" xfId="61" applyFont="1" applyFill="1" applyBorder="1" applyAlignment="1">
      <alignment horizontal="distributed" vertical="top"/>
      <protection/>
    </xf>
    <xf numFmtId="0" fontId="2" fillId="36" borderId="41" xfId="61" applyFont="1" applyFill="1" applyBorder="1" applyAlignment="1">
      <alignment horizontal="distributed" vertical="center"/>
      <protection/>
    </xf>
    <xf numFmtId="0" fontId="2" fillId="36" borderId="42" xfId="61" applyFont="1" applyFill="1" applyBorder="1" applyAlignment="1">
      <alignment horizontal="distributed" vertical="center"/>
      <protection/>
    </xf>
    <xf numFmtId="0" fontId="2" fillId="36" borderId="43" xfId="61" applyFont="1" applyFill="1" applyBorder="1" applyAlignment="1">
      <alignment horizontal="distributed" vertical="center"/>
      <protection/>
    </xf>
    <xf numFmtId="0" fontId="6" fillId="36" borderId="44" xfId="61" applyFont="1" applyFill="1" applyBorder="1" applyAlignment="1">
      <alignment horizontal="distributed" vertical="center"/>
      <protection/>
    </xf>
    <xf numFmtId="0" fontId="8" fillId="0" borderId="45" xfId="61" applyFont="1" applyFill="1" applyBorder="1" applyAlignment="1">
      <alignment horizontal="distributed" vertical="center"/>
      <protection/>
    </xf>
    <xf numFmtId="0" fontId="8" fillId="0" borderId="46" xfId="61" applyFont="1" applyFill="1" applyBorder="1" applyAlignment="1">
      <alignment horizontal="center" vertical="center"/>
      <protection/>
    </xf>
    <xf numFmtId="0" fontId="6" fillId="0" borderId="47" xfId="61" applyFont="1" applyBorder="1" applyAlignment="1">
      <alignment horizontal="center" vertical="center"/>
      <protection/>
    </xf>
    <xf numFmtId="0" fontId="6" fillId="0" borderId="48" xfId="61" applyFont="1" applyBorder="1" applyAlignment="1">
      <alignment horizontal="center" vertical="center"/>
      <protection/>
    </xf>
    <xf numFmtId="0" fontId="6" fillId="36" borderId="49" xfId="61" applyFont="1" applyFill="1" applyBorder="1" applyAlignment="1">
      <alignment horizontal="distributed" vertical="center"/>
      <protection/>
    </xf>
    <xf numFmtId="0" fontId="2" fillId="36" borderId="50" xfId="61" applyFont="1" applyFill="1" applyBorder="1" applyAlignment="1">
      <alignment horizontal="distributed" vertical="center"/>
      <protection/>
    </xf>
    <xf numFmtId="0" fontId="2" fillId="36" borderId="51" xfId="61" applyFont="1" applyFill="1" applyBorder="1" applyAlignment="1">
      <alignment horizontal="distributed" vertical="center"/>
      <protection/>
    </xf>
    <xf numFmtId="0" fontId="2" fillId="0" borderId="52" xfId="61" applyFont="1" applyBorder="1" applyAlignment="1">
      <alignment horizontal="distributed" vertical="center" indent="1"/>
      <protection/>
    </xf>
    <xf numFmtId="0" fontId="2" fillId="0" borderId="52" xfId="61" applyFont="1" applyBorder="1" applyAlignment="1">
      <alignment horizontal="centerContinuous" vertical="center" wrapText="1"/>
      <protection/>
    </xf>
    <xf numFmtId="0" fontId="7" fillId="33" borderId="40" xfId="61" applyFont="1" applyFill="1" applyBorder="1" applyAlignment="1">
      <alignment horizontal="right" vertical="top"/>
      <protection/>
    </xf>
    <xf numFmtId="0" fontId="8" fillId="0" borderId="53" xfId="61" applyFont="1" applyFill="1" applyBorder="1" applyAlignment="1">
      <alignment horizontal="center" vertical="center"/>
      <protection/>
    </xf>
    <xf numFmtId="0" fontId="6" fillId="0" borderId="54" xfId="61" applyFont="1" applyBorder="1" applyAlignment="1">
      <alignment horizontal="center" vertical="center"/>
      <protection/>
    </xf>
    <xf numFmtId="0" fontId="9" fillId="0" borderId="0" xfId="61" applyFont="1" applyAlignment="1">
      <alignment horizontal="right" vertical="top"/>
      <protection/>
    </xf>
    <xf numFmtId="0" fontId="10" fillId="0" borderId="0" xfId="61" applyFont="1">
      <alignment/>
      <protection/>
    </xf>
    <xf numFmtId="0" fontId="11" fillId="0" borderId="0" xfId="61" applyFont="1">
      <alignment/>
      <protection/>
    </xf>
    <xf numFmtId="0" fontId="9" fillId="0" borderId="0" xfId="61" applyFont="1" applyAlignment="1">
      <alignment vertical="top"/>
      <protection/>
    </xf>
    <xf numFmtId="0" fontId="7" fillId="35" borderId="55" xfId="61" applyFont="1" applyFill="1" applyBorder="1" applyAlignment="1">
      <alignment horizontal="distributed" vertical="top"/>
      <protection/>
    </xf>
    <xf numFmtId="0" fontId="2" fillId="36" borderId="56" xfId="61" applyFont="1" applyFill="1" applyBorder="1" applyAlignment="1">
      <alignment horizontal="distributed" vertical="center"/>
      <protection/>
    </xf>
    <xf numFmtId="0" fontId="2" fillId="36" borderId="57" xfId="61" applyFont="1" applyFill="1" applyBorder="1" applyAlignment="1">
      <alignment horizontal="distributed" vertical="center"/>
      <protection/>
    </xf>
    <xf numFmtId="0" fontId="2" fillId="36" borderId="58" xfId="61" applyFont="1" applyFill="1" applyBorder="1" applyAlignment="1">
      <alignment horizontal="distributed" vertical="center"/>
      <protection/>
    </xf>
    <xf numFmtId="0" fontId="12" fillId="37" borderId="56" xfId="61" applyFont="1" applyFill="1" applyBorder="1" applyAlignment="1">
      <alignment horizontal="distributed" vertical="center"/>
      <protection/>
    </xf>
    <xf numFmtId="0" fontId="7" fillId="35" borderId="59" xfId="61" applyFont="1" applyFill="1" applyBorder="1" applyAlignment="1">
      <alignment horizontal="distributed" vertical="top"/>
      <protection/>
    </xf>
    <xf numFmtId="0" fontId="7" fillId="28" borderId="13" xfId="61" applyFont="1" applyFill="1" applyBorder="1" applyAlignment="1">
      <alignment horizontal="right" vertical="top"/>
      <protection/>
    </xf>
    <xf numFmtId="0" fontId="2" fillId="36" borderId="60" xfId="61" applyFont="1" applyFill="1" applyBorder="1" applyAlignment="1">
      <alignment horizontal="distributed" vertical="center"/>
      <protection/>
    </xf>
    <xf numFmtId="0" fontId="2" fillId="36" borderId="61" xfId="61" applyFont="1" applyFill="1" applyBorder="1" applyAlignment="1">
      <alignment horizontal="distributed" vertical="center"/>
      <protection/>
    </xf>
    <xf numFmtId="3" fontId="2" fillId="34"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6" fillId="34" borderId="63" xfId="0" applyNumberFormat="1" applyFont="1" applyFill="1" applyBorder="1" applyAlignment="1">
      <alignment horizontal="right" vertical="center"/>
    </xf>
    <xf numFmtId="3" fontId="6" fillId="33" borderId="21" xfId="0" applyNumberFormat="1" applyFont="1" applyFill="1" applyBorder="1" applyAlignment="1">
      <alignment horizontal="right" vertical="center"/>
    </xf>
    <xf numFmtId="3" fontId="6" fillId="33" borderId="64" xfId="0" applyNumberFormat="1" applyFont="1" applyFill="1" applyBorder="1" applyAlignment="1">
      <alignment horizontal="right" vertical="center"/>
    </xf>
    <xf numFmtId="3" fontId="2" fillId="34" borderId="65" xfId="0" applyNumberFormat="1" applyFont="1" applyFill="1" applyBorder="1" applyAlignment="1">
      <alignment horizontal="right" vertical="center"/>
    </xf>
    <xf numFmtId="3" fontId="2" fillId="33" borderId="66" xfId="0" applyNumberFormat="1" applyFont="1" applyFill="1" applyBorder="1" applyAlignment="1">
      <alignment horizontal="right" vertical="center"/>
    </xf>
    <xf numFmtId="3" fontId="2" fillId="33" borderId="67" xfId="0" applyNumberFormat="1" applyFont="1" applyFill="1" applyBorder="1" applyAlignment="1">
      <alignment horizontal="right" vertical="center"/>
    </xf>
    <xf numFmtId="3" fontId="2" fillId="34" borderId="68" xfId="0" applyNumberFormat="1" applyFont="1" applyFill="1" applyBorder="1" applyAlignment="1">
      <alignment horizontal="right" vertical="center"/>
    </xf>
    <xf numFmtId="3" fontId="2" fillId="34" borderId="68" xfId="0" applyNumberFormat="1" applyFont="1" applyFill="1" applyBorder="1" applyAlignment="1">
      <alignment vertical="center"/>
    </xf>
    <xf numFmtId="3" fontId="2" fillId="34"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0" fontId="0" fillId="0" borderId="0" xfId="61" applyFont="1">
      <alignment/>
      <protection/>
    </xf>
    <xf numFmtId="177" fontId="2" fillId="34" borderId="33" xfId="61" applyNumberFormat="1" applyFont="1" applyFill="1" applyBorder="1" applyAlignment="1">
      <alignment horizontal="right" vertical="center"/>
      <protection/>
    </xf>
    <xf numFmtId="177" fontId="2" fillId="33" borderId="30" xfId="61" applyNumberFormat="1" applyFont="1" applyFill="1" applyBorder="1" applyAlignment="1">
      <alignment horizontal="right" vertical="center"/>
      <protection/>
    </xf>
    <xf numFmtId="177" fontId="2" fillId="33" borderId="72" xfId="61" applyNumberFormat="1" applyFont="1" applyFill="1" applyBorder="1" applyAlignment="1">
      <alignment horizontal="right" vertical="center"/>
      <protection/>
    </xf>
    <xf numFmtId="177" fontId="2" fillId="34" borderId="73" xfId="61" applyNumberFormat="1" applyFont="1" applyFill="1" applyBorder="1" applyAlignment="1">
      <alignment horizontal="right" vertical="center"/>
      <protection/>
    </xf>
    <xf numFmtId="177" fontId="2" fillId="33" borderId="21" xfId="61" applyNumberFormat="1" applyFont="1" applyFill="1" applyBorder="1" applyAlignment="1">
      <alignment horizontal="right" vertical="center"/>
      <protection/>
    </xf>
    <xf numFmtId="177" fontId="2" fillId="33" borderId="74" xfId="61" applyNumberFormat="1" applyFont="1" applyFill="1" applyBorder="1" applyAlignment="1">
      <alignment horizontal="right" vertical="center"/>
      <protection/>
    </xf>
    <xf numFmtId="177" fontId="6" fillId="34" borderId="75" xfId="61" applyNumberFormat="1" applyFont="1" applyFill="1" applyBorder="1" applyAlignment="1">
      <alignment horizontal="right" vertical="center"/>
      <protection/>
    </xf>
    <xf numFmtId="177" fontId="6" fillId="33" borderId="76" xfId="61" applyNumberFormat="1" applyFont="1" applyFill="1" applyBorder="1" applyAlignment="1">
      <alignment horizontal="right" vertical="center"/>
      <protection/>
    </xf>
    <xf numFmtId="177" fontId="6" fillId="33" borderId="77" xfId="61" applyNumberFormat="1" applyFont="1" applyFill="1" applyBorder="1" applyAlignment="1">
      <alignment horizontal="right" vertical="center"/>
      <protection/>
    </xf>
    <xf numFmtId="177" fontId="2" fillId="0" borderId="78" xfId="61" applyNumberFormat="1" applyFont="1" applyFill="1" applyBorder="1" applyAlignment="1">
      <alignment horizontal="right" vertical="center"/>
      <protection/>
    </xf>
    <xf numFmtId="177" fontId="2" fillId="0" borderId="79" xfId="61" applyNumberFormat="1" applyFont="1" applyFill="1" applyBorder="1" applyAlignment="1">
      <alignment horizontal="right" vertical="center"/>
      <protection/>
    </xf>
    <xf numFmtId="177" fontId="2" fillId="0" borderId="80" xfId="61" applyNumberFormat="1" applyFont="1" applyFill="1" applyBorder="1" applyAlignment="1">
      <alignment horizontal="right" vertical="center"/>
      <protection/>
    </xf>
    <xf numFmtId="177" fontId="6" fillId="34" borderId="81" xfId="61" applyNumberFormat="1" applyFont="1" applyFill="1" applyBorder="1" applyAlignment="1">
      <alignment horizontal="right" vertical="center"/>
      <protection/>
    </xf>
    <xf numFmtId="177" fontId="6" fillId="33" borderId="70" xfId="61" applyNumberFormat="1" applyFont="1" applyFill="1" applyBorder="1" applyAlignment="1">
      <alignment horizontal="right" vertical="center"/>
      <protection/>
    </xf>
    <xf numFmtId="177" fontId="6" fillId="33" borderId="82"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Border="1">
      <alignment/>
      <protection/>
    </xf>
    <xf numFmtId="0" fontId="8" fillId="37" borderId="83" xfId="61" applyFont="1" applyFill="1" applyBorder="1" applyAlignment="1">
      <alignment horizontal="distributed" vertical="center"/>
      <protection/>
    </xf>
    <xf numFmtId="0" fontId="8" fillId="37" borderId="84" xfId="61" applyFont="1" applyFill="1" applyBorder="1" applyAlignment="1">
      <alignment horizontal="center" vertical="center"/>
      <protection/>
    </xf>
    <xf numFmtId="177" fontId="8" fillId="28" borderId="85" xfId="61" applyNumberFormat="1" applyFont="1" applyFill="1" applyBorder="1" applyAlignment="1">
      <alignment horizontal="right" vertical="center"/>
      <protection/>
    </xf>
    <xf numFmtId="177" fontId="8" fillId="38" borderId="86" xfId="61" applyNumberFormat="1" applyFont="1" applyFill="1" applyBorder="1" applyAlignment="1">
      <alignment horizontal="right" vertical="center"/>
      <protection/>
    </xf>
    <xf numFmtId="0" fontId="6" fillId="36" borderId="87" xfId="61" applyFont="1" applyFill="1" applyBorder="1" applyAlignment="1">
      <alignment horizontal="distributed" vertical="center"/>
      <protection/>
    </xf>
    <xf numFmtId="177" fontId="6" fillId="34" borderId="88" xfId="61" applyNumberFormat="1" applyFont="1" applyFill="1" applyBorder="1" applyAlignment="1">
      <alignment horizontal="right" vertical="center"/>
      <protection/>
    </xf>
    <xf numFmtId="177" fontId="6" fillId="33" borderId="66" xfId="61" applyNumberFormat="1" applyFont="1" applyFill="1" applyBorder="1" applyAlignment="1">
      <alignment horizontal="right" vertical="center"/>
      <protection/>
    </xf>
    <xf numFmtId="177" fontId="6" fillId="33" borderId="89" xfId="61" applyNumberFormat="1" applyFont="1" applyFill="1" applyBorder="1" applyAlignment="1">
      <alignment horizontal="right" vertical="center"/>
      <protection/>
    </xf>
    <xf numFmtId="0" fontId="6" fillId="36" borderId="90" xfId="61" applyFont="1" applyFill="1" applyBorder="1" applyAlignment="1">
      <alignment horizontal="distributed" vertical="center"/>
      <protection/>
    </xf>
    <xf numFmtId="0" fontId="8" fillId="0" borderId="91" xfId="61" applyFont="1" applyFill="1" applyBorder="1" applyAlignment="1">
      <alignment horizontal="distributed" vertical="center"/>
      <protection/>
    </xf>
    <xf numFmtId="177" fontId="8" fillId="0" borderId="92" xfId="61" applyNumberFormat="1" applyFont="1" applyFill="1" applyBorder="1" applyAlignment="1">
      <alignment horizontal="right" vertical="center"/>
      <protection/>
    </xf>
    <xf numFmtId="177" fontId="8" fillId="0" borderId="93" xfId="61" applyNumberFormat="1" applyFont="1" applyFill="1" applyBorder="1" applyAlignment="1">
      <alignment horizontal="right" vertical="center"/>
      <protection/>
    </xf>
    <xf numFmtId="177" fontId="8" fillId="0" borderId="94" xfId="61" applyNumberFormat="1" applyFont="1" applyFill="1" applyBorder="1" applyAlignment="1">
      <alignment horizontal="right" vertical="center"/>
      <protection/>
    </xf>
    <xf numFmtId="0" fontId="8" fillId="0" borderId="95" xfId="61" applyFont="1" applyFill="1" applyBorder="1" applyAlignment="1">
      <alignment horizontal="center" vertical="center"/>
      <protection/>
    </xf>
    <xf numFmtId="0" fontId="6" fillId="36" borderId="96" xfId="61" applyFont="1" applyFill="1" applyBorder="1" applyAlignment="1">
      <alignment horizontal="distributed" vertical="center"/>
      <protection/>
    </xf>
    <xf numFmtId="177" fontId="6" fillId="34" borderId="97" xfId="61" applyNumberFormat="1" applyFont="1" applyFill="1" applyBorder="1" applyAlignment="1">
      <alignment horizontal="right" vertical="center"/>
      <protection/>
    </xf>
    <xf numFmtId="177" fontId="6" fillId="33" borderId="98" xfId="61" applyNumberFormat="1" applyFont="1" applyFill="1" applyBorder="1" applyAlignment="1">
      <alignment horizontal="right" vertical="center"/>
      <protection/>
    </xf>
    <xf numFmtId="177" fontId="6" fillId="33" borderId="99" xfId="61" applyNumberFormat="1" applyFont="1" applyFill="1" applyBorder="1" applyAlignment="1">
      <alignment horizontal="right" vertical="center"/>
      <protection/>
    </xf>
    <xf numFmtId="0" fontId="6" fillId="36" borderId="100" xfId="61" applyFont="1" applyFill="1" applyBorder="1" applyAlignment="1">
      <alignment horizontal="distributed" vertical="center"/>
      <protection/>
    </xf>
    <xf numFmtId="0" fontId="8" fillId="37" borderId="91" xfId="61" applyFont="1" applyFill="1" applyBorder="1" applyAlignment="1">
      <alignment horizontal="distributed" vertical="center"/>
      <protection/>
    </xf>
    <xf numFmtId="177" fontId="8" fillId="28" borderId="94" xfId="61" applyNumberFormat="1" applyFont="1" applyFill="1" applyBorder="1" applyAlignment="1">
      <alignment horizontal="right" vertical="center"/>
      <protection/>
    </xf>
    <xf numFmtId="177" fontId="8" fillId="38" borderId="93" xfId="61" applyNumberFormat="1" applyFont="1" applyFill="1" applyBorder="1" applyAlignment="1">
      <alignment horizontal="right" vertical="center"/>
      <protection/>
    </xf>
    <xf numFmtId="177" fontId="8" fillId="38" borderId="101" xfId="61" applyNumberFormat="1" applyFont="1" applyFill="1" applyBorder="1" applyAlignment="1">
      <alignment horizontal="right" vertical="center"/>
      <protection/>
    </xf>
    <xf numFmtId="0" fontId="8" fillId="37" borderId="95" xfId="61" applyFont="1" applyFill="1" applyBorder="1" applyAlignment="1">
      <alignment horizontal="center" vertical="center"/>
      <protection/>
    </xf>
    <xf numFmtId="0" fontId="6" fillId="37" borderId="87" xfId="61" applyFont="1" applyFill="1" applyBorder="1" applyAlignment="1">
      <alignment horizontal="distributed" vertical="center"/>
      <protection/>
    </xf>
    <xf numFmtId="177" fontId="6" fillId="28" borderId="88" xfId="61" applyNumberFormat="1" applyFont="1" applyFill="1" applyBorder="1" applyAlignment="1">
      <alignment horizontal="right" vertical="center"/>
      <protection/>
    </xf>
    <xf numFmtId="177" fontId="6" fillId="38" borderId="66" xfId="61" applyNumberFormat="1" applyFont="1" applyFill="1" applyBorder="1" applyAlignment="1">
      <alignment horizontal="right" vertical="center"/>
      <protection/>
    </xf>
    <xf numFmtId="3" fontId="2" fillId="34" borderId="102" xfId="0" applyNumberFormat="1" applyFont="1" applyFill="1" applyBorder="1" applyAlignment="1">
      <alignment horizontal="right" vertical="center"/>
    </xf>
    <xf numFmtId="3" fontId="2" fillId="34" borderId="103" xfId="0" applyNumberFormat="1" applyFont="1" applyFill="1" applyBorder="1" applyAlignment="1">
      <alignment vertical="center"/>
    </xf>
    <xf numFmtId="3" fontId="2" fillId="34" borderId="104" xfId="0" applyNumberFormat="1" applyFont="1" applyFill="1" applyBorder="1" applyAlignment="1">
      <alignment vertical="center"/>
    </xf>
    <xf numFmtId="3" fontId="2" fillId="34" borderId="54" xfId="0" applyNumberFormat="1" applyFont="1" applyFill="1" applyBorder="1" applyAlignment="1">
      <alignment vertical="center"/>
    </xf>
    <xf numFmtId="0" fontId="2" fillId="36" borderId="100" xfId="61" applyFont="1" applyFill="1" applyBorder="1" applyAlignment="1">
      <alignment horizontal="distributed" vertical="center"/>
      <protection/>
    </xf>
    <xf numFmtId="0" fontId="2" fillId="36" borderId="105" xfId="61" applyFont="1" applyFill="1" applyBorder="1" applyAlignment="1">
      <alignment horizontal="distributed" vertical="center"/>
      <protection/>
    </xf>
    <xf numFmtId="0" fontId="8" fillId="0" borderId="106" xfId="61" applyFont="1" applyFill="1" applyBorder="1" applyAlignment="1">
      <alignment horizontal="distributed" vertical="center"/>
      <protection/>
    </xf>
    <xf numFmtId="177" fontId="8" fillId="0" borderId="78" xfId="61" applyNumberFormat="1" applyFont="1" applyFill="1" applyBorder="1" applyAlignment="1">
      <alignment horizontal="right" vertical="center"/>
      <protection/>
    </xf>
    <xf numFmtId="177" fontId="8" fillId="0" borderId="79" xfId="61" applyNumberFormat="1" applyFont="1" applyFill="1" applyBorder="1" applyAlignment="1">
      <alignment horizontal="right" vertical="center"/>
      <protection/>
    </xf>
    <xf numFmtId="177" fontId="8" fillId="0" borderId="80" xfId="61" applyNumberFormat="1" applyFont="1" applyFill="1" applyBorder="1" applyAlignment="1">
      <alignment horizontal="right" vertical="center"/>
      <protection/>
    </xf>
    <xf numFmtId="0" fontId="8" fillId="0" borderId="107" xfId="61" applyFont="1" applyFill="1" applyBorder="1" applyAlignment="1">
      <alignment horizontal="center" vertical="center"/>
      <protection/>
    </xf>
    <xf numFmtId="3" fontId="50" fillId="34" borderId="62" xfId="0" applyNumberFormat="1" applyFont="1" applyFill="1" applyBorder="1" applyAlignment="1">
      <alignment horizontal="right" vertical="center"/>
    </xf>
    <xf numFmtId="3" fontId="50" fillId="34" borderId="63" xfId="0" applyNumberFormat="1" applyFont="1" applyFill="1" applyBorder="1" applyAlignment="1">
      <alignment horizontal="right" vertical="center"/>
    </xf>
    <xf numFmtId="3" fontId="51" fillId="34" borderId="63" xfId="0" applyNumberFormat="1" applyFont="1" applyFill="1" applyBorder="1" applyAlignment="1">
      <alignment horizontal="right" vertical="center"/>
    </xf>
    <xf numFmtId="3" fontId="50" fillId="34" borderId="65" xfId="0" applyNumberFormat="1" applyFont="1" applyFill="1" applyBorder="1" applyAlignment="1">
      <alignment horizontal="right" vertical="center"/>
    </xf>
    <xf numFmtId="3" fontId="50" fillId="34" borderId="23" xfId="0" applyNumberFormat="1" applyFont="1" applyFill="1" applyBorder="1" applyAlignment="1">
      <alignment horizontal="right" vertical="center"/>
    </xf>
    <xf numFmtId="3" fontId="50" fillId="34" borderId="27" xfId="0" applyNumberFormat="1" applyFont="1" applyFill="1" applyBorder="1" applyAlignment="1">
      <alignment horizontal="right" vertical="center"/>
    </xf>
    <xf numFmtId="177" fontId="50" fillId="33" borderId="30" xfId="61" applyNumberFormat="1" applyFont="1" applyFill="1" applyBorder="1" applyAlignment="1">
      <alignment horizontal="right" vertical="center"/>
      <protection/>
    </xf>
    <xf numFmtId="177" fontId="50" fillId="33" borderId="21" xfId="61" applyNumberFormat="1" applyFont="1" applyFill="1" applyBorder="1" applyAlignment="1">
      <alignment horizontal="right" vertical="center"/>
      <protection/>
    </xf>
    <xf numFmtId="177" fontId="50" fillId="33" borderId="72" xfId="61" applyNumberFormat="1" applyFont="1" applyFill="1" applyBorder="1" applyAlignment="1">
      <alignment horizontal="right" vertical="center"/>
      <protection/>
    </xf>
    <xf numFmtId="177" fontId="50" fillId="33" borderId="74" xfId="61" applyNumberFormat="1" applyFont="1" applyFill="1" applyBorder="1" applyAlignment="1">
      <alignment horizontal="right" vertical="center"/>
      <protection/>
    </xf>
    <xf numFmtId="177" fontId="50" fillId="34" borderId="73" xfId="61" applyNumberFormat="1" applyFont="1" applyFill="1" applyBorder="1" applyAlignment="1">
      <alignment horizontal="right" vertical="center"/>
      <protection/>
    </xf>
    <xf numFmtId="177" fontId="51" fillId="34" borderId="88" xfId="61" applyNumberFormat="1" applyFont="1" applyFill="1" applyBorder="1" applyAlignment="1">
      <alignment horizontal="right" vertical="center"/>
      <protection/>
    </xf>
    <xf numFmtId="177" fontId="50" fillId="34" borderId="33" xfId="61" applyNumberFormat="1" applyFont="1" applyFill="1" applyBorder="1" applyAlignment="1">
      <alignment horizontal="right" vertical="center"/>
      <protection/>
    </xf>
    <xf numFmtId="177" fontId="51" fillId="33" borderId="76" xfId="61" applyNumberFormat="1" applyFont="1" applyFill="1" applyBorder="1" applyAlignment="1">
      <alignment horizontal="right" vertical="center"/>
      <protection/>
    </xf>
    <xf numFmtId="177" fontId="52" fillId="38" borderId="108" xfId="61" applyNumberFormat="1" applyFont="1" applyFill="1" applyBorder="1" applyAlignment="1">
      <alignment horizontal="right" vertical="center"/>
      <protection/>
    </xf>
    <xf numFmtId="177" fontId="51" fillId="33" borderId="66" xfId="61" applyNumberFormat="1" applyFont="1" applyFill="1" applyBorder="1" applyAlignment="1">
      <alignment horizontal="right" vertical="center"/>
      <protection/>
    </xf>
    <xf numFmtId="177" fontId="51" fillId="33" borderId="77" xfId="61" applyNumberFormat="1" applyFont="1" applyFill="1" applyBorder="1" applyAlignment="1">
      <alignment horizontal="right" vertical="center"/>
      <protection/>
    </xf>
    <xf numFmtId="177" fontId="52" fillId="38" borderId="86" xfId="61" applyNumberFormat="1" applyFont="1" applyFill="1" applyBorder="1" applyAlignment="1">
      <alignment horizontal="right" vertical="center"/>
      <protection/>
    </xf>
    <xf numFmtId="177" fontId="51" fillId="33" borderId="89" xfId="61" applyNumberFormat="1" applyFont="1" applyFill="1" applyBorder="1" applyAlignment="1">
      <alignment horizontal="right" vertical="center"/>
      <protection/>
    </xf>
    <xf numFmtId="177" fontId="52" fillId="38" borderId="101" xfId="61" applyNumberFormat="1" applyFont="1" applyFill="1" applyBorder="1" applyAlignment="1">
      <alignment horizontal="right" vertical="center"/>
      <protection/>
    </xf>
    <xf numFmtId="177" fontId="51" fillId="34" borderId="75" xfId="61" applyNumberFormat="1" applyFont="1" applyFill="1" applyBorder="1" applyAlignment="1">
      <alignment horizontal="right" vertical="center"/>
      <protection/>
    </xf>
    <xf numFmtId="177" fontId="52" fillId="28" borderId="94" xfId="61" applyNumberFormat="1" applyFont="1" applyFill="1" applyBorder="1" applyAlignment="1">
      <alignment horizontal="right" vertical="center"/>
      <protection/>
    </xf>
    <xf numFmtId="177" fontId="51" fillId="34" borderId="97" xfId="61" applyNumberFormat="1" applyFont="1" applyFill="1" applyBorder="1" applyAlignment="1">
      <alignment horizontal="right" vertical="center"/>
      <protection/>
    </xf>
    <xf numFmtId="177" fontId="52" fillId="0" borderId="94" xfId="61" applyNumberFormat="1" applyFont="1" applyFill="1" applyBorder="1" applyAlignment="1">
      <alignment horizontal="right" vertical="center"/>
      <protection/>
    </xf>
    <xf numFmtId="177" fontId="51" fillId="34" borderId="81" xfId="61" applyNumberFormat="1" applyFont="1" applyFill="1" applyBorder="1" applyAlignment="1">
      <alignment horizontal="right" vertical="center"/>
      <protection/>
    </xf>
    <xf numFmtId="177" fontId="51" fillId="33" borderId="70" xfId="61" applyNumberFormat="1" applyFont="1" applyFill="1" applyBorder="1" applyAlignment="1">
      <alignment horizontal="right" vertical="center"/>
      <protection/>
    </xf>
    <xf numFmtId="41" fontId="2" fillId="34" borderId="33" xfId="61" applyNumberFormat="1" applyFont="1" applyFill="1" applyBorder="1" applyAlignment="1">
      <alignment horizontal="right" vertical="center"/>
      <protection/>
    </xf>
    <xf numFmtId="41" fontId="2" fillId="34" borderId="62" xfId="61" applyNumberFormat="1" applyFont="1" applyFill="1" applyBorder="1" applyAlignment="1">
      <alignment horizontal="right" vertical="center"/>
      <protection/>
    </xf>
    <xf numFmtId="41" fontId="2" fillId="34" borderId="72" xfId="61" applyNumberFormat="1" applyFont="1" applyFill="1" applyBorder="1" applyAlignment="1">
      <alignment horizontal="right" vertical="center"/>
      <protection/>
    </xf>
    <xf numFmtId="41" fontId="6" fillId="34" borderId="88" xfId="61" applyNumberFormat="1" applyFont="1" applyFill="1" applyBorder="1" applyAlignment="1">
      <alignment horizontal="right" vertical="center"/>
      <protection/>
    </xf>
    <xf numFmtId="41" fontId="6" fillId="34" borderId="65" xfId="61" applyNumberFormat="1" applyFont="1" applyFill="1" applyBorder="1" applyAlignment="1">
      <alignment horizontal="right" vertical="center"/>
      <protection/>
    </xf>
    <xf numFmtId="41" fontId="6" fillId="34" borderId="89" xfId="61" applyNumberFormat="1" applyFont="1" applyFill="1" applyBorder="1" applyAlignment="1">
      <alignment horizontal="right" vertical="center"/>
      <protection/>
    </xf>
    <xf numFmtId="41" fontId="2" fillId="0" borderId="94" xfId="61" applyNumberFormat="1" applyFont="1" applyFill="1" applyBorder="1" applyAlignment="1">
      <alignment horizontal="right" vertical="center"/>
      <protection/>
    </xf>
    <xf numFmtId="41" fontId="2" fillId="0" borderId="109" xfId="61" applyNumberFormat="1" applyFont="1" applyFill="1" applyBorder="1" applyAlignment="1">
      <alignment horizontal="right" vertical="center"/>
      <protection/>
    </xf>
    <xf numFmtId="41" fontId="2" fillId="0" borderId="101" xfId="61" applyNumberFormat="1" applyFont="1" applyFill="1" applyBorder="1" applyAlignment="1">
      <alignment horizontal="right" vertical="center"/>
      <protection/>
    </xf>
    <xf numFmtId="41" fontId="2" fillId="28" borderId="94" xfId="61" applyNumberFormat="1" applyFont="1" applyFill="1" applyBorder="1" applyAlignment="1">
      <alignment horizontal="right" vertical="center"/>
      <protection/>
    </xf>
    <xf numFmtId="41" fontId="2" fillId="28" borderId="109" xfId="61" applyNumberFormat="1" applyFont="1" applyFill="1" applyBorder="1" applyAlignment="1">
      <alignment horizontal="right" vertical="center"/>
      <protection/>
    </xf>
    <xf numFmtId="41" fontId="2" fillId="28" borderId="101" xfId="61" applyNumberFormat="1" applyFont="1" applyFill="1" applyBorder="1" applyAlignment="1">
      <alignment horizontal="right" vertical="center"/>
      <protection/>
    </xf>
    <xf numFmtId="41" fontId="6" fillId="34" borderId="97" xfId="61" applyNumberFormat="1" applyFont="1" applyFill="1" applyBorder="1" applyAlignment="1">
      <alignment horizontal="right" vertical="center"/>
      <protection/>
    </xf>
    <xf numFmtId="41" fontId="6" fillId="34" borderId="110" xfId="61" applyNumberFormat="1" applyFont="1" applyFill="1" applyBorder="1" applyAlignment="1">
      <alignment horizontal="right" vertical="center"/>
      <protection/>
    </xf>
    <xf numFmtId="41" fontId="6" fillId="34" borderId="99" xfId="61" applyNumberFormat="1" applyFont="1" applyFill="1" applyBorder="1" applyAlignment="1">
      <alignment horizontal="right" vertical="center"/>
      <protection/>
    </xf>
    <xf numFmtId="41" fontId="6" fillId="34" borderId="75" xfId="61" applyNumberFormat="1" applyFont="1" applyFill="1" applyBorder="1" applyAlignment="1">
      <alignment horizontal="right" vertical="center"/>
      <protection/>
    </xf>
    <xf numFmtId="41" fontId="6" fillId="34" borderId="111" xfId="61" applyNumberFormat="1" applyFont="1" applyFill="1" applyBorder="1" applyAlignment="1">
      <alignment horizontal="right" vertical="center"/>
      <protection/>
    </xf>
    <xf numFmtId="41" fontId="6" fillId="34" borderId="77" xfId="61" applyNumberFormat="1" applyFont="1" applyFill="1" applyBorder="1" applyAlignment="1">
      <alignment horizontal="right" vertical="center"/>
      <protection/>
    </xf>
    <xf numFmtId="41" fontId="2" fillId="0" borderId="112" xfId="61" applyNumberFormat="1" applyFont="1" applyFill="1" applyBorder="1" applyAlignment="1">
      <alignment horizontal="right" vertical="center"/>
      <protection/>
    </xf>
    <xf numFmtId="41" fontId="2" fillId="0" borderId="113" xfId="61" applyNumberFormat="1" applyFont="1" applyFill="1" applyBorder="1" applyAlignment="1">
      <alignment horizontal="right" vertical="center"/>
      <protection/>
    </xf>
    <xf numFmtId="41" fontId="2" fillId="0" borderId="114" xfId="61" applyNumberFormat="1" applyFont="1" applyFill="1" applyBorder="1" applyAlignment="1">
      <alignment horizontal="right" vertical="center"/>
      <protection/>
    </xf>
    <xf numFmtId="41" fontId="6" fillId="34" borderId="115" xfId="61" applyNumberFormat="1" applyFont="1" applyFill="1" applyBorder="1" applyAlignment="1">
      <alignment horizontal="right" vertical="center"/>
      <protection/>
    </xf>
    <xf numFmtId="41" fontId="6" fillId="34" borderId="116" xfId="61" applyNumberFormat="1" applyFont="1" applyFill="1" applyBorder="1" applyAlignment="1">
      <alignment horizontal="right" vertical="center"/>
      <protection/>
    </xf>
    <xf numFmtId="41" fontId="6" fillId="34" borderId="117" xfId="61" applyNumberFormat="1" applyFont="1" applyFill="1" applyBorder="1" applyAlignment="1">
      <alignment horizontal="right" vertical="center"/>
      <protection/>
    </xf>
    <xf numFmtId="0" fontId="2" fillId="0" borderId="22" xfId="0" applyFont="1" applyBorder="1" applyAlignment="1">
      <alignment horizontal="distributed" vertical="center" wrapText="1"/>
    </xf>
    <xf numFmtId="3" fontId="2" fillId="34" borderId="118" xfId="0" applyNumberFormat="1" applyFont="1" applyFill="1" applyBorder="1" applyAlignment="1">
      <alignment horizontal="right" vertical="center"/>
    </xf>
    <xf numFmtId="3" fontId="2" fillId="34" borderId="118" xfId="0" applyNumberFormat="1" applyFont="1" applyFill="1" applyBorder="1" applyAlignment="1">
      <alignment vertical="center"/>
    </xf>
    <xf numFmtId="0" fontId="2" fillId="0" borderId="0" xfId="0" applyFont="1" applyAlignment="1">
      <alignment horizontal="right" vertical="top"/>
    </xf>
    <xf numFmtId="0" fontId="2" fillId="0" borderId="0" xfId="0" applyFont="1" applyBorder="1" applyAlignment="1">
      <alignment horizontal="left" vertical="top" wrapText="1"/>
    </xf>
    <xf numFmtId="0" fontId="2" fillId="0" borderId="29" xfId="0" applyFont="1" applyBorder="1" applyAlignment="1">
      <alignment horizontal="center" vertical="center"/>
    </xf>
    <xf numFmtId="0" fontId="2" fillId="0" borderId="0" xfId="0" applyFont="1" applyFill="1" applyBorder="1" applyAlignment="1">
      <alignment horizontal="distributed" vertical="center"/>
    </xf>
    <xf numFmtId="3" fontId="2" fillId="0" borderId="0" xfId="0" applyNumberFormat="1" applyFont="1" applyFill="1" applyBorder="1" applyAlignment="1">
      <alignment horizontal="right" vertical="center"/>
    </xf>
    <xf numFmtId="0" fontId="2" fillId="0" borderId="0" xfId="0" applyFont="1" applyFill="1" applyAlignment="1">
      <alignment horizontal="left" vertical="top"/>
    </xf>
    <xf numFmtId="0" fontId="2" fillId="36" borderId="119" xfId="61" applyFont="1" applyFill="1" applyBorder="1" applyAlignment="1">
      <alignment horizontal="distributed" vertical="center"/>
      <protection/>
    </xf>
    <xf numFmtId="177" fontId="2" fillId="34" borderId="88" xfId="61" applyNumberFormat="1" applyFont="1" applyFill="1" applyBorder="1" applyAlignment="1">
      <alignment horizontal="right" vertical="center"/>
      <protection/>
    </xf>
    <xf numFmtId="177" fontId="50" fillId="33" borderId="66" xfId="61" applyNumberFormat="1" applyFont="1" applyFill="1" applyBorder="1" applyAlignment="1">
      <alignment horizontal="right" vertical="center"/>
      <protection/>
    </xf>
    <xf numFmtId="177" fontId="50" fillId="33" borderId="89" xfId="61" applyNumberFormat="1" applyFont="1" applyFill="1" applyBorder="1" applyAlignment="1">
      <alignment horizontal="right" vertical="center"/>
      <protection/>
    </xf>
    <xf numFmtId="177" fontId="2" fillId="33" borderId="89" xfId="61" applyNumberFormat="1" applyFont="1" applyFill="1" applyBorder="1" applyAlignment="1">
      <alignment horizontal="right" vertical="center"/>
      <protection/>
    </xf>
    <xf numFmtId="177" fontId="2" fillId="33" borderId="66" xfId="61" applyNumberFormat="1" applyFont="1" applyFill="1" applyBorder="1" applyAlignment="1">
      <alignment horizontal="right" vertical="center"/>
      <protection/>
    </xf>
    <xf numFmtId="0" fontId="2" fillId="36" borderId="90" xfId="61" applyFont="1" applyFill="1" applyBorder="1" applyAlignment="1">
      <alignment horizontal="distributed" vertical="center"/>
      <protection/>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47" xfId="0" applyFont="1" applyBorder="1" applyAlignment="1">
      <alignment horizontal="distributed" vertical="center"/>
    </xf>
    <xf numFmtId="0" fontId="2" fillId="0" borderId="122" xfId="0" applyFont="1" applyBorder="1" applyAlignment="1">
      <alignment horizontal="distributed" vertical="center"/>
    </xf>
    <xf numFmtId="0" fontId="2" fillId="0" borderId="123" xfId="0" applyFont="1" applyBorder="1" applyAlignment="1">
      <alignment horizontal="distributed" vertical="center" wrapText="1"/>
    </xf>
    <xf numFmtId="0" fontId="2" fillId="0" borderId="124" xfId="0" applyFont="1" applyBorder="1" applyAlignment="1">
      <alignment horizontal="distributed" vertical="center"/>
    </xf>
    <xf numFmtId="0" fontId="2" fillId="0" borderId="125" xfId="0" applyFont="1" applyBorder="1" applyAlignment="1">
      <alignment horizontal="distributed" vertical="center" wrapText="1"/>
    </xf>
    <xf numFmtId="0" fontId="2" fillId="0" borderId="125" xfId="0" applyFont="1" applyBorder="1" applyAlignment="1">
      <alignment horizontal="distributed" vertical="center"/>
    </xf>
    <xf numFmtId="0" fontId="2" fillId="0" borderId="126" xfId="0" applyFont="1" applyBorder="1" applyAlignment="1">
      <alignment horizontal="distributed"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96"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32" xfId="0" applyFont="1" applyBorder="1" applyAlignment="1">
      <alignment horizontal="left" vertical="center"/>
    </xf>
    <xf numFmtId="0" fontId="2" fillId="0" borderId="0" xfId="0" applyFont="1" applyAlignment="1">
      <alignment horizontal="left" vertical="center"/>
    </xf>
    <xf numFmtId="0" fontId="2" fillId="0" borderId="16" xfId="61" applyFont="1" applyBorder="1" applyAlignment="1">
      <alignment horizontal="distributed" vertical="center" wrapText="1"/>
      <protection/>
    </xf>
    <xf numFmtId="0" fontId="2" fillId="0" borderId="100" xfId="61" applyFont="1" applyBorder="1" applyAlignment="1">
      <alignment horizontal="distributed" vertical="center" wrapText="1"/>
      <protection/>
    </xf>
    <xf numFmtId="0" fontId="2" fillId="0" borderId="136" xfId="61" applyFont="1" applyBorder="1" applyAlignment="1">
      <alignment horizontal="distributed" vertical="center" wrapText="1"/>
      <protection/>
    </xf>
    <xf numFmtId="0" fontId="2" fillId="0" borderId="137" xfId="61" applyFont="1" applyBorder="1" applyAlignment="1">
      <alignment horizontal="center" vertical="center"/>
      <protection/>
    </xf>
    <xf numFmtId="0" fontId="2" fillId="0" borderId="138" xfId="61" applyFont="1" applyBorder="1" applyAlignment="1">
      <alignment horizontal="center" vertical="center"/>
      <protection/>
    </xf>
    <xf numFmtId="0" fontId="2" fillId="0" borderId="139" xfId="61" applyFont="1" applyBorder="1" applyAlignment="1">
      <alignment horizontal="center" vertical="center"/>
      <protection/>
    </xf>
    <xf numFmtId="0" fontId="2" fillId="0" borderId="132" xfId="61" applyFont="1" applyBorder="1" applyAlignment="1">
      <alignment horizontal="left" vertical="center"/>
      <protection/>
    </xf>
    <xf numFmtId="0" fontId="2" fillId="0" borderId="0" xfId="61" applyFont="1" applyAlignment="1">
      <alignment horizontal="left" vertical="center"/>
      <protection/>
    </xf>
    <xf numFmtId="0" fontId="2" fillId="0" borderId="127" xfId="61" applyFont="1" applyBorder="1" applyAlignment="1">
      <alignment horizontal="distributed" vertical="center"/>
      <protection/>
    </xf>
    <xf numFmtId="0" fontId="2" fillId="0" borderId="96" xfId="61" applyFont="1" applyBorder="1" applyAlignment="1">
      <alignment horizontal="distributed" vertical="center"/>
      <protection/>
    </xf>
    <xf numFmtId="0" fontId="2" fillId="0" borderId="140" xfId="61" applyFont="1" applyBorder="1" applyAlignment="1">
      <alignment horizontal="distributed" vertical="center"/>
      <protection/>
    </xf>
    <xf numFmtId="0" fontId="2" fillId="0" borderId="141" xfId="61" applyFont="1" applyBorder="1" applyAlignment="1">
      <alignment horizontal="center" vertical="center"/>
      <protection/>
    </xf>
    <xf numFmtId="0" fontId="2" fillId="0" borderId="142" xfId="61" applyFont="1" applyBorder="1" applyAlignment="1">
      <alignment horizontal="center" vertical="center"/>
      <protection/>
    </xf>
    <xf numFmtId="0" fontId="2" fillId="0" borderId="143" xfId="61" applyFont="1" applyBorder="1" applyAlignment="1">
      <alignment horizontal="center" vertical="center"/>
      <protection/>
    </xf>
    <xf numFmtId="0" fontId="2" fillId="0" borderId="144" xfId="61" applyFont="1" applyBorder="1" applyAlignment="1">
      <alignment horizontal="center" vertical="center"/>
      <protection/>
    </xf>
    <xf numFmtId="0" fontId="2" fillId="0" borderId="142" xfId="61" applyFont="1" applyBorder="1" applyAlignment="1">
      <alignment horizontal="center" vertical="center" wrapText="1"/>
      <protection/>
    </xf>
    <xf numFmtId="0" fontId="2" fillId="0" borderId="145" xfId="61" applyFont="1" applyBorder="1" applyAlignment="1">
      <alignment horizontal="left" vertical="center"/>
      <protection/>
    </xf>
    <xf numFmtId="0" fontId="2" fillId="0" borderId="141" xfId="61" applyFont="1" applyBorder="1" applyAlignment="1">
      <alignment horizontal="center" vertical="center" wrapText="1"/>
      <protection/>
    </xf>
    <xf numFmtId="0" fontId="2" fillId="0" borderId="146" xfId="61" applyFont="1" applyBorder="1" applyAlignment="1">
      <alignment horizontal="center" vertical="center"/>
      <protection/>
    </xf>
    <xf numFmtId="0" fontId="2" fillId="0" borderId="147" xfId="61" applyFont="1" applyBorder="1" applyAlignment="1">
      <alignment horizontal="center" vertical="center"/>
      <protection/>
    </xf>
    <xf numFmtId="0" fontId="2" fillId="0" borderId="148" xfId="61" applyFont="1" applyBorder="1" applyAlignment="1">
      <alignment horizontal="distributed" vertical="center" wrapText="1"/>
      <protection/>
    </xf>
    <xf numFmtId="0" fontId="2" fillId="0" borderId="149" xfId="61" applyFont="1" applyBorder="1" applyAlignment="1">
      <alignment horizontal="distributed" vertical="center"/>
      <protection/>
    </xf>
    <xf numFmtId="0" fontId="2" fillId="0" borderId="150" xfId="61" applyFont="1" applyBorder="1" applyAlignment="1">
      <alignment horizontal="distributed" vertical="center" wrapText="1"/>
      <protection/>
    </xf>
    <xf numFmtId="0" fontId="2" fillId="0" borderId="151" xfId="61" applyFont="1" applyBorder="1" applyAlignment="1">
      <alignment horizontal="distributed" vertical="center"/>
      <protection/>
    </xf>
    <xf numFmtId="0" fontId="2" fillId="0" borderId="152" xfId="61" applyFont="1" applyBorder="1" applyAlignment="1">
      <alignment horizontal="distributed" vertical="center" wrapText="1"/>
      <protection/>
    </xf>
    <xf numFmtId="0" fontId="2" fillId="0" borderId="153" xfId="61" applyFont="1" applyBorder="1" applyAlignment="1">
      <alignment horizontal="distributed" vertical="center" wrapText="1"/>
      <protection/>
    </xf>
    <xf numFmtId="0" fontId="2" fillId="0" borderId="52" xfId="61" applyFont="1" applyBorder="1" applyAlignment="1">
      <alignment horizontal="center" vertical="center"/>
      <protection/>
    </xf>
    <xf numFmtId="0" fontId="12" fillId="37" borderId="51" xfId="61" applyFont="1" applyFill="1" applyBorder="1" applyAlignment="1">
      <alignment horizontal="distributed" vertical="center"/>
      <protection/>
    </xf>
    <xf numFmtId="41" fontId="2" fillId="34" borderId="88" xfId="61" applyNumberFormat="1" applyFont="1" applyFill="1" applyBorder="1" applyAlignment="1">
      <alignment horizontal="right" vertical="center"/>
      <protection/>
    </xf>
    <xf numFmtId="41" fontId="2" fillId="34" borderId="65" xfId="61" applyNumberFormat="1" applyFont="1" applyFill="1" applyBorder="1" applyAlignment="1">
      <alignment horizontal="right" vertical="center"/>
      <protection/>
    </xf>
    <xf numFmtId="41" fontId="2" fillId="34" borderId="89" xfId="61" applyNumberFormat="1" applyFont="1" applyFill="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110" zoomScaleNormal="110" workbookViewId="0" topLeftCell="A1">
      <selection activeCell="B16" sqref="B16:H16"/>
    </sheetView>
  </sheetViews>
  <sheetFormatPr defaultColWidth="5.875" defaultRowHeight="13.5"/>
  <cols>
    <col min="1" max="1" width="11.50390625" style="1" customWidth="1"/>
    <col min="2" max="2" width="16.00390625" style="1" customWidth="1"/>
    <col min="3" max="3" width="10.25390625" style="1" customWidth="1"/>
    <col min="4" max="4" width="12.125" style="1" customWidth="1"/>
    <col min="5" max="5" width="10.625" style="1" customWidth="1"/>
    <col min="6" max="6" width="11.375" style="1" customWidth="1"/>
    <col min="7" max="7" width="10.375" style="1" customWidth="1"/>
    <col min="8" max="8" width="11.375" style="1" customWidth="1"/>
    <col min="9" max="9" width="3.00390625" style="1" customWidth="1"/>
    <col min="10" max="10" width="7.375" style="1" customWidth="1"/>
    <col min="11" max="11" width="11.375" style="1" customWidth="1"/>
    <col min="12" max="16384" width="5.875" style="1" customWidth="1"/>
  </cols>
  <sheetData>
    <row r="1" spans="1:8" ht="15">
      <c r="A1" s="241" t="s">
        <v>170</v>
      </c>
      <c r="B1" s="241"/>
      <c r="C1" s="241"/>
      <c r="D1" s="241"/>
      <c r="E1" s="241"/>
      <c r="F1" s="241"/>
      <c r="G1" s="241"/>
      <c r="H1" s="241"/>
    </row>
    <row r="2" spans="1:8" ht="15">
      <c r="A2" s="47"/>
      <c r="B2" s="47"/>
      <c r="C2" s="47"/>
      <c r="D2" s="47"/>
      <c r="E2" s="47"/>
      <c r="F2" s="47"/>
      <c r="G2" s="47"/>
      <c r="H2" s="47"/>
    </row>
    <row r="3" spans="1:8" ht="11.25" thickBot="1">
      <c r="A3" s="242" t="s">
        <v>179</v>
      </c>
      <c r="B3" s="242"/>
      <c r="C3" s="242"/>
      <c r="D3" s="242"/>
      <c r="E3" s="242"/>
      <c r="F3" s="242"/>
      <c r="G3" s="242"/>
      <c r="H3" s="242"/>
    </row>
    <row r="4" spans="1:8" ht="24" customHeight="1">
      <c r="A4" s="243" t="s">
        <v>0</v>
      </c>
      <c r="B4" s="244"/>
      <c r="C4" s="230" t="s">
        <v>171</v>
      </c>
      <c r="D4" s="247"/>
      <c r="E4" s="230" t="s">
        <v>172</v>
      </c>
      <c r="F4" s="247"/>
      <c r="G4" s="230" t="s">
        <v>173</v>
      </c>
      <c r="H4" s="231"/>
    </row>
    <row r="5" spans="1:8" ht="24" customHeight="1">
      <c r="A5" s="245"/>
      <c r="B5" s="246"/>
      <c r="C5" s="219" t="s">
        <v>1</v>
      </c>
      <c r="D5" s="6" t="s">
        <v>2</v>
      </c>
      <c r="E5" s="219" t="s">
        <v>1</v>
      </c>
      <c r="F5" s="6" t="s">
        <v>2</v>
      </c>
      <c r="G5" s="219" t="s">
        <v>1</v>
      </c>
      <c r="H5" s="15" t="s">
        <v>2</v>
      </c>
    </row>
    <row r="6" spans="1:8" ht="12" customHeight="1">
      <c r="A6" s="35"/>
      <c r="B6" s="37"/>
      <c r="C6" s="31" t="s">
        <v>21</v>
      </c>
      <c r="D6" s="30" t="s">
        <v>20</v>
      </c>
      <c r="E6" s="31" t="s">
        <v>21</v>
      </c>
      <c r="F6" s="30" t="s">
        <v>20</v>
      </c>
      <c r="G6" s="31" t="s">
        <v>21</v>
      </c>
      <c r="H6" s="36" t="s">
        <v>20</v>
      </c>
    </row>
    <row r="7" spans="1:8" ht="30" customHeight="1">
      <c r="A7" s="238" t="s">
        <v>174</v>
      </c>
      <c r="B7" s="32" t="s">
        <v>175</v>
      </c>
      <c r="C7" s="164">
        <v>87207</v>
      </c>
      <c r="D7" s="33">
        <v>90247585</v>
      </c>
      <c r="E7" s="93">
        <v>402305</v>
      </c>
      <c r="F7" s="33">
        <v>9021352059</v>
      </c>
      <c r="G7" s="93">
        <v>489512</v>
      </c>
      <c r="H7" s="34">
        <v>9111599644</v>
      </c>
    </row>
    <row r="8" spans="1:8" ht="30" customHeight="1">
      <c r="A8" s="239"/>
      <c r="B8" s="19" t="s">
        <v>180</v>
      </c>
      <c r="C8" s="165">
        <v>145029</v>
      </c>
      <c r="D8" s="95">
        <v>83592709</v>
      </c>
      <c r="E8" s="94">
        <v>146840</v>
      </c>
      <c r="F8" s="95">
        <v>108571083</v>
      </c>
      <c r="G8" s="94">
        <v>291869</v>
      </c>
      <c r="H8" s="96">
        <v>192163791</v>
      </c>
    </row>
    <row r="9" spans="1:8" s="3" customFormat="1" ht="30" customHeight="1">
      <c r="A9" s="239"/>
      <c r="B9" s="20" t="s">
        <v>176</v>
      </c>
      <c r="C9" s="166">
        <v>232236</v>
      </c>
      <c r="D9" s="98">
        <v>173840294</v>
      </c>
      <c r="E9" s="97">
        <v>549145</v>
      </c>
      <c r="F9" s="98">
        <v>9129923142</v>
      </c>
      <c r="G9" s="97">
        <v>781381</v>
      </c>
      <c r="H9" s="99">
        <v>9303763436</v>
      </c>
    </row>
    <row r="10" spans="1:8" ht="30" customHeight="1">
      <c r="A10" s="240"/>
      <c r="B10" s="21" t="s">
        <v>181</v>
      </c>
      <c r="C10" s="167">
        <v>13692</v>
      </c>
      <c r="D10" s="101">
        <v>12925268</v>
      </c>
      <c r="E10" s="100">
        <v>74269</v>
      </c>
      <c r="F10" s="101">
        <v>2748690698</v>
      </c>
      <c r="G10" s="100">
        <v>87961</v>
      </c>
      <c r="H10" s="102">
        <v>2761615966</v>
      </c>
    </row>
    <row r="11" spans="1:8" ht="30" customHeight="1">
      <c r="A11" s="236" t="s">
        <v>177</v>
      </c>
      <c r="B11" s="48" t="s">
        <v>182</v>
      </c>
      <c r="C11" s="103">
        <v>11630</v>
      </c>
      <c r="D11" s="16">
        <v>3876351</v>
      </c>
      <c r="E11" s="104">
        <v>17000</v>
      </c>
      <c r="F11" s="16">
        <v>42622737</v>
      </c>
      <c r="G11" s="104">
        <v>28630</v>
      </c>
      <c r="H11" s="17">
        <v>46499088</v>
      </c>
    </row>
    <row r="12" spans="1:8" ht="30" customHeight="1">
      <c r="A12" s="237"/>
      <c r="B12" s="214" t="s">
        <v>148</v>
      </c>
      <c r="C12" s="215">
        <v>4873</v>
      </c>
      <c r="D12" s="24">
        <v>1259628</v>
      </c>
      <c r="E12" s="216">
        <v>6905</v>
      </c>
      <c r="F12" s="24">
        <v>25765395</v>
      </c>
      <c r="G12" s="216">
        <v>11778</v>
      </c>
      <c r="H12" s="25">
        <v>27025023</v>
      </c>
    </row>
    <row r="13" spans="1:8" ht="30" customHeight="1" thickBot="1">
      <c r="A13" s="234" t="s">
        <v>5</v>
      </c>
      <c r="B13" s="235"/>
      <c r="C13" s="105">
        <v>9913</v>
      </c>
      <c r="D13" s="106">
        <v>567859</v>
      </c>
      <c r="E13" s="105">
        <v>12851</v>
      </c>
      <c r="F13" s="106">
        <v>4910431</v>
      </c>
      <c r="G13" s="105">
        <v>22764</v>
      </c>
      <c r="H13" s="107">
        <v>5478290</v>
      </c>
    </row>
    <row r="14" spans="1:11" s="4" customFormat="1" ht="12.75" customHeight="1">
      <c r="A14" s="220"/>
      <c r="B14" s="220"/>
      <c r="C14" s="221"/>
      <c r="D14" s="221"/>
      <c r="E14" s="221"/>
      <c r="F14" s="221"/>
      <c r="G14" s="221"/>
      <c r="H14" s="221"/>
      <c r="I14" s="222"/>
      <c r="J14" s="222"/>
      <c r="K14" s="222"/>
    </row>
    <row r="15" spans="1:11" ht="34.5" customHeight="1">
      <c r="A15" s="218" t="s">
        <v>184</v>
      </c>
      <c r="B15" s="232" t="s">
        <v>185</v>
      </c>
      <c r="C15" s="232"/>
      <c r="D15" s="232"/>
      <c r="E15" s="232"/>
      <c r="F15" s="232"/>
      <c r="G15" s="232"/>
      <c r="H15" s="232"/>
      <c r="I15" s="4"/>
      <c r="J15" s="4"/>
      <c r="K15" s="4"/>
    </row>
    <row r="16" spans="2:8" ht="46.5" customHeight="1">
      <c r="B16" s="233" t="s">
        <v>186</v>
      </c>
      <c r="C16" s="233"/>
      <c r="D16" s="233"/>
      <c r="E16" s="233"/>
      <c r="F16" s="233"/>
      <c r="G16" s="233"/>
      <c r="H16" s="233"/>
    </row>
    <row r="17" spans="1:2" ht="10.5">
      <c r="A17" s="217" t="s">
        <v>178</v>
      </c>
      <c r="B17" s="1" t="s">
        <v>183</v>
      </c>
    </row>
    <row r="18" ht="10.5">
      <c r="A18" s="51"/>
    </row>
  </sheetData>
  <sheetProtection/>
  <mergeCells count="11">
    <mergeCell ref="A1:H1"/>
    <mergeCell ref="A3:H3"/>
    <mergeCell ref="A4:B5"/>
    <mergeCell ref="C4:D4"/>
    <mergeCell ref="E4:F4"/>
    <mergeCell ref="G4:H4"/>
    <mergeCell ref="B15:H15"/>
    <mergeCell ref="B16:H16"/>
    <mergeCell ref="A13:B13"/>
    <mergeCell ref="A11:A12"/>
    <mergeCell ref="A7:A10"/>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r:id="rId1"/>
  <headerFooter alignWithMargins="0">
    <oddFooter>&amp;R&amp;K01+000東京国税局
消費税
(R02)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B16" sqref="B16:H16"/>
    </sheetView>
  </sheetViews>
  <sheetFormatPr defaultColWidth="9.00390625" defaultRowHeight="13.5"/>
  <cols>
    <col min="1" max="1" width="10.625" style="50" customWidth="1"/>
    <col min="2" max="2" width="15.625" style="50" customWidth="1"/>
    <col min="3" max="3" width="8.625" style="50" customWidth="1"/>
    <col min="4" max="4" width="10.625" style="50" customWidth="1"/>
    <col min="5" max="5" width="8.625" style="50" customWidth="1"/>
    <col min="6" max="6" width="12.875" style="50" bestFit="1" customWidth="1"/>
    <col min="7" max="7" width="8.625" style="50" customWidth="1"/>
    <col min="8" max="8" width="12.875" style="50" bestFit="1" customWidth="1"/>
    <col min="9" max="16384" width="9.00390625" style="50" customWidth="1"/>
  </cols>
  <sheetData>
    <row r="1" s="1" customFormat="1" ht="11.25" thickBot="1">
      <c r="A1" s="1" t="s">
        <v>22</v>
      </c>
    </row>
    <row r="2" spans="1:8" s="1" customFormat="1" ht="15" customHeight="1">
      <c r="A2" s="243" t="s">
        <v>0</v>
      </c>
      <c r="B2" s="244"/>
      <c r="C2" s="248" t="s">
        <v>12</v>
      </c>
      <c r="D2" s="248"/>
      <c r="E2" s="248" t="s">
        <v>15</v>
      </c>
      <c r="F2" s="248"/>
      <c r="G2" s="249" t="s">
        <v>16</v>
      </c>
      <c r="H2" s="250"/>
    </row>
    <row r="3" spans="1:8" s="1" customFormat="1" ht="15" customHeight="1">
      <c r="A3" s="245"/>
      <c r="B3" s="246"/>
      <c r="C3" s="9" t="s">
        <v>17</v>
      </c>
      <c r="D3" s="6" t="s">
        <v>18</v>
      </c>
      <c r="E3" s="9" t="s">
        <v>17</v>
      </c>
      <c r="F3" s="7" t="s">
        <v>18</v>
      </c>
      <c r="G3" s="9" t="s">
        <v>17</v>
      </c>
      <c r="H3" s="8" t="s">
        <v>18</v>
      </c>
    </row>
    <row r="4" spans="1:8" s="10" customFormat="1" ht="15" customHeight="1">
      <c r="A4" s="39"/>
      <c r="B4" s="6"/>
      <c r="C4" s="40" t="s">
        <v>3</v>
      </c>
      <c r="D4" s="41" t="s">
        <v>4</v>
      </c>
      <c r="E4" s="40" t="s">
        <v>3</v>
      </c>
      <c r="F4" s="41" t="s">
        <v>4</v>
      </c>
      <c r="G4" s="40" t="s">
        <v>3</v>
      </c>
      <c r="H4" s="42" t="s">
        <v>4</v>
      </c>
    </row>
    <row r="5" spans="1:8" s="49" customFormat="1" ht="30" customHeight="1">
      <c r="A5" s="253" t="s">
        <v>161</v>
      </c>
      <c r="B5" s="32" t="s">
        <v>10</v>
      </c>
      <c r="C5" s="38">
        <v>234677</v>
      </c>
      <c r="D5" s="33">
        <v>152553540</v>
      </c>
      <c r="E5" s="38">
        <v>546816</v>
      </c>
      <c r="F5" s="33">
        <v>7375055285</v>
      </c>
      <c r="G5" s="38">
        <v>781493</v>
      </c>
      <c r="H5" s="34">
        <v>7527608825</v>
      </c>
    </row>
    <row r="6" spans="1:8" s="49" customFormat="1" ht="30" customHeight="1">
      <c r="A6" s="254"/>
      <c r="B6" s="21" t="s">
        <v>11</v>
      </c>
      <c r="C6" s="23">
        <v>7619</v>
      </c>
      <c r="D6" s="24">
        <v>10145160</v>
      </c>
      <c r="E6" s="23">
        <v>56132</v>
      </c>
      <c r="F6" s="24">
        <v>2235731183</v>
      </c>
      <c r="G6" s="23">
        <v>63751</v>
      </c>
      <c r="H6" s="25">
        <v>2245876344</v>
      </c>
    </row>
    <row r="7" spans="1:8" s="49" customFormat="1" ht="30" customHeight="1">
      <c r="A7" s="253" t="s">
        <v>165</v>
      </c>
      <c r="B7" s="18" t="s">
        <v>10</v>
      </c>
      <c r="C7" s="22">
        <v>235496</v>
      </c>
      <c r="D7" s="16">
        <v>153567882</v>
      </c>
      <c r="E7" s="22">
        <v>550178</v>
      </c>
      <c r="F7" s="16">
        <v>7592167685</v>
      </c>
      <c r="G7" s="22">
        <v>785674</v>
      </c>
      <c r="H7" s="17">
        <v>7745735567</v>
      </c>
    </row>
    <row r="8" spans="1:8" s="49" customFormat="1" ht="30" customHeight="1">
      <c r="A8" s="254"/>
      <c r="B8" s="21" t="s">
        <v>11</v>
      </c>
      <c r="C8" s="23">
        <v>7942</v>
      </c>
      <c r="D8" s="24">
        <v>11458490</v>
      </c>
      <c r="E8" s="23">
        <v>59099</v>
      </c>
      <c r="F8" s="24">
        <v>2387960747</v>
      </c>
      <c r="G8" s="23">
        <v>67041</v>
      </c>
      <c r="H8" s="25">
        <v>2399419237</v>
      </c>
    </row>
    <row r="9" spans="1:8" s="49" customFormat="1" ht="30" customHeight="1">
      <c r="A9" s="253" t="s">
        <v>166</v>
      </c>
      <c r="B9" s="18" t="s">
        <v>10</v>
      </c>
      <c r="C9" s="22">
        <v>235879</v>
      </c>
      <c r="D9" s="16">
        <v>155255702</v>
      </c>
      <c r="E9" s="22">
        <v>555331</v>
      </c>
      <c r="F9" s="16">
        <v>7616756613</v>
      </c>
      <c r="G9" s="22">
        <v>791210</v>
      </c>
      <c r="H9" s="17">
        <v>7772012315</v>
      </c>
    </row>
    <row r="10" spans="1:8" s="49" customFormat="1" ht="30" customHeight="1">
      <c r="A10" s="254"/>
      <c r="B10" s="21" t="s">
        <v>11</v>
      </c>
      <c r="C10" s="23">
        <v>8266</v>
      </c>
      <c r="D10" s="24">
        <v>10323007</v>
      </c>
      <c r="E10" s="23">
        <v>62144</v>
      </c>
      <c r="F10" s="24">
        <v>2519240161</v>
      </c>
      <c r="G10" s="23">
        <v>70410</v>
      </c>
      <c r="H10" s="25">
        <v>2529563168</v>
      </c>
    </row>
    <row r="11" spans="1:8" s="49" customFormat="1" ht="30" customHeight="1">
      <c r="A11" s="253" t="s">
        <v>167</v>
      </c>
      <c r="B11" s="18" t="s">
        <v>10</v>
      </c>
      <c r="C11" s="22">
        <v>232099</v>
      </c>
      <c r="D11" s="16">
        <v>160564264</v>
      </c>
      <c r="E11" s="22">
        <v>551686</v>
      </c>
      <c r="F11" s="16">
        <v>7872411659</v>
      </c>
      <c r="G11" s="22">
        <v>783785</v>
      </c>
      <c r="H11" s="17">
        <v>8032975923</v>
      </c>
    </row>
    <row r="12" spans="1:8" s="49" customFormat="1" ht="30" customHeight="1">
      <c r="A12" s="254"/>
      <c r="B12" s="21" t="s">
        <v>11</v>
      </c>
      <c r="C12" s="23">
        <v>8490</v>
      </c>
      <c r="D12" s="24">
        <v>10563237</v>
      </c>
      <c r="E12" s="23">
        <v>63174</v>
      </c>
      <c r="F12" s="24">
        <v>2625298903</v>
      </c>
      <c r="G12" s="23">
        <v>71664</v>
      </c>
      <c r="H12" s="25">
        <v>2635862140</v>
      </c>
    </row>
    <row r="13" spans="1:8" s="1" customFormat="1" ht="30" customHeight="1">
      <c r="A13" s="251" t="s">
        <v>168</v>
      </c>
      <c r="B13" s="18" t="s">
        <v>10</v>
      </c>
      <c r="C13" s="168">
        <v>232236</v>
      </c>
      <c r="D13" s="16">
        <v>173840294</v>
      </c>
      <c r="E13" s="22">
        <v>549145</v>
      </c>
      <c r="F13" s="16">
        <v>9129923142</v>
      </c>
      <c r="G13" s="22">
        <v>781381</v>
      </c>
      <c r="H13" s="17">
        <v>9303763436</v>
      </c>
    </row>
    <row r="14" spans="1:8" s="1" customFormat="1" ht="30" customHeight="1" thickBot="1">
      <c r="A14" s="252"/>
      <c r="B14" s="26" t="s">
        <v>11</v>
      </c>
      <c r="C14" s="169">
        <v>13692</v>
      </c>
      <c r="D14" s="28">
        <v>12925268</v>
      </c>
      <c r="E14" s="27">
        <v>74269</v>
      </c>
      <c r="F14" s="28">
        <v>2748690698</v>
      </c>
      <c r="G14" s="27">
        <v>87961</v>
      </c>
      <c r="H14" s="29">
        <v>2761615966</v>
      </c>
    </row>
    <row r="15" spans="5:7" s="1" customFormat="1" ht="10.5">
      <c r="E15" s="2"/>
      <c r="G15" s="2"/>
    </row>
    <row r="16" spans="5:7" s="1" customFormat="1" ht="10.5">
      <c r="E16" s="2"/>
      <c r="G16" s="2"/>
    </row>
    <row r="17" spans="5:7" s="1" customFormat="1" ht="10.5">
      <c r="E17" s="2"/>
      <c r="G17" s="2"/>
    </row>
    <row r="18" spans="5:7" s="1" customFormat="1" ht="10.5">
      <c r="E18" s="2"/>
      <c r="G18" s="2"/>
    </row>
    <row r="19" spans="5:7" s="1" customFormat="1" ht="10.5">
      <c r="E19" s="2"/>
      <c r="G19" s="2"/>
    </row>
    <row r="20" spans="5:7" s="1" customFormat="1" ht="10.5">
      <c r="E20" s="2"/>
      <c r="G20" s="2"/>
    </row>
    <row r="21" spans="5:7" s="1" customFormat="1" ht="10.5">
      <c r="E21" s="2"/>
      <c r="G21" s="2"/>
    </row>
    <row r="22" spans="5:7" s="1" customFormat="1" ht="10.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r:id="rId1"/>
  <headerFooter alignWithMargins="0">
    <oddFooter>&amp;R&amp;K01+000東京国税局
消費税
(R02)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B16" sqref="B16:H16"/>
    </sheetView>
  </sheetViews>
  <sheetFormatPr defaultColWidth="9.00390625" defaultRowHeight="13.5"/>
  <cols>
    <col min="1" max="2" width="18.625" style="50" customWidth="1"/>
    <col min="3" max="3" width="23.625" style="50" customWidth="1"/>
    <col min="4" max="4" width="18.625" style="50" customWidth="1"/>
    <col min="5" max="16384" width="9.00390625" style="50" customWidth="1"/>
  </cols>
  <sheetData>
    <row r="1" s="1" customFormat="1" ht="20.25" customHeight="1" thickBot="1">
      <c r="A1" s="1" t="s">
        <v>19</v>
      </c>
    </row>
    <row r="2" spans="1:4" s="4" customFormat="1" ht="19.5" customHeight="1">
      <c r="A2" s="11" t="s">
        <v>6</v>
      </c>
      <c r="B2" s="12" t="s">
        <v>7</v>
      </c>
      <c r="C2" s="14" t="s">
        <v>8</v>
      </c>
      <c r="D2" s="13" t="s">
        <v>14</v>
      </c>
    </row>
    <row r="3" spans="1:4" s="10" customFormat="1" ht="15" customHeight="1">
      <c r="A3" s="43" t="s">
        <v>3</v>
      </c>
      <c r="B3" s="44" t="s">
        <v>3</v>
      </c>
      <c r="C3" s="45" t="s">
        <v>3</v>
      </c>
      <c r="D3" s="46" t="s">
        <v>3</v>
      </c>
    </row>
    <row r="4" spans="1:9" s="4" customFormat="1" ht="30" customHeight="1" thickBot="1">
      <c r="A4" s="153">
        <v>901911</v>
      </c>
      <c r="B4" s="154">
        <v>53701</v>
      </c>
      <c r="C4" s="155">
        <v>6533</v>
      </c>
      <c r="D4" s="156">
        <v>962145</v>
      </c>
      <c r="E4" s="5"/>
      <c r="G4" s="5"/>
      <c r="I4" s="5"/>
    </row>
    <row r="5" spans="1:4" s="4" customFormat="1" ht="15" customHeight="1">
      <c r="A5" s="255" t="s">
        <v>169</v>
      </c>
      <c r="B5" s="255"/>
      <c r="C5" s="255"/>
      <c r="D5" s="255"/>
    </row>
    <row r="6" spans="1:4" s="4" customFormat="1" ht="15" customHeight="1">
      <c r="A6" s="256" t="s">
        <v>9</v>
      </c>
      <c r="B6" s="256"/>
      <c r="C6" s="256"/>
      <c r="D6" s="256"/>
    </row>
  </sheetData>
  <sheetProtection/>
  <mergeCells count="2">
    <mergeCell ref="A5:D5"/>
    <mergeCell ref="A6:D6"/>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r:id="rId1"/>
  <headerFooter alignWithMargins="0">
    <oddFooter>&amp;R&amp;K01+000東京国税局
消費税
(R02)</oddFooter>
  </headerFooter>
</worksheet>
</file>

<file path=xl/worksheets/sheet4.xml><?xml version="1.0" encoding="utf-8"?>
<worksheet xmlns="http://schemas.openxmlformats.org/spreadsheetml/2006/main" xmlns:r="http://schemas.openxmlformats.org/officeDocument/2006/relationships">
  <dimension ref="A1:O131"/>
  <sheetViews>
    <sheetView showGridLines="0" zoomScaleSheetLayoutView="115" workbookViewId="0" topLeftCell="A1">
      <selection activeCell="C83" sqref="C83"/>
    </sheetView>
  </sheetViews>
  <sheetFormatPr defaultColWidth="9.00390625" defaultRowHeight="13.5"/>
  <cols>
    <col min="1" max="1" width="11.375" style="108" customWidth="1"/>
    <col min="2" max="2" width="10.625" style="108" customWidth="1"/>
    <col min="3" max="3" width="12.625" style="108" customWidth="1"/>
    <col min="4" max="4" width="10.625" style="108" customWidth="1"/>
    <col min="5" max="5" width="12.625" style="108" customWidth="1"/>
    <col min="6" max="6" width="10.625" style="108" customWidth="1"/>
    <col min="7" max="7" width="12.625" style="108" customWidth="1"/>
    <col min="8" max="8" width="10.625" style="108" customWidth="1"/>
    <col min="9" max="9" width="12.625" style="108" customWidth="1"/>
    <col min="10" max="10" width="10.625" style="108" customWidth="1"/>
    <col min="11" max="11" width="12.625" style="108" customWidth="1"/>
    <col min="12" max="12" width="10.625" style="108" customWidth="1"/>
    <col min="13" max="13" width="12.625" style="108" customWidth="1"/>
    <col min="14" max="14" width="11.375" style="108" customWidth="1"/>
    <col min="15" max="16384" width="9.00390625" style="108" customWidth="1"/>
  </cols>
  <sheetData>
    <row r="1" spans="1:14" ht="12.75">
      <c r="A1" s="52" t="s">
        <v>163</v>
      </c>
      <c r="B1" s="52"/>
      <c r="C1" s="52"/>
      <c r="D1" s="52"/>
      <c r="E1" s="52"/>
      <c r="F1" s="52"/>
      <c r="G1" s="52"/>
      <c r="H1" s="53"/>
      <c r="I1" s="53"/>
      <c r="J1" s="53"/>
      <c r="K1" s="53"/>
      <c r="L1" s="53"/>
      <c r="M1" s="53"/>
      <c r="N1" s="53"/>
    </row>
    <row r="2" spans="1:14" ht="13.5" thickBot="1">
      <c r="A2" s="264" t="s">
        <v>133</v>
      </c>
      <c r="B2" s="264"/>
      <c r="C2" s="264"/>
      <c r="D2" s="264"/>
      <c r="E2" s="264"/>
      <c r="F2" s="264"/>
      <c r="G2" s="264"/>
      <c r="H2" s="53"/>
      <c r="I2" s="53"/>
      <c r="J2" s="53"/>
      <c r="K2" s="53"/>
      <c r="L2" s="53"/>
      <c r="M2" s="53"/>
      <c r="N2" s="53"/>
    </row>
    <row r="3" spans="1:14" ht="19.5" customHeight="1">
      <c r="A3" s="265" t="s">
        <v>24</v>
      </c>
      <c r="B3" s="268" t="s">
        <v>25</v>
      </c>
      <c r="C3" s="268"/>
      <c r="D3" s="268"/>
      <c r="E3" s="268"/>
      <c r="F3" s="268"/>
      <c r="G3" s="268"/>
      <c r="H3" s="269" t="s">
        <v>11</v>
      </c>
      <c r="I3" s="270"/>
      <c r="J3" s="272" t="s">
        <v>26</v>
      </c>
      <c r="K3" s="270"/>
      <c r="L3" s="269" t="s">
        <v>27</v>
      </c>
      <c r="M3" s="270"/>
      <c r="N3" s="257" t="s">
        <v>134</v>
      </c>
    </row>
    <row r="4" spans="1:14" ht="17.25" customHeight="1">
      <c r="A4" s="266"/>
      <c r="B4" s="260" t="s">
        <v>13</v>
      </c>
      <c r="C4" s="260"/>
      <c r="D4" s="261" t="s">
        <v>29</v>
      </c>
      <c r="E4" s="262"/>
      <c r="F4" s="261" t="s">
        <v>30</v>
      </c>
      <c r="G4" s="262"/>
      <c r="H4" s="261"/>
      <c r="I4" s="271"/>
      <c r="J4" s="261"/>
      <c r="K4" s="271"/>
      <c r="L4" s="261"/>
      <c r="M4" s="271"/>
      <c r="N4" s="258"/>
    </row>
    <row r="5" spans="1:14" s="124" customFormat="1" ht="28.5" customHeight="1">
      <c r="A5" s="267"/>
      <c r="B5" s="55" t="s">
        <v>33</v>
      </c>
      <c r="C5" s="56" t="s">
        <v>135</v>
      </c>
      <c r="D5" s="55" t="s">
        <v>33</v>
      </c>
      <c r="E5" s="56" t="s">
        <v>135</v>
      </c>
      <c r="F5" s="55" t="s">
        <v>33</v>
      </c>
      <c r="G5" s="56" t="s">
        <v>136</v>
      </c>
      <c r="H5" s="55" t="s">
        <v>33</v>
      </c>
      <c r="I5" s="75" t="s">
        <v>137</v>
      </c>
      <c r="J5" s="55" t="s">
        <v>33</v>
      </c>
      <c r="K5" s="75" t="s">
        <v>138</v>
      </c>
      <c r="L5" s="55" t="s">
        <v>33</v>
      </c>
      <c r="M5" s="76" t="s">
        <v>139</v>
      </c>
      <c r="N5" s="259"/>
    </row>
    <row r="6" spans="1:14" s="80" customFormat="1" ht="9">
      <c r="A6" s="89"/>
      <c r="B6" s="90" t="s">
        <v>3</v>
      </c>
      <c r="C6" s="60" t="s">
        <v>4</v>
      </c>
      <c r="D6" s="90" t="s">
        <v>3</v>
      </c>
      <c r="E6" s="60" t="s">
        <v>4</v>
      </c>
      <c r="F6" s="90" t="s">
        <v>3</v>
      </c>
      <c r="G6" s="60" t="s">
        <v>4</v>
      </c>
      <c r="H6" s="90" t="s">
        <v>3</v>
      </c>
      <c r="I6" s="77" t="s">
        <v>4</v>
      </c>
      <c r="J6" s="90" t="s">
        <v>3</v>
      </c>
      <c r="K6" s="77" t="s">
        <v>4</v>
      </c>
      <c r="L6" s="90" t="s">
        <v>162</v>
      </c>
      <c r="M6" s="77" t="s">
        <v>4</v>
      </c>
      <c r="N6" s="84"/>
    </row>
    <row r="7" spans="1:14" s="81" customFormat="1" ht="15.75" customHeight="1">
      <c r="A7" s="86" t="s">
        <v>36</v>
      </c>
      <c r="B7" s="109">
        <f>_xlfn.COMPOUNDVALUE(1)</f>
        <v>1053</v>
      </c>
      <c r="C7" s="170">
        <v>765911</v>
      </c>
      <c r="D7" s="109">
        <f>_xlfn.COMPOUNDVALUE(2)</f>
        <v>1555</v>
      </c>
      <c r="E7" s="170">
        <v>915945</v>
      </c>
      <c r="F7" s="109">
        <f>_xlfn.COMPOUNDVALUE(3)</f>
        <v>2608</v>
      </c>
      <c r="G7" s="170">
        <v>1681857</v>
      </c>
      <c r="H7" s="109">
        <f>_xlfn.COMPOUNDVALUE(4)</f>
        <v>139</v>
      </c>
      <c r="I7" s="172">
        <v>76611</v>
      </c>
      <c r="J7" s="109">
        <v>231</v>
      </c>
      <c r="K7" s="111">
        <v>52007</v>
      </c>
      <c r="L7" s="109">
        <v>2859</v>
      </c>
      <c r="M7" s="111">
        <v>1657252</v>
      </c>
      <c r="N7" s="88" t="s">
        <v>36</v>
      </c>
    </row>
    <row r="8" spans="1:14" s="81" customFormat="1" ht="15.75" customHeight="1">
      <c r="A8" s="64" t="s">
        <v>37</v>
      </c>
      <c r="B8" s="109">
        <f>_xlfn.COMPOUNDVALUE(5)</f>
        <v>951</v>
      </c>
      <c r="C8" s="170">
        <v>604811</v>
      </c>
      <c r="D8" s="109">
        <f>_xlfn.COMPOUNDVALUE(6)</f>
        <v>1441</v>
      </c>
      <c r="E8" s="170">
        <v>765360</v>
      </c>
      <c r="F8" s="109">
        <f>_xlfn.COMPOUNDVALUE(7)</f>
        <v>2392</v>
      </c>
      <c r="G8" s="170">
        <v>1370171</v>
      </c>
      <c r="H8" s="109">
        <f>_xlfn.COMPOUNDVALUE(8)</f>
        <v>118</v>
      </c>
      <c r="I8" s="172">
        <v>89305</v>
      </c>
      <c r="J8" s="109">
        <v>271</v>
      </c>
      <c r="K8" s="111">
        <v>42190</v>
      </c>
      <c r="L8" s="109">
        <v>2641</v>
      </c>
      <c r="M8" s="111">
        <v>1323056</v>
      </c>
      <c r="N8" s="74" t="s">
        <v>37</v>
      </c>
    </row>
    <row r="9" spans="1:14" s="81" customFormat="1" ht="15.75" customHeight="1">
      <c r="A9" s="64" t="s">
        <v>38</v>
      </c>
      <c r="B9" s="109">
        <f>_xlfn.COMPOUNDVALUE(9)</f>
        <v>1136</v>
      </c>
      <c r="C9" s="170">
        <v>848620</v>
      </c>
      <c r="D9" s="109">
        <f>_xlfn.COMPOUNDVALUE(10)</f>
        <v>1812</v>
      </c>
      <c r="E9" s="170">
        <v>1072803</v>
      </c>
      <c r="F9" s="109">
        <f>_xlfn.COMPOUNDVALUE(11)</f>
        <v>2948</v>
      </c>
      <c r="G9" s="170">
        <v>1921424</v>
      </c>
      <c r="H9" s="109">
        <f>_xlfn.COMPOUNDVALUE(12)</f>
        <v>161</v>
      </c>
      <c r="I9" s="172">
        <v>149688</v>
      </c>
      <c r="J9" s="109">
        <v>281</v>
      </c>
      <c r="K9" s="111">
        <v>48819</v>
      </c>
      <c r="L9" s="109">
        <v>3225</v>
      </c>
      <c r="M9" s="111">
        <v>1820555</v>
      </c>
      <c r="N9" s="74" t="s">
        <v>38</v>
      </c>
    </row>
    <row r="10" spans="1:14" s="81" customFormat="1" ht="15.75" customHeight="1">
      <c r="A10" s="64" t="s">
        <v>39</v>
      </c>
      <c r="B10" s="109">
        <f>_xlfn.COMPOUNDVALUE(13)</f>
        <v>726</v>
      </c>
      <c r="C10" s="170">
        <v>569710</v>
      </c>
      <c r="D10" s="109">
        <f>_xlfn.COMPOUNDVALUE(14)</f>
        <v>2295</v>
      </c>
      <c r="E10" s="170">
        <v>808712</v>
      </c>
      <c r="F10" s="109">
        <f>_xlfn.COMPOUNDVALUE(15)</f>
        <v>3021</v>
      </c>
      <c r="G10" s="170">
        <v>1378422</v>
      </c>
      <c r="H10" s="109">
        <f>_xlfn.COMPOUNDVALUE(16)</f>
        <v>117</v>
      </c>
      <c r="I10" s="172">
        <v>122707</v>
      </c>
      <c r="J10" s="109">
        <v>124</v>
      </c>
      <c r="K10" s="111">
        <v>6033</v>
      </c>
      <c r="L10" s="109">
        <v>3194</v>
      </c>
      <c r="M10" s="111">
        <v>1261748</v>
      </c>
      <c r="N10" s="74" t="s">
        <v>39</v>
      </c>
    </row>
    <row r="11" spans="1:14" s="81" customFormat="1" ht="15.75" customHeight="1">
      <c r="A11" s="64" t="s">
        <v>40</v>
      </c>
      <c r="B11" s="109">
        <f>_xlfn.COMPOUNDVALUE(17)</f>
        <v>1375</v>
      </c>
      <c r="C11" s="170">
        <v>1141192</v>
      </c>
      <c r="D11" s="109">
        <f>_xlfn.COMPOUNDVALUE(18)</f>
        <v>2262</v>
      </c>
      <c r="E11" s="170">
        <v>1353160</v>
      </c>
      <c r="F11" s="109">
        <f>_xlfn.COMPOUNDVALUE(19)</f>
        <v>3637</v>
      </c>
      <c r="G11" s="170">
        <v>2494352</v>
      </c>
      <c r="H11" s="109">
        <f>_xlfn.COMPOUNDVALUE(20)</f>
        <v>206</v>
      </c>
      <c r="I11" s="172">
        <v>161591</v>
      </c>
      <c r="J11" s="109">
        <v>304</v>
      </c>
      <c r="K11" s="111">
        <v>91516</v>
      </c>
      <c r="L11" s="109">
        <v>3969</v>
      </c>
      <c r="M11" s="111">
        <v>2424277</v>
      </c>
      <c r="N11" s="74" t="s">
        <v>40</v>
      </c>
    </row>
    <row r="12" spans="1:14" s="81" customFormat="1" ht="15.75" customHeight="1">
      <c r="A12" s="64"/>
      <c r="B12" s="109"/>
      <c r="C12" s="170"/>
      <c r="D12" s="109"/>
      <c r="E12" s="170"/>
      <c r="F12" s="109"/>
      <c r="G12" s="170"/>
      <c r="H12" s="109"/>
      <c r="I12" s="172"/>
      <c r="J12" s="109"/>
      <c r="K12" s="111"/>
      <c r="L12" s="109"/>
      <c r="M12" s="111"/>
      <c r="N12" s="74" t="s">
        <v>35</v>
      </c>
    </row>
    <row r="13" spans="1:14" s="81" customFormat="1" ht="15.75" customHeight="1">
      <c r="A13" s="64" t="s">
        <v>41</v>
      </c>
      <c r="B13" s="109">
        <f>_xlfn.COMPOUNDVALUE(21)</f>
        <v>1194</v>
      </c>
      <c r="C13" s="170">
        <v>861999</v>
      </c>
      <c r="D13" s="109">
        <f>_xlfn.COMPOUNDVALUE(22)</f>
        <v>1945</v>
      </c>
      <c r="E13" s="170">
        <v>1053240</v>
      </c>
      <c r="F13" s="109">
        <f>_xlfn.COMPOUNDVALUE(23)</f>
        <v>3139</v>
      </c>
      <c r="G13" s="170">
        <v>1915240</v>
      </c>
      <c r="H13" s="109">
        <f>_xlfn.COMPOUNDVALUE(24)</f>
        <v>144</v>
      </c>
      <c r="I13" s="172">
        <v>149555</v>
      </c>
      <c r="J13" s="109">
        <v>278</v>
      </c>
      <c r="K13" s="111">
        <v>26661</v>
      </c>
      <c r="L13" s="109">
        <v>3395</v>
      </c>
      <c r="M13" s="111">
        <v>1792346</v>
      </c>
      <c r="N13" s="74" t="s">
        <v>41</v>
      </c>
    </row>
    <row r="14" spans="1:14" s="81" customFormat="1" ht="15.75" customHeight="1">
      <c r="A14" s="64" t="s">
        <v>42</v>
      </c>
      <c r="B14" s="109">
        <f>_xlfn.COMPOUNDVALUE(25)</f>
        <v>451</v>
      </c>
      <c r="C14" s="170">
        <v>264290</v>
      </c>
      <c r="D14" s="109">
        <f>_xlfn.COMPOUNDVALUE(26)</f>
        <v>831</v>
      </c>
      <c r="E14" s="170">
        <v>364292</v>
      </c>
      <c r="F14" s="109">
        <f>_xlfn.COMPOUNDVALUE(27)</f>
        <v>1282</v>
      </c>
      <c r="G14" s="170">
        <v>628582</v>
      </c>
      <c r="H14" s="109">
        <f>_xlfn.COMPOUNDVALUE(28)</f>
        <v>90</v>
      </c>
      <c r="I14" s="172">
        <v>35182</v>
      </c>
      <c r="J14" s="109">
        <v>70</v>
      </c>
      <c r="K14" s="111">
        <v>18332</v>
      </c>
      <c r="L14" s="109">
        <v>1402</v>
      </c>
      <c r="M14" s="111">
        <v>611732</v>
      </c>
      <c r="N14" s="74" t="s">
        <v>42</v>
      </c>
    </row>
    <row r="15" spans="1:14" s="81" customFormat="1" ht="15.75" customHeight="1">
      <c r="A15" s="64" t="s">
        <v>43</v>
      </c>
      <c r="B15" s="109">
        <f>_xlfn.COMPOUNDVALUE(29)</f>
        <v>846</v>
      </c>
      <c r="C15" s="170">
        <v>557468</v>
      </c>
      <c r="D15" s="109">
        <f>_xlfn.COMPOUNDVALUE(30)</f>
        <v>1431</v>
      </c>
      <c r="E15" s="170">
        <v>644310</v>
      </c>
      <c r="F15" s="109">
        <f>_xlfn.COMPOUNDVALUE(31)</f>
        <v>2277</v>
      </c>
      <c r="G15" s="170">
        <v>1201778</v>
      </c>
      <c r="H15" s="109">
        <f>_xlfn.COMPOUNDVALUE(32)</f>
        <v>124</v>
      </c>
      <c r="I15" s="172">
        <v>69703</v>
      </c>
      <c r="J15" s="109">
        <v>191</v>
      </c>
      <c r="K15" s="111">
        <v>35115</v>
      </c>
      <c r="L15" s="109">
        <v>2510</v>
      </c>
      <c r="M15" s="111">
        <v>1167190</v>
      </c>
      <c r="N15" s="74" t="s">
        <v>43</v>
      </c>
    </row>
    <row r="16" spans="1:14" s="81" customFormat="1" ht="15.75" customHeight="1">
      <c r="A16" s="66" t="s">
        <v>44</v>
      </c>
      <c r="B16" s="112">
        <v>1552</v>
      </c>
      <c r="C16" s="171">
        <v>1226705</v>
      </c>
      <c r="D16" s="112">
        <f>_xlfn.COMPOUNDVALUE(33)</f>
        <v>2806</v>
      </c>
      <c r="E16" s="171">
        <v>1570053</v>
      </c>
      <c r="F16" s="112">
        <f>_xlfn.COMPOUNDVALUE(34)</f>
        <v>4358</v>
      </c>
      <c r="G16" s="171">
        <v>2796758</v>
      </c>
      <c r="H16" s="112">
        <f>_xlfn.COMPOUNDVALUE(35)</f>
        <v>230</v>
      </c>
      <c r="I16" s="173">
        <v>280428</v>
      </c>
      <c r="J16" s="112">
        <v>309</v>
      </c>
      <c r="K16" s="114">
        <v>109518</v>
      </c>
      <c r="L16" s="112">
        <v>4724</v>
      </c>
      <c r="M16" s="114">
        <v>2625847</v>
      </c>
      <c r="N16" s="65" t="s">
        <v>44</v>
      </c>
    </row>
    <row r="17" spans="1:14" s="81" customFormat="1" ht="15.75" customHeight="1">
      <c r="A17" s="66" t="s">
        <v>45</v>
      </c>
      <c r="B17" s="112">
        <f>_xlfn.COMPOUNDVALUE(36)</f>
        <v>498</v>
      </c>
      <c r="C17" s="171">
        <v>381773</v>
      </c>
      <c r="D17" s="112">
        <f>_xlfn.COMPOUNDVALUE(37)</f>
        <v>957</v>
      </c>
      <c r="E17" s="171">
        <v>356843</v>
      </c>
      <c r="F17" s="112">
        <f>_xlfn.COMPOUNDVALUE(38)</f>
        <v>1455</v>
      </c>
      <c r="G17" s="171">
        <v>738616</v>
      </c>
      <c r="H17" s="112">
        <f>_xlfn.COMPOUNDVALUE(39)</f>
        <v>72</v>
      </c>
      <c r="I17" s="173">
        <v>36758</v>
      </c>
      <c r="J17" s="112">
        <v>87</v>
      </c>
      <c r="K17" s="114">
        <v>19891</v>
      </c>
      <c r="L17" s="112">
        <v>1591</v>
      </c>
      <c r="M17" s="114">
        <v>721749</v>
      </c>
      <c r="N17" s="65" t="s">
        <v>45</v>
      </c>
    </row>
    <row r="18" spans="1:14" s="81" customFormat="1" ht="15.75" customHeight="1">
      <c r="A18" s="66"/>
      <c r="B18" s="112"/>
      <c r="C18" s="171"/>
      <c r="D18" s="112"/>
      <c r="E18" s="171"/>
      <c r="F18" s="112"/>
      <c r="G18" s="171"/>
      <c r="H18" s="112"/>
      <c r="I18" s="173"/>
      <c r="J18" s="112"/>
      <c r="K18" s="114"/>
      <c r="L18" s="112"/>
      <c r="M18" s="114"/>
      <c r="N18" s="65" t="s">
        <v>35</v>
      </c>
    </row>
    <row r="19" spans="1:14" s="81" customFormat="1" ht="15.75" customHeight="1">
      <c r="A19" s="66" t="s">
        <v>46</v>
      </c>
      <c r="B19" s="112">
        <f>_xlfn.COMPOUNDVALUE(40)</f>
        <v>620</v>
      </c>
      <c r="C19" s="171">
        <v>377921</v>
      </c>
      <c r="D19" s="112">
        <f>_xlfn.COMPOUNDVALUE(41)</f>
        <v>1173</v>
      </c>
      <c r="E19" s="171">
        <v>494041</v>
      </c>
      <c r="F19" s="112">
        <f>_xlfn.COMPOUNDVALUE(42)</f>
        <v>1793</v>
      </c>
      <c r="G19" s="171">
        <v>871962</v>
      </c>
      <c r="H19" s="112">
        <f>_xlfn.COMPOUNDVALUE(43)</f>
        <v>97</v>
      </c>
      <c r="I19" s="173">
        <v>63909</v>
      </c>
      <c r="J19" s="112">
        <v>85</v>
      </c>
      <c r="K19" s="114">
        <v>20682</v>
      </c>
      <c r="L19" s="112">
        <v>1941</v>
      </c>
      <c r="M19" s="114">
        <v>828734</v>
      </c>
      <c r="N19" s="65" t="s">
        <v>46</v>
      </c>
    </row>
    <row r="20" spans="1:14" s="81" customFormat="1" ht="15.75" customHeight="1">
      <c r="A20" s="66" t="s">
        <v>47</v>
      </c>
      <c r="B20" s="174">
        <f>_xlfn.COMPOUNDVALUE(44)</f>
        <v>1746</v>
      </c>
      <c r="C20" s="171">
        <v>1017046</v>
      </c>
      <c r="D20" s="112">
        <f>_xlfn.COMPOUNDVALUE(45)</f>
        <v>3025</v>
      </c>
      <c r="E20" s="171">
        <v>1306597</v>
      </c>
      <c r="F20" s="174">
        <f>_xlfn.COMPOUNDVALUE(46)</f>
        <v>4771</v>
      </c>
      <c r="G20" s="171">
        <v>2323643</v>
      </c>
      <c r="H20" s="174">
        <f>_xlfn.COMPOUNDVALUE(47)</f>
        <v>257</v>
      </c>
      <c r="I20" s="173">
        <v>265826</v>
      </c>
      <c r="J20" s="112">
        <v>461</v>
      </c>
      <c r="K20" s="114">
        <v>60840</v>
      </c>
      <c r="L20" s="112">
        <v>5217</v>
      </c>
      <c r="M20" s="114">
        <v>2118657</v>
      </c>
      <c r="N20" s="65" t="s">
        <v>47</v>
      </c>
    </row>
    <row r="21" spans="1:14" s="81" customFormat="1" ht="15.75" customHeight="1">
      <c r="A21" s="66" t="s">
        <v>48</v>
      </c>
      <c r="B21" s="174">
        <f>_xlfn.COMPOUNDVALUE(48)</f>
        <v>586</v>
      </c>
      <c r="C21" s="171">
        <v>343687</v>
      </c>
      <c r="D21" s="112">
        <f>_xlfn.COMPOUNDVALUE(49)</f>
        <v>1407</v>
      </c>
      <c r="E21" s="171">
        <v>533186</v>
      </c>
      <c r="F21" s="174">
        <f>_xlfn.COMPOUNDVALUE(50)</f>
        <v>1993</v>
      </c>
      <c r="G21" s="171">
        <v>876873</v>
      </c>
      <c r="H21" s="174">
        <f>_xlfn.COMPOUNDVALUE(51)</f>
        <v>127</v>
      </c>
      <c r="I21" s="173">
        <v>91980</v>
      </c>
      <c r="J21" s="112">
        <v>214</v>
      </c>
      <c r="K21" s="114">
        <v>41811</v>
      </c>
      <c r="L21" s="112">
        <v>2231</v>
      </c>
      <c r="M21" s="114">
        <v>826704</v>
      </c>
      <c r="N21" s="65" t="s">
        <v>48</v>
      </c>
    </row>
    <row r="22" spans="1:14" s="81" customFormat="1" ht="15.75" customHeight="1">
      <c r="A22" s="66" t="s">
        <v>149</v>
      </c>
      <c r="B22" s="174">
        <f>_xlfn.COMPOUNDVALUE(52)</f>
        <v>1523</v>
      </c>
      <c r="C22" s="171">
        <v>1193834</v>
      </c>
      <c r="D22" s="112">
        <f>_xlfn.COMPOUNDVALUE(53)</f>
        <v>2728</v>
      </c>
      <c r="E22" s="171">
        <v>1485005</v>
      </c>
      <c r="F22" s="174">
        <f>_xlfn.COMPOUNDVALUE(54)</f>
        <v>4251</v>
      </c>
      <c r="G22" s="171">
        <v>2678839</v>
      </c>
      <c r="H22" s="174">
        <f>_xlfn.COMPOUNDVALUE(55)</f>
        <v>204</v>
      </c>
      <c r="I22" s="173">
        <v>340012</v>
      </c>
      <c r="J22" s="112">
        <v>312</v>
      </c>
      <c r="K22" s="114">
        <v>68976</v>
      </c>
      <c r="L22" s="112">
        <v>4636</v>
      </c>
      <c r="M22" s="114">
        <v>2407803</v>
      </c>
      <c r="N22" s="65" t="s">
        <v>49</v>
      </c>
    </row>
    <row r="23" spans="1:14" s="81" customFormat="1" ht="15.75" customHeight="1">
      <c r="A23" s="130" t="s">
        <v>50</v>
      </c>
      <c r="B23" s="175">
        <v>14257</v>
      </c>
      <c r="C23" s="132">
        <v>10154968</v>
      </c>
      <c r="D23" s="131">
        <v>25668</v>
      </c>
      <c r="E23" s="132">
        <v>12723546</v>
      </c>
      <c r="F23" s="175">
        <v>39925</v>
      </c>
      <c r="G23" s="132">
        <v>22878515</v>
      </c>
      <c r="H23" s="175">
        <v>2086</v>
      </c>
      <c r="I23" s="133">
        <v>1933255</v>
      </c>
      <c r="J23" s="131">
        <v>3218</v>
      </c>
      <c r="K23" s="133">
        <v>642391</v>
      </c>
      <c r="L23" s="131">
        <v>43535</v>
      </c>
      <c r="M23" s="133">
        <v>21587651</v>
      </c>
      <c r="N23" s="134" t="s">
        <v>51</v>
      </c>
    </row>
    <row r="24" spans="1:14" s="81" customFormat="1" ht="15.75" customHeight="1">
      <c r="A24" s="135"/>
      <c r="B24" s="136"/>
      <c r="C24" s="137"/>
      <c r="D24" s="136"/>
      <c r="E24" s="137"/>
      <c r="F24" s="138"/>
      <c r="G24" s="137"/>
      <c r="H24" s="138"/>
      <c r="I24" s="137"/>
      <c r="J24" s="138"/>
      <c r="K24" s="137"/>
      <c r="L24" s="138"/>
      <c r="M24" s="137"/>
      <c r="N24" s="139"/>
    </row>
    <row r="25" spans="1:14" s="81" customFormat="1" ht="15.75" customHeight="1">
      <c r="A25" s="64" t="s">
        <v>52</v>
      </c>
      <c r="B25" s="109">
        <f>_xlfn.COMPOUNDVALUE(56)</f>
        <v>1325</v>
      </c>
      <c r="C25" s="170">
        <v>6375764</v>
      </c>
      <c r="D25" s="109">
        <f>_xlfn.COMPOUNDVALUE(57)</f>
        <v>1708</v>
      </c>
      <c r="E25" s="170">
        <v>1422092</v>
      </c>
      <c r="F25" s="109">
        <f>_xlfn.COMPOUNDVALUE(58)</f>
        <v>3033</v>
      </c>
      <c r="G25" s="170">
        <v>7797856</v>
      </c>
      <c r="H25" s="109">
        <f>_xlfn.COMPOUNDVALUE(59)</f>
        <v>126</v>
      </c>
      <c r="I25" s="172">
        <v>209886</v>
      </c>
      <c r="J25" s="109">
        <v>94</v>
      </c>
      <c r="K25" s="111">
        <v>-7055</v>
      </c>
      <c r="L25" s="109">
        <v>3182</v>
      </c>
      <c r="M25" s="111">
        <v>7580914</v>
      </c>
      <c r="N25" s="74" t="s">
        <v>52</v>
      </c>
    </row>
    <row r="26" spans="1:14" s="81" customFormat="1" ht="15.75" customHeight="1">
      <c r="A26" s="64" t="s">
        <v>53</v>
      </c>
      <c r="B26" s="109">
        <f>_xlfn.COMPOUNDVALUE(60)</f>
        <v>582</v>
      </c>
      <c r="C26" s="170">
        <v>1069219</v>
      </c>
      <c r="D26" s="109">
        <f>_xlfn.COMPOUNDVALUE(61)</f>
        <v>1074</v>
      </c>
      <c r="E26" s="170">
        <v>883890</v>
      </c>
      <c r="F26" s="109">
        <f>_xlfn.COMPOUNDVALUE(62)</f>
        <v>1656</v>
      </c>
      <c r="G26" s="170">
        <v>1953109</v>
      </c>
      <c r="H26" s="109">
        <f>_xlfn.COMPOUNDVALUE(63)</f>
        <v>80</v>
      </c>
      <c r="I26" s="172">
        <v>46452</v>
      </c>
      <c r="J26" s="109">
        <v>93</v>
      </c>
      <c r="K26" s="111">
        <v>5282</v>
      </c>
      <c r="L26" s="109">
        <v>1745</v>
      </c>
      <c r="M26" s="111">
        <v>1911939</v>
      </c>
      <c r="N26" s="74" t="s">
        <v>53</v>
      </c>
    </row>
    <row r="27" spans="1:14" s="81" customFormat="1" ht="15.75" customHeight="1">
      <c r="A27" s="64" t="s">
        <v>54</v>
      </c>
      <c r="B27" s="109">
        <f>_xlfn.COMPOUNDVALUE(64)</f>
        <v>495</v>
      </c>
      <c r="C27" s="170">
        <v>760231</v>
      </c>
      <c r="D27" s="109">
        <f>_xlfn.COMPOUNDVALUE(65)</f>
        <v>835</v>
      </c>
      <c r="E27" s="170">
        <v>617086</v>
      </c>
      <c r="F27" s="109">
        <f>_xlfn.COMPOUNDVALUE(66)</f>
        <v>1330</v>
      </c>
      <c r="G27" s="170">
        <v>1377317</v>
      </c>
      <c r="H27" s="109">
        <f>_xlfn.COMPOUNDVALUE(67)</f>
        <v>124</v>
      </c>
      <c r="I27" s="172">
        <v>98483</v>
      </c>
      <c r="J27" s="109">
        <v>38</v>
      </c>
      <c r="K27" s="111">
        <v>5496</v>
      </c>
      <c r="L27" s="109">
        <v>1471</v>
      </c>
      <c r="M27" s="111">
        <v>1284330</v>
      </c>
      <c r="N27" s="74" t="s">
        <v>54</v>
      </c>
    </row>
    <row r="28" spans="1:14" s="81" customFormat="1" ht="15.75" customHeight="1">
      <c r="A28" s="64" t="s">
        <v>55</v>
      </c>
      <c r="B28" s="109">
        <f>_xlfn.COMPOUNDVALUE(68)</f>
        <v>1152</v>
      </c>
      <c r="C28" s="170">
        <v>1765206</v>
      </c>
      <c r="D28" s="109">
        <f>_xlfn.COMPOUNDVALUE(69)</f>
        <v>1606</v>
      </c>
      <c r="E28" s="170">
        <v>1156339</v>
      </c>
      <c r="F28" s="109">
        <f>_xlfn.COMPOUNDVALUE(70)</f>
        <v>2758</v>
      </c>
      <c r="G28" s="170">
        <v>2921545</v>
      </c>
      <c r="H28" s="109">
        <f>_xlfn.COMPOUNDVALUE(71)</f>
        <v>325</v>
      </c>
      <c r="I28" s="172">
        <v>244058</v>
      </c>
      <c r="J28" s="109">
        <v>174</v>
      </c>
      <c r="K28" s="111">
        <v>34554</v>
      </c>
      <c r="L28" s="109">
        <v>3147</v>
      </c>
      <c r="M28" s="111">
        <v>2712041</v>
      </c>
      <c r="N28" s="74" t="s">
        <v>55</v>
      </c>
    </row>
    <row r="29" spans="1:14" s="81" customFormat="1" ht="15.75" customHeight="1">
      <c r="A29" s="64" t="s">
        <v>150</v>
      </c>
      <c r="B29" s="109">
        <f>_xlfn.COMPOUNDVALUE(72)</f>
        <v>1692</v>
      </c>
      <c r="C29" s="170">
        <v>2787101</v>
      </c>
      <c r="D29" s="109">
        <f>_xlfn.COMPOUNDVALUE(73)</f>
        <v>2230</v>
      </c>
      <c r="E29" s="170">
        <v>1582040</v>
      </c>
      <c r="F29" s="109">
        <f>_xlfn.COMPOUNDVALUE(74)</f>
        <v>3922</v>
      </c>
      <c r="G29" s="170">
        <v>4369140</v>
      </c>
      <c r="H29" s="109">
        <f>_xlfn.COMPOUNDVALUE(75)</f>
        <v>347</v>
      </c>
      <c r="I29" s="172">
        <v>287912</v>
      </c>
      <c r="J29" s="109">
        <v>329</v>
      </c>
      <c r="K29" s="111">
        <v>77975</v>
      </c>
      <c r="L29" s="109">
        <v>4365</v>
      </c>
      <c r="M29" s="111">
        <v>4159203</v>
      </c>
      <c r="N29" s="74" t="s">
        <v>56</v>
      </c>
    </row>
    <row r="30" spans="1:14" s="81" customFormat="1" ht="15.75" customHeight="1">
      <c r="A30" s="64"/>
      <c r="B30" s="109"/>
      <c r="C30" s="170"/>
      <c r="D30" s="109"/>
      <c r="E30" s="170"/>
      <c r="F30" s="109"/>
      <c r="G30" s="170"/>
      <c r="H30" s="109"/>
      <c r="I30" s="172"/>
      <c r="J30" s="109"/>
      <c r="K30" s="111"/>
      <c r="L30" s="109"/>
      <c r="M30" s="111"/>
      <c r="N30" s="74" t="s">
        <v>35</v>
      </c>
    </row>
    <row r="31" spans="1:14" s="81" customFormat="1" ht="15.75" customHeight="1">
      <c r="A31" s="64" t="s">
        <v>57</v>
      </c>
      <c r="B31" s="109">
        <f>_xlfn.COMPOUNDVALUE(76)</f>
        <v>1536</v>
      </c>
      <c r="C31" s="170">
        <v>5725229</v>
      </c>
      <c r="D31" s="109">
        <f>_xlfn.COMPOUNDVALUE(77)</f>
        <v>2047</v>
      </c>
      <c r="E31" s="170">
        <v>1445087</v>
      </c>
      <c r="F31" s="109">
        <f>_xlfn.COMPOUNDVALUE(78)</f>
        <v>3583</v>
      </c>
      <c r="G31" s="170">
        <v>7170316</v>
      </c>
      <c r="H31" s="109">
        <f>_xlfn.COMPOUNDVALUE(79)</f>
        <v>384</v>
      </c>
      <c r="I31" s="172">
        <v>482471</v>
      </c>
      <c r="J31" s="109">
        <v>205</v>
      </c>
      <c r="K31" s="111">
        <v>12805</v>
      </c>
      <c r="L31" s="109">
        <v>4045</v>
      </c>
      <c r="M31" s="111">
        <v>6700651</v>
      </c>
      <c r="N31" s="74" t="s">
        <v>57</v>
      </c>
    </row>
    <row r="32" spans="1:14" s="81" customFormat="1" ht="15.75" customHeight="1">
      <c r="A32" s="64" t="s">
        <v>58</v>
      </c>
      <c r="B32" s="109">
        <f>_xlfn.COMPOUNDVALUE(80)</f>
        <v>1001</v>
      </c>
      <c r="C32" s="170">
        <v>1373748</v>
      </c>
      <c r="D32" s="109">
        <f>_xlfn.COMPOUNDVALUE(81)</f>
        <v>1475</v>
      </c>
      <c r="E32" s="170">
        <v>925099</v>
      </c>
      <c r="F32" s="109">
        <f>_xlfn.COMPOUNDVALUE(82)</f>
        <v>2476</v>
      </c>
      <c r="G32" s="170">
        <v>2298847</v>
      </c>
      <c r="H32" s="109">
        <f>_xlfn.COMPOUNDVALUE(83)</f>
        <v>172</v>
      </c>
      <c r="I32" s="172">
        <v>132027</v>
      </c>
      <c r="J32" s="109">
        <v>166</v>
      </c>
      <c r="K32" s="111">
        <v>30924</v>
      </c>
      <c r="L32" s="109">
        <v>2715</v>
      </c>
      <c r="M32" s="111">
        <v>2197744</v>
      </c>
      <c r="N32" s="74" t="s">
        <v>58</v>
      </c>
    </row>
    <row r="33" spans="1:14" s="81" customFormat="1" ht="15.75" customHeight="1">
      <c r="A33" s="64" t="s">
        <v>59</v>
      </c>
      <c r="B33" s="109">
        <f>_xlfn.COMPOUNDVALUE(84)</f>
        <v>1030</v>
      </c>
      <c r="C33" s="170">
        <v>1506246</v>
      </c>
      <c r="D33" s="109">
        <f>_xlfn.COMPOUNDVALUE(85)</f>
        <v>1652</v>
      </c>
      <c r="E33" s="170">
        <v>1174500</v>
      </c>
      <c r="F33" s="109">
        <f>_xlfn.COMPOUNDVALUE(86)</f>
        <v>2682</v>
      </c>
      <c r="G33" s="170">
        <v>2680746</v>
      </c>
      <c r="H33" s="109">
        <f>_xlfn.COMPOUNDVALUE(87)</f>
        <v>168</v>
      </c>
      <c r="I33" s="172">
        <v>204364</v>
      </c>
      <c r="J33" s="109">
        <v>178</v>
      </c>
      <c r="K33" s="111">
        <v>33120</v>
      </c>
      <c r="L33" s="109">
        <v>2906</v>
      </c>
      <c r="M33" s="111">
        <v>2509502</v>
      </c>
      <c r="N33" s="74" t="s">
        <v>59</v>
      </c>
    </row>
    <row r="34" spans="1:14" s="81" customFormat="1" ht="15.75" customHeight="1">
      <c r="A34" s="64" t="s">
        <v>60</v>
      </c>
      <c r="B34" s="109">
        <f>_xlfn.COMPOUNDVALUE(88)</f>
        <v>1078</v>
      </c>
      <c r="C34" s="170">
        <v>1555539</v>
      </c>
      <c r="D34" s="109">
        <f>_xlfn.COMPOUNDVALUE(89)</f>
        <v>1428</v>
      </c>
      <c r="E34" s="170">
        <v>998267</v>
      </c>
      <c r="F34" s="109">
        <f>_xlfn.COMPOUNDVALUE(90)</f>
        <v>2506</v>
      </c>
      <c r="G34" s="170">
        <v>2553805</v>
      </c>
      <c r="H34" s="109">
        <f>_xlfn.COMPOUNDVALUE(91)</f>
        <v>400</v>
      </c>
      <c r="I34" s="172">
        <v>107987</v>
      </c>
      <c r="J34" s="109">
        <v>331</v>
      </c>
      <c r="K34" s="111">
        <v>20521</v>
      </c>
      <c r="L34" s="109">
        <v>3147</v>
      </c>
      <c r="M34" s="111">
        <v>2466340</v>
      </c>
      <c r="N34" s="74" t="s">
        <v>60</v>
      </c>
    </row>
    <row r="35" spans="1:14" s="81" customFormat="1" ht="15.75" customHeight="1">
      <c r="A35" s="64" t="s">
        <v>61</v>
      </c>
      <c r="B35" s="109">
        <f>_xlfn.COMPOUNDVALUE(92)</f>
        <v>400</v>
      </c>
      <c r="C35" s="170">
        <v>669934</v>
      </c>
      <c r="D35" s="109">
        <f>_xlfn.COMPOUNDVALUE(93)</f>
        <v>922</v>
      </c>
      <c r="E35" s="170">
        <v>657963</v>
      </c>
      <c r="F35" s="109">
        <f>_xlfn.COMPOUNDVALUE(94)</f>
        <v>1322</v>
      </c>
      <c r="G35" s="170">
        <v>1327897</v>
      </c>
      <c r="H35" s="109">
        <f>_xlfn.COMPOUNDVALUE(95)</f>
        <v>57</v>
      </c>
      <c r="I35" s="172">
        <v>23974</v>
      </c>
      <c r="J35" s="109">
        <v>80</v>
      </c>
      <c r="K35" s="111">
        <v>5442</v>
      </c>
      <c r="L35" s="109">
        <v>1407</v>
      </c>
      <c r="M35" s="111">
        <v>1309365</v>
      </c>
      <c r="N35" s="74" t="s">
        <v>61</v>
      </c>
    </row>
    <row r="36" spans="1:14" s="81" customFormat="1" ht="15.75" customHeight="1">
      <c r="A36" s="64"/>
      <c r="B36" s="109"/>
      <c r="C36" s="170"/>
      <c r="D36" s="109"/>
      <c r="E36" s="170"/>
      <c r="F36" s="109"/>
      <c r="G36" s="170"/>
      <c r="H36" s="109"/>
      <c r="I36" s="172"/>
      <c r="J36" s="109"/>
      <c r="K36" s="111"/>
      <c r="L36" s="109"/>
      <c r="M36" s="111"/>
      <c r="N36" s="74" t="s">
        <v>35</v>
      </c>
    </row>
    <row r="37" spans="1:14" s="81" customFormat="1" ht="15.75" customHeight="1">
      <c r="A37" s="64" t="s">
        <v>62</v>
      </c>
      <c r="B37" s="109">
        <f>_xlfn.COMPOUNDVALUE(96)</f>
        <v>481</v>
      </c>
      <c r="C37" s="170">
        <v>605229</v>
      </c>
      <c r="D37" s="109">
        <f>_xlfn.COMPOUNDVALUE(97)</f>
        <v>899</v>
      </c>
      <c r="E37" s="170">
        <v>570358</v>
      </c>
      <c r="F37" s="109">
        <f>_xlfn.COMPOUNDVALUE(98)</f>
        <v>1380</v>
      </c>
      <c r="G37" s="170">
        <v>1175586</v>
      </c>
      <c r="H37" s="109">
        <f>_xlfn.COMPOUNDVALUE(99)</f>
        <v>100</v>
      </c>
      <c r="I37" s="172">
        <v>44721</v>
      </c>
      <c r="J37" s="109">
        <v>77</v>
      </c>
      <c r="K37" s="111">
        <v>-6470</v>
      </c>
      <c r="L37" s="109">
        <v>1490</v>
      </c>
      <c r="M37" s="111">
        <v>1124395</v>
      </c>
      <c r="N37" s="74" t="s">
        <v>62</v>
      </c>
    </row>
    <row r="38" spans="1:14" s="81" customFormat="1" ht="15.75" customHeight="1">
      <c r="A38" s="64" t="s">
        <v>63</v>
      </c>
      <c r="B38" s="109">
        <f>_xlfn.COMPOUNDVALUE(100)</f>
        <v>504</v>
      </c>
      <c r="C38" s="170">
        <v>531097</v>
      </c>
      <c r="D38" s="109">
        <f>_xlfn.COMPOUNDVALUE(101)</f>
        <v>852</v>
      </c>
      <c r="E38" s="170">
        <v>512606</v>
      </c>
      <c r="F38" s="109">
        <f>_xlfn.COMPOUNDVALUE(102)</f>
        <v>1356</v>
      </c>
      <c r="G38" s="170">
        <v>1043703</v>
      </c>
      <c r="H38" s="109">
        <f>_xlfn.COMPOUNDVALUE(103)</f>
        <v>101</v>
      </c>
      <c r="I38" s="172">
        <v>114518</v>
      </c>
      <c r="J38" s="109">
        <v>64</v>
      </c>
      <c r="K38" s="111">
        <v>37148</v>
      </c>
      <c r="L38" s="109">
        <v>1478</v>
      </c>
      <c r="M38" s="111">
        <v>966333</v>
      </c>
      <c r="N38" s="74" t="s">
        <v>63</v>
      </c>
    </row>
    <row r="39" spans="1:14" s="81" customFormat="1" ht="15.75" customHeight="1">
      <c r="A39" s="64" t="s">
        <v>64</v>
      </c>
      <c r="B39" s="109">
        <f>_xlfn.COMPOUNDVALUE(104)</f>
        <v>586</v>
      </c>
      <c r="C39" s="170">
        <v>453263</v>
      </c>
      <c r="D39" s="109">
        <f>_xlfn.COMPOUNDVALUE(105)</f>
        <v>917</v>
      </c>
      <c r="E39" s="170">
        <v>479044</v>
      </c>
      <c r="F39" s="109">
        <f>_xlfn.COMPOUNDVALUE(106)</f>
        <v>1503</v>
      </c>
      <c r="G39" s="170">
        <v>932307</v>
      </c>
      <c r="H39" s="109">
        <f>_xlfn.COMPOUNDVALUE(107)</f>
        <v>140</v>
      </c>
      <c r="I39" s="172">
        <v>64523</v>
      </c>
      <c r="J39" s="109">
        <v>74</v>
      </c>
      <c r="K39" s="111">
        <v>13947</v>
      </c>
      <c r="L39" s="109">
        <v>1673</v>
      </c>
      <c r="M39" s="111">
        <v>881731</v>
      </c>
      <c r="N39" s="74" t="s">
        <v>64</v>
      </c>
    </row>
    <row r="40" spans="1:14" s="81" customFormat="1" ht="15.75" customHeight="1">
      <c r="A40" s="64" t="s">
        <v>65</v>
      </c>
      <c r="B40" s="109">
        <f>_xlfn.COMPOUNDVALUE(108)</f>
        <v>538</v>
      </c>
      <c r="C40" s="170">
        <v>478823</v>
      </c>
      <c r="D40" s="109">
        <f>_xlfn.COMPOUNDVALUE(109)</f>
        <v>840</v>
      </c>
      <c r="E40" s="170">
        <v>495624</v>
      </c>
      <c r="F40" s="109">
        <f>_xlfn.COMPOUNDVALUE(110)</f>
        <v>1378</v>
      </c>
      <c r="G40" s="170">
        <v>974447</v>
      </c>
      <c r="H40" s="109">
        <f>_xlfn.COMPOUNDVALUE(111)</f>
        <v>124</v>
      </c>
      <c r="I40" s="172">
        <v>315512</v>
      </c>
      <c r="J40" s="109">
        <v>74</v>
      </c>
      <c r="K40" s="111">
        <v>8285</v>
      </c>
      <c r="L40" s="109">
        <v>1521</v>
      </c>
      <c r="M40" s="111">
        <v>667220</v>
      </c>
      <c r="N40" s="74" t="s">
        <v>65</v>
      </c>
    </row>
    <row r="41" spans="1:14" s="81" customFormat="1" ht="15.75" customHeight="1">
      <c r="A41" s="64" t="s">
        <v>66</v>
      </c>
      <c r="B41" s="109">
        <f>_xlfn.COMPOUNDVALUE(112)</f>
        <v>327</v>
      </c>
      <c r="C41" s="170">
        <v>204188</v>
      </c>
      <c r="D41" s="109">
        <f>_xlfn.COMPOUNDVALUE(113)</f>
        <v>477</v>
      </c>
      <c r="E41" s="170">
        <v>237008</v>
      </c>
      <c r="F41" s="109">
        <f>_xlfn.COMPOUNDVALUE(114)</f>
        <v>804</v>
      </c>
      <c r="G41" s="170">
        <v>441196</v>
      </c>
      <c r="H41" s="109">
        <f>_xlfn.COMPOUNDVALUE(115)</f>
        <v>59</v>
      </c>
      <c r="I41" s="172">
        <v>30280</v>
      </c>
      <c r="J41" s="109">
        <v>44</v>
      </c>
      <c r="K41" s="111">
        <v>46769</v>
      </c>
      <c r="L41" s="109">
        <v>885</v>
      </c>
      <c r="M41" s="111">
        <v>457685</v>
      </c>
      <c r="N41" s="157" t="s">
        <v>66</v>
      </c>
    </row>
    <row r="42" spans="1:14" s="81" customFormat="1" ht="15.75" customHeight="1">
      <c r="A42" s="91"/>
      <c r="B42" s="109"/>
      <c r="C42" s="170"/>
      <c r="D42" s="109"/>
      <c r="E42" s="170"/>
      <c r="F42" s="109"/>
      <c r="G42" s="170"/>
      <c r="H42" s="109"/>
      <c r="I42" s="172"/>
      <c r="J42" s="109"/>
      <c r="K42" s="111"/>
      <c r="L42" s="109"/>
      <c r="M42" s="111"/>
      <c r="N42" s="158" t="s">
        <v>35</v>
      </c>
    </row>
    <row r="43" spans="1:14" s="81" customFormat="1" ht="15.75" customHeight="1">
      <c r="A43" s="86" t="s">
        <v>67</v>
      </c>
      <c r="B43" s="109">
        <f>_xlfn.COMPOUNDVALUE(116)</f>
        <v>864</v>
      </c>
      <c r="C43" s="170">
        <v>640509</v>
      </c>
      <c r="D43" s="109">
        <f>_xlfn.COMPOUNDVALUE(117)</f>
        <v>1191</v>
      </c>
      <c r="E43" s="170">
        <v>720485</v>
      </c>
      <c r="F43" s="109">
        <f>_xlfn.COMPOUNDVALUE(118)</f>
        <v>2055</v>
      </c>
      <c r="G43" s="170">
        <v>1360994</v>
      </c>
      <c r="H43" s="109">
        <f>_xlfn.COMPOUNDVALUE(119)</f>
        <v>260</v>
      </c>
      <c r="I43" s="172">
        <v>158430</v>
      </c>
      <c r="J43" s="109">
        <v>164</v>
      </c>
      <c r="K43" s="111">
        <v>48933</v>
      </c>
      <c r="L43" s="109">
        <v>2406</v>
      </c>
      <c r="M43" s="111">
        <v>1251498</v>
      </c>
      <c r="N43" s="88" t="s">
        <v>67</v>
      </c>
    </row>
    <row r="44" spans="1:14" s="81" customFormat="1" ht="15.75" customHeight="1">
      <c r="A44" s="64" t="s">
        <v>68</v>
      </c>
      <c r="B44" s="109">
        <f>_xlfn.COMPOUNDVALUE(120)</f>
        <v>552</v>
      </c>
      <c r="C44" s="170">
        <v>393801</v>
      </c>
      <c r="D44" s="109">
        <f>_xlfn.COMPOUNDVALUE(121)</f>
        <v>836</v>
      </c>
      <c r="E44" s="170">
        <v>454258</v>
      </c>
      <c r="F44" s="109">
        <f>_xlfn.COMPOUNDVALUE(122)</f>
        <v>1388</v>
      </c>
      <c r="G44" s="170">
        <v>848059</v>
      </c>
      <c r="H44" s="109">
        <f>_xlfn.COMPOUNDVALUE(123)</f>
        <v>84</v>
      </c>
      <c r="I44" s="172">
        <v>45599</v>
      </c>
      <c r="J44" s="109">
        <v>112</v>
      </c>
      <c r="K44" s="111">
        <v>42618</v>
      </c>
      <c r="L44" s="109">
        <v>1548</v>
      </c>
      <c r="M44" s="111">
        <v>845078</v>
      </c>
      <c r="N44" s="74" t="s">
        <v>68</v>
      </c>
    </row>
    <row r="45" spans="1:14" s="81" customFormat="1" ht="15.75" customHeight="1">
      <c r="A45" s="64" t="s">
        <v>69</v>
      </c>
      <c r="B45" s="109">
        <f>_xlfn.COMPOUNDVALUE(124)</f>
        <v>468</v>
      </c>
      <c r="C45" s="170">
        <v>328108</v>
      </c>
      <c r="D45" s="109">
        <f>_xlfn.COMPOUNDVALUE(125)</f>
        <v>714</v>
      </c>
      <c r="E45" s="170">
        <v>389010</v>
      </c>
      <c r="F45" s="109">
        <f>_xlfn.COMPOUNDVALUE(126)</f>
        <v>1182</v>
      </c>
      <c r="G45" s="170">
        <v>717118</v>
      </c>
      <c r="H45" s="109">
        <f>_xlfn.COMPOUNDVALUE(127)</f>
        <v>73</v>
      </c>
      <c r="I45" s="172">
        <v>30488</v>
      </c>
      <c r="J45" s="109">
        <v>87</v>
      </c>
      <c r="K45" s="111">
        <v>23403</v>
      </c>
      <c r="L45" s="109">
        <v>1294</v>
      </c>
      <c r="M45" s="111">
        <v>710032</v>
      </c>
      <c r="N45" s="74" t="s">
        <v>69</v>
      </c>
    </row>
    <row r="46" spans="1:14" s="81" customFormat="1" ht="15.75" customHeight="1">
      <c r="A46" s="64" t="s">
        <v>70</v>
      </c>
      <c r="B46" s="109">
        <f>_xlfn.COMPOUNDVALUE(128)</f>
        <v>1609</v>
      </c>
      <c r="C46" s="170">
        <v>1914343</v>
      </c>
      <c r="D46" s="109">
        <f>_xlfn.COMPOUNDVALUE(129)</f>
        <v>2130</v>
      </c>
      <c r="E46" s="170">
        <v>1443397</v>
      </c>
      <c r="F46" s="109">
        <f>_xlfn.COMPOUNDVALUE(130)</f>
        <v>3739</v>
      </c>
      <c r="G46" s="170">
        <v>3357741</v>
      </c>
      <c r="H46" s="109">
        <f>_xlfn.COMPOUNDVALUE(131)</f>
        <v>263</v>
      </c>
      <c r="I46" s="172">
        <v>321430</v>
      </c>
      <c r="J46" s="109">
        <v>305</v>
      </c>
      <c r="K46" s="111">
        <v>17913</v>
      </c>
      <c r="L46" s="109">
        <v>4108</v>
      </c>
      <c r="M46" s="111">
        <v>3054224</v>
      </c>
      <c r="N46" s="74" t="s">
        <v>70</v>
      </c>
    </row>
    <row r="47" spans="1:14" s="81" customFormat="1" ht="15.75" customHeight="1">
      <c r="A47" s="64" t="s">
        <v>71</v>
      </c>
      <c r="B47" s="109">
        <f>_xlfn.COMPOUNDVALUE(132)</f>
        <v>624</v>
      </c>
      <c r="C47" s="170">
        <v>506353</v>
      </c>
      <c r="D47" s="109">
        <f>_xlfn.COMPOUNDVALUE(133)</f>
        <v>1061</v>
      </c>
      <c r="E47" s="170">
        <v>597071</v>
      </c>
      <c r="F47" s="109">
        <f>_xlfn.COMPOUNDVALUE(134)</f>
        <v>1685</v>
      </c>
      <c r="G47" s="170">
        <v>1103424</v>
      </c>
      <c r="H47" s="109">
        <f>_xlfn.COMPOUNDVALUE(135)</f>
        <v>107</v>
      </c>
      <c r="I47" s="172">
        <v>81703</v>
      </c>
      <c r="J47" s="109">
        <v>131</v>
      </c>
      <c r="K47" s="111">
        <v>22827</v>
      </c>
      <c r="L47" s="109">
        <v>1855</v>
      </c>
      <c r="M47" s="111">
        <v>1044548</v>
      </c>
      <c r="N47" s="74" t="s">
        <v>71</v>
      </c>
    </row>
    <row r="48" spans="1:14" s="81" customFormat="1" ht="15.75" customHeight="1">
      <c r="A48" s="64"/>
      <c r="B48" s="109"/>
      <c r="C48" s="170"/>
      <c r="D48" s="109"/>
      <c r="E48" s="170"/>
      <c r="F48" s="109"/>
      <c r="G48" s="170"/>
      <c r="H48" s="109"/>
      <c r="I48" s="172"/>
      <c r="J48" s="109"/>
      <c r="K48" s="111"/>
      <c r="L48" s="109"/>
      <c r="M48" s="111"/>
      <c r="N48" s="74" t="s">
        <v>35</v>
      </c>
    </row>
    <row r="49" spans="1:14" s="81" customFormat="1" ht="15.75" customHeight="1">
      <c r="A49" s="64" t="s">
        <v>72</v>
      </c>
      <c r="B49" s="109">
        <f>_xlfn.COMPOUNDVALUE(136)</f>
        <v>554</v>
      </c>
      <c r="C49" s="170">
        <v>817080</v>
      </c>
      <c r="D49" s="109">
        <f>_xlfn.COMPOUNDVALUE(137)</f>
        <v>998</v>
      </c>
      <c r="E49" s="170">
        <v>639871</v>
      </c>
      <c r="F49" s="109">
        <f>_xlfn.COMPOUNDVALUE(138)</f>
        <v>1552</v>
      </c>
      <c r="G49" s="170">
        <v>1456950</v>
      </c>
      <c r="H49" s="109">
        <f>_xlfn.COMPOUNDVALUE(139)</f>
        <v>81</v>
      </c>
      <c r="I49" s="172">
        <v>184869</v>
      </c>
      <c r="J49" s="109">
        <v>101</v>
      </c>
      <c r="K49" s="111">
        <v>14800</v>
      </c>
      <c r="L49" s="109">
        <v>1664</v>
      </c>
      <c r="M49" s="111">
        <v>1286882</v>
      </c>
      <c r="N49" s="74" t="s">
        <v>72</v>
      </c>
    </row>
    <row r="50" spans="1:14" s="81" customFormat="1" ht="15.75" customHeight="1">
      <c r="A50" s="64" t="s">
        <v>73</v>
      </c>
      <c r="B50" s="109">
        <f>_xlfn.COMPOUNDVALUE(140)</f>
        <v>720</v>
      </c>
      <c r="C50" s="170">
        <v>542367</v>
      </c>
      <c r="D50" s="109">
        <f>_xlfn.COMPOUNDVALUE(141)</f>
        <v>1107</v>
      </c>
      <c r="E50" s="170">
        <v>580741</v>
      </c>
      <c r="F50" s="109">
        <f>_xlfn.COMPOUNDVALUE(142)</f>
        <v>1827</v>
      </c>
      <c r="G50" s="170">
        <v>1123108</v>
      </c>
      <c r="H50" s="109">
        <f>_xlfn.COMPOUNDVALUE(143)</f>
        <v>83</v>
      </c>
      <c r="I50" s="172">
        <v>70568</v>
      </c>
      <c r="J50" s="109">
        <v>95</v>
      </c>
      <c r="K50" s="111">
        <v>14652</v>
      </c>
      <c r="L50" s="109">
        <v>1951</v>
      </c>
      <c r="M50" s="111">
        <v>1067192</v>
      </c>
      <c r="N50" s="74" t="s">
        <v>73</v>
      </c>
    </row>
    <row r="51" spans="1:14" s="81" customFormat="1" ht="15.75" customHeight="1">
      <c r="A51" s="64" t="s">
        <v>74</v>
      </c>
      <c r="B51" s="109">
        <f>_xlfn.COMPOUNDVALUE(144)</f>
        <v>1484</v>
      </c>
      <c r="C51" s="170">
        <v>1532018</v>
      </c>
      <c r="D51" s="109">
        <f>_xlfn.COMPOUNDVALUE(145)</f>
        <v>2202</v>
      </c>
      <c r="E51" s="170">
        <v>1382825</v>
      </c>
      <c r="F51" s="109">
        <f>_xlfn.COMPOUNDVALUE(146)</f>
        <v>3686</v>
      </c>
      <c r="G51" s="170">
        <v>2914844</v>
      </c>
      <c r="H51" s="109">
        <f>_xlfn.COMPOUNDVALUE(147)</f>
        <v>234</v>
      </c>
      <c r="I51" s="172">
        <v>102368</v>
      </c>
      <c r="J51" s="109">
        <v>316</v>
      </c>
      <c r="K51" s="111">
        <v>42286</v>
      </c>
      <c r="L51" s="109">
        <v>4059</v>
      </c>
      <c r="M51" s="111">
        <v>2854761</v>
      </c>
      <c r="N51" s="74" t="s">
        <v>74</v>
      </c>
    </row>
    <row r="52" spans="1:14" s="81" customFormat="1" ht="15.75" customHeight="1">
      <c r="A52" s="64" t="s">
        <v>75</v>
      </c>
      <c r="B52" s="176">
        <f>_xlfn.COMPOUNDVALUE(148)</f>
        <v>1290</v>
      </c>
      <c r="C52" s="170">
        <v>1287157</v>
      </c>
      <c r="D52" s="109">
        <f>_xlfn.COMPOUNDVALUE(149)</f>
        <v>1974</v>
      </c>
      <c r="E52" s="170">
        <v>1231192</v>
      </c>
      <c r="F52" s="176">
        <f>_xlfn.COMPOUNDVALUE(150)</f>
        <v>3264</v>
      </c>
      <c r="G52" s="170">
        <v>2518349</v>
      </c>
      <c r="H52" s="176">
        <f>_xlfn.COMPOUNDVALUE(151)</f>
        <v>200</v>
      </c>
      <c r="I52" s="172">
        <v>249530</v>
      </c>
      <c r="J52" s="109">
        <v>265</v>
      </c>
      <c r="K52" s="111">
        <v>25608</v>
      </c>
      <c r="L52" s="109">
        <v>3574</v>
      </c>
      <c r="M52" s="111">
        <v>2294426</v>
      </c>
      <c r="N52" s="74" t="s">
        <v>75</v>
      </c>
    </row>
    <row r="53" spans="1:14" s="81" customFormat="1" ht="15.75" customHeight="1">
      <c r="A53" s="64" t="s">
        <v>76</v>
      </c>
      <c r="B53" s="176">
        <f>_xlfn.COMPOUNDVALUE(152)</f>
        <v>1128</v>
      </c>
      <c r="C53" s="170">
        <v>1704439</v>
      </c>
      <c r="D53" s="109">
        <f>_xlfn.COMPOUNDVALUE(153)</f>
        <v>1878</v>
      </c>
      <c r="E53" s="170">
        <v>1242311</v>
      </c>
      <c r="F53" s="176">
        <f>_xlfn.COMPOUNDVALUE(154)</f>
        <v>3006</v>
      </c>
      <c r="G53" s="170">
        <v>2946749</v>
      </c>
      <c r="H53" s="176">
        <f>_xlfn.COMPOUNDVALUE(155)</f>
        <v>191</v>
      </c>
      <c r="I53" s="172">
        <v>170275</v>
      </c>
      <c r="J53" s="109">
        <v>200</v>
      </c>
      <c r="K53" s="111">
        <v>10551</v>
      </c>
      <c r="L53" s="109">
        <v>3246</v>
      </c>
      <c r="M53" s="111">
        <v>2787026</v>
      </c>
      <c r="N53" s="74" t="s">
        <v>76</v>
      </c>
    </row>
    <row r="54" spans="1:14" s="81" customFormat="1" ht="15.75" customHeight="1">
      <c r="A54" s="64"/>
      <c r="B54" s="109"/>
      <c r="C54" s="170"/>
      <c r="D54" s="109"/>
      <c r="E54" s="170"/>
      <c r="F54" s="109"/>
      <c r="G54" s="170"/>
      <c r="H54" s="109"/>
      <c r="I54" s="172"/>
      <c r="J54" s="109"/>
      <c r="K54" s="111"/>
      <c r="L54" s="109"/>
      <c r="M54" s="111"/>
      <c r="N54" s="74" t="s">
        <v>35</v>
      </c>
    </row>
    <row r="55" spans="1:14" s="81" customFormat="1" ht="15.75" customHeight="1">
      <c r="A55" s="64" t="s">
        <v>77</v>
      </c>
      <c r="B55" s="109">
        <f>_xlfn.COMPOUNDVALUE(156)</f>
        <v>2374</v>
      </c>
      <c r="C55" s="170">
        <v>4314601</v>
      </c>
      <c r="D55" s="109">
        <f>_xlfn.COMPOUNDVALUE(157)</f>
        <v>3140</v>
      </c>
      <c r="E55" s="170">
        <v>2339319</v>
      </c>
      <c r="F55" s="109">
        <f>_xlfn.COMPOUNDVALUE(158)</f>
        <v>5514</v>
      </c>
      <c r="G55" s="170">
        <v>6653919</v>
      </c>
      <c r="H55" s="109">
        <f>_xlfn.COMPOUNDVALUE(159)</f>
        <v>361</v>
      </c>
      <c r="I55" s="172">
        <v>415119</v>
      </c>
      <c r="J55" s="109">
        <v>361</v>
      </c>
      <c r="K55" s="111">
        <v>63495</v>
      </c>
      <c r="L55" s="109">
        <v>6050</v>
      </c>
      <c r="M55" s="111">
        <v>6302295</v>
      </c>
      <c r="N55" s="74" t="s">
        <v>77</v>
      </c>
    </row>
    <row r="56" spans="1:14" s="81" customFormat="1" ht="15.75" customHeight="1">
      <c r="A56" s="64" t="s">
        <v>78</v>
      </c>
      <c r="B56" s="109">
        <f>_xlfn.COMPOUNDVALUE(160)</f>
        <v>1074</v>
      </c>
      <c r="C56" s="170">
        <v>992794</v>
      </c>
      <c r="D56" s="109">
        <f>_xlfn.COMPOUNDVALUE(161)</f>
        <v>1696</v>
      </c>
      <c r="E56" s="170">
        <v>1022143</v>
      </c>
      <c r="F56" s="109">
        <f>_xlfn.COMPOUNDVALUE(162)</f>
        <v>2770</v>
      </c>
      <c r="G56" s="170">
        <v>2014937</v>
      </c>
      <c r="H56" s="109">
        <f>_xlfn.COMPOUNDVALUE(163)</f>
        <v>181</v>
      </c>
      <c r="I56" s="172">
        <v>145842</v>
      </c>
      <c r="J56" s="109">
        <v>171</v>
      </c>
      <c r="K56" s="111">
        <v>8906</v>
      </c>
      <c r="L56" s="109">
        <v>2997</v>
      </c>
      <c r="M56" s="111">
        <v>1878002</v>
      </c>
      <c r="N56" s="74" t="s">
        <v>78</v>
      </c>
    </row>
    <row r="57" spans="1:14" s="81" customFormat="1" ht="15.75" customHeight="1">
      <c r="A57" s="64" t="s">
        <v>79</v>
      </c>
      <c r="B57" s="109">
        <f>_xlfn.COMPOUNDVALUE(164)</f>
        <v>1048</v>
      </c>
      <c r="C57" s="170">
        <v>1067476</v>
      </c>
      <c r="D57" s="109">
        <f>_xlfn.COMPOUNDVALUE(165)</f>
        <v>1699</v>
      </c>
      <c r="E57" s="170">
        <v>1061961</v>
      </c>
      <c r="F57" s="109">
        <f>_xlfn.COMPOUNDVALUE(166)</f>
        <v>2747</v>
      </c>
      <c r="G57" s="170">
        <v>2129437</v>
      </c>
      <c r="H57" s="109">
        <f>_xlfn.COMPOUNDVALUE(167)</f>
        <v>131</v>
      </c>
      <c r="I57" s="172">
        <v>99237</v>
      </c>
      <c r="J57" s="109">
        <v>301</v>
      </c>
      <c r="K57" s="111">
        <v>35392</v>
      </c>
      <c r="L57" s="109">
        <v>3009</v>
      </c>
      <c r="M57" s="111">
        <v>2065593</v>
      </c>
      <c r="N57" s="74" t="s">
        <v>79</v>
      </c>
    </row>
    <row r="58" spans="1:14" s="81" customFormat="1" ht="15.75" customHeight="1">
      <c r="A58" s="64" t="s">
        <v>80</v>
      </c>
      <c r="B58" s="109">
        <f>_xlfn.COMPOUNDVALUE(168)</f>
        <v>764</v>
      </c>
      <c r="C58" s="170">
        <v>885005</v>
      </c>
      <c r="D58" s="109">
        <f>_xlfn.COMPOUNDVALUE(169)</f>
        <v>1383</v>
      </c>
      <c r="E58" s="170">
        <v>884060</v>
      </c>
      <c r="F58" s="109">
        <f>_xlfn.COMPOUNDVALUE(170)</f>
        <v>2147</v>
      </c>
      <c r="G58" s="170">
        <v>1769066</v>
      </c>
      <c r="H58" s="109">
        <f>_xlfn.COMPOUNDVALUE(171)</f>
        <v>121</v>
      </c>
      <c r="I58" s="172">
        <v>116749</v>
      </c>
      <c r="J58" s="109">
        <v>150</v>
      </c>
      <c r="K58" s="111">
        <v>25447</v>
      </c>
      <c r="L58" s="109">
        <v>2342</v>
      </c>
      <c r="M58" s="111">
        <v>1677764</v>
      </c>
      <c r="N58" s="74" t="s">
        <v>80</v>
      </c>
    </row>
    <row r="59" spans="1:14" s="81" customFormat="1" ht="15.75" customHeight="1">
      <c r="A59" s="64" t="s">
        <v>81</v>
      </c>
      <c r="B59" s="109">
        <f>_xlfn.COMPOUNDVALUE(172)</f>
        <v>1187</v>
      </c>
      <c r="C59" s="170">
        <v>1532781</v>
      </c>
      <c r="D59" s="109">
        <f>_xlfn.COMPOUNDVALUE(173)</f>
        <v>1876</v>
      </c>
      <c r="E59" s="170">
        <v>1257345</v>
      </c>
      <c r="F59" s="109">
        <f>_xlfn.COMPOUNDVALUE(174)</f>
        <v>3063</v>
      </c>
      <c r="G59" s="170">
        <v>2790125</v>
      </c>
      <c r="H59" s="109">
        <f>_xlfn.COMPOUNDVALUE(175)</f>
        <v>241</v>
      </c>
      <c r="I59" s="172">
        <v>162370</v>
      </c>
      <c r="J59" s="109">
        <v>236</v>
      </c>
      <c r="K59" s="111">
        <v>37551</v>
      </c>
      <c r="L59" s="109">
        <v>3381</v>
      </c>
      <c r="M59" s="111">
        <v>2665306</v>
      </c>
      <c r="N59" s="74" t="s">
        <v>81</v>
      </c>
    </row>
    <row r="60" spans="1:14" s="81" customFormat="1" ht="15.75" customHeight="1">
      <c r="A60" s="64"/>
      <c r="B60" s="109"/>
      <c r="C60" s="170"/>
      <c r="D60" s="109"/>
      <c r="E60" s="170"/>
      <c r="F60" s="109"/>
      <c r="G60" s="170"/>
      <c r="H60" s="109"/>
      <c r="I60" s="172"/>
      <c r="J60" s="109"/>
      <c r="K60" s="111"/>
      <c r="L60" s="109"/>
      <c r="M60" s="111"/>
      <c r="N60" s="74" t="s">
        <v>35</v>
      </c>
    </row>
    <row r="61" spans="1:14" s="81" customFormat="1" ht="15.75" customHeight="1">
      <c r="A61" s="64" t="s">
        <v>82</v>
      </c>
      <c r="B61" s="109">
        <f>_xlfn.COMPOUNDVALUE(176)</f>
        <v>932</v>
      </c>
      <c r="C61" s="170">
        <v>684227</v>
      </c>
      <c r="D61" s="109">
        <f>_xlfn.COMPOUNDVALUE(177)</f>
        <v>1347</v>
      </c>
      <c r="E61" s="170">
        <v>802815</v>
      </c>
      <c r="F61" s="109">
        <f>_xlfn.COMPOUNDVALUE(178)</f>
        <v>2279</v>
      </c>
      <c r="G61" s="170">
        <v>1487042</v>
      </c>
      <c r="H61" s="109">
        <f>_xlfn.COMPOUNDVALUE(179)</f>
        <v>137</v>
      </c>
      <c r="I61" s="172">
        <v>92411</v>
      </c>
      <c r="J61" s="109">
        <v>130</v>
      </c>
      <c r="K61" s="111">
        <v>25767</v>
      </c>
      <c r="L61" s="109">
        <v>2474</v>
      </c>
      <c r="M61" s="111">
        <v>1420398</v>
      </c>
      <c r="N61" s="74" t="s">
        <v>82</v>
      </c>
    </row>
    <row r="62" spans="1:14" s="81" customFormat="1" ht="15.75" customHeight="1">
      <c r="A62" s="64" t="s">
        <v>83</v>
      </c>
      <c r="B62" s="109">
        <f>_xlfn.COMPOUNDVALUE(180)</f>
        <v>653</v>
      </c>
      <c r="C62" s="170">
        <v>486850</v>
      </c>
      <c r="D62" s="109">
        <f>_xlfn.COMPOUNDVALUE(181)</f>
        <v>979</v>
      </c>
      <c r="E62" s="170">
        <v>507178</v>
      </c>
      <c r="F62" s="109">
        <f>_xlfn.COMPOUNDVALUE(182)</f>
        <v>1632</v>
      </c>
      <c r="G62" s="170">
        <v>994027</v>
      </c>
      <c r="H62" s="109">
        <f>_xlfn.COMPOUNDVALUE(183)</f>
        <v>125</v>
      </c>
      <c r="I62" s="172">
        <v>49985</v>
      </c>
      <c r="J62" s="109">
        <v>119</v>
      </c>
      <c r="K62" s="111">
        <v>19731</v>
      </c>
      <c r="L62" s="109">
        <v>1812</v>
      </c>
      <c r="M62" s="111">
        <v>963773</v>
      </c>
      <c r="N62" s="74" t="s">
        <v>83</v>
      </c>
    </row>
    <row r="63" spans="1:14" s="81" customFormat="1" ht="15.75" customHeight="1">
      <c r="A63" s="64" t="s">
        <v>84</v>
      </c>
      <c r="B63" s="109">
        <f>_xlfn.COMPOUNDVALUE(184)</f>
        <v>1647</v>
      </c>
      <c r="C63" s="170">
        <v>1244575</v>
      </c>
      <c r="D63" s="109">
        <f>_xlfn.COMPOUNDVALUE(185)</f>
        <v>2273</v>
      </c>
      <c r="E63" s="170">
        <v>1279010</v>
      </c>
      <c r="F63" s="109">
        <f>_xlfn.COMPOUNDVALUE(186)</f>
        <v>3920</v>
      </c>
      <c r="G63" s="170">
        <v>2523584</v>
      </c>
      <c r="H63" s="109">
        <f>_xlfn.COMPOUNDVALUE(187)</f>
        <v>170</v>
      </c>
      <c r="I63" s="172">
        <v>208220</v>
      </c>
      <c r="J63" s="109">
        <v>173</v>
      </c>
      <c r="K63" s="111">
        <v>44300</v>
      </c>
      <c r="L63" s="109">
        <v>4195</v>
      </c>
      <c r="M63" s="111">
        <v>2359665</v>
      </c>
      <c r="N63" s="74" t="s">
        <v>84</v>
      </c>
    </row>
    <row r="64" spans="1:14" s="81" customFormat="1" ht="15.75" customHeight="1">
      <c r="A64" s="64" t="s">
        <v>85</v>
      </c>
      <c r="B64" s="109">
        <f>_xlfn.COMPOUNDVALUE(188)</f>
        <v>1167</v>
      </c>
      <c r="C64" s="170">
        <v>1255828</v>
      </c>
      <c r="D64" s="109">
        <f>_xlfn.COMPOUNDVALUE(189)</f>
        <v>1985</v>
      </c>
      <c r="E64" s="170">
        <v>1234683</v>
      </c>
      <c r="F64" s="109">
        <f>_xlfn.COMPOUNDVALUE(190)</f>
        <v>3152</v>
      </c>
      <c r="G64" s="170">
        <v>2490511</v>
      </c>
      <c r="H64" s="109">
        <f>_xlfn.COMPOUNDVALUE(191)</f>
        <v>173</v>
      </c>
      <c r="I64" s="172">
        <v>190175</v>
      </c>
      <c r="J64" s="109">
        <v>272</v>
      </c>
      <c r="K64" s="111">
        <v>36680</v>
      </c>
      <c r="L64" s="109">
        <v>3416</v>
      </c>
      <c r="M64" s="111">
        <v>2337015</v>
      </c>
      <c r="N64" s="74" t="s">
        <v>85</v>
      </c>
    </row>
    <row r="65" spans="1:14" s="81" customFormat="1" ht="15.75" customHeight="1">
      <c r="A65" s="66" t="s">
        <v>86</v>
      </c>
      <c r="B65" s="112">
        <f>_xlfn.COMPOUNDVALUE(192)</f>
        <v>822</v>
      </c>
      <c r="C65" s="171">
        <v>676571</v>
      </c>
      <c r="D65" s="112">
        <f>_xlfn.COMPOUNDVALUE(193)</f>
        <v>1418</v>
      </c>
      <c r="E65" s="171">
        <v>835036</v>
      </c>
      <c r="F65" s="112">
        <f>_xlfn.COMPOUNDVALUE(194)</f>
        <v>2240</v>
      </c>
      <c r="G65" s="171">
        <v>1511607</v>
      </c>
      <c r="H65" s="112">
        <f>_xlfn.COMPOUNDVALUE(195)</f>
        <v>124</v>
      </c>
      <c r="I65" s="173">
        <v>115998</v>
      </c>
      <c r="J65" s="112">
        <v>197</v>
      </c>
      <c r="K65" s="114">
        <v>24319</v>
      </c>
      <c r="L65" s="112">
        <v>2436</v>
      </c>
      <c r="M65" s="114">
        <v>1419927</v>
      </c>
      <c r="N65" s="65" t="s">
        <v>86</v>
      </c>
    </row>
    <row r="66" spans="1:14" s="81" customFormat="1" ht="15.75" customHeight="1">
      <c r="A66" s="66"/>
      <c r="B66" s="112"/>
      <c r="C66" s="113"/>
      <c r="D66" s="112"/>
      <c r="E66" s="113"/>
      <c r="F66" s="112"/>
      <c r="G66" s="113"/>
      <c r="H66" s="112"/>
      <c r="I66" s="114"/>
      <c r="J66" s="112"/>
      <c r="K66" s="114"/>
      <c r="L66" s="112"/>
      <c r="M66" s="114"/>
      <c r="N66" s="65" t="s">
        <v>35</v>
      </c>
    </row>
    <row r="67" spans="1:14" s="81" customFormat="1" ht="15.75" customHeight="1">
      <c r="A67" s="66" t="s">
        <v>87</v>
      </c>
      <c r="B67" s="112">
        <f>_xlfn.COMPOUNDVALUE(196)</f>
        <v>1207</v>
      </c>
      <c r="C67" s="171">
        <v>856875</v>
      </c>
      <c r="D67" s="112">
        <f>_xlfn.COMPOUNDVALUE(197)</f>
        <v>1790</v>
      </c>
      <c r="E67" s="171">
        <v>1041009</v>
      </c>
      <c r="F67" s="112">
        <f>_xlfn.COMPOUNDVALUE(198)</f>
        <v>2997</v>
      </c>
      <c r="G67" s="171">
        <v>1897884</v>
      </c>
      <c r="H67" s="112">
        <f>_xlfn.COMPOUNDVALUE(199)</f>
        <v>162</v>
      </c>
      <c r="I67" s="173">
        <v>225415</v>
      </c>
      <c r="J67" s="112">
        <v>250</v>
      </c>
      <c r="K67" s="114">
        <v>15700</v>
      </c>
      <c r="L67" s="112">
        <v>3263</v>
      </c>
      <c r="M67" s="114">
        <v>1688169</v>
      </c>
      <c r="N67" s="65" t="s">
        <v>87</v>
      </c>
    </row>
    <row r="68" spans="1:14" s="81" customFormat="1" ht="15.75" customHeight="1">
      <c r="A68" s="66" t="s">
        <v>88</v>
      </c>
      <c r="B68" s="112">
        <f>_xlfn.COMPOUNDVALUE(200)</f>
        <v>883</v>
      </c>
      <c r="C68" s="171">
        <v>616397</v>
      </c>
      <c r="D68" s="112">
        <f>_xlfn.COMPOUNDVALUE(201)</f>
        <v>1525</v>
      </c>
      <c r="E68" s="171">
        <v>824206</v>
      </c>
      <c r="F68" s="112">
        <f>_xlfn.COMPOUNDVALUE(202)</f>
        <v>2408</v>
      </c>
      <c r="G68" s="171">
        <v>1440604</v>
      </c>
      <c r="H68" s="112">
        <f>_xlfn.COMPOUNDVALUE(203)</f>
        <v>94</v>
      </c>
      <c r="I68" s="173">
        <v>130291</v>
      </c>
      <c r="J68" s="112">
        <v>180</v>
      </c>
      <c r="K68" s="114">
        <v>26960</v>
      </c>
      <c r="L68" s="112">
        <v>2588</v>
      </c>
      <c r="M68" s="114">
        <v>1337273</v>
      </c>
      <c r="N68" s="65" t="s">
        <v>88</v>
      </c>
    </row>
    <row r="69" spans="1:14" s="81" customFormat="1" ht="15.75" customHeight="1">
      <c r="A69" s="66" t="s">
        <v>89</v>
      </c>
      <c r="B69" s="112">
        <f>_xlfn.COMPOUNDVALUE(204)</f>
        <v>1193</v>
      </c>
      <c r="C69" s="171">
        <v>871965</v>
      </c>
      <c r="D69" s="112">
        <f>_xlfn.COMPOUNDVALUE(205)</f>
        <v>2081</v>
      </c>
      <c r="E69" s="171">
        <v>1117525</v>
      </c>
      <c r="F69" s="112">
        <f>_xlfn.COMPOUNDVALUE(206)</f>
        <v>3274</v>
      </c>
      <c r="G69" s="171">
        <v>1989490</v>
      </c>
      <c r="H69" s="112">
        <f>_xlfn.COMPOUNDVALUE(207)</f>
        <v>164</v>
      </c>
      <c r="I69" s="173">
        <v>101627</v>
      </c>
      <c r="J69" s="112">
        <v>214</v>
      </c>
      <c r="K69" s="114">
        <v>30891</v>
      </c>
      <c r="L69" s="112">
        <v>3526</v>
      </c>
      <c r="M69" s="114">
        <v>1918754</v>
      </c>
      <c r="N69" s="65" t="s">
        <v>89</v>
      </c>
    </row>
    <row r="70" spans="1:14" s="81" customFormat="1" ht="15.75" customHeight="1">
      <c r="A70" s="66" t="s">
        <v>90</v>
      </c>
      <c r="B70" s="112">
        <f>_xlfn.COMPOUNDVALUE(208)</f>
        <v>1268</v>
      </c>
      <c r="C70" s="171">
        <v>1018218</v>
      </c>
      <c r="D70" s="112">
        <f>_xlfn.COMPOUNDVALUE(209)</f>
        <v>2005</v>
      </c>
      <c r="E70" s="171">
        <v>1112584</v>
      </c>
      <c r="F70" s="112">
        <f>_xlfn.COMPOUNDVALUE(210)</f>
        <v>3273</v>
      </c>
      <c r="G70" s="171">
        <v>2130802</v>
      </c>
      <c r="H70" s="112">
        <f>_xlfn.COMPOUNDVALUE(211)</f>
        <v>156</v>
      </c>
      <c r="I70" s="173">
        <v>184068</v>
      </c>
      <c r="J70" s="112">
        <v>282</v>
      </c>
      <c r="K70" s="114">
        <v>81246</v>
      </c>
      <c r="L70" s="112">
        <v>3506</v>
      </c>
      <c r="M70" s="114">
        <v>2027979</v>
      </c>
      <c r="N70" s="65" t="s">
        <v>90</v>
      </c>
    </row>
    <row r="71" spans="1:14" s="81" customFormat="1" ht="15.75" customHeight="1">
      <c r="A71" s="66" t="s">
        <v>91</v>
      </c>
      <c r="B71" s="112">
        <f>_xlfn.COMPOUNDVALUE(212)</f>
        <v>608</v>
      </c>
      <c r="C71" s="171">
        <v>584307</v>
      </c>
      <c r="D71" s="112">
        <f>_xlfn.COMPOUNDVALUE(213)</f>
        <v>963</v>
      </c>
      <c r="E71" s="171">
        <v>598427</v>
      </c>
      <c r="F71" s="112">
        <f>_xlfn.COMPOUNDVALUE(214)</f>
        <v>1571</v>
      </c>
      <c r="G71" s="171">
        <v>1182734</v>
      </c>
      <c r="H71" s="112">
        <f>_xlfn.COMPOUNDVALUE(215)</f>
        <v>109</v>
      </c>
      <c r="I71" s="173">
        <v>187096</v>
      </c>
      <c r="J71" s="112">
        <v>159</v>
      </c>
      <c r="K71" s="114">
        <v>38984</v>
      </c>
      <c r="L71" s="112">
        <v>1742</v>
      </c>
      <c r="M71" s="114">
        <v>1034622</v>
      </c>
      <c r="N71" s="65" t="s">
        <v>91</v>
      </c>
    </row>
    <row r="72" spans="1:14" s="81" customFormat="1" ht="15.75" customHeight="1">
      <c r="A72" s="67" t="s">
        <v>140</v>
      </c>
      <c r="B72" s="115">
        <v>38847</v>
      </c>
      <c r="C72" s="177">
        <v>52615462</v>
      </c>
      <c r="D72" s="115">
        <v>59213</v>
      </c>
      <c r="E72" s="177">
        <v>37755465</v>
      </c>
      <c r="F72" s="115">
        <v>98060</v>
      </c>
      <c r="G72" s="177">
        <v>90370922</v>
      </c>
      <c r="H72" s="184">
        <v>6732</v>
      </c>
      <c r="I72" s="180">
        <v>6247031</v>
      </c>
      <c r="J72" s="115">
        <v>6992</v>
      </c>
      <c r="K72" s="117">
        <v>1097703</v>
      </c>
      <c r="L72" s="115">
        <v>107619</v>
      </c>
      <c r="M72" s="117">
        <v>85221595</v>
      </c>
      <c r="N72" s="72" t="s">
        <v>93</v>
      </c>
    </row>
    <row r="73" spans="1:14" s="81" customFormat="1" ht="15.75" customHeight="1">
      <c r="A73" s="126"/>
      <c r="B73" s="128"/>
      <c r="C73" s="178"/>
      <c r="D73" s="128"/>
      <c r="E73" s="178"/>
      <c r="F73" s="128"/>
      <c r="G73" s="178"/>
      <c r="H73" s="128"/>
      <c r="I73" s="181"/>
      <c r="J73" s="128"/>
      <c r="K73" s="129"/>
      <c r="L73" s="128"/>
      <c r="M73" s="129"/>
      <c r="N73" s="127" t="s">
        <v>35</v>
      </c>
    </row>
    <row r="74" spans="1:14" s="81" customFormat="1" ht="15.75" customHeight="1">
      <c r="A74" s="64" t="s">
        <v>94</v>
      </c>
      <c r="B74" s="109">
        <f>_xlfn.COMPOUNDVALUE(216)</f>
        <v>1324</v>
      </c>
      <c r="C74" s="170">
        <v>948709</v>
      </c>
      <c r="D74" s="109">
        <f>_xlfn.COMPOUNDVALUE(217)</f>
        <v>2257</v>
      </c>
      <c r="E74" s="170">
        <v>1270488</v>
      </c>
      <c r="F74" s="109">
        <f>_xlfn.COMPOUNDVALUE(218)</f>
        <v>3581</v>
      </c>
      <c r="G74" s="170">
        <v>2219197</v>
      </c>
      <c r="H74" s="109">
        <f>_xlfn.COMPOUNDVALUE(219)</f>
        <v>169</v>
      </c>
      <c r="I74" s="172">
        <v>118881</v>
      </c>
      <c r="J74" s="109">
        <v>225</v>
      </c>
      <c r="K74" s="111">
        <v>39155</v>
      </c>
      <c r="L74" s="109">
        <v>3901</v>
      </c>
      <c r="M74" s="111">
        <v>2139472</v>
      </c>
      <c r="N74" s="73" t="s">
        <v>94</v>
      </c>
    </row>
    <row r="75" spans="1:14" s="81" customFormat="1" ht="15.75" customHeight="1">
      <c r="A75" s="66" t="s">
        <v>95</v>
      </c>
      <c r="B75" s="112">
        <f>_xlfn.COMPOUNDVALUE(220)</f>
        <v>1650</v>
      </c>
      <c r="C75" s="171">
        <v>1412360</v>
      </c>
      <c r="D75" s="112">
        <f>_xlfn.COMPOUNDVALUE(221)</f>
        <v>3079</v>
      </c>
      <c r="E75" s="171">
        <v>1752115</v>
      </c>
      <c r="F75" s="112">
        <f>_xlfn.COMPOUNDVALUE(222)</f>
        <v>4729</v>
      </c>
      <c r="G75" s="171">
        <v>3164475</v>
      </c>
      <c r="H75" s="112">
        <f>_xlfn.COMPOUNDVALUE(223)</f>
        <v>238</v>
      </c>
      <c r="I75" s="173">
        <v>263331</v>
      </c>
      <c r="J75" s="112">
        <v>271</v>
      </c>
      <c r="K75" s="114">
        <v>13748</v>
      </c>
      <c r="L75" s="112">
        <v>5053</v>
      </c>
      <c r="M75" s="114">
        <v>2914892</v>
      </c>
      <c r="N75" s="65" t="s">
        <v>95</v>
      </c>
    </row>
    <row r="76" spans="1:14" s="81" customFormat="1" ht="15.75" customHeight="1">
      <c r="A76" s="66" t="s">
        <v>96</v>
      </c>
      <c r="B76" s="112">
        <f>_xlfn.COMPOUNDVALUE(224)</f>
        <v>1242</v>
      </c>
      <c r="C76" s="171">
        <v>1450375</v>
      </c>
      <c r="D76" s="112">
        <f>_xlfn.COMPOUNDVALUE(225)</f>
        <v>2504</v>
      </c>
      <c r="E76" s="171">
        <v>1552997</v>
      </c>
      <c r="F76" s="112">
        <f>_xlfn.COMPOUNDVALUE(226)</f>
        <v>3746</v>
      </c>
      <c r="G76" s="171">
        <v>3003373</v>
      </c>
      <c r="H76" s="112">
        <f>_xlfn.COMPOUNDVALUE(227)</f>
        <v>173</v>
      </c>
      <c r="I76" s="173">
        <v>157504</v>
      </c>
      <c r="J76" s="112">
        <v>238</v>
      </c>
      <c r="K76" s="114">
        <v>31797</v>
      </c>
      <c r="L76" s="112">
        <v>4025</v>
      </c>
      <c r="M76" s="114">
        <v>2877665</v>
      </c>
      <c r="N76" s="65" t="s">
        <v>96</v>
      </c>
    </row>
    <row r="77" spans="1:14" s="81" customFormat="1" ht="15.75" customHeight="1">
      <c r="A77" s="66" t="s">
        <v>97</v>
      </c>
      <c r="B77" s="112">
        <f>_xlfn.COMPOUNDVALUE(228)</f>
        <v>1171</v>
      </c>
      <c r="C77" s="171">
        <v>765051</v>
      </c>
      <c r="D77" s="112">
        <f>_xlfn.COMPOUNDVALUE(229)</f>
        <v>1932</v>
      </c>
      <c r="E77" s="171">
        <v>1022673</v>
      </c>
      <c r="F77" s="112">
        <f>_xlfn.COMPOUNDVALUE(230)</f>
        <v>3103</v>
      </c>
      <c r="G77" s="171">
        <v>1787723</v>
      </c>
      <c r="H77" s="112">
        <f>_xlfn.COMPOUNDVALUE(231)</f>
        <v>160</v>
      </c>
      <c r="I77" s="173">
        <v>74808</v>
      </c>
      <c r="J77" s="112">
        <v>175</v>
      </c>
      <c r="K77" s="114">
        <v>21202</v>
      </c>
      <c r="L77" s="112">
        <v>3349</v>
      </c>
      <c r="M77" s="114">
        <v>1734117</v>
      </c>
      <c r="N77" s="65" t="s">
        <v>97</v>
      </c>
    </row>
    <row r="78" spans="1:14" s="81" customFormat="1" ht="15.75" customHeight="1">
      <c r="A78" s="66" t="s">
        <v>98</v>
      </c>
      <c r="B78" s="112">
        <f>_xlfn.COMPOUNDVALUE(232)</f>
        <v>1364</v>
      </c>
      <c r="C78" s="171">
        <v>1115305</v>
      </c>
      <c r="D78" s="112">
        <f>_xlfn.COMPOUNDVALUE(233)</f>
        <v>2482</v>
      </c>
      <c r="E78" s="171">
        <v>1455417</v>
      </c>
      <c r="F78" s="112">
        <f>_xlfn.COMPOUNDVALUE(234)</f>
        <v>3846</v>
      </c>
      <c r="G78" s="171">
        <v>2570722</v>
      </c>
      <c r="H78" s="112">
        <f>_xlfn.COMPOUNDVALUE(235)</f>
        <v>168</v>
      </c>
      <c r="I78" s="173">
        <v>111874</v>
      </c>
      <c r="J78" s="112">
        <v>413</v>
      </c>
      <c r="K78" s="114">
        <v>65096</v>
      </c>
      <c r="L78" s="112">
        <v>4230</v>
      </c>
      <c r="M78" s="114">
        <v>2523944</v>
      </c>
      <c r="N78" s="65" t="s">
        <v>98</v>
      </c>
    </row>
    <row r="79" spans="1:14" s="81" customFormat="1" ht="15.75" customHeight="1">
      <c r="A79" s="223"/>
      <c r="B79" s="224"/>
      <c r="C79" s="225"/>
      <c r="D79" s="224"/>
      <c r="E79" s="225"/>
      <c r="F79" s="224"/>
      <c r="G79" s="225"/>
      <c r="H79" s="224"/>
      <c r="I79" s="226"/>
      <c r="J79" s="224"/>
      <c r="K79" s="227"/>
      <c r="L79" s="224"/>
      <c r="M79" s="228"/>
      <c r="N79" s="229" t="s">
        <v>35</v>
      </c>
    </row>
    <row r="80" spans="1:14" s="81" customFormat="1" ht="15.75" customHeight="1">
      <c r="A80" s="87" t="s">
        <v>99</v>
      </c>
      <c r="B80" s="109">
        <f>_xlfn.COMPOUNDVALUE(236)</f>
        <v>992</v>
      </c>
      <c r="C80" s="170">
        <v>922099</v>
      </c>
      <c r="D80" s="109">
        <f>_xlfn.COMPOUNDVALUE(237)</f>
        <v>1754</v>
      </c>
      <c r="E80" s="170">
        <v>1007848</v>
      </c>
      <c r="F80" s="109">
        <f>_xlfn.COMPOUNDVALUE(238)</f>
        <v>2746</v>
      </c>
      <c r="G80" s="170">
        <v>1929948</v>
      </c>
      <c r="H80" s="109">
        <f>_xlfn.COMPOUNDVALUE(239)</f>
        <v>141</v>
      </c>
      <c r="I80" s="172">
        <v>212065</v>
      </c>
      <c r="J80" s="109">
        <v>157</v>
      </c>
      <c r="K80" s="111">
        <v>-4641</v>
      </c>
      <c r="L80" s="109">
        <v>2927</v>
      </c>
      <c r="M80" s="110">
        <v>1713241</v>
      </c>
      <c r="N80" s="284" t="s">
        <v>99</v>
      </c>
    </row>
    <row r="81" spans="1:14" s="81" customFormat="1" ht="15.75" customHeight="1">
      <c r="A81" s="66" t="s">
        <v>100</v>
      </c>
      <c r="B81" s="174">
        <f>_xlfn.COMPOUNDVALUE(240)</f>
        <v>830</v>
      </c>
      <c r="C81" s="171">
        <v>595018</v>
      </c>
      <c r="D81" s="112">
        <f>_xlfn.COMPOUNDVALUE(241)</f>
        <v>1456</v>
      </c>
      <c r="E81" s="171">
        <v>816888</v>
      </c>
      <c r="F81" s="174">
        <f>_xlfn.COMPOUNDVALUE(242)</f>
        <v>2286</v>
      </c>
      <c r="G81" s="171">
        <v>1411906</v>
      </c>
      <c r="H81" s="174">
        <f>_xlfn.COMPOUNDVALUE(243)</f>
        <v>144</v>
      </c>
      <c r="I81" s="173">
        <v>171923</v>
      </c>
      <c r="J81" s="112">
        <v>169</v>
      </c>
      <c r="K81" s="114">
        <v>3628</v>
      </c>
      <c r="L81" s="112">
        <v>2476</v>
      </c>
      <c r="M81" s="114">
        <v>1243611</v>
      </c>
      <c r="N81" s="65" t="s">
        <v>100</v>
      </c>
    </row>
    <row r="82" spans="1:14" s="81" customFormat="1" ht="15.75" customHeight="1">
      <c r="A82" s="66" t="s">
        <v>101</v>
      </c>
      <c r="B82" s="174">
        <f>_xlfn.COMPOUNDVALUE(244)</f>
        <v>1624</v>
      </c>
      <c r="C82" s="171">
        <v>1313094</v>
      </c>
      <c r="D82" s="112">
        <f>_xlfn.COMPOUNDVALUE(245)</f>
        <v>3012</v>
      </c>
      <c r="E82" s="171">
        <v>1667148</v>
      </c>
      <c r="F82" s="174">
        <f>_xlfn.COMPOUNDVALUE(246)</f>
        <v>4636</v>
      </c>
      <c r="G82" s="171">
        <v>2980242</v>
      </c>
      <c r="H82" s="174">
        <f>_xlfn.COMPOUNDVALUE(247)</f>
        <v>190</v>
      </c>
      <c r="I82" s="173">
        <v>296809</v>
      </c>
      <c r="J82" s="112">
        <v>299</v>
      </c>
      <c r="K82" s="114">
        <v>47854</v>
      </c>
      <c r="L82" s="112">
        <v>4953</v>
      </c>
      <c r="M82" s="114">
        <v>2731286</v>
      </c>
      <c r="N82" s="65" t="s">
        <v>101</v>
      </c>
    </row>
    <row r="83" spans="1:14" s="81" customFormat="1" ht="15.75" customHeight="1">
      <c r="A83" s="130" t="s">
        <v>102</v>
      </c>
      <c r="B83" s="175">
        <v>10197</v>
      </c>
      <c r="C83" s="179">
        <v>8522011</v>
      </c>
      <c r="D83" s="131">
        <v>18476</v>
      </c>
      <c r="E83" s="179">
        <v>10545574</v>
      </c>
      <c r="F83" s="175">
        <v>28673</v>
      </c>
      <c r="G83" s="179">
        <v>19067586</v>
      </c>
      <c r="H83" s="175">
        <v>1383</v>
      </c>
      <c r="I83" s="182">
        <v>1407195</v>
      </c>
      <c r="J83" s="131">
        <v>1947</v>
      </c>
      <c r="K83" s="133">
        <v>217839</v>
      </c>
      <c r="L83" s="131">
        <v>30914</v>
      </c>
      <c r="M83" s="133">
        <v>17878228</v>
      </c>
      <c r="N83" s="134" t="s">
        <v>103</v>
      </c>
    </row>
    <row r="84" spans="1:14" s="81" customFormat="1" ht="15.75" customHeight="1">
      <c r="A84" s="145"/>
      <c r="B84" s="185"/>
      <c r="C84" s="147"/>
      <c r="D84" s="146"/>
      <c r="E84" s="147"/>
      <c r="F84" s="185"/>
      <c r="G84" s="147"/>
      <c r="H84" s="185"/>
      <c r="I84" s="183"/>
      <c r="J84" s="146"/>
      <c r="K84" s="148"/>
      <c r="L84" s="146"/>
      <c r="M84" s="148"/>
      <c r="N84" s="149" t="s">
        <v>35</v>
      </c>
    </row>
    <row r="85" spans="1:14" s="81" customFormat="1" ht="15.75" customHeight="1">
      <c r="A85" s="140" t="s">
        <v>141</v>
      </c>
      <c r="B85" s="186">
        <v>49044</v>
      </c>
      <c r="C85" s="142">
        <v>61137472</v>
      </c>
      <c r="D85" s="141">
        <v>77689</v>
      </c>
      <c r="E85" s="142">
        <v>48301034</v>
      </c>
      <c r="F85" s="186">
        <v>126733</v>
      </c>
      <c r="G85" s="142">
        <v>109438506</v>
      </c>
      <c r="H85" s="186">
        <v>8115</v>
      </c>
      <c r="I85" s="143">
        <v>7654225</v>
      </c>
      <c r="J85" s="141">
        <v>8939</v>
      </c>
      <c r="K85" s="143">
        <v>1315542</v>
      </c>
      <c r="L85" s="141">
        <v>138533</v>
      </c>
      <c r="M85" s="143">
        <v>103099824</v>
      </c>
      <c r="N85" s="144" t="s">
        <v>105</v>
      </c>
    </row>
    <row r="86" spans="1:14" s="81" customFormat="1" ht="15.75" customHeight="1">
      <c r="A86" s="135"/>
      <c r="B86" s="136"/>
      <c r="C86" s="137"/>
      <c r="D86" s="136"/>
      <c r="E86" s="137"/>
      <c r="F86" s="138"/>
      <c r="G86" s="137"/>
      <c r="H86" s="187"/>
      <c r="I86" s="137"/>
      <c r="J86" s="138"/>
      <c r="K86" s="137"/>
      <c r="L86" s="138"/>
      <c r="M86" s="137"/>
      <c r="N86" s="139"/>
    </row>
    <row r="87" spans="1:14" s="81" customFormat="1" ht="15.75" customHeight="1">
      <c r="A87" s="64" t="s">
        <v>106</v>
      </c>
      <c r="B87" s="109">
        <f>_xlfn.COMPOUNDVALUE(248)</f>
        <v>620</v>
      </c>
      <c r="C87" s="170">
        <v>370344</v>
      </c>
      <c r="D87" s="109">
        <f>_xlfn.COMPOUNDVALUE(249)</f>
        <v>950</v>
      </c>
      <c r="E87" s="170">
        <v>496600</v>
      </c>
      <c r="F87" s="109">
        <f>_xlfn.COMPOUNDVALUE(250)</f>
        <v>1570</v>
      </c>
      <c r="G87" s="170">
        <v>866943</v>
      </c>
      <c r="H87" s="109">
        <f>_xlfn.COMPOUNDVALUE(251)</f>
        <v>90</v>
      </c>
      <c r="I87" s="172">
        <v>151760</v>
      </c>
      <c r="J87" s="109">
        <v>125</v>
      </c>
      <c r="K87" s="111">
        <v>20418</v>
      </c>
      <c r="L87" s="109">
        <v>1721</v>
      </c>
      <c r="M87" s="111">
        <v>735601</v>
      </c>
      <c r="N87" s="74" t="s">
        <v>106</v>
      </c>
    </row>
    <row r="88" spans="1:14" s="81" customFormat="1" ht="15.75" customHeight="1">
      <c r="A88" s="64" t="s">
        <v>107</v>
      </c>
      <c r="B88" s="109">
        <f>_xlfn.COMPOUNDVALUE(252)</f>
        <v>1051</v>
      </c>
      <c r="C88" s="170">
        <v>1122897</v>
      </c>
      <c r="D88" s="176">
        <f>_xlfn.COMPOUNDVALUE(253)</f>
        <v>1522</v>
      </c>
      <c r="E88" s="170">
        <v>989115</v>
      </c>
      <c r="F88" s="176">
        <f>_xlfn.COMPOUNDVALUE(254)</f>
        <v>2573</v>
      </c>
      <c r="G88" s="170">
        <v>2112013</v>
      </c>
      <c r="H88" s="176">
        <f>_xlfn.COMPOUNDVALUE(255)</f>
        <v>289</v>
      </c>
      <c r="I88" s="172">
        <v>256433</v>
      </c>
      <c r="J88" s="109">
        <v>158</v>
      </c>
      <c r="K88" s="111">
        <v>75639</v>
      </c>
      <c r="L88" s="109">
        <v>2934</v>
      </c>
      <c r="M88" s="111">
        <v>1931218</v>
      </c>
      <c r="N88" s="74" t="s">
        <v>107</v>
      </c>
    </row>
    <row r="89" spans="1:14" s="81" customFormat="1" ht="15.75" customHeight="1">
      <c r="A89" s="64" t="s">
        <v>108</v>
      </c>
      <c r="B89" s="109">
        <f>_xlfn.COMPOUNDVALUE(256)</f>
        <v>1063</v>
      </c>
      <c r="C89" s="170">
        <v>732463</v>
      </c>
      <c r="D89" s="109">
        <f>_xlfn.COMPOUNDVALUE(257)</f>
        <v>1917</v>
      </c>
      <c r="E89" s="170">
        <v>1036358</v>
      </c>
      <c r="F89" s="176">
        <f>_xlfn.COMPOUNDVALUE(258)</f>
        <v>2980</v>
      </c>
      <c r="G89" s="170">
        <v>1768821</v>
      </c>
      <c r="H89" s="176">
        <f>_xlfn.COMPOUNDVALUE(259)</f>
        <v>144</v>
      </c>
      <c r="I89" s="172">
        <v>153876</v>
      </c>
      <c r="J89" s="109">
        <v>294</v>
      </c>
      <c r="K89" s="111">
        <v>26150</v>
      </c>
      <c r="L89" s="109">
        <v>3229</v>
      </c>
      <c r="M89" s="111">
        <v>1641095</v>
      </c>
      <c r="N89" s="74" t="s">
        <v>108</v>
      </c>
    </row>
    <row r="90" spans="1:14" s="81" customFormat="1" ht="15.75" customHeight="1">
      <c r="A90" s="64" t="s">
        <v>109</v>
      </c>
      <c r="B90" s="176">
        <f>_xlfn.COMPOUNDVALUE(260)</f>
        <v>1514</v>
      </c>
      <c r="C90" s="170">
        <v>1146078</v>
      </c>
      <c r="D90" s="109">
        <f>_xlfn.COMPOUNDVALUE(261)</f>
        <v>2297</v>
      </c>
      <c r="E90" s="170">
        <v>1301200</v>
      </c>
      <c r="F90" s="176">
        <f>_xlfn.COMPOUNDVALUE(262)</f>
        <v>3811</v>
      </c>
      <c r="G90" s="170">
        <v>2447279</v>
      </c>
      <c r="H90" s="176">
        <f>_xlfn.COMPOUNDVALUE(263)</f>
        <v>252</v>
      </c>
      <c r="I90" s="172">
        <v>165723</v>
      </c>
      <c r="J90" s="109">
        <v>191</v>
      </c>
      <c r="K90" s="111">
        <v>42386</v>
      </c>
      <c r="L90" s="109">
        <v>4159</v>
      </c>
      <c r="M90" s="111">
        <v>2323942</v>
      </c>
      <c r="N90" s="74" t="s">
        <v>109</v>
      </c>
    </row>
    <row r="91" spans="1:14" s="81" customFormat="1" ht="15.75" customHeight="1">
      <c r="A91" s="64" t="s">
        <v>110</v>
      </c>
      <c r="B91" s="176">
        <f>_xlfn.COMPOUNDVALUE(264)</f>
        <v>1354</v>
      </c>
      <c r="C91" s="170">
        <v>1332135</v>
      </c>
      <c r="D91" s="109">
        <f>_xlfn.COMPOUNDVALUE(265)</f>
        <v>2279</v>
      </c>
      <c r="E91" s="170">
        <v>1378981</v>
      </c>
      <c r="F91" s="176">
        <f>_xlfn.COMPOUNDVALUE(266)</f>
        <v>3633</v>
      </c>
      <c r="G91" s="170">
        <v>2711116</v>
      </c>
      <c r="H91" s="176">
        <f>_xlfn.COMPOUNDVALUE(267)</f>
        <v>201</v>
      </c>
      <c r="I91" s="172">
        <v>222801</v>
      </c>
      <c r="J91" s="109">
        <v>238</v>
      </c>
      <c r="K91" s="111">
        <v>29180</v>
      </c>
      <c r="L91" s="109">
        <v>3935</v>
      </c>
      <c r="M91" s="111">
        <v>2517496</v>
      </c>
      <c r="N91" s="74" t="s">
        <v>110</v>
      </c>
    </row>
    <row r="92" spans="1:14" s="81" customFormat="1" ht="15.75" customHeight="1">
      <c r="A92" s="64"/>
      <c r="B92" s="176"/>
      <c r="C92" s="170"/>
      <c r="D92" s="109"/>
      <c r="E92" s="170"/>
      <c r="F92" s="176"/>
      <c r="G92" s="170"/>
      <c r="H92" s="176"/>
      <c r="I92" s="172"/>
      <c r="J92" s="109"/>
      <c r="K92" s="111"/>
      <c r="L92" s="109"/>
      <c r="M92" s="111"/>
      <c r="N92" s="74" t="s">
        <v>35</v>
      </c>
    </row>
    <row r="93" spans="1:14" s="81" customFormat="1" ht="15.75" customHeight="1">
      <c r="A93" s="64" t="s">
        <v>111</v>
      </c>
      <c r="B93" s="176">
        <f>_xlfn.COMPOUNDVALUE(268)</f>
        <v>1026</v>
      </c>
      <c r="C93" s="170">
        <v>808327</v>
      </c>
      <c r="D93" s="109">
        <f>_xlfn.COMPOUNDVALUE(269)</f>
        <v>1746</v>
      </c>
      <c r="E93" s="170">
        <v>1016071</v>
      </c>
      <c r="F93" s="176">
        <f>_xlfn.COMPOUNDVALUE(270)</f>
        <v>2772</v>
      </c>
      <c r="G93" s="170">
        <v>1824398</v>
      </c>
      <c r="H93" s="176">
        <f>_xlfn.COMPOUNDVALUE(271)</f>
        <v>143</v>
      </c>
      <c r="I93" s="172">
        <v>103027</v>
      </c>
      <c r="J93" s="109">
        <v>173</v>
      </c>
      <c r="K93" s="111">
        <v>19592</v>
      </c>
      <c r="L93" s="109">
        <v>2967</v>
      </c>
      <c r="M93" s="111">
        <v>1740962</v>
      </c>
      <c r="N93" s="74" t="s">
        <v>111</v>
      </c>
    </row>
    <row r="94" spans="1:14" s="81" customFormat="1" ht="15.75" customHeight="1">
      <c r="A94" s="64" t="s">
        <v>151</v>
      </c>
      <c r="B94" s="176">
        <f>_xlfn.COMPOUNDVALUE(272)</f>
        <v>1693</v>
      </c>
      <c r="C94" s="170">
        <v>1849101</v>
      </c>
      <c r="D94" s="109">
        <f>_xlfn.COMPOUNDVALUE(273)</f>
        <v>3130</v>
      </c>
      <c r="E94" s="170">
        <v>2016185</v>
      </c>
      <c r="F94" s="176">
        <f>_xlfn.COMPOUNDVALUE(274)</f>
        <v>4823</v>
      </c>
      <c r="G94" s="170">
        <v>3865286</v>
      </c>
      <c r="H94" s="176">
        <f>_xlfn.COMPOUNDVALUE(275)</f>
        <v>254</v>
      </c>
      <c r="I94" s="172">
        <v>208939</v>
      </c>
      <c r="J94" s="109">
        <v>402</v>
      </c>
      <c r="K94" s="111">
        <v>60256</v>
      </c>
      <c r="L94" s="109">
        <v>5254</v>
      </c>
      <c r="M94" s="111">
        <v>3716603</v>
      </c>
      <c r="N94" s="74" t="s">
        <v>112</v>
      </c>
    </row>
    <row r="95" spans="1:14" s="81" customFormat="1" ht="15.75" customHeight="1">
      <c r="A95" s="64" t="s">
        <v>113</v>
      </c>
      <c r="B95" s="176">
        <f>_xlfn.COMPOUNDVALUE(276)</f>
        <v>910</v>
      </c>
      <c r="C95" s="170">
        <v>655554</v>
      </c>
      <c r="D95" s="109">
        <f>_xlfn.COMPOUNDVALUE(277)</f>
        <v>1347</v>
      </c>
      <c r="E95" s="170">
        <v>748346</v>
      </c>
      <c r="F95" s="176">
        <f>_xlfn.COMPOUNDVALUE(278)</f>
        <v>2257</v>
      </c>
      <c r="G95" s="170">
        <v>1403900</v>
      </c>
      <c r="H95" s="176">
        <f>_xlfn.COMPOUNDVALUE(279)</f>
        <v>126</v>
      </c>
      <c r="I95" s="172">
        <v>127933</v>
      </c>
      <c r="J95" s="109">
        <v>187</v>
      </c>
      <c r="K95" s="111">
        <v>23769</v>
      </c>
      <c r="L95" s="109">
        <v>2470</v>
      </c>
      <c r="M95" s="111">
        <v>1299736</v>
      </c>
      <c r="N95" s="74" t="s">
        <v>113</v>
      </c>
    </row>
    <row r="96" spans="1:14" s="81" customFormat="1" ht="15.75" customHeight="1">
      <c r="A96" s="64" t="s">
        <v>114</v>
      </c>
      <c r="B96" s="109">
        <f>_xlfn.COMPOUNDVALUE(280)</f>
        <v>1677</v>
      </c>
      <c r="C96" s="170">
        <v>1367272</v>
      </c>
      <c r="D96" s="109">
        <f>_xlfn.COMPOUNDVALUE(281)</f>
        <v>2815</v>
      </c>
      <c r="E96" s="170">
        <v>1746371</v>
      </c>
      <c r="F96" s="109">
        <f>_xlfn.COMPOUNDVALUE(282)</f>
        <v>4492</v>
      </c>
      <c r="G96" s="170">
        <v>3113644</v>
      </c>
      <c r="H96" s="109">
        <f>_xlfn.COMPOUNDVALUE(283)</f>
        <v>225</v>
      </c>
      <c r="I96" s="172">
        <v>278618</v>
      </c>
      <c r="J96" s="109">
        <v>291</v>
      </c>
      <c r="K96" s="111">
        <v>28370</v>
      </c>
      <c r="L96" s="109">
        <v>4846</v>
      </c>
      <c r="M96" s="111">
        <v>2863395</v>
      </c>
      <c r="N96" s="74" t="s">
        <v>114</v>
      </c>
    </row>
    <row r="97" spans="1:14" s="81" customFormat="1" ht="15.75" customHeight="1">
      <c r="A97" s="64" t="s">
        <v>115</v>
      </c>
      <c r="B97" s="109">
        <f>_xlfn.COMPOUNDVALUE(284)</f>
        <v>905</v>
      </c>
      <c r="C97" s="170">
        <v>751726</v>
      </c>
      <c r="D97" s="109">
        <f>_xlfn.COMPOUNDVALUE(285)</f>
        <v>1493</v>
      </c>
      <c r="E97" s="170">
        <v>853926</v>
      </c>
      <c r="F97" s="109">
        <f>_xlfn.COMPOUNDVALUE(286)</f>
        <v>2398</v>
      </c>
      <c r="G97" s="170">
        <v>1605652</v>
      </c>
      <c r="H97" s="109">
        <f>_xlfn.COMPOUNDVALUE(287)</f>
        <v>144</v>
      </c>
      <c r="I97" s="172">
        <v>229701</v>
      </c>
      <c r="J97" s="109">
        <v>126</v>
      </c>
      <c r="K97" s="111">
        <v>-386</v>
      </c>
      <c r="L97" s="109">
        <v>2596</v>
      </c>
      <c r="M97" s="111">
        <v>1375565</v>
      </c>
      <c r="N97" s="74" t="s">
        <v>115</v>
      </c>
    </row>
    <row r="98" spans="1:14" s="81" customFormat="1" ht="15.75" customHeight="1">
      <c r="A98" s="64"/>
      <c r="B98" s="109"/>
      <c r="C98" s="170"/>
      <c r="D98" s="109"/>
      <c r="E98" s="170"/>
      <c r="F98" s="109"/>
      <c r="G98" s="170"/>
      <c r="H98" s="109"/>
      <c r="I98" s="172"/>
      <c r="J98" s="109"/>
      <c r="K98" s="111"/>
      <c r="L98" s="109"/>
      <c r="M98" s="111"/>
      <c r="N98" s="74" t="s">
        <v>35</v>
      </c>
    </row>
    <row r="99" spans="1:14" s="81" customFormat="1" ht="15.75" customHeight="1">
      <c r="A99" s="64" t="s">
        <v>116</v>
      </c>
      <c r="B99" s="109">
        <f>_xlfn.COMPOUNDVALUE(288)</f>
        <v>901</v>
      </c>
      <c r="C99" s="170">
        <v>622179</v>
      </c>
      <c r="D99" s="109">
        <f>_xlfn.COMPOUNDVALUE(289)</f>
        <v>2196</v>
      </c>
      <c r="E99" s="170">
        <v>921892</v>
      </c>
      <c r="F99" s="109">
        <f>_xlfn.COMPOUNDVALUE(290)</f>
        <v>3097</v>
      </c>
      <c r="G99" s="170">
        <v>1544070</v>
      </c>
      <c r="H99" s="109">
        <f>_xlfn.COMPOUNDVALUE(291)</f>
        <v>109</v>
      </c>
      <c r="I99" s="172">
        <v>49782</v>
      </c>
      <c r="J99" s="109">
        <v>183</v>
      </c>
      <c r="K99" s="111">
        <v>31889</v>
      </c>
      <c r="L99" s="109">
        <v>3268</v>
      </c>
      <c r="M99" s="111">
        <v>1526177</v>
      </c>
      <c r="N99" s="74" t="s">
        <v>116</v>
      </c>
    </row>
    <row r="100" spans="1:14" s="81" customFormat="1" ht="15.75" customHeight="1">
      <c r="A100" s="64" t="s">
        <v>117</v>
      </c>
      <c r="B100" s="109">
        <f>_xlfn.COMPOUNDVALUE(292)</f>
        <v>1115</v>
      </c>
      <c r="C100" s="170">
        <v>701850</v>
      </c>
      <c r="D100" s="109">
        <f>_xlfn.COMPOUNDVALUE(293)</f>
        <v>2122</v>
      </c>
      <c r="E100" s="170">
        <v>1062676</v>
      </c>
      <c r="F100" s="109">
        <f>_xlfn.COMPOUNDVALUE(294)</f>
        <v>3237</v>
      </c>
      <c r="G100" s="170">
        <v>1764526</v>
      </c>
      <c r="H100" s="109">
        <f>_xlfn.COMPOUNDVALUE(295)</f>
        <v>135</v>
      </c>
      <c r="I100" s="172">
        <v>178114</v>
      </c>
      <c r="J100" s="109">
        <v>243</v>
      </c>
      <c r="K100" s="111">
        <v>52610</v>
      </c>
      <c r="L100" s="109">
        <v>3464</v>
      </c>
      <c r="M100" s="111">
        <v>1639022</v>
      </c>
      <c r="N100" s="74" t="s">
        <v>117</v>
      </c>
    </row>
    <row r="101" spans="1:14" s="81" customFormat="1" ht="15.75" customHeight="1">
      <c r="A101" s="66" t="s">
        <v>118</v>
      </c>
      <c r="B101" s="112">
        <f>_xlfn.COMPOUNDVALUE(296)</f>
        <v>756</v>
      </c>
      <c r="C101" s="171">
        <v>685618</v>
      </c>
      <c r="D101" s="112">
        <f>_xlfn.COMPOUNDVALUE(297)</f>
        <v>1351</v>
      </c>
      <c r="E101" s="171">
        <v>746670</v>
      </c>
      <c r="F101" s="112">
        <f>_xlfn.COMPOUNDVALUE(298)</f>
        <v>2107</v>
      </c>
      <c r="G101" s="171">
        <v>1432288</v>
      </c>
      <c r="H101" s="112">
        <f>_xlfn.COMPOUNDVALUE(299)</f>
        <v>149</v>
      </c>
      <c r="I101" s="173">
        <v>69995</v>
      </c>
      <c r="J101" s="112">
        <v>143</v>
      </c>
      <c r="K101" s="114">
        <v>15001</v>
      </c>
      <c r="L101" s="112">
        <v>2300</v>
      </c>
      <c r="M101" s="114">
        <v>1377294</v>
      </c>
      <c r="N101" s="65" t="s">
        <v>118</v>
      </c>
    </row>
    <row r="102" spans="1:14" s="81" customFormat="1" ht="15.75" customHeight="1">
      <c r="A102" s="66" t="s">
        <v>119</v>
      </c>
      <c r="B102" s="112">
        <f>_xlfn.COMPOUNDVALUE(300)</f>
        <v>1719</v>
      </c>
      <c r="C102" s="171">
        <v>1497491</v>
      </c>
      <c r="D102" s="112">
        <f>_xlfn.COMPOUNDVALUE(301)</f>
        <v>2995</v>
      </c>
      <c r="E102" s="171">
        <v>1643408</v>
      </c>
      <c r="F102" s="112">
        <f>_xlfn.COMPOUNDVALUE(302)</f>
        <v>4714</v>
      </c>
      <c r="G102" s="171">
        <v>3140899</v>
      </c>
      <c r="H102" s="112">
        <f>_xlfn.COMPOUNDVALUE(303)</f>
        <v>251</v>
      </c>
      <c r="I102" s="173">
        <v>418401</v>
      </c>
      <c r="J102" s="112">
        <v>355</v>
      </c>
      <c r="K102" s="114">
        <v>54175</v>
      </c>
      <c r="L102" s="112">
        <v>5103</v>
      </c>
      <c r="M102" s="114">
        <v>2776673</v>
      </c>
      <c r="N102" s="65" t="s">
        <v>119</v>
      </c>
    </row>
    <row r="103" spans="1:14" s="81" customFormat="1" ht="15.75" customHeight="1">
      <c r="A103" s="66" t="s">
        <v>120</v>
      </c>
      <c r="B103" s="112">
        <f>_xlfn.COMPOUNDVALUE(304)</f>
        <v>894</v>
      </c>
      <c r="C103" s="171">
        <v>550771</v>
      </c>
      <c r="D103" s="112">
        <f>_xlfn.COMPOUNDVALUE(305)</f>
        <v>1497</v>
      </c>
      <c r="E103" s="171">
        <v>712382</v>
      </c>
      <c r="F103" s="112">
        <f>_xlfn.COMPOUNDVALUE(306)</f>
        <v>2391</v>
      </c>
      <c r="G103" s="171">
        <v>1263153</v>
      </c>
      <c r="H103" s="112">
        <f>_xlfn.COMPOUNDVALUE(307)</f>
        <v>131</v>
      </c>
      <c r="I103" s="173">
        <v>53278</v>
      </c>
      <c r="J103" s="112">
        <v>107</v>
      </c>
      <c r="K103" s="114">
        <v>11524</v>
      </c>
      <c r="L103" s="112">
        <v>2574</v>
      </c>
      <c r="M103" s="114">
        <v>1221399</v>
      </c>
      <c r="N103" s="65" t="s">
        <v>120</v>
      </c>
    </row>
    <row r="104" spans="1:14" s="81" customFormat="1" ht="15.75" customHeight="1">
      <c r="A104" s="66"/>
      <c r="B104" s="112"/>
      <c r="C104" s="113"/>
      <c r="D104" s="112"/>
      <c r="E104" s="171"/>
      <c r="F104" s="112"/>
      <c r="G104" s="113"/>
      <c r="H104" s="112"/>
      <c r="I104" s="173"/>
      <c r="J104" s="112"/>
      <c r="K104" s="114"/>
      <c r="L104" s="112"/>
      <c r="M104" s="114"/>
      <c r="N104" s="65" t="s">
        <v>35</v>
      </c>
    </row>
    <row r="105" spans="1:14" s="81" customFormat="1" ht="15.75" customHeight="1">
      <c r="A105" s="66" t="s">
        <v>121</v>
      </c>
      <c r="B105" s="112">
        <f>_xlfn.COMPOUNDVALUE(308)</f>
        <v>1514</v>
      </c>
      <c r="C105" s="171">
        <v>1193419</v>
      </c>
      <c r="D105" s="174">
        <f>_xlfn.COMPOUNDVALUE(309)</f>
        <v>2645</v>
      </c>
      <c r="E105" s="171">
        <v>1509501</v>
      </c>
      <c r="F105" s="174">
        <f>_xlfn.COMPOUNDVALUE(310)</f>
        <v>4159</v>
      </c>
      <c r="G105" s="171">
        <v>2702920</v>
      </c>
      <c r="H105" s="112">
        <f>_xlfn.COMPOUNDVALUE(311)</f>
        <v>208</v>
      </c>
      <c r="I105" s="173">
        <v>196634</v>
      </c>
      <c r="J105" s="112">
        <v>291</v>
      </c>
      <c r="K105" s="114">
        <v>75764</v>
      </c>
      <c r="L105" s="112">
        <v>4537</v>
      </c>
      <c r="M105" s="114">
        <v>2582050</v>
      </c>
      <c r="N105" s="65" t="s">
        <v>121</v>
      </c>
    </row>
    <row r="106" spans="1:14" s="81" customFormat="1" ht="15.75" customHeight="1">
      <c r="A106" s="66" t="s">
        <v>122</v>
      </c>
      <c r="B106" s="112">
        <f>_xlfn.COMPOUNDVALUE(312)</f>
        <v>647</v>
      </c>
      <c r="C106" s="171">
        <v>422674</v>
      </c>
      <c r="D106" s="174">
        <f>_xlfn.COMPOUNDVALUE(313)</f>
        <v>1190</v>
      </c>
      <c r="E106" s="171">
        <v>642336</v>
      </c>
      <c r="F106" s="174">
        <f>_xlfn.COMPOUNDVALUE(314)</f>
        <v>1837</v>
      </c>
      <c r="G106" s="171">
        <v>1065010</v>
      </c>
      <c r="H106" s="112">
        <f>_xlfn.COMPOUNDVALUE(315)</f>
        <v>66</v>
      </c>
      <c r="I106" s="173">
        <v>82876</v>
      </c>
      <c r="J106" s="112">
        <v>150</v>
      </c>
      <c r="K106" s="114">
        <v>24713</v>
      </c>
      <c r="L106" s="112">
        <v>1977</v>
      </c>
      <c r="M106" s="114">
        <v>1006846</v>
      </c>
      <c r="N106" s="65" t="s">
        <v>122</v>
      </c>
    </row>
    <row r="107" spans="1:14" s="81" customFormat="1" ht="15.75" customHeight="1">
      <c r="A107" s="66" t="s">
        <v>123</v>
      </c>
      <c r="B107" s="112">
        <f>_xlfn.COMPOUNDVALUE(316)</f>
        <v>1181</v>
      </c>
      <c r="C107" s="171">
        <v>803556</v>
      </c>
      <c r="D107" s="174">
        <f>_xlfn.COMPOUNDVALUE(317)</f>
        <v>2188</v>
      </c>
      <c r="E107" s="171">
        <v>1206405</v>
      </c>
      <c r="F107" s="174">
        <f>_xlfn.COMPOUNDVALUE(318)</f>
        <v>3369</v>
      </c>
      <c r="G107" s="171">
        <v>2009961</v>
      </c>
      <c r="H107" s="112">
        <f>_xlfn.COMPOUNDVALUE(319)</f>
        <v>132</v>
      </c>
      <c r="I107" s="173">
        <v>145655</v>
      </c>
      <c r="J107" s="112">
        <v>181</v>
      </c>
      <c r="K107" s="114">
        <v>14943</v>
      </c>
      <c r="L107" s="112">
        <v>3584</v>
      </c>
      <c r="M107" s="114">
        <v>1879249</v>
      </c>
      <c r="N107" s="65" t="s">
        <v>123</v>
      </c>
    </row>
    <row r="108" spans="1:14" s="81" customFormat="1" ht="15.75" customHeight="1">
      <c r="A108" s="130" t="s">
        <v>142</v>
      </c>
      <c r="B108" s="175">
        <v>20540</v>
      </c>
      <c r="C108" s="179">
        <v>16613454</v>
      </c>
      <c r="D108" s="175">
        <v>35680</v>
      </c>
      <c r="E108" s="179">
        <v>20028422</v>
      </c>
      <c r="F108" s="175">
        <v>56220</v>
      </c>
      <c r="G108" s="179">
        <v>36641876</v>
      </c>
      <c r="H108" s="175">
        <v>3049</v>
      </c>
      <c r="I108" s="182">
        <v>3093545</v>
      </c>
      <c r="J108" s="131">
        <v>3838</v>
      </c>
      <c r="K108" s="133">
        <v>605990</v>
      </c>
      <c r="L108" s="131">
        <v>60918</v>
      </c>
      <c r="M108" s="133">
        <v>34154322</v>
      </c>
      <c r="N108" s="134" t="s">
        <v>125</v>
      </c>
    </row>
    <row r="109" spans="1:14" s="81" customFormat="1" ht="15.75" customHeight="1">
      <c r="A109" s="135"/>
      <c r="B109" s="136"/>
      <c r="C109" s="137"/>
      <c r="D109" s="136"/>
      <c r="E109" s="137"/>
      <c r="F109" s="138"/>
      <c r="G109" s="137"/>
      <c r="H109" s="187"/>
      <c r="I109" s="137"/>
      <c r="J109" s="138"/>
      <c r="K109" s="137"/>
      <c r="L109" s="138"/>
      <c r="M109" s="137"/>
      <c r="N109" s="139"/>
    </row>
    <row r="110" spans="1:14" s="81" customFormat="1" ht="15.75" customHeight="1">
      <c r="A110" s="64" t="s">
        <v>126</v>
      </c>
      <c r="B110" s="109">
        <f>_xlfn.COMPOUNDVALUE(320)</f>
        <v>1804</v>
      </c>
      <c r="C110" s="170">
        <v>1311321</v>
      </c>
      <c r="D110" s="176">
        <f>_xlfn.COMPOUNDVALUE(321)</f>
        <v>2846</v>
      </c>
      <c r="E110" s="170">
        <v>1332925</v>
      </c>
      <c r="F110" s="176">
        <f>_xlfn.COMPOUNDVALUE(322)</f>
        <v>4650</v>
      </c>
      <c r="G110" s="170">
        <v>2644246</v>
      </c>
      <c r="H110" s="176">
        <f>_xlfn.COMPOUNDVALUE(323)</f>
        <v>222</v>
      </c>
      <c r="I110" s="172">
        <v>139354</v>
      </c>
      <c r="J110" s="109">
        <v>273</v>
      </c>
      <c r="K110" s="111">
        <v>33897</v>
      </c>
      <c r="L110" s="109">
        <v>4942</v>
      </c>
      <c r="M110" s="111">
        <v>2538789</v>
      </c>
      <c r="N110" s="74" t="s">
        <v>126</v>
      </c>
    </row>
    <row r="111" spans="1:14" s="81" customFormat="1" ht="15.75" customHeight="1">
      <c r="A111" s="66" t="s">
        <v>127</v>
      </c>
      <c r="B111" s="112">
        <f>_xlfn.COMPOUNDVALUE(324)</f>
        <v>568</v>
      </c>
      <c r="C111" s="171">
        <v>362171</v>
      </c>
      <c r="D111" s="174">
        <f>_xlfn.COMPOUNDVALUE(325)</f>
        <v>1498</v>
      </c>
      <c r="E111" s="171">
        <v>489753</v>
      </c>
      <c r="F111" s="174">
        <f>_xlfn.COMPOUNDVALUE(326)</f>
        <v>2066</v>
      </c>
      <c r="G111" s="171">
        <v>851925</v>
      </c>
      <c r="H111" s="174">
        <f>_xlfn.COMPOUNDVALUE(327)</f>
        <v>72</v>
      </c>
      <c r="I111" s="173">
        <v>22194</v>
      </c>
      <c r="J111" s="112">
        <v>93</v>
      </c>
      <c r="K111" s="114">
        <v>2628</v>
      </c>
      <c r="L111" s="112">
        <v>2157</v>
      </c>
      <c r="M111" s="114">
        <v>832359</v>
      </c>
      <c r="N111" s="65" t="s">
        <v>127</v>
      </c>
    </row>
    <row r="112" spans="1:14" s="81" customFormat="1" ht="15.75" customHeight="1">
      <c r="A112" s="66" t="s">
        <v>128</v>
      </c>
      <c r="B112" s="112">
        <f>_xlfn.COMPOUNDVALUE(328)</f>
        <v>821</v>
      </c>
      <c r="C112" s="171">
        <v>532728</v>
      </c>
      <c r="D112" s="174">
        <f>_xlfn.COMPOUNDVALUE(329)</f>
        <v>1293</v>
      </c>
      <c r="E112" s="171">
        <v>573478</v>
      </c>
      <c r="F112" s="174">
        <f>_xlfn.COMPOUNDVALUE(330)</f>
        <v>2114</v>
      </c>
      <c r="G112" s="171">
        <v>1106206</v>
      </c>
      <c r="H112" s="174">
        <f>_xlfn.COMPOUNDVALUE(331)</f>
        <v>137</v>
      </c>
      <c r="I112" s="173">
        <v>75936</v>
      </c>
      <c r="J112" s="112">
        <v>102</v>
      </c>
      <c r="K112" s="114">
        <v>9058</v>
      </c>
      <c r="L112" s="112">
        <v>2269</v>
      </c>
      <c r="M112" s="114">
        <v>1039328</v>
      </c>
      <c r="N112" s="65" t="s">
        <v>128</v>
      </c>
    </row>
    <row r="113" spans="1:14" s="81" customFormat="1" ht="15.75" customHeight="1">
      <c r="A113" s="66" t="s">
        <v>129</v>
      </c>
      <c r="B113" s="112">
        <f>_xlfn.COMPOUNDVALUE(332)</f>
        <v>173</v>
      </c>
      <c r="C113" s="171">
        <v>135470</v>
      </c>
      <c r="D113" s="174">
        <f>_xlfn.COMPOUNDVALUE(333)</f>
        <v>355</v>
      </c>
      <c r="E113" s="171">
        <v>143549</v>
      </c>
      <c r="F113" s="174">
        <f>_xlfn.COMPOUNDVALUE(334)</f>
        <v>528</v>
      </c>
      <c r="G113" s="171">
        <v>279020</v>
      </c>
      <c r="H113" s="174">
        <f>_xlfn.COMPOUNDVALUE(335)</f>
        <v>11</v>
      </c>
      <c r="I113" s="173">
        <v>6760</v>
      </c>
      <c r="J113" s="112">
        <v>40</v>
      </c>
      <c r="K113" s="114">
        <v>7217</v>
      </c>
      <c r="L113" s="112">
        <v>555</v>
      </c>
      <c r="M113" s="114">
        <v>279477</v>
      </c>
      <c r="N113" s="65" t="s">
        <v>129</v>
      </c>
    </row>
    <row r="114" spans="1:14" s="81" customFormat="1" ht="15.75" customHeight="1">
      <c r="A114" s="67" t="s">
        <v>130</v>
      </c>
      <c r="B114" s="115">
        <v>3366</v>
      </c>
      <c r="C114" s="116">
        <v>2341690</v>
      </c>
      <c r="D114" s="115">
        <v>5992</v>
      </c>
      <c r="E114" s="116">
        <v>2539706</v>
      </c>
      <c r="F114" s="115">
        <v>9358</v>
      </c>
      <c r="G114" s="116">
        <v>4881396</v>
      </c>
      <c r="H114" s="115">
        <v>442</v>
      </c>
      <c r="I114" s="117">
        <v>244244</v>
      </c>
      <c r="J114" s="115">
        <v>508</v>
      </c>
      <c r="K114" s="117">
        <v>52800</v>
      </c>
      <c r="L114" s="115">
        <v>9923</v>
      </c>
      <c r="M114" s="117">
        <v>4689952</v>
      </c>
      <c r="N114" s="72" t="s">
        <v>131</v>
      </c>
    </row>
    <row r="115" spans="1:15" s="81" customFormat="1" ht="15.75" customHeight="1" thickBot="1">
      <c r="A115" s="68"/>
      <c r="B115" s="118"/>
      <c r="C115" s="119"/>
      <c r="D115" s="118"/>
      <c r="E115" s="119"/>
      <c r="F115" s="120"/>
      <c r="G115" s="119"/>
      <c r="H115" s="120"/>
      <c r="I115" s="119"/>
      <c r="J115" s="120"/>
      <c r="K115" s="119"/>
      <c r="L115" s="120"/>
      <c r="M115" s="119"/>
      <c r="N115" s="78"/>
      <c r="O115" s="82"/>
    </row>
    <row r="116" spans="1:14" s="81" customFormat="1" ht="15.75" customHeight="1" thickBot="1" thickTop="1">
      <c r="A116" s="70" t="s">
        <v>143</v>
      </c>
      <c r="B116" s="188">
        <v>87207</v>
      </c>
      <c r="C116" s="122">
        <v>90247585</v>
      </c>
      <c r="D116" s="188">
        <v>145029</v>
      </c>
      <c r="E116" s="189">
        <v>83592709</v>
      </c>
      <c r="F116" s="188">
        <v>232236</v>
      </c>
      <c r="G116" s="122">
        <v>173840294</v>
      </c>
      <c r="H116" s="188">
        <v>13692</v>
      </c>
      <c r="I116" s="123">
        <v>12925268</v>
      </c>
      <c r="J116" s="121">
        <v>16503</v>
      </c>
      <c r="K116" s="123">
        <v>2616723</v>
      </c>
      <c r="L116" s="121">
        <v>252909</v>
      </c>
      <c r="M116" s="123">
        <v>163531748</v>
      </c>
      <c r="N116" s="79" t="s">
        <v>34</v>
      </c>
    </row>
    <row r="117" spans="1:14" ht="12.75">
      <c r="A117" s="263" t="s">
        <v>159</v>
      </c>
      <c r="B117" s="263"/>
      <c r="C117" s="263"/>
      <c r="D117" s="263"/>
      <c r="E117" s="263"/>
      <c r="F117" s="263"/>
      <c r="G117" s="263"/>
      <c r="H117" s="263"/>
      <c r="I117" s="263"/>
      <c r="J117" s="54"/>
      <c r="K117" s="54"/>
      <c r="L117" s="53"/>
      <c r="M117" s="53"/>
      <c r="N117" s="53"/>
    </row>
    <row r="119" spans="2:10" ht="12.75">
      <c r="B119" s="125"/>
      <c r="C119" s="125"/>
      <c r="D119" s="125"/>
      <c r="E119" s="125"/>
      <c r="F119" s="125"/>
      <c r="G119" s="125"/>
      <c r="H119" s="125"/>
      <c r="J119" s="125"/>
    </row>
    <row r="120" spans="2:10" ht="12.75">
      <c r="B120" s="125"/>
      <c r="C120" s="125"/>
      <c r="D120" s="125"/>
      <c r="E120" s="125"/>
      <c r="F120" s="125"/>
      <c r="G120" s="125"/>
      <c r="H120" s="125"/>
      <c r="J120" s="125"/>
    </row>
    <row r="121" spans="2:10" ht="12.75">
      <c r="B121" s="125"/>
      <c r="C121" s="125"/>
      <c r="D121" s="125"/>
      <c r="E121" s="125"/>
      <c r="F121" s="125"/>
      <c r="G121" s="125"/>
      <c r="H121" s="125"/>
      <c r="J121" s="125"/>
    </row>
    <row r="122" spans="2:10" ht="12.75">
      <c r="B122" s="125"/>
      <c r="C122" s="125"/>
      <c r="D122" s="125"/>
      <c r="E122" s="125"/>
      <c r="F122" s="125"/>
      <c r="G122" s="125"/>
      <c r="H122" s="125"/>
      <c r="J122" s="125"/>
    </row>
    <row r="123" spans="2:10" ht="12.75">
      <c r="B123" s="125"/>
      <c r="C123" s="125"/>
      <c r="D123" s="125"/>
      <c r="E123" s="125"/>
      <c r="F123" s="125"/>
      <c r="G123" s="125"/>
      <c r="H123" s="125"/>
      <c r="J123" s="125"/>
    </row>
    <row r="124" spans="2:10" ht="12.75">
      <c r="B124" s="125"/>
      <c r="C124" s="125"/>
      <c r="D124" s="125"/>
      <c r="E124" s="125"/>
      <c r="F124" s="125"/>
      <c r="G124" s="125"/>
      <c r="H124" s="125"/>
      <c r="J124" s="125"/>
    </row>
    <row r="125" spans="2:10" ht="12.75">
      <c r="B125" s="125"/>
      <c r="C125" s="125"/>
      <c r="D125" s="125"/>
      <c r="E125" s="125"/>
      <c r="F125" s="125"/>
      <c r="G125" s="125"/>
      <c r="H125" s="125"/>
      <c r="J125" s="125"/>
    </row>
    <row r="126" spans="2:10" ht="12.75">
      <c r="B126" s="125"/>
      <c r="C126" s="125"/>
      <c r="D126" s="125"/>
      <c r="E126" s="125"/>
      <c r="F126" s="125"/>
      <c r="G126" s="125"/>
      <c r="H126" s="125"/>
      <c r="J126" s="125"/>
    </row>
    <row r="127" spans="2:10" ht="12.75">
      <c r="B127" s="125"/>
      <c r="C127" s="125"/>
      <c r="D127" s="125"/>
      <c r="E127" s="125"/>
      <c r="F127" s="125"/>
      <c r="G127" s="125"/>
      <c r="H127" s="125"/>
      <c r="J127" s="125"/>
    </row>
    <row r="128" spans="2:10" ht="12.75">
      <c r="B128" s="125"/>
      <c r="C128" s="125"/>
      <c r="D128" s="125"/>
      <c r="E128" s="125"/>
      <c r="F128" s="125"/>
      <c r="G128" s="125"/>
      <c r="H128" s="125"/>
      <c r="J128" s="125"/>
    </row>
    <row r="129" spans="2:10" ht="12.75">
      <c r="B129" s="125"/>
      <c r="C129" s="125"/>
      <c r="D129" s="125"/>
      <c r="E129" s="125"/>
      <c r="F129" s="125"/>
      <c r="G129" s="125"/>
      <c r="H129" s="125"/>
      <c r="J129" s="125"/>
    </row>
    <row r="130" spans="2:10" ht="12.75">
      <c r="B130" s="125"/>
      <c r="C130" s="125"/>
      <c r="D130" s="125"/>
      <c r="E130" s="125"/>
      <c r="F130" s="125"/>
      <c r="G130" s="125"/>
      <c r="H130" s="125"/>
      <c r="J130" s="125"/>
    </row>
    <row r="131" spans="2:10" ht="12.75">
      <c r="B131" s="125"/>
      <c r="C131" s="125"/>
      <c r="D131" s="125"/>
      <c r="E131" s="125"/>
      <c r="F131" s="125"/>
      <c r="G131" s="125"/>
      <c r="H131" s="125"/>
      <c r="J131" s="125"/>
    </row>
  </sheetData>
  <sheetProtection/>
  <mergeCells count="11">
    <mergeCell ref="L3:M4"/>
    <mergeCell ref="N3:N5"/>
    <mergeCell ref="B4:C4"/>
    <mergeCell ref="D4:E4"/>
    <mergeCell ref="F4:G4"/>
    <mergeCell ref="A117:I117"/>
    <mergeCell ref="A2:G2"/>
    <mergeCell ref="A3:A5"/>
    <mergeCell ref="B3:G3"/>
    <mergeCell ref="H3:I4"/>
    <mergeCell ref="J3:K4"/>
  </mergeCells>
  <printOptions horizontalCentered="1"/>
  <pageMargins left="0.7874015748031497" right="0.7874015748031497" top="0.7874015748031497" bottom="0.7874015748031497" header="0.5118110236220472" footer="0.35433070866141736"/>
  <pageSetup fitToHeight="0" horizontalDpi="600" verticalDpi="600" orientation="landscape" paperSize="9" scale="65" r:id="rId1"/>
  <headerFooter alignWithMargins="0">
    <oddFooter>&amp;R&amp;K01+000東京国税局
消費税
(R02)</oddFooter>
  </headerFooter>
  <rowBreaks count="2" manualBreakCount="2">
    <brk id="42" max="13" man="1"/>
    <brk id="79" max="13" man="1"/>
  </rowBreaks>
</worksheet>
</file>

<file path=xl/worksheets/sheet5.xml><?xml version="1.0" encoding="utf-8"?>
<worksheet xmlns="http://schemas.openxmlformats.org/spreadsheetml/2006/main" xmlns:r="http://schemas.openxmlformats.org/officeDocument/2006/relationships">
  <dimension ref="A1:N117"/>
  <sheetViews>
    <sheetView showGridLines="0" zoomScaleSheetLayoutView="85" workbookViewId="0" topLeftCell="A1">
      <selection activeCell="G45" sqref="G45"/>
    </sheetView>
  </sheetViews>
  <sheetFormatPr defaultColWidth="9.00390625" defaultRowHeight="13.5"/>
  <cols>
    <col min="1" max="1" width="11.125" style="108" customWidth="1"/>
    <col min="2" max="2" width="10.625" style="108" customWidth="1"/>
    <col min="3" max="3" width="12.625" style="108" customWidth="1"/>
    <col min="4" max="4" width="10.625" style="108" customWidth="1"/>
    <col min="5" max="5" width="12.625" style="108" customWidth="1"/>
    <col min="6" max="6" width="10.625" style="108" customWidth="1"/>
    <col min="7" max="7" width="12.625" style="108" customWidth="1"/>
    <col min="8" max="8" width="10.625" style="108" customWidth="1"/>
    <col min="9" max="9" width="12.625" style="108" customWidth="1"/>
    <col min="10" max="10" width="10.625" style="108" customWidth="1"/>
    <col min="11" max="11" width="12.625" style="108" customWidth="1"/>
    <col min="12" max="12" width="10.625" style="108" customWidth="1"/>
    <col min="13" max="13" width="12.625" style="108" customWidth="1"/>
    <col min="14" max="14" width="11.375" style="108" customWidth="1"/>
    <col min="15" max="16384" width="9.00390625" style="108" customWidth="1"/>
  </cols>
  <sheetData>
    <row r="1" spans="1:13" ht="12.75">
      <c r="A1" s="52" t="s">
        <v>164</v>
      </c>
      <c r="B1" s="52"/>
      <c r="C1" s="52"/>
      <c r="D1" s="52"/>
      <c r="E1" s="52"/>
      <c r="F1" s="52"/>
      <c r="G1" s="52"/>
      <c r="H1" s="52"/>
      <c r="I1" s="52"/>
      <c r="J1" s="52"/>
      <c r="K1" s="52"/>
      <c r="L1" s="53"/>
      <c r="M1" s="53"/>
    </row>
    <row r="2" spans="1:13" ht="13.5" thickBot="1">
      <c r="A2" s="273" t="s">
        <v>132</v>
      </c>
      <c r="B2" s="273"/>
      <c r="C2" s="273"/>
      <c r="D2" s="273"/>
      <c r="E2" s="273"/>
      <c r="F2" s="273"/>
      <c r="G2" s="273"/>
      <c r="H2" s="273"/>
      <c r="I2" s="273"/>
      <c r="J2" s="54"/>
      <c r="K2" s="54"/>
      <c r="L2" s="53"/>
      <c r="M2" s="53"/>
    </row>
    <row r="3" spans="1:14" ht="19.5" customHeight="1">
      <c r="A3" s="265" t="s">
        <v>24</v>
      </c>
      <c r="B3" s="268" t="s">
        <v>25</v>
      </c>
      <c r="C3" s="268"/>
      <c r="D3" s="268"/>
      <c r="E3" s="268"/>
      <c r="F3" s="268"/>
      <c r="G3" s="268"/>
      <c r="H3" s="269" t="s">
        <v>11</v>
      </c>
      <c r="I3" s="270"/>
      <c r="J3" s="272" t="s">
        <v>26</v>
      </c>
      <c r="K3" s="270"/>
      <c r="L3" s="269" t="s">
        <v>27</v>
      </c>
      <c r="M3" s="270"/>
      <c r="N3" s="257" t="s">
        <v>28</v>
      </c>
    </row>
    <row r="4" spans="1:14" ht="17.25" customHeight="1">
      <c r="A4" s="266"/>
      <c r="B4" s="261" t="s">
        <v>13</v>
      </c>
      <c r="C4" s="262"/>
      <c r="D4" s="261" t="s">
        <v>29</v>
      </c>
      <c r="E4" s="262"/>
      <c r="F4" s="261" t="s">
        <v>30</v>
      </c>
      <c r="G4" s="262"/>
      <c r="H4" s="261"/>
      <c r="I4" s="271"/>
      <c r="J4" s="261"/>
      <c r="K4" s="271"/>
      <c r="L4" s="261"/>
      <c r="M4" s="271"/>
      <c r="N4" s="258"/>
    </row>
    <row r="5" spans="1:14" ht="28.5" customHeight="1">
      <c r="A5" s="267"/>
      <c r="B5" s="55" t="s">
        <v>33</v>
      </c>
      <c r="C5" s="56" t="s">
        <v>135</v>
      </c>
      <c r="D5" s="55" t="s">
        <v>33</v>
      </c>
      <c r="E5" s="56" t="s">
        <v>135</v>
      </c>
      <c r="F5" s="55" t="s">
        <v>33</v>
      </c>
      <c r="G5" s="56" t="s">
        <v>136</v>
      </c>
      <c r="H5" s="55" t="s">
        <v>33</v>
      </c>
      <c r="I5" s="75" t="s">
        <v>137</v>
      </c>
      <c r="J5" s="55" t="s">
        <v>33</v>
      </c>
      <c r="K5" s="75" t="s">
        <v>138</v>
      </c>
      <c r="L5" s="55" t="s">
        <v>33</v>
      </c>
      <c r="M5" s="76" t="s">
        <v>139</v>
      </c>
      <c r="N5" s="259"/>
    </row>
    <row r="6" spans="1:14" s="83" customFormat="1" ht="9">
      <c r="A6" s="89"/>
      <c r="B6" s="59" t="s">
        <v>3</v>
      </c>
      <c r="C6" s="60" t="s">
        <v>4</v>
      </c>
      <c r="D6" s="59" t="s">
        <v>3</v>
      </c>
      <c r="E6" s="60" t="s">
        <v>4</v>
      </c>
      <c r="F6" s="59" t="s">
        <v>3</v>
      </c>
      <c r="G6" s="60" t="s">
        <v>4</v>
      </c>
      <c r="H6" s="59" t="s">
        <v>3</v>
      </c>
      <c r="I6" s="77" t="s">
        <v>4</v>
      </c>
      <c r="J6" s="59" t="s">
        <v>3</v>
      </c>
      <c r="K6" s="77" t="s">
        <v>4</v>
      </c>
      <c r="L6" s="59" t="s">
        <v>162</v>
      </c>
      <c r="M6" s="77" t="s">
        <v>4</v>
      </c>
      <c r="N6" s="84"/>
    </row>
    <row r="7" spans="1:14" ht="15.75" customHeight="1">
      <c r="A7" s="87" t="s">
        <v>36</v>
      </c>
      <c r="B7" s="109">
        <f>_xlfn.COMPOUNDVALUE(336)</f>
        <v>4735</v>
      </c>
      <c r="C7" s="110">
        <v>49450627</v>
      </c>
      <c r="D7" s="109">
        <f>_xlfn.COMPOUNDVALUE(337)</f>
        <v>1850</v>
      </c>
      <c r="E7" s="110">
        <v>1398450</v>
      </c>
      <c r="F7" s="109">
        <f>_xlfn.COMPOUNDVALUE(338)</f>
        <v>6585</v>
      </c>
      <c r="G7" s="110">
        <v>50849077</v>
      </c>
      <c r="H7" s="109">
        <f>_xlfn.COMPOUNDVALUE(339)</f>
        <v>672</v>
      </c>
      <c r="I7" s="111">
        <v>3183273</v>
      </c>
      <c r="J7" s="109">
        <v>280</v>
      </c>
      <c r="K7" s="111">
        <v>-12995</v>
      </c>
      <c r="L7" s="109">
        <v>7372</v>
      </c>
      <c r="M7" s="111">
        <v>47652809</v>
      </c>
      <c r="N7" s="74" t="s">
        <v>36</v>
      </c>
    </row>
    <row r="8" spans="1:14" ht="15.75" customHeight="1">
      <c r="A8" s="64" t="s">
        <v>37</v>
      </c>
      <c r="B8" s="109">
        <f>_xlfn.COMPOUNDVALUE(340)</f>
        <v>4074</v>
      </c>
      <c r="C8" s="110">
        <v>31979989</v>
      </c>
      <c r="D8" s="109">
        <f>_xlfn.COMPOUNDVALUE(341)</f>
        <v>1776</v>
      </c>
      <c r="E8" s="110">
        <v>1297450</v>
      </c>
      <c r="F8" s="109">
        <f>_xlfn.COMPOUNDVALUE(342)</f>
        <v>5850</v>
      </c>
      <c r="G8" s="110">
        <v>33277440</v>
      </c>
      <c r="H8" s="109">
        <f>_xlfn.COMPOUNDVALUE(343)</f>
        <v>378</v>
      </c>
      <c r="I8" s="111">
        <v>4156797</v>
      </c>
      <c r="J8" s="109">
        <v>285</v>
      </c>
      <c r="K8" s="111">
        <v>100660</v>
      </c>
      <c r="L8" s="109">
        <v>6286</v>
      </c>
      <c r="M8" s="111">
        <v>29221303</v>
      </c>
      <c r="N8" s="74" t="s">
        <v>37</v>
      </c>
    </row>
    <row r="9" spans="1:14" ht="15.75" customHeight="1">
      <c r="A9" s="64" t="s">
        <v>38</v>
      </c>
      <c r="B9" s="109">
        <f>_xlfn.COMPOUNDVALUE(344)</f>
        <v>4456</v>
      </c>
      <c r="C9" s="110">
        <v>78106501</v>
      </c>
      <c r="D9" s="109">
        <f>_xlfn.COMPOUNDVALUE(345)</f>
        <v>1797</v>
      </c>
      <c r="E9" s="110">
        <v>1307189</v>
      </c>
      <c r="F9" s="109">
        <f>_xlfn.COMPOUNDVALUE(346)</f>
        <v>6253</v>
      </c>
      <c r="G9" s="110">
        <v>79413690</v>
      </c>
      <c r="H9" s="109">
        <f>_xlfn.COMPOUNDVALUE(347)</f>
        <v>666</v>
      </c>
      <c r="I9" s="111">
        <v>8438159</v>
      </c>
      <c r="J9" s="109">
        <v>234</v>
      </c>
      <c r="K9" s="111">
        <v>-166183</v>
      </c>
      <c r="L9" s="109">
        <v>7001</v>
      </c>
      <c r="M9" s="111">
        <v>70809347</v>
      </c>
      <c r="N9" s="74" t="s">
        <v>38</v>
      </c>
    </row>
    <row r="10" spans="1:14" ht="15.75" customHeight="1">
      <c r="A10" s="64" t="s">
        <v>39</v>
      </c>
      <c r="B10" s="109">
        <f>_xlfn.COMPOUNDVALUE(348)</f>
        <v>1716</v>
      </c>
      <c r="C10" s="110">
        <v>9802995</v>
      </c>
      <c r="D10" s="109">
        <f>_xlfn.COMPOUNDVALUE(349)</f>
        <v>716</v>
      </c>
      <c r="E10" s="110">
        <v>485105</v>
      </c>
      <c r="F10" s="109">
        <f>_xlfn.COMPOUNDVALUE(350)</f>
        <v>2432</v>
      </c>
      <c r="G10" s="110">
        <v>10288100</v>
      </c>
      <c r="H10" s="109">
        <f>_xlfn.COMPOUNDVALUE(351)</f>
        <v>173</v>
      </c>
      <c r="I10" s="111">
        <v>956372</v>
      </c>
      <c r="J10" s="109">
        <v>101</v>
      </c>
      <c r="K10" s="111">
        <v>73054</v>
      </c>
      <c r="L10" s="109">
        <v>2632</v>
      </c>
      <c r="M10" s="111">
        <v>9404781</v>
      </c>
      <c r="N10" s="74" t="s">
        <v>39</v>
      </c>
    </row>
    <row r="11" spans="1:14" ht="15.75" customHeight="1">
      <c r="A11" s="64" t="s">
        <v>40</v>
      </c>
      <c r="B11" s="109">
        <f>_xlfn.COMPOUNDVALUE(352)</f>
        <v>4679</v>
      </c>
      <c r="C11" s="110">
        <v>35709292</v>
      </c>
      <c r="D11" s="109">
        <f>_xlfn.COMPOUNDVALUE(353)</f>
        <v>1990</v>
      </c>
      <c r="E11" s="110">
        <v>1443190</v>
      </c>
      <c r="F11" s="109">
        <f>_xlfn.COMPOUNDVALUE(354)</f>
        <v>6669</v>
      </c>
      <c r="G11" s="110">
        <v>37152482</v>
      </c>
      <c r="H11" s="109">
        <f>_xlfn.COMPOUNDVALUE(355)</f>
        <v>689</v>
      </c>
      <c r="I11" s="111">
        <v>3334805</v>
      </c>
      <c r="J11" s="109">
        <v>185</v>
      </c>
      <c r="K11" s="111">
        <v>-30865</v>
      </c>
      <c r="L11" s="109">
        <v>7446</v>
      </c>
      <c r="M11" s="111">
        <v>33786812</v>
      </c>
      <c r="N11" s="74" t="s">
        <v>40</v>
      </c>
    </row>
    <row r="12" spans="1:14" ht="15.75" customHeight="1">
      <c r="A12" s="64"/>
      <c r="B12" s="109"/>
      <c r="C12" s="110"/>
      <c r="D12" s="109"/>
      <c r="E12" s="110"/>
      <c r="F12" s="109"/>
      <c r="G12" s="110"/>
      <c r="H12" s="109"/>
      <c r="I12" s="111"/>
      <c r="J12" s="109"/>
      <c r="K12" s="111"/>
      <c r="L12" s="109"/>
      <c r="M12" s="111"/>
      <c r="N12" s="74" t="s">
        <v>35</v>
      </c>
    </row>
    <row r="13" spans="1:14" ht="15.75" customHeight="1">
      <c r="A13" s="64" t="s">
        <v>41</v>
      </c>
      <c r="B13" s="109">
        <f>_xlfn.COMPOUNDVALUE(356)</f>
        <v>4198</v>
      </c>
      <c r="C13" s="110">
        <v>28942590</v>
      </c>
      <c r="D13" s="109">
        <f>_xlfn.COMPOUNDVALUE(357)</f>
        <v>1887</v>
      </c>
      <c r="E13" s="110">
        <v>1375546</v>
      </c>
      <c r="F13" s="109">
        <f>_xlfn.COMPOUNDVALUE(358)</f>
        <v>6085</v>
      </c>
      <c r="G13" s="110">
        <v>30318137</v>
      </c>
      <c r="H13" s="109">
        <f>_xlfn.COMPOUNDVALUE(359)</f>
        <v>546</v>
      </c>
      <c r="I13" s="111">
        <v>3056402</v>
      </c>
      <c r="J13" s="109">
        <v>214</v>
      </c>
      <c r="K13" s="111">
        <v>-54569</v>
      </c>
      <c r="L13" s="109">
        <v>6702</v>
      </c>
      <c r="M13" s="111">
        <v>27207166</v>
      </c>
      <c r="N13" s="74" t="s">
        <v>41</v>
      </c>
    </row>
    <row r="14" spans="1:14" ht="15.75" customHeight="1">
      <c r="A14" s="64" t="s">
        <v>42</v>
      </c>
      <c r="B14" s="109">
        <f>_xlfn.COMPOUNDVALUE(360)</f>
        <v>1130</v>
      </c>
      <c r="C14" s="110">
        <v>5034594</v>
      </c>
      <c r="D14" s="109">
        <f>_xlfn.COMPOUNDVALUE(361)</f>
        <v>473</v>
      </c>
      <c r="E14" s="110">
        <v>314234</v>
      </c>
      <c r="F14" s="109">
        <f>_xlfn.COMPOUNDVALUE(362)</f>
        <v>1603</v>
      </c>
      <c r="G14" s="110">
        <v>5348829</v>
      </c>
      <c r="H14" s="109">
        <f>_xlfn.COMPOUNDVALUE(363)</f>
        <v>162</v>
      </c>
      <c r="I14" s="111">
        <v>425022</v>
      </c>
      <c r="J14" s="109">
        <v>50</v>
      </c>
      <c r="K14" s="111">
        <v>-5888</v>
      </c>
      <c r="L14" s="109">
        <v>1778</v>
      </c>
      <c r="M14" s="111">
        <v>4917918</v>
      </c>
      <c r="N14" s="74" t="s">
        <v>42</v>
      </c>
    </row>
    <row r="15" spans="1:14" ht="15.75" customHeight="1">
      <c r="A15" s="64" t="s">
        <v>43</v>
      </c>
      <c r="B15" s="109">
        <f>_xlfn.COMPOUNDVALUE(364)</f>
        <v>2787</v>
      </c>
      <c r="C15" s="110">
        <v>18890280</v>
      </c>
      <c r="D15" s="109">
        <f>_xlfn.COMPOUNDVALUE(365)</f>
        <v>1283</v>
      </c>
      <c r="E15" s="110">
        <v>948566</v>
      </c>
      <c r="F15" s="109">
        <f>_xlfn.COMPOUNDVALUE(366)</f>
        <v>4070</v>
      </c>
      <c r="G15" s="110">
        <v>19838846</v>
      </c>
      <c r="H15" s="109">
        <f>_xlfn.COMPOUNDVALUE(367)</f>
        <v>249</v>
      </c>
      <c r="I15" s="111">
        <v>3155238</v>
      </c>
      <c r="J15" s="109">
        <v>151</v>
      </c>
      <c r="K15" s="111">
        <v>58643</v>
      </c>
      <c r="L15" s="109">
        <v>4385</v>
      </c>
      <c r="M15" s="111">
        <v>16742251</v>
      </c>
      <c r="N15" s="74" t="s">
        <v>43</v>
      </c>
    </row>
    <row r="16" spans="1:14" ht="15.75" customHeight="1">
      <c r="A16" s="66" t="s">
        <v>44</v>
      </c>
      <c r="B16" s="112">
        <v>5223</v>
      </c>
      <c r="C16" s="113">
        <v>30191643</v>
      </c>
      <c r="D16" s="112">
        <f>_xlfn.COMPOUNDVALUE(368)</f>
        <v>2444</v>
      </c>
      <c r="E16" s="113">
        <v>1691894</v>
      </c>
      <c r="F16" s="112">
        <f>_xlfn.COMPOUNDVALUE(369)</f>
        <v>7667</v>
      </c>
      <c r="G16" s="113">
        <v>31883537</v>
      </c>
      <c r="H16" s="112">
        <f>_xlfn.COMPOUNDVALUE(370)</f>
        <v>662</v>
      </c>
      <c r="I16" s="114">
        <v>2379495</v>
      </c>
      <c r="J16" s="112">
        <v>308</v>
      </c>
      <c r="K16" s="114">
        <v>144575</v>
      </c>
      <c r="L16" s="112">
        <v>8467</v>
      </c>
      <c r="M16" s="114">
        <v>29648616</v>
      </c>
      <c r="N16" s="65" t="s">
        <v>44</v>
      </c>
    </row>
    <row r="17" spans="1:14" ht="15.75" customHeight="1">
      <c r="A17" s="66" t="s">
        <v>45</v>
      </c>
      <c r="B17" s="112">
        <f>_xlfn.COMPOUNDVALUE(371)</f>
        <v>1077</v>
      </c>
      <c r="C17" s="113">
        <v>5732206</v>
      </c>
      <c r="D17" s="112">
        <f>_xlfn.COMPOUNDVALUE(372)</f>
        <v>375</v>
      </c>
      <c r="E17" s="113">
        <v>236738</v>
      </c>
      <c r="F17" s="112">
        <f>_xlfn.COMPOUNDVALUE(373)</f>
        <v>1452</v>
      </c>
      <c r="G17" s="113">
        <v>5968944</v>
      </c>
      <c r="H17" s="112">
        <f>_xlfn.COMPOUNDVALUE(374)</f>
        <v>151</v>
      </c>
      <c r="I17" s="114">
        <v>849890</v>
      </c>
      <c r="J17" s="112">
        <v>49</v>
      </c>
      <c r="K17" s="114">
        <v>21656</v>
      </c>
      <c r="L17" s="112">
        <v>1624</v>
      </c>
      <c r="M17" s="114">
        <v>5140711</v>
      </c>
      <c r="N17" s="65" t="s">
        <v>45</v>
      </c>
    </row>
    <row r="18" spans="1:14" ht="15.75" customHeight="1">
      <c r="A18" s="66"/>
      <c r="B18" s="112"/>
      <c r="C18" s="113"/>
      <c r="D18" s="112"/>
      <c r="E18" s="113"/>
      <c r="F18" s="112"/>
      <c r="G18" s="113"/>
      <c r="H18" s="112"/>
      <c r="I18" s="114"/>
      <c r="J18" s="112"/>
      <c r="K18" s="114"/>
      <c r="L18" s="112"/>
      <c r="M18" s="114"/>
      <c r="N18" s="65" t="s">
        <v>35</v>
      </c>
    </row>
    <row r="19" spans="1:14" ht="15.75" customHeight="1">
      <c r="A19" s="66" t="s">
        <v>46</v>
      </c>
      <c r="B19" s="112">
        <f>_xlfn.COMPOUNDVALUE(375)</f>
        <v>1872</v>
      </c>
      <c r="C19" s="113">
        <v>9086487</v>
      </c>
      <c r="D19" s="112">
        <f>_xlfn.COMPOUNDVALUE(376)</f>
        <v>779</v>
      </c>
      <c r="E19" s="113">
        <v>516806</v>
      </c>
      <c r="F19" s="112">
        <f>_xlfn.COMPOUNDVALUE(377)</f>
        <v>2651</v>
      </c>
      <c r="G19" s="113">
        <v>9603294</v>
      </c>
      <c r="H19" s="112">
        <f>_xlfn.COMPOUNDVALUE(378)</f>
        <v>201</v>
      </c>
      <c r="I19" s="114">
        <v>1023718</v>
      </c>
      <c r="J19" s="112">
        <v>91</v>
      </c>
      <c r="K19" s="114">
        <v>14761</v>
      </c>
      <c r="L19" s="112">
        <v>2885</v>
      </c>
      <c r="M19" s="114">
        <v>8594336</v>
      </c>
      <c r="N19" s="65" t="s">
        <v>46</v>
      </c>
    </row>
    <row r="20" spans="1:14" ht="15.75" customHeight="1">
      <c r="A20" s="66" t="s">
        <v>47</v>
      </c>
      <c r="B20" s="112">
        <f>_xlfn.COMPOUNDVALUE(379)</f>
        <v>5443</v>
      </c>
      <c r="C20" s="113">
        <v>28688539</v>
      </c>
      <c r="D20" s="112">
        <f>_xlfn.COMPOUNDVALUE(380)</f>
        <v>2188</v>
      </c>
      <c r="E20" s="113">
        <v>1568508</v>
      </c>
      <c r="F20" s="112">
        <f>_xlfn.COMPOUNDVALUE(381)</f>
        <v>7631</v>
      </c>
      <c r="G20" s="113">
        <v>30257047</v>
      </c>
      <c r="H20" s="112">
        <f>_xlfn.COMPOUNDVALUE(382)</f>
        <v>1293</v>
      </c>
      <c r="I20" s="114">
        <v>14157892</v>
      </c>
      <c r="J20" s="112">
        <v>394</v>
      </c>
      <c r="K20" s="114">
        <v>42065</v>
      </c>
      <c r="L20" s="112">
        <v>9100</v>
      </c>
      <c r="M20" s="114">
        <v>16141220</v>
      </c>
      <c r="N20" s="65" t="s">
        <v>47</v>
      </c>
    </row>
    <row r="21" spans="1:14" ht="15.75" customHeight="1">
      <c r="A21" s="66" t="s">
        <v>48</v>
      </c>
      <c r="B21" s="112">
        <f>_xlfn.COMPOUNDVALUE(383)</f>
        <v>1807</v>
      </c>
      <c r="C21" s="113">
        <v>9102940</v>
      </c>
      <c r="D21" s="112">
        <f>_xlfn.COMPOUNDVALUE(384)</f>
        <v>793</v>
      </c>
      <c r="E21" s="113">
        <v>549545</v>
      </c>
      <c r="F21" s="112">
        <f>_xlfn.COMPOUNDVALUE(385)</f>
        <v>2600</v>
      </c>
      <c r="G21" s="113">
        <v>9652484</v>
      </c>
      <c r="H21" s="112">
        <f>_xlfn.COMPOUNDVALUE(386)</f>
        <v>246</v>
      </c>
      <c r="I21" s="114">
        <v>636035</v>
      </c>
      <c r="J21" s="112">
        <v>101</v>
      </c>
      <c r="K21" s="114">
        <v>28540</v>
      </c>
      <c r="L21" s="112">
        <v>2885</v>
      </c>
      <c r="M21" s="114">
        <v>9044989</v>
      </c>
      <c r="N21" s="65" t="s">
        <v>48</v>
      </c>
    </row>
    <row r="22" spans="1:14" ht="15.75" customHeight="1">
      <c r="A22" s="66" t="s">
        <v>149</v>
      </c>
      <c r="B22" s="112">
        <f>_xlfn.COMPOUNDVALUE(387)</f>
        <v>5293</v>
      </c>
      <c r="C22" s="113">
        <v>33280528</v>
      </c>
      <c r="D22" s="112">
        <f>_xlfn.COMPOUNDVALUE(388)</f>
        <v>2342</v>
      </c>
      <c r="E22" s="113">
        <v>1642780</v>
      </c>
      <c r="F22" s="112">
        <f>_xlfn.COMPOUNDVALUE(389)</f>
        <v>7635</v>
      </c>
      <c r="G22" s="113">
        <v>34923308</v>
      </c>
      <c r="H22" s="112">
        <f>_xlfn.COMPOUNDVALUE(390)</f>
        <v>779</v>
      </c>
      <c r="I22" s="114">
        <v>3577076</v>
      </c>
      <c r="J22" s="112">
        <v>235</v>
      </c>
      <c r="K22" s="114">
        <v>-656</v>
      </c>
      <c r="L22" s="112">
        <v>8501</v>
      </c>
      <c r="M22" s="114">
        <v>31345576</v>
      </c>
      <c r="N22" s="65" t="s">
        <v>49</v>
      </c>
    </row>
    <row r="23" spans="1:14" ht="15.75" customHeight="1">
      <c r="A23" s="130" t="s">
        <v>152</v>
      </c>
      <c r="B23" s="131">
        <v>48490</v>
      </c>
      <c r="C23" s="132">
        <v>373999211</v>
      </c>
      <c r="D23" s="131">
        <v>20693</v>
      </c>
      <c r="E23" s="132">
        <v>14776003</v>
      </c>
      <c r="F23" s="131">
        <v>69183</v>
      </c>
      <c r="G23" s="132">
        <v>388775214</v>
      </c>
      <c r="H23" s="131">
        <v>6867</v>
      </c>
      <c r="I23" s="133">
        <v>49330175</v>
      </c>
      <c r="J23" s="131">
        <v>2678</v>
      </c>
      <c r="K23" s="133">
        <v>212797</v>
      </c>
      <c r="L23" s="131">
        <v>77064</v>
      </c>
      <c r="M23" s="133">
        <v>339657836</v>
      </c>
      <c r="N23" s="134" t="s">
        <v>51</v>
      </c>
    </row>
    <row r="24" spans="1:14" ht="15.75" customHeight="1">
      <c r="A24" s="135"/>
      <c r="B24" s="136"/>
      <c r="C24" s="137"/>
      <c r="D24" s="136"/>
      <c r="E24" s="137"/>
      <c r="F24" s="138"/>
      <c r="G24" s="137"/>
      <c r="H24" s="138"/>
      <c r="I24" s="137"/>
      <c r="J24" s="138"/>
      <c r="K24" s="137"/>
      <c r="L24" s="138"/>
      <c r="M24" s="137"/>
      <c r="N24" s="139"/>
    </row>
    <row r="25" spans="1:14" ht="15.75" customHeight="1">
      <c r="A25" s="64" t="s">
        <v>52</v>
      </c>
      <c r="B25" s="109">
        <f>_xlfn.COMPOUNDVALUE(391)</f>
        <v>11558</v>
      </c>
      <c r="C25" s="110">
        <v>1381252851</v>
      </c>
      <c r="D25" s="109">
        <f>_xlfn.COMPOUNDVALUE(392)</f>
        <v>1792</v>
      </c>
      <c r="E25" s="110">
        <v>1859215</v>
      </c>
      <c r="F25" s="109">
        <f>_xlfn.COMPOUNDVALUE(393)</f>
        <v>13350</v>
      </c>
      <c r="G25" s="110">
        <v>1383112065</v>
      </c>
      <c r="H25" s="109">
        <f>_xlfn.COMPOUNDVALUE(394)</f>
        <v>5080</v>
      </c>
      <c r="I25" s="111">
        <v>605378254</v>
      </c>
      <c r="J25" s="109">
        <v>841</v>
      </c>
      <c r="K25" s="111">
        <v>3132560</v>
      </c>
      <c r="L25" s="109">
        <v>18588</v>
      </c>
      <c r="M25" s="111">
        <v>780866372</v>
      </c>
      <c r="N25" s="74" t="s">
        <v>52</v>
      </c>
    </row>
    <row r="26" spans="1:14" ht="15.75" customHeight="1">
      <c r="A26" s="64" t="s">
        <v>53</v>
      </c>
      <c r="B26" s="109">
        <f>_xlfn.COMPOUNDVALUE(395)</f>
        <v>11629</v>
      </c>
      <c r="C26" s="110">
        <v>392970445</v>
      </c>
      <c r="D26" s="109">
        <f>_xlfn.COMPOUNDVALUE(396)</f>
        <v>2283</v>
      </c>
      <c r="E26" s="110">
        <v>2244606</v>
      </c>
      <c r="F26" s="109">
        <f>_xlfn.COMPOUNDVALUE(397)</f>
        <v>13912</v>
      </c>
      <c r="G26" s="110">
        <v>395215051</v>
      </c>
      <c r="H26" s="109">
        <f>_xlfn.COMPOUNDVALUE(398)</f>
        <v>2676</v>
      </c>
      <c r="I26" s="111">
        <v>92103741</v>
      </c>
      <c r="J26" s="109">
        <v>768</v>
      </c>
      <c r="K26" s="111">
        <v>154220</v>
      </c>
      <c r="L26" s="109">
        <v>16804</v>
      </c>
      <c r="M26" s="111">
        <v>303265530</v>
      </c>
      <c r="N26" s="74" t="s">
        <v>53</v>
      </c>
    </row>
    <row r="27" spans="1:14" ht="15.75" customHeight="1">
      <c r="A27" s="64" t="s">
        <v>54</v>
      </c>
      <c r="B27" s="109">
        <f>_xlfn.COMPOUNDVALUE(399)</f>
        <v>9527</v>
      </c>
      <c r="C27" s="110">
        <v>473328343</v>
      </c>
      <c r="D27" s="109">
        <f>_xlfn.COMPOUNDVALUE(400)</f>
        <v>1714</v>
      </c>
      <c r="E27" s="110">
        <v>1404434</v>
      </c>
      <c r="F27" s="109">
        <f>_xlfn.COMPOUNDVALUE(401)</f>
        <v>11241</v>
      </c>
      <c r="G27" s="110">
        <v>474732777</v>
      </c>
      <c r="H27" s="109">
        <f>_xlfn.COMPOUNDVALUE(402)</f>
        <v>2971</v>
      </c>
      <c r="I27" s="111">
        <v>145906276</v>
      </c>
      <c r="J27" s="109">
        <v>515</v>
      </c>
      <c r="K27" s="111">
        <v>346082</v>
      </c>
      <c r="L27" s="109">
        <v>14311</v>
      </c>
      <c r="M27" s="111">
        <v>329172583</v>
      </c>
      <c r="N27" s="74" t="s">
        <v>54</v>
      </c>
    </row>
    <row r="28" spans="1:14" ht="15.75" customHeight="1">
      <c r="A28" s="64" t="s">
        <v>55</v>
      </c>
      <c r="B28" s="109">
        <f>_xlfn.COMPOUNDVALUE(403)</f>
        <v>11259</v>
      </c>
      <c r="C28" s="110">
        <v>461214377</v>
      </c>
      <c r="D28" s="109">
        <f>_xlfn.COMPOUNDVALUE(404)</f>
        <v>2275</v>
      </c>
      <c r="E28" s="110">
        <v>1992041</v>
      </c>
      <c r="F28" s="109">
        <f>_xlfn.COMPOUNDVALUE(405)</f>
        <v>13534</v>
      </c>
      <c r="G28" s="110">
        <v>463206418</v>
      </c>
      <c r="H28" s="109">
        <f>_xlfn.COMPOUNDVALUE(406)</f>
        <v>3460</v>
      </c>
      <c r="I28" s="111">
        <v>88651604</v>
      </c>
      <c r="J28" s="109">
        <v>666</v>
      </c>
      <c r="K28" s="111">
        <v>1125288</v>
      </c>
      <c r="L28" s="109">
        <v>17186</v>
      </c>
      <c r="M28" s="111">
        <v>375680103</v>
      </c>
      <c r="N28" s="74" t="s">
        <v>55</v>
      </c>
    </row>
    <row r="29" spans="1:14" ht="15.75" customHeight="1">
      <c r="A29" s="64" t="s">
        <v>150</v>
      </c>
      <c r="B29" s="109">
        <f>_xlfn.COMPOUNDVALUE(407)</f>
        <v>15956</v>
      </c>
      <c r="C29" s="110">
        <v>1132159668</v>
      </c>
      <c r="D29" s="109">
        <f>_xlfn.COMPOUNDVALUE(408)</f>
        <v>2794</v>
      </c>
      <c r="E29" s="110">
        <v>3152631</v>
      </c>
      <c r="F29" s="109">
        <f>_xlfn.COMPOUNDVALUE(409)</f>
        <v>18750</v>
      </c>
      <c r="G29" s="110">
        <v>1135312299</v>
      </c>
      <c r="H29" s="109">
        <f>_xlfn.COMPOUNDVALUE(410)</f>
        <v>5490</v>
      </c>
      <c r="I29" s="111">
        <v>514466534</v>
      </c>
      <c r="J29" s="109">
        <v>1335</v>
      </c>
      <c r="K29" s="111">
        <v>365207</v>
      </c>
      <c r="L29" s="109">
        <v>24524</v>
      </c>
      <c r="M29" s="111">
        <v>621210972</v>
      </c>
      <c r="N29" s="74" t="s">
        <v>56</v>
      </c>
    </row>
    <row r="30" spans="1:14" ht="15.75" customHeight="1">
      <c r="A30" s="64"/>
      <c r="B30" s="109"/>
      <c r="C30" s="110"/>
      <c r="D30" s="109"/>
      <c r="E30" s="110"/>
      <c r="F30" s="109"/>
      <c r="G30" s="110"/>
      <c r="H30" s="109"/>
      <c r="I30" s="111"/>
      <c r="J30" s="109"/>
      <c r="K30" s="111"/>
      <c r="L30" s="109"/>
      <c r="M30" s="111"/>
      <c r="N30" s="74" t="s">
        <v>35</v>
      </c>
    </row>
    <row r="31" spans="1:14" ht="15.75" customHeight="1">
      <c r="A31" s="64" t="s">
        <v>57</v>
      </c>
      <c r="B31" s="109">
        <f>_xlfn.COMPOUNDVALUE(411)</f>
        <v>14791</v>
      </c>
      <c r="C31" s="110">
        <v>537182428</v>
      </c>
      <c r="D31" s="109">
        <f>_xlfn.COMPOUNDVALUE(412)</f>
        <v>3200</v>
      </c>
      <c r="E31" s="110">
        <v>3194695</v>
      </c>
      <c r="F31" s="109">
        <f>_xlfn.COMPOUNDVALUE(413)</f>
        <v>17991</v>
      </c>
      <c r="G31" s="110">
        <v>540377123</v>
      </c>
      <c r="H31" s="109">
        <f>_xlfn.COMPOUNDVALUE(414)</f>
        <v>4388</v>
      </c>
      <c r="I31" s="111">
        <v>265885626</v>
      </c>
      <c r="J31" s="109">
        <v>1098</v>
      </c>
      <c r="K31" s="111">
        <v>1934017</v>
      </c>
      <c r="L31" s="109">
        <v>22696</v>
      </c>
      <c r="M31" s="111">
        <v>276425514</v>
      </c>
      <c r="N31" s="74" t="s">
        <v>57</v>
      </c>
    </row>
    <row r="32" spans="1:14" ht="15.75" customHeight="1">
      <c r="A32" s="64" t="s">
        <v>58</v>
      </c>
      <c r="B32" s="109">
        <f>_xlfn.COMPOUNDVALUE(415)</f>
        <v>7223</v>
      </c>
      <c r="C32" s="110">
        <v>305326970</v>
      </c>
      <c r="D32" s="109">
        <f>_xlfn.COMPOUNDVALUE(416)</f>
        <v>1759</v>
      </c>
      <c r="E32" s="110">
        <v>1377876</v>
      </c>
      <c r="F32" s="109">
        <f>_xlfn.COMPOUNDVALUE(417)</f>
        <v>8982</v>
      </c>
      <c r="G32" s="110">
        <v>306704846</v>
      </c>
      <c r="H32" s="109">
        <f>_xlfn.COMPOUNDVALUE(418)</f>
        <v>1661</v>
      </c>
      <c r="I32" s="111">
        <v>97369200</v>
      </c>
      <c r="J32" s="109">
        <v>508</v>
      </c>
      <c r="K32" s="111">
        <v>-460738</v>
      </c>
      <c r="L32" s="109">
        <v>10767</v>
      </c>
      <c r="M32" s="111">
        <v>208874908</v>
      </c>
      <c r="N32" s="74" t="s">
        <v>58</v>
      </c>
    </row>
    <row r="33" spans="1:14" ht="15.75" customHeight="1">
      <c r="A33" s="64" t="s">
        <v>59</v>
      </c>
      <c r="B33" s="109">
        <f>_xlfn.COMPOUNDVALUE(419)</f>
        <v>8190</v>
      </c>
      <c r="C33" s="110">
        <v>171762266</v>
      </c>
      <c r="D33" s="109">
        <f>_xlfn.COMPOUNDVALUE(420)</f>
        <v>2254</v>
      </c>
      <c r="E33" s="110">
        <v>1863518</v>
      </c>
      <c r="F33" s="109">
        <f>_xlfn.COMPOUNDVALUE(421)</f>
        <v>10444</v>
      </c>
      <c r="G33" s="110">
        <v>173625784</v>
      </c>
      <c r="H33" s="109">
        <f>_xlfn.COMPOUNDVALUE(422)</f>
        <v>1570</v>
      </c>
      <c r="I33" s="111">
        <v>25351487</v>
      </c>
      <c r="J33" s="109">
        <v>586</v>
      </c>
      <c r="K33" s="111">
        <v>668581</v>
      </c>
      <c r="L33" s="109">
        <v>12205</v>
      </c>
      <c r="M33" s="111">
        <v>148942877</v>
      </c>
      <c r="N33" s="74" t="s">
        <v>59</v>
      </c>
    </row>
    <row r="34" spans="1:14" ht="15.75" customHeight="1">
      <c r="A34" s="64" t="s">
        <v>60</v>
      </c>
      <c r="B34" s="109">
        <f>_xlfn.COMPOUNDVALUE(423)</f>
        <v>9398</v>
      </c>
      <c r="C34" s="110">
        <v>441251658</v>
      </c>
      <c r="D34" s="109">
        <f>_xlfn.COMPOUNDVALUE(424)</f>
        <v>2252</v>
      </c>
      <c r="E34" s="110">
        <v>1923244</v>
      </c>
      <c r="F34" s="109">
        <f>_xlfn.COMPOUNDVALUE(425)</f>
        <v>11650</v>
      </c>
      <c r="G34" s="110">
        <v>443174903</v>
      </c>
      <c r="H34" s="109">
        <f>_xlfn.COMPOUNDVALUE(426)</f>
        <v>2276</v>
      </c>
      <c r="I34" s="111">
        <v>49778423</v>
      </c>
      <c r="J34" s="109">
        <v>698</v>
      </c>
      <c r="K34" s="111">
        <v>1059706</v>
      </c>
      <c r="L34" s="109">
        <v>14142</v>
      </c>
      <c r="M34" s="111">
        <v>394456186</v>
      </c>
      <c r="N34" s="74" t="s">
        <v>60</v>
      </c>
    </row>
    <row r="35" spans="1:14" ht="15.75" customHeight="1">
      <c r="A35" s="64" t="s">
        <v>61</v>
      </c>
      <c r="B35" s="109">
        <f>_xlfn.COMPOUNDVALUE(427)</f>
        <v>2375</v>
      </c>
      <c r="C35" s="110">
        <v>61089265</v>
      </c>
      <c r="D35" s="109">
        <f>_xlfn.COMPOUNDVALUE(428)</f>
        <v>874</v>
      </c>
      <c r="E35" s="110">
        <v>640691</v>
      </c>
      <c r="F35" s="109">
        <f>_xlfn.COMPOUNDVALUE(429)</f>
        <v>3249</v>
      </c>
      <c r="G35" s="110">
        <v>61729956</v>
      </c>
      <c r="H35" s="109">
        <f>_xlfn.COMPOUNDVALUE(430)</f>
        <v>400</v>
      </c>
      <c r="I35" s="111">
        <v>5785811</v>
      </c>
      <c r="J35" s="109">
        <v>151</v>
      </c>
      <c r="K35" s="111">
        <v>72346</v>
      </c>
      <c r="L35" s="109">
        <v>3692</v>
      </c>
      <c r="M35" s="111">
        <v>56016491</v>
      </c>
      <c r="N35" s="74" t="s">
        <v>61</v>
      </c>
    </row>
    <row r="36" spans="1:14" ht="15.75" customHeight="1">
      <c r="A36" s="64"/>
      <c r="B36" s="109"/>
      <c r="C36" s="110"/>
      <c r="D36" s="109"/>
      <c r="E36" s="110"/>
      <c r="F36" s="109"/>
      <c r="G36" s="110"/>
      <c r="H36" s="109"/>
      <c r="I36" s="111"/>
      <c r="J36" s="109"/>
      <c r="K36" s="111"/>
      <c r="L36" s="109"/>
      <c r="M36" s="111"/>
      <c r="N36" s="74" t="s">
        <v>35</v>
      </c>
    </row>
    <row r="37" spans="1:14" ht="15.75" customHeight="1">
      <c r="A37" s="64" t="s">
        <v>62</v>
      </c>
      <c r="B37" s="109">
        <f>_xlfn.COMPOUNDVALUE(431)</f>
        <v>3238</v>
      </c>
      <c r="C37" s="110">
        <v>53580353</v>
      </c>
      <c r="D37" s="109">
        <f>_xlfn.COMPOUNDVALUE(432)</f>
        <v>1047</v>
      </c>
      <c r="E37" s="110">
        <v>809587</v>
      </c>
      <c r="F37" s="109">
        <f>_xlfn.COMPOUNDVALUE(433)</f>
        <v>4285</v>
      </c>
      <c r="G37" s="110">
        <v>54389940</v>
      </c>
      <c r="H37" s="109">
        <f>_xlfn.COMPOUNDVALUE(434)</f>
        <v>548</v>
      </c>
      <c r="I37" s="111">
        <v>5991452</v>
      </c>
      <c r="J37" s="109">
        <v>166</v>
      </c>
      <c r="K37" s="111">
        <v>156497</v>
      </c>
      <c r="L37" s="109">
        <v>4881</v>
      </c>
      <c r="M37" s="111">
        <v>48554986</v>
      </c>
      <c r="N37" s="74" t="s">
        <v>62</v>
      </c>
    </row>
    <row r="38" spans="1:14" ht="15.75" customHeight="1">
      <c r="A38" s="64" t="s">
        <v>63</v>
      </c>
      <c r="B38" s="109">
        <f>_xlfn.COMPOUNDVALUE(435)</f>
        <v>5248</v>
      </c>
      <c r="C38" s="110">
        <v>96814104</v>
      </c>
      <c r="D38" s="109">
        <f>_xlfn.COMPOUNDVALUE(436)</f>
        <v>1426</v>
      </c>
      <c r="E38" s="110">
        <v>1066346</v>
      </c>
      <c r="F38" s="109">
        <f>_xlfn.COMPOUNDVALUE(437)</f>
        <v>6674</v>
      </c>
      <c r="G38" s="110">
        <v>97880450</v>
      </c>
      <c r="H38" s="109">
        <f>_xlfn.COMPOUNDVALUE(438)</f>
        <v>1303</v>
      </c>
      <c r="I38" s="111">
        <v>31891677</v>
      </c>
      <c r="J38" s="109">
        <v>285</v>
      </c>
      <c r="K38" s="111">
        <v>2025777</v>
      </c>
      <c r="L38" s="109">
        <v>8052</v>
      </c>
      <c r="M38" s="111">
        <v>68014549</v>
      </c>
      <c r="N38" s="74" t="s">
        <v>63</v>
      </c>
    </row>
    <row r="39" spans="1:14" ht="15.75" customHeight="1">
      <c r="A39" s="64" t="s">
        <v>64</v>
      </c>
      <c r="B39" s="109">
        <f>_xlfn.COMPOUNDVALUE(439)</f>
        <v>4748</v>
      </c>
      <c r="C39" s="110">
        <v>90036382</v>
      </c>
      <c r="D39" s="109">
        <f>_xlfn.COMPOUNDVALUE(440)</f>
        <v>1602</v>
      </c>
      <c r="E39" s="110">
        <v>1000246</v>
      </c>
      <c r="F39" s="109">
        <f>_xlfn.COMPOUNDVALUE(441)</f>
        <v>6350</v>
      </c>
      <c r="G39" s="110">
        <v>91036628</v>
      </c>
      <c r="H39" s="109">
        <f>_xlfn.COMPOUNDVALUE(442)</f>
        <v>1072</v>
      </c>
      <c r="I39" s="111">
        <v>4286355</v>
      </c>
      <c r="J39" s="109">
        <v>232</v>
      </c>
      <c r="K39" s="111">
        <v>2262680</v>
      </c>
      <c r="L39" s="109">
        <v>7501</v>
      </c>
      <c r="M39" s="111">
        <v>89012953</v>
      </c>
      <c r="N39" s="74" t="s">
        <v>64</v>
      </c>
    </row>
    <row r="40" spans="1:14" ht="15.75" customHeight="1">
      <c r="A40" s="64" t="s">
        <v>65</v>
      </c>
      <c r="B40" s="109">
        <f>_xlfn.COMPOUNDVALUE(443)</f>
        <v>4111</v>
      </c>
      <c r="C40" s="110">
        <v>96206887</v>
      </c>
      <c r="D40" s="109">
        <f>_xlfn.COMPOUNDVALUE(444)</f>
        <v>1276</v>
      </c>
      <c r="E40" s="110">
        <v>830651</v>
      </c>
      <c r="F40" s="109">
        <f>_xlfn.COMPOUNDVALUE(445)</f>
        <v>5387</v>
      </c>
      <c r="G40" s="110">
        <v>97037538</v>
      </c>
      <c r="H40" s="109">
        <f>_xlfn.COMPOUNDVALUE(446)</f>
        <v>624</v>
      </c>
      <c r="I40" s="111">
        <v>6338333</v>
      </c>
      <c r="J40" s="109">
        <v>178</v>
      </c>
      <c r="K40" s="111">
        <v>226782</v>
      </c>
      <c r="L40" s="109">
        <v>6066</v>
      </c>
      <c r="M40" s="111">
        <v>90925987</v>
      </c>
      <c r="N40" s="74" t="s">
        <v>65</v>
      </c>
    </row>
    <row r="41" spans="1:14" ht="15.75" customHeight="1">
      <c r="A41" s="64" t="s">
        <v>66</v>
      </c>
      <c r="B41" s="109">
        <f>_xlfn.COMPOUNDVALUE(447)</f>
        <v>1393</v>
      </c>
      <c r="C41" s="110">
        <v>12933627</v>
      </c>
      <c r="D41" s="109">
        <f>_xlfn.COMPOUNDVALUE(448)</f>
        <v>680</v>
      </c>
      <c r="E41" s="110">
        <v>372216</v>
      </c>
      <c r="F41" s="109">
        <f>_xlfn.COMPOUNDVALUE(449)</f>
        <v>2073</v>
      </c>
      <c r="G41" s="110">
        <v>13305844</v>
      </c>
      <c r="H41" s="109">
        <f>_xlfn.COMPOUNDVALUE(450)</f>
        <v>206</v>
      </c>
      <c r="I41" s="111">
        <v>474003</v>
      </c>
      <c r="J41" s="109">
        <v>77</v>
      </c>
      <c r="K41" s="111">
        <v>23899</v>
      </c>
      <c r="L41" s="109">
        <v>2305</v>
      </c>
      <c r="M41" s="111">
        <v>12855740</v>
      </c>
      <c r="N41" s="74" t="s">
        <v>66</v>
      </c>
    </row>
    <row r="42" spans="1:14" ht="15.75" customHeight="1">
      <c r="A42" s="223"/>
      <c r="B42" s="224"/>
      <c r="C42" s="228"/>
      <c r="D42" s="224"/>
      <c r="E42" s="228"/>
      <c r="F42" s="224"/>
      <c r="G42" s="228"/>
      <c r="H42" s="224"/>
      <c r="I42" s="227"/>
      <c r="J42" s="224"/>
      <c r="K42" s="227"/>
      <c r="L42" s="224"/>
      <c r="M42" s="227"/>
      <c r="N42" s="229" t="s">
        <v>35</v>
      </c>
    </row>
    <row r="43" spans="1:14" ht="15.75" customHeight="1">
      <c r="A43" s="87" t="s">
        <v>67</v>
      </c>
      <c r="B43" s="109">
        <f>_xlfn.COMPOUNDVALUE(451)</f>
        <v>5329</v>
      </c>
      <c r="C43" s="110">
        <v>200421765</v>
      </c>
      <c r="D43" s="109">
        <f>_xlfn.COMPOUNDVALUE(452)</f>
        <v>1534</v>
      </c>
      <c r="E43" s="110">
        <v>1059193</v>
      </c>
      <c r="F43" s="109">
        <f>_xlfn.COMPOUNDVALUE(453)</f>
        <v>6863</v>
      </c>
      <c r="G43" s="110">
        <v>201480958</v>
      </c>
      <c r="H43" s="109">
        <f>_xlfn.COMPOUNDVALUE(454)</f>
        <v>1039</v>
      </c>
      <c r="I43" s="111">
        <v>32715609</v>
      </c>
      <c r="J43" s="109">
        <v>387</v>
      </c>
      <c r="K43" s="111">
        <v>2454541</v>
      </c>
      <c r="L43" s="109">
        <v>8032</v>
      </c>
      <c r="M43" s="111">
        <v>171219890</v>
      </c>
      <c r="N43" s="74" t="s">
        <v>67</v>
      </c>
    </row>
    <row r="44" spans="1:14" ht="15.75" customHeight="1">
      <c r="A44" s="64" t="s">
        <v>68</v>
      </c>
      <c r="B44" s="109">
        <f>_xlfn.COMPOUNDVALUE(455)</f>
        <v>2433</v>
      </c>
      <c r="C44" s="110">
        <v>66862714</v>
      </c>
      <c r="D44" s="109">
        <f>_xlfn.COMPOUNDVALUE(456)</f>
        <v>986</v>
      </c>
      <c r="E44" s="110">
        <v>655326</v>
      </c>
      <c r="F44" s="109">
        <f>_xlfn.COMPOUNDVALUE(457)</f>
        <v>3419</v>
      </c>
      <c r="G44" s="110">
        <v>67518041</v>
      </c>
      <c r="H44" s="109">
        <f>_xlfn.COMPOUNDVALUE(458)</f>
        <v>471</v>
      </c>
      <c r="I44" s="111">
        <v>4028941</v>
      </c>
      <c r="J44" s="109">
        <v>165</v>
      </c>
      <c r="K44" s="111">
        <v>276993</v>
      </c>
      <c r="L44" s="109">
        <v>3962</v>
      </c>
      <c r="M44" s="111">
        <v>63766093</v>
      </c>
      <c r="N44" s="74" t="s">
        <v>68</v>
      </c>
    </row>
    <row r="45" spans="1:14" ht="15.75" customHeight="1">
      <c r="A45" s="64" t="s">
        <v>69</v>
      </c>
      <c r="B45" s="109">
        <f>_xlfn.COMPOUNDVALUE(459)</f>
        <v>1708</v>
      </c>
      <c r="C45" s="110">
        <v>15185403</v>
      </c>
      <c r="D45" s="109">
        <f>_xlfn.COMPOUNDVALUE(460)</f>
        <v>867</v>
      </c>
      <c r="E45" s="110">
        <v>545809</v>
      </c>
      <c r="F45" s="109">
        <f>_xlfn.COMPOUNDVALUE(461)</f>
        <v>2575</v>
      </c>
      <c r="G45" s="110">
        <v>15731212</v>
      </c>
      <c r="H45" s="109">
        <f>_xlfn.COMPOUNDVALUE(462)</f>
        <v>265</v>
      </c>
      <c r="I45" s="111">
        <v>1034146</v>
      </c>
      <c r="J45" s="109">
        <v>106</v>
      </c>
      <c r="K45" s="111">
        <v>-421942</v>
      </c>
      <c r="L45" s="109">
        <v>2874</v>
      </c>
      <c r="M45" s="111">
        <v>14275123</v>
      </c>
      <c r="N45" s="74" t="s">
        <v>69</v>
      </c>
    </row>
    <row r="46" spans="1:14" ht="15.75" customHeight="1">
      <c r="A46" s="64" t="s">
        <v>70</v>
      </c>
      <c r="B46" s="109">
        <f>_xlfn.COMPOUNDVALUE(463)</f>
        <v>5892</v>
      </c>
      <c r="C46" s="110">
        <v>110774047</v>
      </c>
      <c r="D46" s="109">
        <f>_xlfn.COMPOUNDVALUE(464)</f>
        <v>2142</v>
      </c>
      <c r="E46" s="110">
        <v>1552271</v>
      </c>
      <c r="F46" s="109">
        <f>_xlfn.COMPOUNDVALUE(465)</f>
        <v>8034</v>
      </c>
      <c r="G46" s="110">
        <v>112326318</v>
      </c>
      <c r="H46" s="109">
        <f>_xlfn.COMPOUNDVALUE(466)</f>
        <v>1054</v>
      </c>
      <c r="I46" s="111">
        <v>7480390</v>
      </c>
      <c r="J46" s="109">
        <v>479</v>
      </c>
      <c r="K46" s="111">
        <v>296291</v>
      </c>
      <c r="L46" s="109">
        <v>9219</v>
      </c>
      <c r="M46" s="111">
        <v>105142219</v>
      </c>
      <c r="N46" s="74" t="s">
        <v>70</v>
      </c>
    </row>
    <row r="47" spans="1:14" ht="15.75" customHeight="1">
      <c r="A47" s="64" t="s">
        <v>71</v>
      </c>
      <c r="B47" s="109">
        <f>_xlfn.COMPOUNDVALUE(467)</f>
        <v>3560</v>
      </c>
      <c r="C47" s="110">
        <v>50309724</v>
      </c>
      <c r="D47" s="109">
        <f>_xlfn.COMPOUNDVALUE(468)</f>
        <v>1407</v>
      </c>
      <c r="E47" s="110">
        <v>929350</v>
      </c>
      <c r="F47" s="109">
        <f>_xlfn.COMPOUNDVALUE(469)</f>
        <v>4967</v>
      </c>
      <c r="G47" s="110">
        <v>51239074</v>
      </c>
      <c r="H47" s="109">
        <f>_xlfn.COMPOUNDVALUE(470)</f>
        <v>457</v>
      </c>
      <c r="I47" s="111">
        <v>13570430</v>
      </c>
      <c r="J47" s="109">
        <v>216</v>
      </c>
      <c r="K47" s="111">
        <v>29308</v>
      </c>
      <c r="L47" s="109">
        <v>5479</v>
      </c>
      <c r="M47" s="111">
        <v>37697952</v>
      </c>
      <c r="N47" s="74" t="s">
        <v>71</v>
      </c>
    </row>
    <row r="48" spans="1:14" ht="15.75" customHeight="1">
      <c r="A48" s="64"/>
      <c r="B48" s="109"/>
      <c r="C48" s="110"/>
      <c r="D48" s="109"/>
      <c r="E48" s="110"/>
      <c r="F48" s="109"/>
      <c r="G48" s="110"/>
      <c r="H48" s="109"/>
      <c r="I48" s="111"/>
      <c r="J48" s="109"/>
      <c r="K48" s="111"/>
      <c r="L48" s="109"/>
      <c r="M48" s="111"/>
      <c r="N48" s="74" t="s">
        <v>35</v>
      </c>
    </row>
    <row r="49" spans="1:14" ht="15.75" customHeight="1">
      <c r="A49" s="64" t="s">
        <v>72</v>
      </c>
      <c r="B49" s="109">
        <f>_xlfn.COMPOUNDVALUE(471)</f>
        <v>1925</v>
      </c>
      <c r="C49" s="110">
        <v>13180275</v>
      </c>
      <c r="D49" s="109">
        <f>_xlfn.COMPOUNDVALUE(472)</f>
        <v>898</v>
      </c>
      <c r="E49" s="110">
        <v>625130</v>
      </c>
      <c r="F49" s="109">
        <f>_xlfn.COMPOUNDVALUE(473)</f>
        <v>2823</v>
      </c>
      <c r="G49" s="110">
        <v>13805405</v>
      </c>
      <c r="H49" s="109">
        <f>_xlfn.COMPOUNDVALUE(474)</f>
        <v>320</v>
      </c>
      <c r="I49" s="111">
        <v>10370904</v>
      </c>
      <c r="J49" s="109">
        <v>100</v>
      </c>
      <c r="K49" s="111">
        <v>13104</v>
      </c>
      <c r="L49" s="109">
        <v>3178</v>
      </c>
      <c r="M49" s="111">
        <v>3447605</v>
      </c>
      <c r="N49" s="74" t="s">
        <v>72</v>
      </c>
    </row>
    <row r="50" spans="1:14" ht="15.75" customHeight="1">
      <c r="A50" s="64" t="s">
        <v>73</v>
      </c>
      <c r="B50" s="109">
        <f>_xlfn.COMPOUNDVALUE(475)</f>
        <v>3902</v>
      </c>
      <c r="C50" s="110">
        <v>63831797</v>
      </c>
      <c r="D50" s="109">
        <f>_xlfn.COMPOUNDVALUE(476)</f>
        <v>1886</v>
      </c>
      <c r="E50" s="110">
        <v>1238202</v>
      </c>
      <c r="F50" s="109">
        <f>_xlfn.COMPOUNDVALUE(477)</f>
        <v>5788</v>
      </c>
      <c r="G50" s="110">
        <v>65069999</v>
      </c>
      <c r="H50" s="109">
        <f>_xlfn.COMPOUNDVALUE(478)</f>
        <v>482</v>
      </c>
      <c r="I50" s="111">
        <v>45842229</v>
      </c>
      <c r="J50" s="109">
        <v>257</v>
      </c>
      <c r="K50" s="111">
        <v>112358</v>
      </c>
      <c r="L50" s="109">
        <v>6361</v>
      </c>
      <c r="M50" s="111">
        <v>19340128</v>
      </c>
      <c r="N50" s="74" t="s">
        <v>73</v>
      </c>
    </row>
    <row r="51" spans="1:14" ht="15.75" customHeight="1">
      <c r="A51" s="64" t="s">
        <v>74</v>
      </c>
      <c r="B51" s="109">
        <f>_xlfn.COMPOUNDVALUE(479)</f>
        <v>3919</v>
      </c>
      <c r="C51" s="110">
        <v>26614137</v>
      </c>
      <c r="D51" s="109">
        <f>_xlfn.COMPOUNDVALUE(480)</f>
        <v>1731</v>
      </c>
      <c r="E51" s="110">
        <v>1178212</v>
      </c>
      <c r="F51" s="109">
        <f>_xlfn.COMPOUNDVALUE(481)</f>
        <v>5650</v>
      </c>
      <c r="G51" s="110">
        <v>27792349</v>
      </c>
      <c r="H51" s="109">
        <f>_xlfn.COMPOUNDVALUE(482)</f>
        <v>664</v>
      </c>
      <c r="I51" s="111">
        <v>1785334</v>
      </c>
      <c r="J51" s="109">
        <v>243</v>
      </c>
      <c r="K51" s="111">
        <v>-9251</v>
      </c>
      <c r="L51" s="109">
        <v>6413</v>
      </c>
      <c r="M51" s="111">
        <v>25997764</v>
      </c>
      <c r="N51" s="74" t="s">
        <v>74</v>
      </c>
    </row>
    <row r="52" spans="1:14" ht="15.75" customHeight="1">
      <c r="A52" s="64" t="s">
        <v>75</v>
      </c>
      <c r="B52" s="109">
        <f>_xlfn.COMPOUNDVALUE(483)</f>
        <v>3336</v>
      </c>
      <c r="C52" s="110">
        <v>21058146</v>
      </c>
      <c r="D52" s="109">
        <f>_xlfn.COMPOUNDVALUE(484)</f>
        <v>1637</v>
      </c>
      <c r="E52" s="110">
        <v>1188140</v>
      </c>
      <c r="F52" s="109">
        <f>_xlfn.COMPOUNDVALUE(485)</f>
        <v>4973</v>
      </c>
      <c r="G52" s="110">
        <v>22246286</v>
      </c>
      <c r="H52" s="109">
        <f>_xlfn.COMPOUNDVALUE(486)</f>
        <v>513</v>
      </c>
      <c r="I52" s="111">
        <v>889775</v>
      </c>
      <c r="J52" s="109">
        <v>233</v>
      </c>
      <c r="K52" s="111">
        <v>-45794</v>
      </c>
      <c r="L52" s="109">
        <v>5574</v>
      </c>
      <c r="M52" s="111">
        <v>21310716</v>
      </c>
      <c r="N52" s="74" t="s">
        <v>75</v>
      </c>
    </row>
    <row r="53" spans="1:14" ht="15.75" customHeight="1">
      <c r="A53" s="64" t="s">
        <v>76</v>
      </c>
      <c r="B53" s="109">
        <f>_xlfn.COMPOUNDVALUE(487)</f>
        <v>3489</v>
      </c>
      <c r="C53" s="110">
        <v>47120236</v>
      </c>
      <c r="D53" s="109">
        <f>_xlfn.COMPOUNDVALUE(488)</f>
        <v>1569</v>
      </c>
      <c r="E53" s="110">
        <v>1128355</v>
      </c>
      <c r="F53" s="109">
        <f>_xlfn.COMPOUNDVALUE(489)</f>
        <v>5058</v>
      </c>
      <c r="G53" s="110">
        <v>48248591</v>
      </c>
      <c r="H53" s="109">
        <f>_xlfn.COMPOUNDVALUE(490)</f>
        <v>598</v>
      </c>
      <c r="I53" s="111">
        <v>37188032</v>
      </c>
      <c r="J53" s="109">
        <v>187</v>
      </c>
      <c r="K53" s="111">
        <v>233708</v>
      </c>
      <c r="L53" s="109">
        <v>5741</v>
      </c>
      <c r="M53" s="111">
        <v>11294267</v>
      </c>
      <c r="N53" s="74" t="s">
        <v>76</v>
      </c>
    </row>
    <row r="54" spans="1:14" ht="15.75" customHeight="1">
      <c r="A54" s="64"/>
      <c r="B54" s="109"/>
      <c r="C54" s="110"/>
      <c r="D54" s="109"/>
      <c r="E54" s="110"/>
      <c r="F54" s="109"/>
      <c r="G54" s="110"/>
      <c r="H54" s="109"/>
      <c r="I54" s="111"/>
      <c r="J54" s="109"/>
      <c r="K54" s="111"/>
      <c r="L54" s="109"/>
      <c r="M54" s="111"/>
      <c r="N54" s="74" t="s">
        <v>35</v>
      </c>
    </row>
    <row r="55" spans="1:14" ht="15.75" customHeight="1">
      <c r="A55" s="64" t="s">
        <v>77</v>
      </c>
      <c r="B55" s="109">
        <f>_xlfn.COMPOUNDVALUE(491)</f>
        <v>21069</v>
      </c>
      <c r="C55" s="110">
        <v>568985220</v>
      </c>
      <c r="D55" s="109">
        <f>_xlfn.COMPOUNDVALUE(492)</f>
        <v>4994</v>
      </c>
      <c r="E55" s="110">
        <v>4350459</v>
      </c>
      <c r="F55" s="109">
        <f>_xlfn.COMPOUNDVALUE(493)</f>
        <v>26063</v>
      </c>
      <c r="G55" s="110">
        <v>573335679</v>
      </c>
      <c r="H55" s="109">
        <f>_xlfn.COMPOUNDVALUE(494)</f>
        <v>4115</v>
      </c>
      <c r="I55" s="111">
        <v>163245134</v>
      </c>
      <c r="J55" s="109">
        <v>1137</v>
      </c>
      <c r="K55" s="111">
        <v>167135</v>
      </c>
      <c r="L55" s="109">
        <v>30552</v>
      </c>
      <c r="M55" s="111">
        <v>410257679</v>
      </c>
      <c r="N55" s="74" t="s">
        <v>77</v>
      </c>
    </row>
    <row r="56" spans="1:14" ht="15.75" customHeight="1">
      <c r="A56" s="64" t="s">
        <v>78</v>
      </c>
      <c r="B56" s="109">
        <f>_xlfn.COMPOUNDVALUE(495)</f>
        <v>4091</v>
      </c>
      <c r="C56" s="110">
        <v>75381617</v>
      </c>
      <c r="D56" s="109">
        <f>_xlfn.COMPOUNDVALUE(496)</f>
        <v>1663</v>
      </c>
      <c r="E56" s="110">
        <v>1172094</v>
      </c>
      <c r="F56" s="109">
        <f>_xlfn.COMPOUNDVALUE(497)</f>
        <v>5754</v>
      </c>
      <c r="G56" s="110">
        <v>76553710</v>
      </c>
      <c r="H56" s="109">
        <f>_xlfn.COMPOUNDVALUE(498)</f>
        <v>763</v>
      </c>
      <c r="I56" s="111">
        <v>4116409</v>
      </c>
      <c r="J56" s="109">
        <v>319</v>
      </c>
      <c r="K56" s="111">
        <v>71002</v>
      </c>
      <c r="L56" s="109">
        <v>6613</v>
      </c>
      <c r="M56" s="111">
        <v>72508303</v>
      </c>
      <c r="N56" s="74" t="s">
        <v>78</v>
      </c>
    </row>
    <row r="57" spans="1:14" ht="15.75" customHeight="1">
      <c r="A57" s="64" t="s">
        <v>79</v>
      </c>
      <c r="B57" s="109">
        <f>_xlfn.COMPOUNDVALUE(499)</f>
        <v>3147</v>
      </c>
      <c r="C57" s="110">
        <v>22801607</v>
      </c>
      <c r="D57" s="109">
        <f>_xlfn.COMPOUNDVALUE(500)</f>
        <v>1448</v>
      </c>
      <c r="E57" s="110">
        <v>1017018</v>
      </c>
      <c r="F57" s="109">
        <f>_xlfn.COMPOUNDVALUE(501)</f>
        <v>4595</v>
      </c>
      <c r="G57" s="110">
        <v>23818625</v>
      </c>
      <c r="H57" s="109">
        <f>_xlfn.COMPOUNDVALUE(502)</f>
        <v>497</v>
      </c>
      <c r="I57" s="111">
        <v>1741943</v>
      </c>
      <c r="J57" s="109">
        <v>187</v>
      </c>
      <c r="K57" s="111">
        <v>42256</v>
      </c>
      <c r="L57" s="109">
        <v>5144</v>
      </c>
      <c r="M57" s="111">
        <v>22118939</v>
      </c>
      <c r="N57" s="74" t="s">
        <v>79</v>
      </c>
    </row>
    <row r="58" spans="1:14" ht="15.75" customHeight="1">
      <c r="A58" s="64" t="s">
        <v>80</v>
      </c>
      <c r="B58" s="109">
        <f>_xlfn.COMPOUNDVALUE(503)</f>
        <v>2337</v>
      </c>
      <c r="C58" s="110">
        <v>16778998</v>
      </c>
      <c r="D58" s="109">
        <f>_xlfn.COMPOUNDVALUE(504)</f>
        <v>1120</v>
      </c>
      <c r="E58" s="110">
        <v>780223</v>
      </c>
      <c r="F58" s="109">
        <f>_xlfn.COMPOUNDVALUE(505)</f>
        <v>3457</v>
      </c>
      <c r="G58" s="110">
        <v>17559221</v>
      </c>
      <c r="H58" s="109">
        <f>_xlfn.COMPOUNDVALUE(506)</f>
        <v>360</v>
      </c>
      <c r="I58" s="111">
        <v>1211339</v>
      </c>
      <c r="J58" s="109">
        <v>140</v>
      </c>
      <c r="K58" s="111">
        <v>32547</v>
      </c>
      <c r="L58" s="109">
        <v>3846</v>
      </c>
      <c r="M58" s="111">
        <v>16380429</v>
      </c>
      <c r="N58" s="74" t="s">
        <v>80</v>
      </c>
    </row>
    <row r="59" spans="1:14" ht="15.75" customHeight="1">
      <c r="A59" s="64" t="s">
        <v>81</v>
      </c>
      <c r="B59" s="109">
        <f>_xlfn.COMPOUNDVALUE(507)</f>
        <v>8486</v>
      </c>
      <c r="C59" s="110">
        <v>121968842</v>
      </c>
      <c r="D59" s="109">
        <f>_xlfn.COMPOUNDVALUE(508)</f>
        <v>2535</v>
      </c>
      <c r="E59" s="110">
        <v>2157621</v>
      </c>
      <c r="F59" s="109">
        <f>_xlfn.COMPOUNDVALUE(509)</f>
        <v>11021</v>
      </c>
      <c r="G59" s="110">
        <v>124126463</v>
      </c>
      <c r="H59" s="109">
        <f>_xlfn.COMPOUNDVALUE(510)</f>
        <v>1802</v>
      </c>
      <c r="I59" s="111">
        <v>15583127</v>
      </c>
      <c r="J59" s="109">
        <v>735</v>
      </c>
      <c r="K59" s="111">
        <v>-317713</v>
      </c>
      <c r="L59" s="109">
        <v>13134</v>
      </c>
      <c r="M59" s="111">
        <v>108225623</v>
      </c>
      <c r="N59" s="74" t="s">
        <v>81</v>
      </c>
    </row>
    <row r="60" spans="1:14" ht="15.75" customHeight="1">
      <c r="A60" s="64"/>
      <c r="B60" s="109"/>
      <c r="C60" s="110"/>
      <c r="D60" s="109"/>
      <c r="E60" s="110"/>
      <c r="F60" s="109"/>
      <c r="G60" s="110"/>
      <c r="H60" s="109"/>
      <c r="I60" s="111"/>
      <c r="J60" s="109"/>
      <c r="K60" s="111"/>
      <c r="L60" s="109"/>
      <c r="M60" s="111"/>
      <c r="N60" s="74" t="s">
        <v>35</v>
      </c>
    </row>
    <row r="61" spans="1:14" ht="15.75" customHeight="1">
      <c r="A61" s="64" t="s">
        <v>82</v>
      </c>
      <c r="B61" s="109">
        <f>_xlfn.COMPOUNDVALUE(511)</f>
        <v>3766</v>
      </c>
      <c r="C61" s="110">
        <v>55822492</v>
      </c>
      <c r="D61" s="109">
        <f>_xlfn.COMPOUNDVALUE(512)</f>
        <v>1550</v>
      </c>
      <c r="E61" s="110">
        <v>1025484</v>
      </c>
      <c r="F61" s="109">
        <f>_xlfn.COMPOUNDVALUE(513)</f>
        <v>5316</v>
      </c>
      <c r="G61" s="110">
        <v>56847977</v>
      </c>
      <c r="H61" s="109">
        <f>_xlfn.COMPOUNDVALUE(514)</f>
        <v>618</v>
      </c>
      <c r="I61" s="111">
        <v>5537793</v>
      </c>
      <c r="J61" s="109">
        <v>168</v>
      </c>
      <c r="K61" s="111">
        <v>3280</v>
      </c>
      <c r="L61" s="109">
        <v>5996</v>
      </c>
      <c r="M61" s="111">
        <v>51313463</v>
      </c>
      <c r="N61" s="74" t="s">
        <v>82</v>
      </c>
    </row>
    <row r="62" spans="1:14" ht="15.75" customHeight="1">
      <c r="A62" s="64" t="s">
        <v>83</v>
      </c>
      <c r="B62" s="109">
        <f>_xlfn.COMPOUNDVALUE(515)</f>
        <v>3233</v>
      </c>
      <c r="C62" s="110">
        <v>29906304</v>
      </c>
      <c r="D62" s="109">
        <f>_xlfn.COMPOUNDVALUE(516)</f>
        <v>1356</v>
      </c>
      <c r="E62" s="110">
        <v>845395</v>
      </c>
      <c r="F62" s="109">
        <f>_xlfn.COMPOUNDVALUE(517)</f>
        <v>4589</v>
      </c>
      <c r="G62" s="110">
        <v>30751699</v>
      </c>
      <c r="H62" s="109">
        <f>_xlfn.COMPOUNDVALUE(518)</f>
        <v>530</v>
      </c>
      <c r="I62" s="111">
        <v>2371464</v>
      </c>
      <c r="J62" s="109">
        <v>166</v>
      </c>
      <c r="K62" s="111">
        <v>7875</v>
      </c>
      <c r="L62" s="109">
        <v>5194</v>
      </c>
      <c r="M62" s="111">
        <v>28388110</v>
      </c>
      <c r="N62" s="74" t="s">
        <v>83</v>
      </c>
    </row>
    <row r="63" spans="1:14" ht="15.75" customHeight="1">
      <c r="A63" s="64" t="s">
        <v>84</v>
      </c>
      <c r="B63" s="109">
        <f>_xlfn.COMPOUNDVALUE(519)</f>
        <v>5907</v>
      </c>
      <c r="C63" s="110">
        <v>52172030</v>
      </c>
      <c r="D63" s="109">
        <f>_xlfn.COMPOUNDVALUE(520)</f>
        <v>2403</v>
      </c>
      <c r="E63" s="110">
        <v>1567018</v>
      </c>
      <c r="F63" s="109">
        <f>_xlfn.COMPOUNDVALUE(521)</f>
        <v>8310</v>
      </c>
      <c r="G63" s="110">
        <v>53739049</v>
      </c>
      <c r="H63" s="109">
        <f>_xlfn.COMPOUNDVALUE(522)</f>
        <v>796</v>
      </c>
      <c r="I63" s="111">
        <v>4534635</v>
      </c>
      <c r="J63" s="109">
        <v>388</v>
      </c>
      <c r="K63" s="111">
        <v>66429</v>
      </c>
      <c r="L63" s="109">
        <v>9223</v>
      </c>
      <c r="M63" s="111">
        <v>49270843</v>
      </c>
      <c r="N63" s="74" t="s">
        <v>84</v>
      </c>
    </row>
    <row r="64" spans="1:14" ht="15.75" customHeight="1">
      <c r="A64" s="64" t="s">
        <v>85</v>
      </c>
      <c r="B64" s="109">
        <f>_xlfn.COMPOUNDVALUE(523)</f>
        <v>4084</v>
      </c>
      <c r="C64" s="110">
        <v>23415886</v>
      </c>
      <c r="D64" s="109">
        <f>_xlfn.COMPOUNDVALUE(524)</f>
        <v>1852</v>
      </c>
      <c r="E64" s="110">
        <v>1225394</v>
      </c>
      <c r="F64" s="109">
        <f>_xlfn.COMPOUNDVALUE(525)</f>
        <v>5936</v>
      </c>
      <c r="G64" s="110">
        <v>24641281</v>
      </c>
      <c r="H64" s="109">
        <f>_xlfn.COMPOUNDVALUE(526)</f>
        <v>600</v>
      </c>
      <c r="I64" s="111">
        <v>2008410</v>
      </c>
      <c r="J64" s="109">
        <v>193</v>
      </c>
      <c r="K64" s="111">
        <v>40417</v>
      </c>
      <c r="L64" s="109">
        <v>6606</v>
      </c>
      <c r="M64" s="111">
        <v>22673287</v>
      </c>
      <c r="N64" s="74" t="s">
        <v>85</v>
      </c>
    </row>
    <row r="65" spans="1:14" ht="15.75" customHeight="1">
      <c r="A65" s="66" t="s">
        <v>86</v>
      </c>
      <c r="B65" s="112">
        <f>_xlfn.COMPOUNDVALUE(527)</f>
        <v>2336</v>
      </c>
      <c r="C65" s="113">
        <v>11352961</v>
      </c>
      <c r="D65" s="112">
        <f>_xlfn.COMPOUNDVALUE(528)</f>
        <v>1217</v>
      </c>
      <c r="E65" s="113">
        <v>823959</v>
      </c>
      <c r="F65" s="112">
        <f>_xlfn.COMPOUNDVALUE(529)</f>
        <v>3553</v>
      </c>
      <c r="G65" s="113">
        <v>12176920</v>
      </c>
      <c r="H65" s="112">
        <f>_xlfn.COMPOUNDVALUE(530)</f>
        <v>296</v>
      </c>
      <c r="I65" s="114">
        <v>775995</v>
      </c>
      <c r="J65" s="112">
        <v>119</v>
      </c>
      <c r="K65" s="114">
        <v>-15053</v>
      </c>
      <c r="L65" s="112">
        <v>3915</v>
      </c>
      <c r="M65" s="114">
        <v>11385872</v>
      </c>
      <c r="N65" s="65" t="s">
        <v>86</v>
      </c>
    </row>
    <row r="66" spans="1:14" ht="15.75" customHeight="1">
      <c r="A66" s="66"/>
      <c r="B66" s="112"/>
      <c r="C66" s="113"/>
      <c r="D66" s="112"/>
      <c r="E66" s="113"/>
      <c r="F66" s="112"/>
      <c r="G66" s="113"/>
      <c r="H66" s="112"/>
      <c r="I66" s="114"/>
      <c r="J66" s="112"/>
      <c r="K66" s="114"/>
      <c r="L66" s="112"/>
      <c r="M66" s="114"/>
      <c r="N66" s="65" t="s">
        <v>35</v>
      </c>
    </row>
    <row r="67" spans="1:14" ht="15.75" customHeight="1">
      <c r="A67" s="66" t="s">
        <v>87</v>
      </c>
      <c r="B67" s="112">
        <f>_xlfn.COMPOUNDVALUE(531)</f>
        <v>4482</v>
      </c>
      <c r="C67" s="113">
        <v>28833027</v>
      </c>
      <c r="D67" s="112">
        <f>_xlfn.COMPOUNDVALUE(532)</f>
        <v>1776</v>
      </c>
      <c r="E67" s="113">
        <v>1218180</v>
      </c>
      <c r="F67" s="112">
        <f>_xlfn.COMPOUNDVALUE(533)</f>
        <v>6258</v>
      </c>
      <c r="G67" s="113">
        <v>30051207</v>
      </c>
      <c r="H67" s="112">
        <f>_xlfn.COMPOUNDVALUE(534)</f>
        <v>577</v>
      </c>
      <c r="I67" s="114">
        <v>3175501</v>
      </c>
      <c r="J67" s="112">
        <v>214</v>
      </c>
      <c r="K67" s="114">
        <v>28119</v>
      </c>
      <c r="L67" s="112">
        <v>6907</v>
      </c>
      <c r="M67" s="114">
        <v>26903824</v>
      </c>
      <c r="N67" s="65" t="s">
        <v>87</v>
      </c>
    </row>
    <row r="68" spans="1:14" ht="15.75" customHeight="1">
      <c r="A68" s="66" t="s">
        <v>88</v>
      </c>
      <c r="B68" s="112">
        <f>_xlfn.COMPOUNDVALUE(535)</f>
        <v>3687</v>
      </c>
      <c r="C68" s="113">
        <v>21218199</v>
      </c>
      <c r="D68" s="112">
        <f>_xlfn.COMPOUNDVALUE(536)</f>
        <v>1510</v>
      </c>
      <c r="E68" s="113">
        <v>1025149</v>
      </c>
      <c r="F68" s="112">
        <f>_xlfn.COMPOUNDVALUE(537)</f>
        <v>5197</v>
      </c>
      <c r="G68" s="113">
        <v>22243348</v>
      </c>
      <c r="H68" s="112">
        <f>_xlfn.COMPOUNDVALUE(538)</f>
        <v>416</v>
      </c>
      <c r="I68" s="114">
        <v>2213372</v>
      </c>
      <c r="J68" s="112">
        <v>215</v>
      </c>
      <c r="K68" s="114">
        <v>59015</v>
      </c>
      <c r="L68" s="112">
        <v>5724</v>
      </c>
      <c r="M68" s="114">
        <v>20088991</v>
      </c>
      <c r="N68" s="65" t="s">
        <v>88</v>
      </c>
    </row>
    <row r="69" spans="1:14" ht="15.75" customHeight="1">
      <c r="A69" s="66" t="s">
        <v>89</v>
      </c>
      <c r="B69" s="112">
        <f>_xlfn.COMPOUNDVALUE(539)</f>
        <v>4728</v>
      </c>
      <c r="C69" s="113">
        <v>25975638</v>
      </c>
      <c r="D69" s="112">
        <f>_xlfn.COMPOUNDVALUE(540)</f>
        <v>2243</v>
      </c>
      <c r="E69" s="113">
        <v>1441076</v>
      </c>
      <c r="F69" s="112">
        <f>_xlfn.COMPOUNDVALUE(541)</f>
        <v>6971</v>
      </c>
      <c r="G69" s="113">
        <v>27416715</v>
      </c>
      <c r="H69" s="112">
        <f>_xlfn.COMPOUNDVALUE(542)</f>
        <v>615</v>
      </c>
      <c r="I69" s="114">
        <v>1738882</v>
      </c>
      <c r="J69" s="112">
        <v>235</v>
      </c>
      <c r="K69" s="114">
        <v>65665</v>
      </c>
      <c r="L69" s="112">
        <v>7661</v>
      </c>
      <c r="M69" s="114">
        <v>25743497</v>
      </c>
      <c r="N69" s="65" t="s">
        <v>89</v>
      </c>
    </row>
    <row r="70" spans="1:14" ht="15.75" customHeight="1">
      <c r="A70" s="66" t="s">
        <v>90</v>
      </c>
      <c r="B70" s="112">
        <f>_xlfn.COMPOUNDVALUE(543)</f>
        <v>5412</v>
      </c>
      <c r="C70" s="113">
        <v>30729971</v>
      </c>
      <c r="D70" s="112">
        <f>_xlfn.COMPOUNDVALUE(544)</f>
        <v>2314</v>
      </c>
      <c r="E70" s="113">
        <v>1556281</v>
      </c>
      <c r="F70" s="112">
        <f>_xlfn.COMPOUNDVALUE(545)</f>
        <v>7726</v>
      </c>
      <c r="G70" s="113">
        <v>32286252</v>
      </c>
      <c r="H70" s="112">
        <f>_xlfn.COMPOUNDVALUE(546)</f>
        <v>692</v>
      </c>
      <c r="I70" s="114">
        <v>3278654</v>
      </c>
      <c r="J70" s="112">
        <v>242</v>
      </c>
      <c r="K70" s="114">
        <v>36365</v>
      </c>
      <c r="L70" s="112">
        <v>8522</v>
      </c>
      <c r="M70" s="114">
        <v>29043962</v>
      </c>
      <c r="N70" s="65" t="s">
        <v>90</v>
      </c>
    </row>
    <row r="71" spans="1:14" ht="15.75" customHeight="1">
      <c r="A71" s="66" t="s">
        <v>91</v>
      </c>
      <c r="B71" s="112">
        <f>_xlfn.COMPOUNDVALUE(547)</f>
        <v>2552</v>
      </c>
      <c r="C71" s="113">
        <v>23414671</v>
      </c>
      <c r="D71" s="112">
        <f>_xlfn.COMPOUNDVALUE(548)</f>
        <v>977</v>
      </c>
      <c r="E71" s="113">
        <v>732823</v>
      </c>
      <c r="F71" s="112">
        <f>_xlfn.COMPOUNDVALUE(549)</f>
        <v>3529</v>
      </c>
      <c r="G71" s="113">
        <v>24147495</v>
      </c>
      <c r="H71" s="112">
        <f>_xlfn.COMPOUNDVALUE(550)</f>
        <v>321</v>
      </c>
      <c r="I71" s="114">
        <v>3129393</v>
      </c>
      <c r="J71" s="112">
        <v>122</v>
      </c>
      <c r="K71" s="114">
        <v>82252</v>
      </c>
      <c r="L71" s="112">
        <v>3879</v>
      </c>
      <c r="M71" s="114">
        <v>21100354</v>
      </c>
      <c r="N71" s="65" t="s">
        <v>91</v>
      </c>
    </row>
    <row r="72" spans="1:14" ht="15.75" customHeight="1">
      <c r="A72" s="150" t="s">
        <v>153</v>
      </c>
      <c r="B72" s="151">
        <v>235454</v>
      </c>
      <c r="C72" s="152">
        <v>7431225331</v>
      </c>
      <c r="D72" s="131">
        <v>70843</v>
      </c>
      <c r="E72" s="132">
        <v>54770159</v>
      </c>
      <c r="F72" s="131">
        <v>306297</v>
      </c>
      <c r="G72" s="132">
        <v>7485995496</v>
      </c>
      <c r="H72" s="131">
        <v>52586</v>
      </c>
      <c r="I72" s="133">
        <v>2309226617</v>
      </c>
      <c r="J72" s="131">
        <v>15057</v>
      </c>
      <c r="K72" s="133">
        <v>16401811</v>
      </c>
      <c r="L72" s="131">
        <v>363469</v>
      </c>
      <c r="M72" s="133">
        <v>5193170684</v>
      </c>
      <c r="N72" s="134" t="s">
        <v>93</v>
      </c>
    </row>
    <row r="73" spans="1:14" ht="15.75" customHeight="1">
      <c r="A73" s="145"/>
      <c r="B73" s="146"/>
      <c r="C73" s="147"/>
      <c r="D73" s="146"/>
      <c r="E73" s="147"/>
      <c r="F73" s="146"/>
      <c r="G73" s="147"/>
      <c r="H73" s="146"/>
      <c r="I73" s="148"/>
      <c r="J73" s="146"/>
      <c r="K73" s="148"/>
      <c r="L73" s="146"/>
      <c r="M73" s="148"/>
      <c r="N73" s="149" t="s">
        <v>35</v>
      </c>
    </row>
    <row r="74" spans="1:14" ht="15.75" customHeight="1">
      <c r="A74" s="64" t="s">
        <v>94</v>
      </c>
      <c r="B74" s="109">
        <f>_xlfn.COMPOUNDVALUE(551)</f>
        <v>4683</v>
      </c>
      <c r="C74" s="110">
        <v>32827676</v>
      </c>
      <c r="D74" s="109">
        <f>_xlfn.COMPOUNDVALUE(552)</f>
        <v>2169</v>
      </c>
      <c r="E74" s="110">
        <v>1530561</v>
      </c>
      <c r="F74" s="109">
        <f>_xlfn.COMPOUNDVALUE(553)</f>
        <v>6852</v>
      </c>
      <c r="G74" s="110">
        <v>34358237</v>
      </c>
      <c r="H74" s="109">
        <f>_xlfn.COMPOUNDVALUE(554)</f>
        <v>533</v>
      </c>
      <c r="I74" s="111">
        <v>18825266</v>
      </c>
      <c r="J74" s="109">
        <v>226</v>
      </c>
      <c r="K74" s="111">
        <v>145979</v>
      </c>
      <c r="L74" s="109">
        <v>7470</v>
      </c>
      <c r="M74" s="111">
        <v>15678950</v>
      </c>
      <c r="N74" s="74" t="s">
        <v>94</v>
      </c>
    </row>
    <row r="75" spans="1:14" ht="15.75" customHeight="1">
      <c r="A75" s="66" t="s">
        <v>95</v>
      </c>
      <c r="B75" s="112">
        <f>_xlfn.COMPOUNDVALUE(555)</f>
        <v>5804</v>
      </c>
      <c r="C75" s="113">
        <v>47471526</v>
      </c>
      <c r="D75" s="112">
        <f>_xlfn.COMPOUNDVALUE(556)</f>
        <v>2542</v>
      </c>
      <c r="E75" s="113">
        <v>1838994</v>
      </c>
      <c r="F75" s="112">
        <f>_xlfn.COMPOUNDVALUE(557)</f>
        <v>8346</v>
      </c>
      <c r="G75" s="113">
        <v>49310520</v>
      </c>
      <c r="H75" s="112">
        <f>_xlfn.COMPOUNDVALUE(558)</f>
        <v>632</v>
      </c>
      <c r="I75" s="114">
        <v>7404732</v>
      </c>
      <c r="J75" s="112">
        <v>296</v>
      </c>
      <c r="K75" s="114">
        <v>168854</v>
      </c>
      <c r="L75" s="112">
        <v>9081</v>
      </c>
      <c r="M75" s="114">
        <v>42074642</v>
      </c>
      <c r="N75" s="65" t="s">
        <v>95</v>
      </c>
    </row>
    <row r="76" spans="1:14" ht="15.75" customHeight="1">
      <c r="A76" s="66" t="s">
        <v>96</v>
      </c>
      <c r="B76" s="112">
        <f>_xlfn.COMPOUNDVALUE(559)</f>
        <v>3895</v>
      </c>
      <c r="C76" s="113">
        <v>41570596</v>
      </c>
      <c r="D76" s="112">
        <f>_xlfn.COMPOUNDVALUE(560)</f>
        <v>1885</v>
      </c>
      <c r="E76" s="113">
        <v>1313508</v>
      </c>
      <c r="F76" s="112">
        <f>_xlfn.COMPOUNDVALUE(561)</f>
        <v>5780</v>
      </c>
      <c r="G76" s="113">
        <v>42884103</v>
      </c>
      <c r="H76" s="112">
        <f>_xlfn.COMPOUNDVALUE(562)</f>
        <v>617</v>
      </c>
      <c r="I76" s="114">
        <v>7343636</v>
      </c>
      <c r="J76" s="112">
        <v>200</v>
      </c>
      <c r="K76" s="114">
        <v>123381</v>
      </c>
      <c r="L76" s="112">
        <v>6471</v>
      </c>
      <c r="M76" s="114">
        <v>35663849</v>
      </c>
      <c r="N76" s="65" t="s">
        <v>96</v>
      </c>
    </row>
    <row r="77" spans="1:14" ht="15.75" customHeight="1">
      <c r="A77" s="66" t="s">
        <v>97</v>
      </c>
      <c r="B77" s="112">
        <f>_xlfn.COMPOUNDVALUE(563)</f>
        <v>3327</v>
      </c>
      <c r="C77" s="113">
        <v>22747137</v>
      </c>
      <c r="D77" s="112">
        <f>_xlfn.COMPOUNDVALUE(564)</f>
        <v>1552</v>
      </c>
      <c r="E77" s="113">
        <v>1112559</v>
      </c>
      <c r="F77" s="112">
        <f>_xlfn.COMPOUNDVALUE(565)</f>
        <v>4879</v>
      </c>
      <c r="G77" s="113">
        <v>23859696</v>
      </c>
      <c r="H77" s="112">
        <f>_xlfn.COMPOUNDVALUE(566)</f>
        <v>292</v>
      </c>
      <c r="I77" s="114">
        <v>2362821</v>
      </c>
      <c r="J77" s="112">
        <v>176</v>
      </c>
      <c r="K77" s="114">
        <v>255466</v>
      </c>
      <c r="L77" s="112">
        <v>5227</v>
      </c>
      <c r="M77" s="114">
        <v>21752341</v>
      </c>
      <c r="N77" s="65" t="s">
        <v>97</v>
      </c>
    </row>
    <row r="78" spans="1:14" ht="15.75" customHeight="1">
      <c r="A78" s="66" t="s">
        <v>98</v>
      </c>
      <c r="B78" s="112">
        <f>_xlfn.COMPOUNDVALUE(567)</f>
        <v>4522</v>
      </c>
      <c r="C78" s="113">
        <v>43903525</v>
      </c>
      <c r="D78" s="112">
        <f>_xlfn.COMPOUNDVALUE(568)</f>
        <v>2158</v>
      </c>
      <c r="E78" s="113">
        <v>1503251</v>
      </c>
      <c r="F78" s="112">
        <f>_xlfn.COMPOUNDVALUE(569)</f>
        <v>6680</v>
      </c>
      <c r="G78" s="113">
        <v>45406776</v>
      </c>
      <c r="H78" s="112">
        <f>_xlfn.COMPOUNDVALUE(570)</f>
        <v>520</v>
      </c>
      <c r="I78" s="114">
        <v>3841344</v>
      </c>
      <c r="J78" s="112">
        <v>222</v>
      </c>
      <c r="K78" s="114">
        <v>8474</v>
      </c>
      <c r="L78" s="112">
        <v>7289</v>
      </c>
      <c r="M78" s="114">
        <v>41573906</v>
      </c>
      <c r="N78" s="65" t="s">
        <v>98</v>
      </c>
    </row>
    <row r="79" spans="1:14" ht="15.75" customHeight="1">
      <c r="A79" s="223"/>
      <c r="B79" s="224"/>
      <c r="C79" s="228"/>
      <c r="D79" s="224"/>
      <c r="E79" s="228"/>
      <c r="F79" s="224"/>
      <c r="G79" s="228"/>
      <c r="H79" s="224"/>
      <c r="I79" s="227"/>
      <c r="J79" s="224"/>
      <c r="K79" s="227"/>
      <c r="L79" s="224"/>
      <c r="M79" s="227"/>
      <c r="N79" s="229" t="s">
        <v>35</v>
      </c>
    </row>
    <row r="80" spans="1:14" ht="15.75" customHeight="1">
      <c r="A80" s="87" t="s">
        <v>99</v>
      </c>
      <c r="B80" s="109">
        <f>_xlfn.COMPOUNDVALUE(571)</f>
        <v>3215</v>
      </c>
      <c r="C80" s="110">
        <v>19311743</v>
      </c>
      <c r="D80" s="109">
        <f>_xlfn.COMPOUNDVALUE(572)</f>
        <v>1613</v>
      </c>
      <c r="E80" s="110">
        <v>1149403</v>
      </c>
      <c r="F80" s="109">
        <f>_xlfn.COMPOUNDVALUE(573)</f>
        <v>4828</v>
      </c>
      <c r="G80" s="110">
        <v>20461147</v>
      </c>
      <c r="H80" s="109">
        <f>_xlfn.COMPOUNDVALUE(574)</f>
        <v>393</v>
      </c>
      <c r="I80" s="111">
        <v>1531990</v>
      </c>
      <c r="J80" s="109">
        <v>161</v>
      </c>
      <c r="K80" s="111">
        <v>-9798</v>
      </c>
      <c r="L80" s="109">
        <v>5293</v>
      </c>
      <c r="M80" s="111">
        <v>18919358</v>
      </c>
      <c r="N80" s="74" t="s">
        <v>99</v>
      </c>
    </row>
    <row r="81" spans="1:14" ht="15.75" customHeight="1">
      <c r="A81" s="66" t="s">
        <v>100</v>
      </c>
      <c r="B81" s="112">
        <f>_xlfn.COMPOUNDVALUE(575)</f>
        <v>2465</v>
      </c>
      <c r="C81" s="113">
        <v>20306578</v>
      </c>
      <c r="D81" s="112">
        <f>_xlfn.COMPOUNDVALUE(576)</f>
        <v>1169</v>
      </c>
      <c r="E81" s="113">
        <v>849971</v>
      </c>
      <c r="F81" s="112">
        <f>_xlfn.COMPOUNDVALUE(577)</f>
        <v>3634</v>
      </c>
      <c r="G81" s="113">
        <v>21156548</v>
      </c>
      <c r="H81" s="112">
        <f>_xlfn.COMPOUNDVALUE(578)</f>
        <v>320</v>
      </c>
      <c r="I81" s="114">
        <v>4588683</v>
      </c>
      <c r="J81" s="112">
        <v>160</v>
      </c>
      <c r="K81" s="114">
        <v>-7491</v>
      </c>
      <c r="L81" s="112">
        <v>3999</v>
      </c>
      <c r="M81" s="114">
        <v>16560375</v>
      </c>
      <c r="N81" s="65" t="s">
        <v>100</v>
      </c>
    </row>
    <row r="82" spans="1:14" ht="15.75" customHeight="1">
      <c r="A82" s="66" t="s">
        <v>101</v>
      </c>
      <c r="B82" s="112">
        <f>_xlfn.COMPOUNDVALUE(579)</f>
        <v>4550</v>
      </c>
      <c r="C82" s="113">
        <v>28043637</v>
      </c>
      <c r="D82" s="112">
        <f>_xlfn.COMPOUNDVALUE(580)</f>
        <v>2380</v>
      </c>
      <c r="E82" s="113">
        <v>1623704</v>
      </c>
      <c r="F82" s="112">
        <f>_xlfn.COMPOUNDVALUE(581)</f>
        <v>6930</v>
      </c>
      <c r="G82" s="113">
        <v>29667341</v>
      </c>
      <c r="H82" s="112">
        <f>_xlfn.COMPOUNDVALUE(582)</f>
        <v>479</v>
      </c>
      <c r="I82" s="114">
        <v>2880799</v>
      </c>
      <c r="J82" s="112">
        <v>220</v>
      </c>
      <c r="K82" s="114">
        <v>32999</v>
      </c>
      <c r="L82" s="112">
        <v>7487</v>
      </c>
      <c r="M82" s="114">
        <v>26819541</v>
      </c>
      <c r="N82" s="65" t="s">
        <v>101</v>
      </c>
    </row>
    <row r="83" spans="1:14" ht="15.75" customHeight="1">
      <c r="A83" s="130" t="s">
        <v>154</v>
      </c>
      <c r="B83" s="131">
        <v>32461</v>
      </c>
      <c r="C83" s="132">
        <v>256182418</v>
      </c>
      <c r="D83" s="131">
        <v>15468</v>
      </c>
      <c r="E83" s="132">
        <v>10921951</v>
      </c>
      <c r="F83" s="131">
        <v>47929</v>
      </c>
      <c r="G83" s="132">
        <v>267104368</v>
      </c>
      <c r="H83" s="131">
        <v>3786</v>
      </c>
      <c r="I83" s="133">
        <v>48779271</v>
      </c>
      <c r="J83" s="131">
        <v>1661</v>
      </c>
      <c r="K83" s="133">
        <v>717864</v>
      </c>
      <c r="L83" s="131">
        <v>52317</v>
      </c>
      <c r="M83" s="133">
        <v>219042962</v>
      </c>
      <c r="N83" s="134" t="s">
        <v>103</v>
      </c>
    </row>
    <row r="84" spans="1:14" ht="15.75" customHeight="1">
      <c r="A84" s="145"/>
      <c r="B84" s="146"/>
      <c r="C84" s="147"/>
      <c r="D84" s="146"/>
      <c r="E84" s="147"/>
      <c r="F84" s="146"/>
      <c r="G84" s="147"/>
      <c r="H84" s="146"/>
      <c r="I84" s="148"/>
      <c r="J84" s="146"/>
      <c r="K84" s="148"/>
      <c r="L84" s="146"/>
      <c r="M84" s="148"/>
      <c r="N84" s="149" t="s">
        <v>35</v>
      </c>
    </row>
    <row r="85" spans="1:14" ht="15.75" customHeight="1">
      <c r="A85" s="140" t="s">
        <v>155</v>
      </c>
      <c r="B85" s="141">
        <v>267915</v>
      </c>
      <c r="C85" s="142">
        <v>7687407750</v>
      </c>
      <c r="D85" s="141">
        <v>86311</v>
      </c>
      <c r="E85" s="142">
        <v>65692110</v>
      </c>
      <c r="F85" s="141">
        <v>354226</v>
      </c>
      <c r="G85" s="142">
        <v>7753099860</v>
      </c>
      <c r="H85" s="141">
        <v>56372</v>
      </c>
      <c r="I85" s="143">
        <v>2358005890</v>
      </c>
      <c r="J85" s="141">
        <v>16718</v>
      </c>
      <c r="K85" s="143">
        <v>17119677</v>
      </c>
      <c r="L85" s="141">
        <v>415786</v>
      </c>
      <c r="M85" s="143">
        <v>5412213647</v>
      </c>
      <c r="N85" s="144" t="s">
        <v>105</v>
      </c>
    </row>
    <row r="86" spans="1:14" ht="15.75" customHeight="1">
      <c r="A86" s="135"/>
      <c r="B86" s="136"/>
      <c r="C86" s="137"/>
      <c r="D86" s="136"/>
      <c r="E86" s="137"/>
      <c r="F86" s="138"/>
      <c r="G86" s="137"/>
      <c r="H86" s="138"/>
      <c r="I86" s="137"/>
      <c r="J86" s="138"/>
      <c r="K86" s="137"/>
      <c r="L86" s="138"/>
      <c r="M86" s="137"/>
      <c r="N86" s="139"/>
    </row>
    <row r="87" spans="1:14" ht="15.75" customHeight="1">
      <c r="A87" s="64" t="s">
        <v>106</v>
      </c>
      <c r="B87" s="109">
        <f>_xlfn.COMPOUNDVALUE(583)</f>
        <v>2827</v>
      </c>
      <c r="C87" s="110">
        <v>32453397</v>
      </c>
      <c r="D87" s="109">
        <f>_xlfn.COMPOUNDVALUE(584)</f>
        <v>1285</v>
      </c>
      <c r="E87" s="110">
        <v>966546</v>
      </c>
      <c r="F87" s="109">
        <f>_xlfn.COMPOUNDVALUE(585)</f>
        <v>4112</v>
      </c>
      <c r="G87" s="110">
        <v>33419943</v>
      </c>
      <c r="H87" s="109">
        <f>_xlfn.COMPOUNDVALUE(586)</f>
        <v>346</v>
      </c>
      <c r="I87" s="111">
        <v>2710956</v>
      </c>
      <c r="J87" s="109">
        <v>155</v>
      </c>
      <c r="K87" s="111">
        <v>-82834</v>
      </c>
      <c r="L87" s="109">
        <v>4492</v>
      </c>
      <c r="M87" s="111">
        <v>30626153</v>
      </c>
      <c r="N87" s="74" t="s">
        <v>106</v>
      </c>
    </row>
    <row r="88" spans="1:14" ht="15.75" customHeight="1">
      <c r="A88" s="64" t="s">
        <v>107</v>
      </c>
      <c r="B88" s="109">
        <f>_xlfn.COMPOUNDVALUE(587)</f>
        <v>7328</v>
      </c>
      <c r="C88" s="110">
        <v>215462809</v>
      </c>
      <c r="D88" s="109">
        <f>_xlfn.COMPOUNDVALUE(588)</f>
        <v>2458</v>
      </c>
      <c r="E88" s="110">
        <v>1849355</v>
      </c>
      <c r="F88" s="109">
        <f>_xlfn.COMPOUNDVALUE(589)</f>
        <v>9786</v>
      </c>
      <c r="G88" s="110">
        <v>217312164</v>
      </c>
      <c r="H88" s="109">
        <f>_xlfn.COMPOUNDVALUE(590)</f>
        <v>1877</v>
      </c>
      <c r="I88" s="111">
        <v>68041785</v>
      </c>
      <c r="J88" s="109">
        <v>512</v>
      </c>
      <c r="K88" s="111">
        <v>-556905</v>
      </c>
      <c r="L88" s="109">
        <v>11839</v>
      </c>
      <c r="M88" s="111">
        <v>148713474</v>
      </c>
      <c r="N88" s="74" t="s">
        <v>107</v>
      </c>
    </row>
    <row r="89" spans="1:14" ht="15.75" customHeight="1">
      <c r="A89" s="64" t="s">
        <v>108</v>
      </c>
      <c r="B89" s="109">
        <f>_xlfn.COMPOUNDVALUE(591)</f>
        <v>3970</v>
      </c>
      <c r="C89" s="110">
        <v>27971072</v>
      </c>
      <c r="D89" s="109">
        <f>_xlfn.COMPOUNDVALUE(592)</f>
        <v>1920</v>
      </c>
      <c r="E89" s="110">
        <v>1356062</v>
      </c>
      <c r="F89" s="109">
        <f>_xlfn.COMPOUNDVALUE(593)</f>
        <v>5890</v>
      </c>
      <c r="G89" s="110">
        <v>29327135</v>
      </c>
      <c r="H89" s="109">
        <f>_xlfn.COMPOUNDVALUE(594)</f>
        <v>378</v>
      </c>
      <c r="I89" s="111">
        <v>2729846</v>
      </c>
      <c r="J89" s="109">
        <v>227</v>
      </c>
      <c r="K89" s="111">
        <v>89078</v>
      </c>
      <c r="L89" s="109">
        <v>6337</v>
      </c>
      <c r="M89" s="111">
        <v>26686367</v>
      </c>
      <c r="N89" s="74" t="s">
        <v>108</v>
      </c>
    </row>
    <row r="90" spans="1:14" ht="15.75" customHeight="1">
      <c r="A90" s="64" t="s">
        <v>109</v>
      </c>
      <c r="B90" s="109">
        <f>_xlfn.COMPOUNDVALUE(595)</f>
        <v>5408</v>
      </c>
      <c r="C90" s="110">
        <v>33213583</v>
      </c>
      <c r="D90" s="109">
        <f>_xlfn.COMPOUNDVALUE(596)</f>
        <v>2684</v>
      </c>
      <c r="E90" s="110">
        <v>1826044</v>
      </c>
      <c r="F90" s="109">
        <f>_xlfn.COMPOUNDVALUE(597)</f>
        <v>8092</v>
      </c>
      <c r="G90" s="110">
        <v>35039626</v>
      </c>
      <c r="H90" s="109">
        <f>_xlfn.COMPOUNDVALUE(598)</f>
        <v>719</v>
      </c>
      <c r="I90" s="111">
        <v>4830663</v>
      </c>
      <c r="J90" s="109">
        <v>306</v>
      </c>
      <c r="K90" s="111">
        <v>162239</v>
      </c>
      <c r="L90" s="109">
        <v>8902</v>
      </c>
      <c r="M90" s="111">
        <v>30371203</v>
      </c>
      <c r="N90" s="74" t="s">
        <v>109</v>
      </c>
    </row>
    <row r="91" spans="1:14" ht="15.75" customHeight="1">
      <c r="A91" s="64" t="s">
        <v>110</v>
      </c>
      <c r="B91" s="109">
        <f>_xlfn.COMPOUNDVALUE(599)</f>
        <v>6541</v>
      </c>
      <c r="C91" s="110">
        <v>101312283</v>
      </c>
      <c r="D91" s="109">
        <f>_xlfn.COMPOUNDVALUE(600)</f>
        <v>2642</v>
      </c>
      <c r="E91" s="110">
        <v>1859276</v>
      </c>
      <c r="F91" s="109">
        <f>_xlfn.COMPOUNDVALUE(601)</f>
        <v>9183</v>
      </c>
      <c r="G91" s="110">
        <v>103171559</v>
      </c>
      <c r="H91" s="109">
        <f>_xlfn.COMPOUNDVALUE(602)</f>
        <v>1128</v>
      </c>
      <c r="I91" s="111">
        <v>142467560</v>
      </c>
      <c r="J91" s="109">
        <v>344</v>
      </c>
      <c r="K91" s="111">
        <v>-320762</v>
      </c>
      <c r="L91" s="109">
        <v>10404</v>
      </c>
      <c r="M91" s="111">
        <v>-39616763</v>
      </c>
      <c r="N91" s="74" t="s">
        <v>110</v>
      </c>
    </row>
    <row r="92" spans="1:14" ht="15.75" customHeight="1">
      <c r="A92" s="64"/>
      <c r="B92" s="109"/>
      <c r="C92" s="110"/>
      <c r="D92" s="109"/>
      <c r="E92" s="110"/>
      <c r="F92" s="109"/>
      <c r="G92" s="110"/>
      <c r="H92" s="109"/>
      <c r="I92" s="111"/>
      <c r="J92" s="109"/>
      <c r="K92" s="111"/>
      <c r="L92" s="109"/>
      <c r="M92" s="111"/>
      <c r="N92" s="74" t="s">
        <v>35</v>
      </c>
    </row>
    <row r="93" spans="1:14" ht="15.75" customHeight="1">
      <c r="A93" s="64" t="s">
        <v>111</v>
      </c>
      <c r="B93" s="109">
        <f>_xlfn.COMPOUNDVALUE(603)</f>
        <v>3175</v>
      </c>
      <c r="C93" s="110">
        <v>23817414</v>
      </c>
      <c r="D93" s="109">
        <f>_xlfn.COMPOUNDVALUE(604)</f>
        <v>1608</v>
      </c>
      <c r="E93" s="110">
        <v>1139624</v>
      </c>
      <c r="F93" s="109">
        <f>_xlfn.COMPOUNDVALUE(605)</f>
        <v>4783</v>
      </c>
      <c r="G93" s="110">
        <v>24957038</v>
      </c>
      <c r="H93" s="109">
        <f>_xlfn.COMPOUNDVALUE(606)</f>
        <v>346</v>
      </c>
      <c r="I93" s="111">
        <v>4643041</v>
      </c>
      <c r="J93" s="109">
        <v>178</v>
      </c>
      <c r="K93" s="111">
        <v>14619</v>
      </c>
      <c r="L93" s="109">
        <v>5174</v>
      </c>
      <c r="M93" s="111">
        <v>20328615</v>
      </c>
      <c r="N93" s="74" t="s">
        <v>111</v>
      </c>
    </row>
    <row r="94" spans="1:14" ht="15.75" customHeight="1">
      <c r="A94" s="64" t="s">
        <v>151</v>
      </c>
      <c r="B94" s="109">
        <f>_xlfn.COMPOUNDVALUE(607)</f>
        <v>5752</v>
      </c>
      <c r="C94" s="110">
        <v>38267940</v>
      </c>
      <c r="D94" s="109">
        <f>_xlfn.COMPOUNDVALUE(608)</f>
        <v>2708</v>
      </c>
      <c r="E94" s="110">
        <v>2026930</v>
      </c>
      <c r="F94" s="109">
        <f>_xlfn.COMPOUNDVALUE(609)</f>
        <v>8460</v>
      </c>
      <c r="G94" s="110">
        <v>40294870</v>
      </c>
      <c r="H94" s="109">
        <f>_xlfn.COMPOUNDVALUE(610)</f>
        <v>779</v>
      </c>
      <c r="I94" s="111">
        <v>7432642</v>
      </c>
      <c r="J94" s="109">
        <v>232</v>
      </c>
      <c r="K94" s="111">
        <v>54524</v>
      </c>
      <c r="L94" s="109">
        <v>9356</v>
      </c>
      <c r="M94" s="111">
        <v>32916752</v>
      </c>
      <c r="N94" s="74" t="s">
        <v>112</v>
      </c>
    </row>
    <row r="95" spans="1:14" ht="15.75" customHeight="1">
      <c r="A95" s="64" t="s">
        <v>113</v>
      </c>
      <c r="B95" s="109">
        <f>_xlfn.COMPOUNDVALUE(611)</f>
        <v>4546</v>
      </c>
      <c r="C95" s="110">
        <v>106166731</v>
      </c>
      <c r="D95" s="109">
        <f>_xlfn.COMPOUNDVALUE(612)</f>
        <v>1872</v>
      </c>
      <c r="E95" s="110">
        <v>1420066</v>
      </c>
      <c r="F95" s="109">
        <f>_xlfn.COMPOUNDVALUE(613)</f>
        <v>6418</v>
      </c>
      <c r="G95" s="110">
        <v>107586796</v>
      </c>
      <c r="H95" s="109">
        <f>_xlfn.COMPOUNDVALUE(614)</f>
        <v>544</v>
      </c>
      <c r="I95" s="111">
        <v>13507660</v>
      </c>
      <c r="J95" s="109">
        <v>251</v>
      </c>
      <c r="K95" s="111">
        <v>38276</v>
      </c>
      <c r="L95" s="109">
        <v>7046</v>
      </c>
      <c r="M95" s="111">
        <v>94117412</v>
      </c>
      <c r="N95" s="74" t="s">
        <v>113</v>
      </c>
    </row>
    <row r="96" spans="1:14" ht="15.75" customHeight="1">
      <c r="A96" s="64" t="s">
        <v>114</v>
      </c>
      <c r="B96" s="109">
        <f>_xlfn.COMPOUNDVALUE(615)</f>
        <v>5175</v>
      </c>
      <c r="C96" s="110">
        <v>96163452</v>
      </c>
      <c r="D96" s="109">
        <f>_xlfn.COMPOUNDVALUE(616)</f>
        <v>2574</v>
      </c>
      <c r="E96" s="110">
        <v>1822166</v>
      </c>
      <c r="F96" s="109">
        <f>_xlfn.COMPOUNDVALUE(617)</f>
        <v>7749</v>
      </c>
      <c r="G96" s="110">
        <v>97985618</v>
      </c>
      <c r="H96" s="109">
        <f>_xlfn.COMPOUNDVALUE(618)</f>
        <v>604</v>
      </c>
      <c r="I96" s="111">
        <v>6665528</v>
      </c>
      <c r="J96" s="109">
        <v>222</v>
      </c>
      <c r="K96" s="111">
        <v>-66259</v>
      </c>
      <c r="L96" s="109">
        <v>8416</v>
      </c>
      <c r="M96" s="111">
        <v>91253831</v>
      </c>
      <c r="N96" s="74" t="s">
        <v>114</v>
      </c>
    </row>
    <row r="97" spans="1:14" ht="15.75" customHeight="1">
      <c r="A97" s="64" t="s">
        <v>115</v>
      </c>
      <c r="B97" s="109">
        <f>_xlfn.COMPOUNDVALUE(619)</f>
        <v>2205</v>
      </c>
      <c r="C97" s="110">
        <v>9854046</v>
      </c>
      <c r="D97" s="109">
        <f>_xlfn.COMPOUNDVALUE(620)</f>
        <v>1235</v>
      </c>
      <c r="E97" s="110">
        <v>867417</v>
      </c>
      <c r="F97" s="109">
        <f>_xlfn.COMPOUNDVALUE(621)</f>
        <v>3440</v>
      </c>
      <c r="G97" s="110">
        <v>10721463</v>
      </c>
      <c r="H97" s="109">
        <f>_xlfn.COMPOUNDVALUE(622)</f>
        <v>306</v>
      </c>
      <c r="I97" s="111">
        <v>2608425</v>
      </c>
      <c r="J97" s="109">
        <v>92</v>
      </c>
      <c r="K97" s="111">
        <v>26557</v>
      </c>
      <c r="L97" s="109">
        <v>3788</v>
      </c>
      <c r="M97" s="111">
        <v>8139595</v>
      </c>
      <c r="N97" s="74" t="s">
        <v>115</v>
      </c>
    </row>
    <row r="98" spans="1:14" ht="15.75" customHeight="1">
      <c r="A98" s="64"/>
      <c r="B98" s="109"/>
      <c r="C98" s="110"/>
      <c r="D98" s="109"/>
      <c r="E98" s="110"/>
      <c r="F98" s="109"/>
      <c r="G98" s="110"/>
      <c r="H98" s="109"/>
      <c r="I98" s="111"/>
      <c r="J98" s="109"/>
      <c r="K98" s="111"/>
      <c r="L98" s="109"/>
      <c r="M98" s="111"/>
      <c r="N98" s="74" t="s">
        <v>35</v>
      </c>
    </row>
    <row r="99" spans="1:14" ht="15.75" customHeight="1">
      <c r="A99" s="64" t="s">
        <v>116</v>
      </c>
      <c r="B99" s="109">
        <f>_xlfn.COMPOUNDVALUE(623)</f>
        <v>3135</v>
      </c>
      <c r="C99" s="110">
        <v>19281887</v>
      </c>
      <c r="D99" s="109">
        <f>_xlfn.COMPOUNDVALUE(624)</f>
        <v>1623</v>
      </c>
      <c r="E99" s="110">
        <v>1147437</v>
      </c>
      <c r="F99" s="109">
        <f>_xlfn.COMPOUNDVALUE(625)</f>
        <v>4758</v>
      </c>
      <c r="G99" s="110">
        <v>20429324</v>
      </c>
      <c r="H99" s="109">
        <f>_xlfn.COMPOUNDVALUE(626)</f>
        <v>256</v>
      </c>
      <c r="I99" s="111">
        <v>1141006</v>
      </c>
      <c r="J99" s="109">
        <v>174</v>
      </c>
      <c r="K99" s="111">
        <v>83535</v>
      </c>
      <c r="L99" s="109">
        <v>5076</v>
      </c>
      <c r="M99" s="111">
        <v>19371853</v>
      </c>
      <c r="N99" s="74" t="s">
        <v>116</v>
      </c>
    </row>
    <row r="100" spans="1:14" ht="15.75" customHeight="1">
      <c r="A100" s="64" t="s">
        <v>117</v>
      </c>
      <c r="B100" s="109">
        <f>_xlfn.COMPOUNDVALUE(627)</f>
        <v>4253</v>
      </c>
      <c r="C100" s="110">
        <v>33996322</v>
      </c>
      <c r="D100" s="109">
        <f>_xlfn.COMPOUNDVALUE(628)</f>
        <v>2207</v>
      </c>
      <c r="E100" s="110">
        <v>1465761</v>
      </c>
      <c r="F100" s="109">
        <f>_xlfn.COMPOUNDVALUE(629)</f>
        <v>6460</v>
      </c>
      <c r="G100" s="110">
        <v>35462082</v>
      </c>
      <c r="H100" s="109">
        <f>_xlfn.COMPOUNDVALUE(630)</f>
        <v>401</v>
      </c>
      <c r="I100" s="111">
        <v>2011676</v>
      </c>
      <c r="J100" s="109">
        <v>190</v>
      </c>
      <c r="K100" s="111">
        <v>-3266</v>
      </c>
      <c r="L100" s="109">
        <v>6915</v>
      </c>
      <c r="M100" s="111">
        <v>33447141</v>
      </c>
      <c r="N100" s="74" t="s">
        <v>117</v>
      </c>
    </row>
    <row r="101" spans="1:14" ht="15.75" customHeight="1">
      <c r="A101" s="66" t="s">
        <v>118</v>
      </c>
      <c r="B101" s="112">
        <f>_xlfn.COMPOUNDVALUE(631)</f>
        <v>2120</v>
      </c>
      <c r="C101" s="113">
        <v>10768760</v>
      </c>
      <c r="D101" s="112">
        <f>_xlfn.COMPOUNDVALUE(632)</f>
        <v>1360</v>
      </c>
      <c r="E101" s="113">
        <v>892248</v>
      </c>
      <c r="F101" s="112">
        <f>_xlfn.COMPOUNDVALUE(633)</f>
        <v>3480</v>
      </c>
      <c r="G101" s="113">
        <v>11661008</v>
      </c>
      <c r="H101" s="112">
        <f>_xlfn.COMPOUNDVALUE(634)</f>
        <v>371</v>
      </c>
      <c r="I101" s="114">
        <v>1340537</v>
      </c>
      <c r="J101" s="112">
        <v>144</v>
      </c>
      <c r="K101" s="114">
        <v>3343</v>
      </c>
      <c r="L101" s="112">
        <v>3893</v>
      </c>
      <c r="M101" s="114">
        <v>10323814</v>
      </c>
      <c r="N101" s="65" t="s">
        <v>118</v>
      </c>
    </row>
    <row r="102" spans="1:14" ht="15.75" customHeight="1">
      <c r="A102" s="66" t="s">
        <v>119</v>
      </c>
      <c r="B102" s="112">
        <f>_xlfn.COMPOUNDVALUE(635)</f>
        <v>5279</v>
      </c>
      <c r="C102" s="113">
        <v>34090330</v>
      </c>
      <c r="D102" s="112">
        <f>_xlfn.COMPOUNDVALUE(636)</f>
        <v>2636</v>
      </c>
      <c r="E102" s="113">
        <v>1822079</v>
      </c>
      <c r="F102" s="112">
        <f>_xlfn.COMPOUNDVALUE(637)</f>
        <v>7915</v>
      </c>
      <c r="G102" s="113">
        <v>35912409</v>
      </c>
      <c r="H102" s="112">
        <f>_xlfn.COMPOUNDVALUE(638)</f>
        <v>649</v>
      </c>
      <c r="I102" s="114">
        <v>5034889</v>
      </c>
      <c r="J102" s="112">
        <v>248</v>
      </c>
      <c r="K102" s="114">
        <v>40683</v>
      </c>
      <c r="L102" s="112">
        <v>8663</v>
      </c>
      <c r="M102" s="114">
        <v>30918203</v>
      </c>
      <c r="N102" s="65" t="s">
        <v>119</v>
      </c>
    </row>
    <row r="103" spans="1:14" ht="15.75" customHeight="1">
      <c r="A103" s="66" t="s">
        <v>120</v>
      </c>
      <c r="B103" s="112">
        <f>_xlfn.COMPOUNDVALUE(639)</f>
        <v>3257</v>
      </c>
      <c r="C103" s="113">
        <v>21817255</v>
      </c>
      <c r="D103" s="112">
        <f>_xlfn.COMPOUNDVALUE(640)</f>
        <v>1596</v>
      </c>
      <c r="E103" s="113">
        <v>1085649</v>
      </c>
      <c r="F103" s="112">
        <f>_xlfn.COMPOUNDVALUE(641)</f>
        <v>4853</v>
      </c>
      <c r="G103" s="113">
        <v>22902904</v>
      </c>
      <c r="H103" s="112">
        <f>_xlfn.COMPOUNDVALUE(642)</f>
        <v>267</v>
      </c>
      <c r="I103" s="114">
        <v>2491867</v>
      </c>
      <c r="J103" s="112">
        <v>120</v>
      </c>
      <c r="K103" s="114">
        <v>22725</v>
      </c>
      <c r="L103" s="112">
        <v>5152</v>
      </c>
      <c r="M103" s="114">
        <v>20433762</v>
      </c>
      <c r="N103" s="65" t="s">
        <v>120</v>
      </c>
    </row>
    <row r="104" spans="1:14" ht="15.75" customHeight="1">
      <c r="A104" s="66"/>
      <c r="B104" s="112"/>
      <c r="C104" s="113"/>
      <c r="D104" s="112"/>
      <c r="E104" s="113"/>
      <c r="F104" s="112"/>
      <c r="G104" s="113"/>
      <c r="H104" s="112"/>
      <c r="I104" s="114"/>
      <c r="J104" s="112"/>
      <c r="K104" s="114"/>
      <c r="L104" s="112"/>
      <c r="M104" s="114"/>
      <c r="N104" s="65" t="s">
        <v>35</v>
      </c>
    </row>
    <row r="105" spans="1:14" ht="15.75" customHeight="1">
      <c r="A105" s="66" t="s">
        <v>121</v>
      </c>
      <c r="B105" s="112">
        <f>_xlfn.COMPOUNDVALUE(643)</f>
        <v>5663</v>
      </c>
      <c r="C105" s="113">
        <v>40728532</v>
      </c>
      <c r="D105" s="112">
        <f>_xlfn.COMPOUNDVALUE(644)</f>
        <v>2744</v>
      </c>
      <c r="E105" s="113">
        <v>1890934</v>
      </c>
      <c r="F105" s="112">
        <f>_xlfn.COMPOUNDVALUE(645)</f>
        <v>8407</v>
      </c>
      <c r="G105" s="113">
        <v>42619466</v>
      </c>
      <c r="H105" s="112">
        <f>_xlfn.COMPOUNDVALUE(646)</f>
        <v>524</v>
      </c>
      <c r="I105" s="114">
        <v>5472419</v>
      </c>
      <c r="J105" s="112">
        <v>260</v>
      </c>
      <c r="K105" s="114">
        <v>27875</v>
      </c>
      <c r="L105" s="112">
        <v>9019</v>
      </c>
      <c r="M105" s="114">
        <v>37174922</v>
      </c>
      <c r="N105" s="65" t="s">
        <v>121</v>
      </c>
    </row>
    <row r="106" spans="1:14" ht="15.75" customHeight="1">
      <c r="A106" s="66" t="s">
        <v>122</v>
      </c>
      <c r="B106" s="112">
        <f>_xlfn.COMPOUNDVALUE(647)</f>
        <v>2735</v>
      </c>
      <c r="C106" s="113">
        <v>26718844</v>
      </c>
      <c r="D106" s="112">
        <f>_xlfn.COMPOUNDVALUE(648)</f>
        <v>1267</v>
      </c>
      <c r="E106" s="113">
        <v>912584</v>
      </c>
      <c r="F106" s="112">
        <f>_xlfn.COMPOUNDVALUE(649)</f>
        <v>4002</v>
      </c>
      <c r="G106" s="113">
        <v>27631428</v>
      </c>
      <c r="H106" s="112">
        <f>_xlfn.COMPOUNDVALUE(650)</f>
        <v>293</v>
      </c>
      <c r="I106" s="114">
        <v>44527942</v>
      </c>
      <c r="J106" s="112">
        <v>192</v>
      </c>
      <c r="K106" s="114">
        <v>66925</v>
      </c>
      <c r="L106" s="112">
        <v>4352</v>
      </c>
      <c r="M106" s="114">
        <v>-16829590</v>
      </c>
      <c r="N106" s="65" t="s">
        <v>122</v>
      </c>
    </row>
    <row r="107" spans="1:14" ht="15.75" customHeight="1">
      <c r="A107" s="66" t="s">
        <v>123</v>
      </c>
      <c r="B107" s="112">
        <f>_xlfn.COMPOUNDVALUE(651)</f>
        <v>4376</v>
      </c>
      <c r="C107" s="113">
        <v>31117861</v>
      </c>
      <c r="D107" s="112">
        <f>_xlfn.COMPOUNDVALUE(652)</f>
        <v>2097</v>
      </c>
      <c r="E107" s="113">
        <v>1510125</v>
      </c>
      <c r="F107" s="112">
        <f>_xlfn.COMPOUNDVALUE(653)</f>
        <v>6473</v>
      </c>
      <c r="G107" s="113">
        <v>32627985</v>
      </c>
      <c r="H107" s="112">
        <f>_xlfn.COMPOUNDVALUE(654)</f>
        <v>421</v>
      </c>
      <c r="I107" s="114">
        <v>4500807</v>
      </c>
      <c r="J107" s="112">
        <v>239</v>
      </c>
      <c r="K107" s="114">
        <v>3378</v>
      </c>
      <c r="L107" s="112">
        <v>7008</v>
      </c>
      <c r="M107" s="114">
        <v>28130557</v>
      </c>
      <c r="N107" s="65" t="s">
        <v>123</v>
      </c>
    </row>
    <row r="108" spans="1:14" ht="15.75" customHeight="1">
      <c r="A108" s="130" t="s">
        <v>156</v>
      </c>
      <c r="B108" s="131">
        <v>77745</v>
      </c>
      <c r="C108" s="132">
        <v>903202515</v>
      </c>
      <c r="D108" s="131">
        <v>36516</v>
      </c>
      <c r="E108" s="132">
        <v>25860301</v>
      </c>
      <c r="F108" s="131">
        <v>114261</v>
      </c>
      <c r="G108" s="132">
        <v>929062816</v>
      </c>
      <c r="H108" s="131">
        <v>10209</v>
      </c>
      <c r="I108" s="133">
        <v>322159247</v>
      </c>
      <c r="J108" s="131">
        <v>4086</v>
      </c>
      <c r="K108" s="133">
        <v>-396267</v>
      </c>
      <c r="L108" s="131">
        <v>125832</v>
      </c>
      <c r="M108" s="133">
        <v>606507302</v>
      </c>
      <c r="N108" s="134" t="s">
        <v>125</v>
      </c>
    </row>
    <row r="109" spans="1:14" ht="15.75" customHeight="1">
      <c r="A109" s="135"/>
      <c r="B109" s="136"/>
      <c r="C109" s="137"/>
      <c r="D109" s="136"/>
      <c r="E109" s="137"/>
      <c r="F109" s="138"/>
      <c r="G109" s="137"/>
      <c r="H109" s="138"/>
      <c r="I109" s="137"/>
      <c r="J109" s="138"/>
      <c r="K109" s="137"/>
      <c r="L109" s="138"/>
      <c r="M109" s="137"/>
      <c r="N109" s="139"/>
    </row>
    <row r="110" spans="1:14" ht="15.75" customHeight="1">
      <c r="A110" s="64" t="s">
        <v>126</v>
      </c>
      <c r="B110" s="109">
        <f>_xlfn.COMPOUNDVALUE(655)</f>
        <v>4626</v>
      </c>
      <c r="C110" s="110">
        <v>36637949</v>
      </c>
      <c r="D110" s="109">
        <f>_xlfn.COMPOUNDVALUE(656)</f>
        <v>1822</v>
      </c>
      <c r="E110" s="110">
        <v>1251984</v>
      </c>
      <c r="F110" s="109">
        <f>_xlfn.COMPOUNDVALUE(657)</f>
        <v>6448</v>
      </c>
      <c r="G110" s="110">
        <v>37889933</v>
      </c>
      <c r="H110" s="109">
        <f>_xlfn.COMPOUNDVALUE(658)</f>
        <v>445</v>
      </c>
      <c r="I110" s="111">
        <v>2959503</v>
      </c>
      <c r="J110" s="109">
        <v>245</v>
      </c>
      <c r="K110" s="111">
        <v>-143945</v>
      </c>
      <c r="L110" s="109">
        <v>6990</v>
      </c>
      <c r="M110" s="111">
        <v>34786485</v>
      </c>
      <c r="N110" s="74" t="s">
        <v>126</v>
      </c>
    </row>
    <row r="111" spans="1:14" ht="15.75" customHeight="1">
      <c r="A111" s="66" t="s">
        <v>127</v>
      </c>
      <c r="B111" s="112">
        <f>_xlfn.COMPOUNDVALUE(659)</f>
        <v>1174</v>
      </c>
      <c r="C111" s="113">
        <v>6238443</v>
      </c>
      <c r="D111" s="112">
        <f>_xlfn.COMPOUNDVALUE(660)</f>
        <v>418</v>
      </c>
      <c r="E111" s="113">
        <v>272718</v>
      </c>
      <c r="F111" s="112">
        <f>_xlfn.COMPOUNDVALUE(661)</f>
        <v>1592</v>
      </c>
      <c r="G111" s="113">
        <v>6511161</v>
      </c>
      <c r="H111" s="112">
        <f>_xlfn.COMPOUNDVALUE(662)</f>
        <v>105</v>
      </c>
      <c r="I111" s="114">
        <v>620211</v>
      </c>
      <c r="J111" s="112">
        <v>54</v>
      </c>
      <c r="K111" s="114">
        <v>25200</v>
      </c>
      <c r="L111" s="112">
        <v>1720</v>
      </c>
      <c r="M111" s="114">
        <v>5916150</v>
      </c>
      <c r="N111" s="65" t="s">
        <v>127</v>
      </c>
    </row>
    <row r="112" spans="1:14" ht="15.75" customHeight="1">
      <c r="A112" s="66" t="s">
        <v>128</v>
      </c>
      <c r="B112" s="112">
        <f>_xlfn.COMPOUNDVALUE(663)</f>
        <v>1927</v>
      </c>
      <c r="C112" s="113">
        <v>11520382</v>
      </c>
      <c r="D112" s="112">
        <f>_xlfn.COMPOUNDVALUE(664)</f>
        <v>880</v>
      </c>
      <c r="E112" s="113">
        <v>597690</v>
      </c>
      <c r="F112" s="112">
        <f>_xlfn.COMPOUNDVALUE(665)</f>
        <v>2807</v>
      </c>
      <c r="G112" s="113">
        <v>12118073</v>
      </c>
      <c r="H112" s="112">
        <f>_xlfn.COMPOUNDVALUE(666)</f>
        <v>249</v>
      </c>
      <c r="I112" s="114">
        <v>15540041</v>
      </c>
      <c r="J112" s="112">
        <v>96</v>
      </c>
      <c r="K112" s="114">
        <v>27428</v>
      </c>
      <c r="L112" s="112">
        <v>3095</v>
      </c>
      <c r="M112" s="114">
        <v>-3394541</v>
      </c>
      <c r="N112" s="65" t="s">
        <v>128</v>
      </c>
    </row>
    <row r="113" spans="1:14" ht="15.75" customHeight="1">
      <c r="A113" s="66" t="s">
        <v>129</v>
      </c>
      <c r="B113" s="112">
        <f>_xlfn.COMPOUNDVALUE(667)</f>
        <v>428</v>
      </c>
      <c r="C113" s="113">
        <v>2345809</v>
      </c>
      <c r="D113" s="112">
        <f>_xlfn.COMPOUNDVALUE(668)</f>
        <v>200</v>
      </c>
      <c r="E113" s="113">
        <v>120277</v>
      </c>
      <c r="F113" s="112">
        <f>_xlfn.COMPOUNDVALUE(669)</f>
        <v>628</v>
      </c>
      <c r="G113" s="113">
        <v>2466086</v>
      </c>
      <c r="H113" s="112">
        <f>_xlfn.COMPOUNDVALUE(670)</f>
        <v>22</v>
      </c>
      <c r="I113" s="114">
        <v>75631</v>
      </c>
      <c r="J113" s="112">
        <v>28</v>
      </c>
      <c r="K113" s="114">
        <v>12452</v>
      </c>
      <c r="L113" s="112">
        <v>653</v>
      </c>
      <c r="M113" s="114">
        <v>2402907</v>
      </c>
      <c r="N113" s="65" t="s">
        <v>129</v>
      </c>
    </row>
    <row r="114" spans="1:14" ht="15.75" customHeight="1">
      <c r="A114" s="67" t="s">
        <v>157</v>
      </c>
      <c r="B114" s="115">
        <v>8155</v>
      </c>
      <c r="C114" s="116">
        <v>56742584</v>
      </c>
      <c r="D114" s="115">
        <v>3320</v>
      </c>
      <c r="E114" s="116">
        <v>2242668</v>
      </c>
      <c r="F114" s="115">
        <v>11475</v>
      </c>
      <c r="G114" s="116">
        <v>58985252</v>
      </c>
      <c r="H114" s="115">
        <v>821</v>
      </c>
      <c r="I114" s="117">
        <v>19195386</v>
      </c>
      <c r="J114" s="115">
        <v>423</v>
      </c>
      <c r="K114" s="117">
        <v>-78865</v>
      </c>
      <c r="L114" s="115">
        <v>12458</v>
      </c>
      <c r="M114" s="117">
        <v>39711001</v>
      </c>
      <c r="N114" s="72" t="s">
        <v>131</v>
      </c>
    </row>
    <row r="115" spans="1:14" ht="15.75" customHeight="1" thickBot="1">
      <c r="A115" s="159"/>
      <c r="B115" s="160"/>
      <c r="C115" s="161"/>
      <c r="D115" s="160"/>
      <c r="E115" s="161"/>
      <c r="F115" s="162"/>
      <c r="G115" s="161"/>
      <c r="H115" s="162"/>
      <c r="I115" s="161"/>
      <c r="J115" s="162"/>
      <c r="K115" s="161"/>
      <c r="L115" s="162"/>
      <c r="M115" s="161"/>
      <c r="N115" s="163"/>
    </row>
    <row r="116" spans="1:14" ht="15.75" customHeight="1" thickBot="1" thickTop="1">
      <c r="A116" s="70" t="s">
        <v>158</v>
      </c>
      <c r="B116" s="121">
        <v>402305</v>
      </c>
      <c r="C116" s="122">
        <v>9021352059</v>
      </c>
      <c r="D116" s="121">
        <v>146840</v>
      </c>
      <c r="E116" s="122">
        <v>108571083</v>
      </c>
      <c r="F116" s="121">
        <v>549145</v>
      </c>
      <c r="G116" s="122">
        <v>9129923142</v>
      </c>
      <c r="H116" s="121">
        <v>74269</v>
      </c>
      <c r="I116" s="123">
        <v>2748690698</v>
      </c>
      <c r="J116" s="121">
        <v>23905</v>
      </c>
      <c r="K116" s="123">
        <v>16857342</v>
      </c>
      <c r="L116" s="121">
        <v>631140</v>
      </c>
      <c r="M116" s="123">
        <v>6398089786</v>
      </c>
      <c r="N116" s="79" t="s">
        <v>34</v>
      </c>
    </row>
    <row r="117" spans="1:14" ht="12.75">
      <c r="A117" s="263" t="s">
        <v>159</v>
      </c>
      <c r="B117" s="263"/>
      <c r="C117" s="263"/>
      <c r="D117" s="263"/>
      <c r="E117" s="263"/>
      <c r="F117" s="263"/>
      <c r="G117" s="263"/>
      <c r="H117" s="263"/>
      <c r="I117" s="263"/>
      <c r="J117" s="54"/>
      <c r="K117" s="54"/>
      <c r="L117" s="53"/>
      <c r="M117" s="53"/>
      <c r="N117" s="53"/>
    </row>
  </sheetData>
  <sheetProtection/>
  <mergeCells count="11">
    <mergeCell ref="L3:M4"/>
    <mergeCell ref="N3:N5"/>
    <mergeCell ref="B4:C4"/>
    <mergeCell ref="D4:E4"/>
    <mergeCell ref="F4:G4"/>
    <mergeCell ref="A117:I117"/>
    <mergeCell ref="A2:I2"/>
    <mergeCell ref="A3:A5"/>
    <mergeCell ref="B3:G3"/>
    <mergeCell ref="H3:I4"/>
    <mergeCell ref="J3:K4"/>
  </mergeCells>
  <printOptions horizontalCentered="1"/>
  <pageMargins left="0.7874015748031497" right="0.7874015748031497" top="0.7874015748031497" bottom="0.7874015748031497" header="0.5118110236220472" footer="0.35433070866141736"/>
  <pageSetup fitToHeight="0" horizontalDpi="600" verticalDpi="600" orientation="landscape" paperSize="9" scale="65" r:id="rId1"/>
  <headerFooter alignWithMargins="0">
    <oddFooter>&amp;R&amp;K01+000東京国税局
消費税
(R02)</oddFooter>
  </headerFooter>
  <rowBreaks count="2" manualBreakCount="2">
    <brk id="42" max="13" man="1"/>
    <brk id="79"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117"/>
  <sheetViews>
    <sheetView showGridLines="0" zoomScale="70" zoomScaleNormal="70" zoomScaleSheetLayoutView="100" workbookViewId="0" topLeftCell="A1">
      <selection activeCell="U11" sqref="U11"/>
    </sheetView>
  </sheetViews>
  <sheetFormatPr defaultColWidth="9.00390625" defaultRowHeight="13.5"/>
  <cols>
    <col min="1" max="1" width="10.375" style="108" customWidth="1"/>
    <col min="2" max="2" width="10.625" style="108" customWidth="1"/>
    <col min="3" max="3" width="12.625" style="108" customWidth="1"/>
    <col min="4" max="4" width="10.625" style="108" customWidth="1"/>
    <col min="5" max="5" width="12.625" style="108" customWidth="1"/>
    <col min="6" max="6" width="10.625" style="108" customWidth="1"/>
    <col min="7" max="7" width="12.625" style="108" customWidth="1"/>
    <col min="8" max="8" width="10.625" style="108" customWidth="1"/>
    <col min="9" max="9" width="12.625" style="108" customWidth="1"/>
    <col min="10" max="10" width="10.625" style="108" customWidth="1"/>
    <col min="11" max="11" width="12.625" style="108" customWidth="1"/>
    <col min="12" max="12" width="10.625" style="108" customWidth="1"/>
    <col min="13" max="13" width="12.625" style="108" customWidth="1"/>
    <col min="14" max="17" width="10.625" style="108" customWidth="1"/>
    <col min="18" max="18" width="10.375" style="108" customWidth="1"/>
    <col min="19" max="16384" width="9.00390625" style="108" customWidth="1"/>
  </cols>
  <sheetData>
    <row r="1" spans="1:16" ht="12.75">
      <c r="A1" s="52" t="s">
        <v>164</v>
      </c>
      <c r="B1" s="52"/>
      <c r="C1" s="52"/>
      <c r="D1" s="52"/>
      <c r="E1" s="52"/>
      <c r="F1" s="52"/>
      <c r="G1" s="52"/>
      <c r="H1" s="52"/>
      <c r="I1" s="52"/>
      <c r="J1" s="52"/>
      <c r="K1" s="52"/>
      <c r="L1" s="53"/>
      <c r="M1" s="53"/>
      <c r="N1" s="53"/>
      <c r="O1" s="53"/>
      <c r="P1" s="53"/>
    </row>
    <row r="2" spans="1:16" ht="13.5" thickBot="1">
      <c r="A2" s="273" t="s">
        <v>23</v>
      </c>
      <c r="B2" s="273"/>
      <c r="C2" s="273"/>
      <c r="D2" s="273"/>
      <c r="E2" s="273"/>
      <c r="F2" s="273"/>
      <c r="G2" s="273"/>
      <c r="H2" s="273"/>
      <c r="I2" s="273"/>
      <c r="J2" s="54"/>
      <c r="K2" s="54"/>
      <c r="L2" s="53"/>
      <c r="M2" s="53"/>
      <c r="N2" s="53"/>
      <c r="O2" s="53"/>
      <c r="P2" s="53"/>
    </row>
    <row r="3" spans="1:18" ht="19.5" customHeight="1">
      <c r="A3" s="265" t="s">
        <v>24</v>
      </c>
      <c r="B3" s="268" t="s">
        <v>25</v>
      </c>
      <c r="C3" s="268"/>
      <c r="D3" s="268"/>
      <c r="E3" s="268"/>
      <c r="F3" s="268"/>
      <c r="G3" s="268"/>
      <c r="H3" s="268" t="s">
        <v>11</v>
      </c>
      <c r="I3" s="268"/>
      <c r="J3" s="274" t="s">
        <v>26</v>
      </c>
      <c r="K3" s="268"/>
      <c r="L3" s="268" t="s">
        <v>27</v>
      </c>
      <c r="M3" s="268"/>
      <c r="N3" s="275" t="s">
        <v>144</v>
      </c>
      <c r="O3" s="276"/>
      <c r="P3" s="276"/>
      <c r="Q3" s="276"/>
      <c r="R3" s="257" t="s">
        <v>28</v>
      </c>
    </row>
    <row r="4" spans="1:18" ht="17.25" customHeight="1">
      <c r="A4" s="266"/>
      <c r="B4" s="260" t="s">
        <v>13</v>
      </c>
      <c r="C4" s="260"/>
      <c r="D4" s="260" t="s">
        <v>29</v>
      </c>
      <c r="E4" s="260"/>
      <c r="F4" s="260" t="s">
        <v>30</v>
      </c>
      <c r="G4" s="260"/>
      <c r="H4" s="260"/>
      <c r="I4" s="260"/>
      <c r="J4" s="260"/>
      <c r="K4" s="260"/>
      <c r="L4" s="260"/>
      <c r="M4" s="260"/>
      <c r="N4" s="277" t="s">
        <v>31</v>
      </c>
      <c r="O4" s="279" t="s">
        <v>145</v>
      </c>
      <c r="P4" s="281" t="s">
        <v>146</v>
      </c>
      <c r="Q4" s="271" t="s">
        <v>32</v>
      </c>
      <c r="R4" s="258"/>
    </row>
    <row r="5" spans="1:18" ht="28.5" customHeight="1">
      <c r="A5" s="267"/>
      <c r="B5" s="55" t="s">
        <v>33</v>
      </c>
      <c r="C5" s="56" t="s">
        <v>135</v>
      </c>
      <c r="D5" s="55" t="s">
        <v>33</v>
      </c>
      <c r="E5" s="56" t="s">
        <v>135</v>
      </c>
      <c r="F5" s="55" t="s">
        <v>33</v>
      </c>
      <c r="G5" s="56" t="s">
        <v>136</v>
      </c>
      <c r="H5" s="55" t="s">
        <v>33</v>
      </c>
      <c r="I5" s="56" t="s">
        <v>137</v>
      </c>
      <c r="J5" s="55" t="s">
        <v>33</v>
      </c>
      <c r="K5" s="56" t="s">
        <v>138</v>
      </c>
      <c r="L5" s="55" t="s">
        <v>33</v>
      </c>
      <c r="M5" s="57" t="s">
        <v>147</v>
      </c>
      <c r="N5" s="278"/>
      <c r="O5" s="280"/>
      <c r="P5" s="282"/>
      <c r="Q5" s="283"/>
      <c r="R5" s="259"/>
    </row>
    <row r="6" spans="1:18" s="83" customFormat="1" ht="9">
      <c r="A6" s="58"/>
      <c r="B6" s="59" t="s">
        <v>3</v>
      </c>
      <c r="C6" s="60" t="s">
        <v>4</v>
      </c>
      <c r="D6" s="59" t="s">
        <v>3</v>
      </c>
      <c r="E6" s="60" t="s">
        <v>4</v>
      </c>
      <c r="F6" s="59" t="s">
        <v>3</v>
      </c>
      <c r="G6" s="60" t="s">
        <v>4</v>
      </c>
      <c r="H6" s="59" t="s">
        <v>3</v>
      </c>
      <c r="I6" s="60" t="s">
        <v>4</v>
      </c>
      <c r="J6" s="59" t="s">
        <v>3</v>
      </c>
      <c r="K6" s="60" t="s">
        <v>4</v>
      </c>
      <c r="L6" s="59" t="s">
        <v>162</v>
      </c>
      <c r="M6" s="60" t="s">
        <v>4</v>
      </c>
      <c r="N6" s="59" t="s">
        <v>3</v>
      </c>
      <c r="O6" s="61" t="s">
        <v>3</v>
      </c>
      <c r="P6" s="61" t="s">
        <v>3</v>
      </c>
      <c r="Q6" s="62" t="s">
        <v>3</v>
      </c>
      <c r="R6" s="63"/>
    </row>
    <row r="7" spans="1:18" ht="15.75" customHeight="1">
      <c r="A7" s="86" t="s">
        <v>36</v>
      </c>
      <c r="B7" s="109">
        <f>_xlfn.COMPOUNDVALUE(671)</f>
        <v>5788</v>
      </c>
      <c r="C7" s="110">
        <v>50216539</v>
      </c>
      <c r="D7" s="109">
        <f>_xlfn.COMPOUNDVALUE(672)</f>
        <v>3405</v>
      </c>
      <c r="E7" s="110">
        <v>2314395</v>
      </c>
      <c r="F7" s="109">
        <f>_xlfn.COMPOUNDVALUE(673)</f>
        <v>9193</v>
      </c>
      <c r="G7" s="110">
        <v>52530934</v>
      </c>
      <c r="H7" s="109">
        <f>_xlfn.COMPOUNDVALUE(674)</f>
        <v>811</v>
      </c>
      <c r="I7" s="111">
        <v>3259884</v>
      </c>
      <c r="J7" s="109">
        <v>511</v>
      </c>
      <c r="K7" s="111">
        <v>39011</v>
      </c>
      <c r="L7" s="109">
        <v>10231</v>
      </c>
      <c r="M7" s="111">
        <v>49310061</v>
      </c>
      <c r="N7" s="190">
        <v>10438</v>
      </c>
      <c r="O7" s="191">
        <v>472</v>
      </c>
      <c r="P7" s="191">
        <v>27</v>
      </c>
      <c r="Q7" s="192">
        <v>10937</v>
      </c>
      <c r="R7" s="85" t="s">
        <v>36</v>
      </c>
    </row>
    <row r="8" spans="1:18" ht="15.75" customHeight="1">
      <c r="A8" s="64" t="s">
        <v>37</v>
      </c>
      <c r="B8" s="109">
        <f>_xlfn.COMPOUNDVALUE(675)</f>
        <v>5025</v>
      </c>
      <c r="C8" s="110">
        <v>32584801</v>
      </c>
      <c r="D8" s="109">
        <f>_xlfn.COMPOUNDVALUE(676)</f>
        <v>3217</v>
      </c>
      <c r="E8" s="110">
        <v>2062810</v>
      </c>
      <c r="F8" s="109">
        <f>_xlfn.COMPOUNDVALUE(677)</f>
        <v>8242</v>
      </c>
      <c r="G8" s="110">
        <v>34647611</v>
      </c>
      <c r="H8" s="109">
        <f>_xlfn.COMPOUNDVALUE(678)</f>
        <v>496</v>
      </c>
      <c r="I8" s="111">
        <v>4246103</v>
      </c>
      <c r="J8" s="109">
        <v>556</v>
      </c>
      <c r="K8" s="111">
        <v>142850</v>
      </c>
      <c r="L8" s="109">
        <v>8927</v>
      </c>
      <c r="M8" s="111">
        <v>30544358</v>
      </c>
      <c r="N8" s="190">
        <v>9144</v>
      </c>
      <c r="O8" s="191">
        <v>320</v>
      </c>
      <c r="P8" s="191">
        <v>21</v>
      </c>
      <c r="Q8" s="192">
        <v>9485</v>
      </c>
      <c r="R8" s="65" t="s">
        <v>37</v>
      </c>
    </row>
    <row r="9" spans="1:18" ht="15.75" customHeight="1">
      <c r="A9" s="64" t="s">
        <v>38</v>
      </c>
      <c r="B9" s="109">
        <f>_xlfn.COMPOUNDVALUE(679)</f>
        <v>5592</v>
      </c>
      <c r="C9" s="110">
        <v>78955121</v>
      </c>
      <c r="D9" s="109">
        <f>_xlfn.COMPOUNDVALUE(680)</f>
        <v>3609</v>
      </c>
      <c r="E9" s="110">
        <v>2379993</v>
      </c>
      <c r="F9" s="109">
        <f>_xlfn.COMPOUNDVALUE(681)</f>
        <v>9201</v>
      </c>
      <c r="G9" s="110">
        <v>81335114</v>
      </c>
      <c r="H9" s="109">
        <f>_xlfn.COMPOUNDVALUE(682)</f>
        <v>827</v>
      </c>
      <c r="I9" s="111">
        <v>8587848</v>
      </c>
      <c r="J9" s="109">
        <v>515</v>
      </c>
      <c r="K9" s="111">
        <v>-117364</v>
      </c>
      <c r="L9" s="109">
        <v>10226</v>
      </c>
      <c r="M9" s="111">
        <v>72629902</v>
      </c>
      <c r="N9" s="190">
        <v>10827</v>
      </c>
      <c r="O9" s="191">
        <v>522</v>
      </c>
      <c r="P9" s="191">
        <v>49</v>
      </c>
      <c r="Q9" s="192">
        <v>11398</v>
      </c>
      <c r="R9" s="65" t="s">
        <v>38</v>
      </c>
    </row>
    <row r="10" spans="1:18" ht="15.75" customHeight="1">
      <c r="A10" s="64" t="s">
        <v>39</v>
      </c>
      <c r="B10" s="109">
        <f>_xlfn.COMPOUNDVALUE(683)</f>
        <v>2442</v>
      </c>
      <c r="C10" s="110">
        <v>10372705</v>
      </c>
      <c r="D10" s="109">
        <f>_xlfn.COMPOUNDVALUE(684)</f>
        <v>3011</v>
      </c>
      <c r="E10" s="110">
        <v>1293817</v>
      </c>
      <c r="F10" s="109">
        <f>_xlfn.COMPOUNDVALUE(685)</f>
        <v>5453</v>
      </c>
      <c r="G10" s="110">
        <v>11666521</v>
      </c>
      <c r="H10" s="109">
        <f>_xlfn.COMPOUNDVALUE(686)</f>
        <v>290</v>
      </c>
      <c r="I10" s="111">
        <v>1079079</v>
      </c>
      <c r="J10" s="109">
        <v>225</v>
      </c>
      <c r="K10" s="111">
        <v>79087</v>
      </c>
      <c r="L10" s="109">
        <v>5826</v>
      </c>
      <c r="M10" s="111">
        <v>10666530</v>
      </c>
      <c r="N10" s="190">
        <v>5896</v>
      </c>
      <c r="O10" s="191">
        <v>193</v>
      </c>
      <c r="P10" s="191">
        <v>11</v>
      </c>
      <c r="Q10" s="192">
        <v>6100</v>
      </c>
      <c r="R10" s="65" t="s">
        <v>39</v>
      </c>
    </row>
    <row r="11" spans="1:18" ht="15.75" customHeight="1">
      <c r="A11" s="64" t="s">
        <v>40</v>
      </c>
      <c r="B11" s="109">
        <f>_xlfn.COMPOUNDVALUE(687)</f>
        <v>6054</v>
      </c>
      <c r="C11" s="110">
        <v>36850484</v>
      </c>
      <c r="D11" s="109">
        <f>_xlfn.COMPOUNDVALUE(688)</f>
        <v>4252</v>
      </c>
      <c r="E11" s="110">
        <v>2796350</v>
      </c>
      <c r="F11" s="109">
        <f>_xlfn.COMPOUNDVALUE(689)</f>
        <v>10306</v>
      </c>
      <c r="G11" s="110">
        <v>39646834</v>
      </c>
      <c r="H11" s="109">
        <f>_xlfn.COMPOUNDVALUE(690)</f>
        <v>895</v>
      </c>
      <c r="I11" s="111">
        <v>3496396</v>
      </c>
      <c r="J11" s="109">
        <v>489</v>
      </c>
      <c r="K11" s="111">
        <v>60652</v>
      </c>
      <c r="L11" s="109">
        <v>11415</v>
      </c>
      <c r="M11" s="111">
        <v>36211090</v>
      </c>
      <c r="N11" s="190">
        <v>11828</v>
      </c>
      <c r="O11" s="191">
        <v>592</v>
      </c>
      <c r="P11" s="191">
        <v>33</v>
      </c>
      <c r="Q11" s="192">
        <v>12453</v>
      </c>
      <c r="R11" s="65" t="s">
        <v>40</v>
      </c>
    </row>
    <row r="12" spans="1:18" ht="15.75" customHeight="1">
      <c r="A12" s="64"/>
      <c r="B12" s="109"/>
      <c r="C12" s="110"/>
      <c r="D12" s="109"/>
      <c r="E12" s="110"/>
      <c r="F12" s="109"/>
      <c r="G12" s="110"/>
      <c r="H12" s="109"/>
      <c r="I12" s="111"/>
      <c r="J12" s="109"/>
      <c r="K12" s="111"/>
      <c r="L12" s="109"/>
      <c r="M12" s="111"/>
      <c r="N12" s="190"/>
      <c r="O12" s="191"/>
      <c r="P12" s="191"/>
      <c r="Q12" s="192"/>
      <c r="R12" s="65" t="s">
        <v>35</v>
      </c>
    </row>
    <row r="13" spans="1:18" ht="15.75" customHeight="1">
      <c r="A13" s="64" t="s">
        <v>41</v>
      </c>
      <c r="B13" s="109">
        <f>_xlfn.COMPOUNDVALUE(691)</f>
        <v>5392</v>
      </c>
      <c r="C13" s="110">
        <v>29804590</v>
      </c>
      <c r="D13" s="109">
        <f>_xlfn.COMPOUNDVALUE(692)</f>
        <v>3832</v>
      </c>
      <c r="E13" s="110">
        <v>2428787</v>
      </c>
      <c r="F13" s="109">
        <f>_xlfn.COMPOUNDVALUE(693)</f>
        <v>9224</v>
      </c>
      <c r="G13" s="110">
        <v>32233376</v>
      </c>
      <c r="H13" s="109">
        <f>_xlfn.COMPOUNDVALUE(694)</f>
        <v>690</v>
      </c>
      <c r="I13" s="111">
        <v>3205957</v>
      </c>
      <c r="J13" s="109">
        <v>492</v>
      </c>
      <c r="K13" s="111">
        <v>-27908</v>
      </c>
      <c r="L13" s="109">
        <v>10097</v>
      </c>
      <c r="M13" s="111">
        <v>28999511</v>
      </c>
      <c r="N13" s="190">
        <v>10660</v>
      </c>
      <c r="O13" s="191">
        <v>472</v>
      </c>
      <c r="P13" s="191">
        <v>31</v>
      </c>
      <c r="Q13" s="192">
        <v>11163</v>
      </c>
      <c r="R13" s="65" t="s">
        <v>41</v>
      </c>
    </row>
    <row r="14" spans="1:18" ht="15.75" customHeight="1">
      <c r="A14" s="64" t="s">
        <v>42</v>
      </c>
      <c r="B14" s="109">
        <f>_xlfn.COMPOUNDVALUE(695)</f>
        <v>1581</v>
      </c>
      <c r="C14" s="110">
        <v>5298885</v>
      </c>
      <c r="D14" s="109">
        <f>_xlfn.COMPOUNDVALUE(696)</f>
        <v>1304</v>
      </c>
      <c r="E14" s="110">
        <v>678527</v>
      </c>
      <c r="F14" s="109">
        <f>_xlfn.COMPOUNDVALUE(697)</f>
        <v>2885</v>
      </c>
      <c r="G14" s="110">
        <v>5977411</v>
      </c>
      <c r="H14" s="109">
        <f>_xlfn.COMPOUNDVALUE(698)</f>
        <v>252</v>
      </c>
      <c r="I14" s="111">
        <v>460204</v>
      </c>
      <c r="J14" s="109">
        <v>120</v>
      </c>
      <c r="K14" s="111">
        <v>12443</v>
      </c>
      <c r="L14" s="109">
        <v>3180</v>
      </c>
      <c r="M14" s="111">
        <v>5529651</v>
      </c>
      <c r="N14" s="190">
        <v>3141</v>
      </c>
      <c r="O14" s="191">
        <v>84</v>
      </c>
      <c r="P14" s="191">
        <v>4</v>
      </c>
      <c r="Q14" s="192">
        <v>3229</v>
      </c>
      <c r="R14" s="65" t="s">
        <v>42</v>
      </c>
    </row>
    <row r="15" spans="1:18" ht="15.75" customHeight="1">
      <c r="A15" s="64" t="s">
        <v>43</v>
      </c>
      <c r="B15" s="109">
        <f>_xlfn.COMPOUNDVALUE(699)</f>
        <v>3633</v>
      </c>
      <c r="C15" s="110">
        <v>19447748</v>
      </c>
      <c r="D15" s="109">
        <f>_xlfn.COMPOUNDVALUE(700)</f>
        <v>2714</v>
      </c>
      <c r="E15" s="110">
        <v>1592876</v>
      </c>
      <c r="F15" s="109">
        <f>_xlfn.COMPOUNDVALUE(701)</f>
        <v>6347</v>
      </c>
      <c r="G15" s="110">
        <v>21040624</v>
      </c>
      <c r="H15" s="109">
        <f>_xlfn.COMPOUNDVALUE(702)</f>
        <v>373</v>
      </c>
      <c r="I15" s="111">
        <v>3224941</v>
      </c>
      <c r="J15" s="109">
        <v>342</v>
      </c>
      <c r="K15" s="111">
        <v>93758</v>
      </c>
      <c r="L15" s="109">
        <v>6895</v>
      </c>
      <c r="M15" s="111">
        <v>17909441</v>
      </c>
      <c r="N15" s="190">
        <v>6805</v>
      </c>
      <c r="O15" s="191">
        <v>225</v>
      </c>
      <c r="P15" s="191">
        <v>16</v>
      </c>
      <c r="Q15" s="192">
        <v>7046</v>
      </c>
      <c r="R15" s="65" t="s">
        <v>43</v>
      </c>
    </row>
    <row r="16" spans="1:18" ht="15.75" customHeight="1">
      <c r="A16" s="66" t="s">
        <v>44</v>
      </c>
      <c r="B16" s="112">
        <v>6775</v>
      </c>
      <c r="C16" s="113">
        <v>31418348</v>
      </c>
      <c r="D16" s="112">
        <f>_xlfn.COMPOUNDVALUE(703)</f>
        <v>5250</v>
      </c>
      <c r="E16" s="113">
        <v>3261946</v>
      </c>
      <c r="F16" s="112">
        <f>_xlfn.COMPOUNDVALUE(704)</f>
        <v>12025</v>
      </c>
      <c r="G16" s="113">
        <v>34680294</v>
      </c>
      <c r="H16" s="112">
        <f>_xlfn.COMPOUNDVALUE(705)</f>
        <v>892</v>
      </c>
      <c r="I16" s="114">
        <v>2659924</v>
      </c>
      <c r="J16" s="112">
        <v>617</v>
      </c>
      <c r="K16" s="114">
        <v>254093</v>
      </c>
      <c r="L16" s="112">
        <v>13191</v>
      </c>
      <c r="M16" s="114">
        <v>32274463</v>
      </c>
      <c r="N16" s="190">
        <v>13571</v>
      </c>
      <c r="O16" s="191">
        <v>597</v>
      </c>
      <c r="P16" s="191">
        <v>23</v>
      </c>
      <c r="Q16" s="192">
        <v>14191</v>
      </c>
      <c r="R16" s="65" t="s">
        <v>44</v>
      </c>
    </row>
    <row r="17" spans="1:18" ht="15.75" customHeight="1">
      <c r="A17" s="66" t="s">
        <v>45</v>
      </c>
      <c r="B17" s="112">
        <f>_xlfn.COMPOUNDVALUE(706)</f>
        <v>1575</v>
      </c>
      <c r="C17" s="113">
        <v>6113979</v>
      </c>
      <c r="D17" s="112">
        <f>_xlfn.COMPOUNDVALUE(707)</f>
        <v>1332</v>
      </c>
      <c r="E17" s="113">
        <v>593581</v>
      </c>
      <c r="F17" s="112">
        <f>_xlfn.COMPOUNDVALUE(708)</f>
        <v>2907</v>
      </c>
      <c r="G17" s="113">
        <v>6707560</v>
      </c>
      <c r="H17" s="112">
        <f>_xlfn.COMPOUNDVALUE(709)</f>
        <v>223</v>
      </c>
      <c r="I17" s="114">
        <v>886647</v>
      </c>
      <c r="J17" s="112">
        <v>136</v>
      </c>
      <c r="K17" s="114">
        <v>41547</v>
      </c>
      <c r="L17" s="112">
        <v>3215</v>
      </c>
      <c r="M17" s="114">
        <v>5862460</v>
      </c>
      <c r="N17" s="190">
        <v>3846</v>
      </c>
      <c r="O17" s="191">
        <v>104</v>
      </c>
      <c r="P17" s="191">
        <v>6</v>
      </c>
      <c r="Q17" s="192">
        <v>3956</v>
      </c>
      <c r="R17" s="65" t="s">
        <v>45</v>
      </c>
    </row>
    <row r="18" spans="1:18" ht="15.75" customHeight="1">
      <c r="A18" s="66"/>
      <c r="B18" s="112"/>
      <c r="C18" s="113"/>
      <c r="D18" s="112"/>
      <c r="E18" s="113"/>
      <c r="F18" s="112"/>
      <c r="G18" s="113"/>
      <c r="H18" s="112"/>
      <c r="I18" s="114"/>
      <c r="J18" s="112"/>
      <c r="K18" s="114"/>
      <c r="L18" s="112"/>
      <c r="M18" s="114"/>
      <c r="N18" s="190"/>
      <c r="O18" s="191"/>
      <c r="P18" s="191"/>
      <c r="Q18" s="192"/>
      <c r="R18" s="65" t="s">
        <v>35</v>
      </c>
    </row>
    <row r="19" spans="1:18" ht="15.75" customHeight="1">
      <c r="A19" s="66" t="s">
        <v>46</v>
      </c>
      <c r="B19" s="112">
        <f>_xlfn.COMPOUNDVALUE(710)</f>
        <v>2492</v>
      </c>
      <c r="C19" s="113">
        <v>9464409</v>
      </c>
      <c r="D19" s="112">
        <f>_xlfn.COMPOUNDVALUE(711)</f>
        <v>1952</v>
      </c>
      <c r="E19" s="113">
        <v>1010847</v>
      </c>
      <c r="F19" s="112">
        <f>_xlfn.COMPOUNDVALUE(712)</f>
        <v>4444</v>
      </c>
      <c r="G19" s="113">
        <v>10475256</v>
      </c>
      <c r="H19" s="112">
        <f>_xlfn.COMPOUNDVALUE(713)</f>
        <v>298</v>
      </c>
      <c r="I19" s="114">
        <v>1087628</v>
      </c>
      <c r="J19" s="112">
        <v>176</v>
      </c>
      <c r="K19" s="114">
        <v>35442</v>
      </c>
      <c r="L19" s="112">
        <v>4826</v>
      </c>
      <c r="M19" s="114">
        <v>9423070</v>
      </c>
      <c r="N19" s="190">
        <v>4975</v>
      </c>
      <c r="O19" s="191">
        <v>177</v>
      </c>
      <c r="P19" s="191">
        <v>8</v>
      </c>
      <c r="Q19" s="192">
        <v>5160</v>
      </c>
      <c r="R19" s="65" t="s">
        <v>46</v>
      </c>
    </row>
    <row r="20" spans="1:18" ht="15.75" customHeight="1">
      <c r="A20" s="66" t="s">
        <v>47</v>
      </c>
      <c r="B20" s="112">
        <f>_xlfn.COMPOUNDVALUE(714)</f>
        <v>7189</v>
      </c>
      <c r="C20" s="113">
        <v>29705584</v>
      </c>
      <c r="D20" s="112">
        <f>_xlfn.COMPOUNDVALUE(715)</f>
        <v>5213</v>
      </c>
      <c r="E20" s="113">
        <v>2875106</v>
      </c>
      <c r="F20" s="112">
        <f>_xlfn.COMPOUNDVALUE(716)</f>
        <v>12402</v>
      </c>
      <c r="G20" s="113">
        <v>32580690</v>
      </c>
      <c r="H20" s="112">
        <f>_xlfn.COMPOUNDVALUE(717)</f>
        <v>1550</v>
      </c>
      <c r="I20" s="114">
        <v>14423718</v>
      </c>
      <c r="J20" s="112">
        <v>855</v>
      </c>
      <c r="K20" s="114">
        <v>102905</v>
      </c>
      <c r="L20" s="112">
        <v>14317</v>
      </c>
      <c r="M20" s="114">
        <v>18259877</v>
      </c>
      <c r="N20" s="190">
        <v>14078</v>
      </c>
      <c r="O20" s="191">
        <v>921</v>
      </c>
      <c r="P20" s="191">
        <v>34</v>
      </c>
      <c r="Q20" s="192">
        <v>15033</v>
      </c>
      <c r="R20" s="65" t="s">
        <v>47</v>
      </c>
    </row>
    <row r="21" spans="1:18" ht="15.75" customHeight="1">
      <c r="A21" s="66" t="s">
        <v>48</v>
      </c>
      <c r="B21" s="112">
        <f>_xlfn.COMPOUNDVALUE(718)</f>
        <v>2393</v>
      </c>
      <c r="C21" s="113">
        <v>9446627</v>
      </c>
      <c r="D21" s="112">
        <f>_xlfn.COMPOUNDVALUE(719)</f>
        <v>2200</v>
      </c>
      <c r="E21" s="113">
        <v>1082731</v>
      </c>
      <c r="F21" s="112">
        <f>_xlfn.COMPOUNDVALUE(720)</f>
        <v>4593</v>
      </c>
      <c r="G21" s="113">
        <v>10529357</v>
      </c>
      <c r="H21" s="112">
        <f>_xlfn.COMPOUNDVALUE(721)</f>
        <v>373</v>
      </c>
      <c r="I21" s="114">
        <v>728015</v>
      </c>
      <c r="J21" s="112">
        <v>315</v>
      </c>
      <c r="K21" s="114">
        <v>70351</v>
      </c>
      <c r="L21" s="112">
        <v>5116</v>
      </c>
      <c r="M21" s="114">
        <v>9871693</v>
      </c>
      <c r="N21" s="190">
        <v>5226</v>
      </c>
      <c r="O21" s="191">
        <v>200</v>
      </c>
      <c r="P21" s="191">
        <v>16</v>
      </c>
      <c r="Q21" s="192">
        <v>5442</v>
      </c>
      <c r="R21" s="65" t="s">
        <v>48</v>
      </c>
    </row>
    <row r="22" spans="1:18" ht="15.75" customHeight="1">
      <c r="A22" s="66" t="s">
        <v>149</v>
      </c>
      <c r="B22" s="112">
        <f>_xlfn.COMPOUNDVALUE(722)</f>
        <v>6816</v>
      </c>
      <c r="C22" s="113">
        <v>34474362</v>
      </c>
      <c r="D22" s="112">
        <f>_xlfn.COMPOUNDVALUE(723)</f>
        <v>5070</v>
      </c>
      <c r="E22" s="113">
        <v>3127786</v>
      </c>
      <c r="F22" s="112">
        <f>_xlfn.COMPOUNDVALUE(724)</f>
        <v>11886</v>
      </c>
      <c r="G22" s="113">
        <v>37602147</v>
      </c>
      <c r="H22" s="112">
        <f>_xlfn.COMPOUNDVALUE(725)</f>
        <v>983</v>
      </c>
      <c r="I22" s="114">
        <v>3917089</v>
      </c>
      <c r="J22" s="112">
        <v>547</v>
      </c>
      <c r="K22" s="114">
        <v>68320</v>
      </c>
      <c r="L22" s="112">
        <v>13137</v>
      </c>
      <c r="M22" s="114">
        <v>33753379</v>
      </c>
      <c r="N22" s="190">
        <v>13122</v>
      </c>
      <c r="O22" s="191">
        <v>673</v>
      </c>
      <c r="P22" s="191">
        <v>43</v>
      </c>
      <c r="Q22" s="192">
        <v>13838</v>
      </c>
      <c r="R22" s="65" t="s">
        <v>49</v>
      </c>
    </row>
    <row r="23" spans="1:18" ht="15.75" customHeight="1">
      <c r="A23" s="130" t="s">
        <v>50</v>
      </c>
      <c r="B23" s="131">
        <v>62747</v>
      </c>
      <c r="C23" s="132">
        <v>384154179</v>
      </c>
      <c r="D23" s="131">
        <v>46361</v>
      </c>
      <c r="E23" s="132">
        <v>27499549</v>
      </c>
      <c r="F23" s="131">
        <v>109108</v>
      </c>
      <c r="G23" s="132">
        <v>411653729</v>
      </c>
      <c r="H23" s="131">
        <v>8953</v>
      </c>
      <c r="I23" s="133">
        <v>51263430</v>
      </c>
      <c r="J23" s="131">
        <v>5896</v>
      </c>
      <c r="K23" s="133">
        <v>855189</v>
      </c>
      <c r="L23" s="131">
        <v>120599</v>
      </c>
      <c r="M23" s="133">
        <v>361245487</v>
      </c>
      <c r="N23" s="193">
        <v>123557</v>
      </c>
      <c r="O23" s="194">
        <v>5552</v>
      </c>
      <c r="P23" s="194">
        <v>322</v>
      </c>
      <c r="Q23" s="195">
        <v>129431</v>
      </c>
      <c r="R23" s="134" t="s">
        <v>51</v>
      </c>
    </row>
    <row r="24" spans="1:18" ht="15.75" customHeight="1">
      <c r="A24" s="135"/>
      <c r="B24" s="136"/>
      <c r="C24" s="137"/>
      <c r="D24" s="136"/>
      <c r="E24" s="137"/>
      <c r="F24" s="138"/>
      <c r="G24" s="137"/>
      <c r="H24" s="138"/>
      <c r="I24" s="137"/>
      <c r="J24" s="138"/>
      <c r="K24" s="137"/>
      <c r="L24" s="138"/>
      <c r="M24" s="137"/>
      <c r="N24" s="196"/>
      <c r="O24" s="197"/>
      <c r="P24" s="197"/>
      <c r="Q24" s="198"/>
      <c r="R24" s="139" t="s">
        <v>35</v>
      </c>
    </row>
    <row r="25" spans="1:18" ht="15.75" customHeight="1">
      <c r="A25" s="64" t="s">
        <v>52</v>
      </c>
      <c r="B25" s="109">
        <f>_xlfn.COMPOUNDVALUE(726)</f>
        <v>12883</v>
      </c>
      <c r="C25" s="110">
        <v>1387628615</v>
      </c>
      <c r="D25" s="109">
        <f>_xlfn.COMPOUNDVALUE(727)</f>
        <v>3500</v>
      </c>
      <c r="E25" s="110">
        <v>3281306</v>
      </c>
      <c r="F25" s="109">
        <f>_xlfn.COMPOUNDVALUE(728)</f>
        <v>16383</v>
      </c>
      <c r="G25" s="110">
        <v>1390909921</v>
      </c>
      <c r="H25" s="109">
        <f>_xlfn.COMPOUNDVALUE(729)</f>
        <v>5206</v>
      </c>
      <c r="I25" s="111">
        <v>605588140</v>
      </c>
      <c r="J25" s="109">
        <v>935</v>
      </c>
      <c r="K25" s="111">
        <v>3125505</v>
      </c>
      <c r="L25" s="109">
        <v>21770</v>
      </c>
      <c r="M25" s="111">
        <v>788447286</v>
      </c>
      <c r="N25" s="190">
        <v>17433</v>
      </c>
      <c r="O25" s="191">
        <v>4927</v>
      </c>
      <c r="P25" s="191">
        <v>554</v>
      </c>
      <c r="Q25" s="192">
        <v>22914</v>
      </c>
      <c r="R25" s="74" t="s">
        <v>52</v>
      </c>
    </row>
    <row r="26" spans="1:18" ht="15.75" customHeight="1">
      <c r="A26" s="64" t="s">
        <v>53</v>
      </c>
      <c r="B26" s="109">
        <f>_xlfn.COMPOUNDVALUE(730)</f>
        <v>12211</v>
      </c>
      <c r="C26" s="110">
        <v>394039664</v>
      </c>
      <c r="D26" s="109">
        <f>_xlfn.COMPOUNDVALUE(731)</f>
        <v>3357</v>
      </c>
      <c r="E26" s="110">
        <v>3128496</v>
      </c>
      <c r="F26" s="109">
        <f>_xlfn.COMPOUNDVALUE(732)</f>
        <v>15568</v>
      </c>
      <c r="G26" s="110">
        <v>397168160</v>
      </c>
      <c r="H26" s="109">
        <f>_xlfn.COMPOUNDVALUE(733)</f>
        <v>2756</v>
      </c>
      <c r="I26" s="111">
        <v>92150193</v>
      </c>
      <c r="J26" s="109">
        <v>861</v>
      </c>
      <c r="K26" s="111">
        <v>159502</v>
      </c>
      <c r="L26" s="109">
        <v>18549</v>
      </c>
      <c r="M26" s="111">
        <v>305177470</v>
      </c>
      <c r="N26" s="190">
        <v>17427</v>
      </c>
      <c r="O26" s="191">
        <v>1551</v>
      </c>
      <c r="P26" s="191">
        <v>296</v>
      </c>
      <c r="Q26" s="192">
        <v>19274</v>
      </c>
      <c r="R26" s="65" t="s">
        <v>53</v>
      </c>
    </row>
    <row r="27" spans="1:18" ht="15.75" customHeight="1">
      <c r="A27" s="64" t="s">
        <v>54</v>
      </c>
      <c r="B27" s="109">
        <f>_xlfn.COMPOUNDVALUE(734)</f>
        <v>10022</v>
      </c>
      <c r="C27" s="110">
        <v>474088575</v>
      </c>
      <c r="D27" s="109">
        <f>_xlfn.COMPOUNDVALUE(735)</f>
        <v>2549</v>
      </c>
      <c r="E27" s="110">
        <v>2021519</v>
      </c>
      <c r="F27" s="109">
        <f>_xlfn.COMPOUNDVALUE(736)</f>
        <v>12571</v>
      </c>
      <c r="G27" s="110">
        <v>476110094</v>
      </c>
      <c r="H27" s="109">
        <f>_xlfn.COMPOUNDVALUE(737)</f>
        <v>3095</v>
      </c>
      <c r="I27" s="111">
        <v>146004759</v>
      </c>
      <c r="J27" s="109">
        <v>553</v>
      </c>
      <c r="K27" s="111">
        <v>351579</v>
      </c>
      <c r="L27" s="109">
        <v>15782</v>
      </c>
      <c r="M27" s="111">
        <v>330456914</v>
      </c>
      <c r="N27" s="190">
        <v>14006</v>
      </c>
      <c r="O27" s="191">
        <v>1866</v>
      </c>
      <c r="P27" s="191">
        <v>347</v>
      </c>
      <c r="Q27" s="192">
        <v>16219</v>
      </c>
      <c r="R27" s="65" t="s">
        <v>54</v>
      </c>
    </row>
    <row r="28" spans="1:18" ht="15.75" customHeight="1">
      <c r="A28" s="64" t="s">
        <v>55</v>
      </c>
      <c r="B28" s="109">
        <f>_xlfn.COMPOUNDVALUE(738)</f>
        <v>12411</v>
      </c>
      <c r="C28" s="110">
        <v>462979583</v>
      </c>
      <c r="D28" s="109">
        <f>_xlfn.COMPOUNDVALUE(739)</f>
        <v>3881</v>
      </c>
      <c r="E28" s="110">
        <v>3148380</v>
      </c>
      <c r="F28" s="109">
        <f>_xlfn.COMPOUNDVALUE(740)</f>
        <v>16292</v>
      </c>
      <c r="G28" s="110">
        <v>466127963</v>
      </c>
      <c r="H28" s="109">
        <f>_xlfn.COMPOUNDVALUE(741)</f>
        <v>3785</v>
      </c>
      <c r="I28" s="111">
        <v>88895662</v>
      </c>
      <c r="J28" s="109">
        <v>840</v>
      </c>
      <c r="K28" s="111">
        <v>1159842</v>
      </c>
      <c r="L28" s="109">
        <v>20333</v>
      </c>
      <c r="M28" s="111">
        <v>378392144</v>
      </c>
      <c r="N28" s="190">
        <v>19699</v>
      </c>
      <c r="O28" s="191">
        <v>1797</v>
      </c>
      <c r="P28" s="191">
        <v>309</v>
      </c>
      <c r="Q28" s="192">
        <v>21805</v>
      </c>
      <c r="R28" s="65" t="s">
        <v>55</v>
      </c>
    </row>
    <row r="29" spans="1:18" ht="15.75" customHeight="1">
      <c r="A29" s="64" t="s">
        <v>150</v>
      </c>
      <c r="B29" s="109">
        <f>_xlfn.COMPOUNDVALUE(742)</f>
        <v>17648</v>
      </c>
      <c r="C29" s="110">
        <v>1134946769</v>
      </c>
      <c r="D29" s="109">
        <f>_xlfn.COMPOUNDVALUE(743)</f>
        <v>5024</v>
      </c>
      <c r="E29" s="110">
        <v>4734671</v>
      </c>
      <c r="F29" s="109">
        <f>_xlfn.COMPOUNDVALUE(744)</f>
        <v>22672</v>
      </c>
      <c r="G29" s="110">
        <v>1139681440</v>
      </c>
      <c r="H29" s="109">
        <f>_xlfn.COMPOUNDVALUE(745)</f>
        <v>5837</v>
      </c>
      <c r="I29" s="111">
        <v>514754446</v>
      </c>
      <c r="J29" s="109">
        <v>1664</v>
      </c>
      <c r="K29" s="111">
        <v>443182</v>
      </c>
      <c r="L29" s="109">
        <v>28889</v>
      </c>
      <c r="M29" s="111">
        <v>625370176</v>
      </c>
      <c r="N29" s="190">
        <v>26355</v>
      </c>
      <c r="O29" s="191">
        <v>3916</v>
      </c>
      <c r="P29" s="191">
        <v>630</v>
      </c>
      <c r="Q29" s="192">
        <v>30901</v>
      </c>
      <c r="R29" s="65" t="s">
        <v>56</v>
      </c>
    </row>
    <row r="30" spans="1:18" ht="15.75" customHeight="1">
      <c r="A30" s="64"/>
      <c r="B30" s="109"/>
      <c r="C30" s="110"/>
      <c r="D30" s="109"/>
      <c r="E30" s="110"/>
      <c r="F30" s="109"/>
      <c r="G30" s="110"/>
      <c r="H30" s="109"/>
      <c r="I30" s="111"/>
      <c r="J30" s="109"/>
      <c r="K30" s="111"/>
      <c r="L30" s="109"/>
      <c r="M30" s="111"/>
      <c r="N30" s="190"/>
      <c r="O30" s="191"/>
      <c r="P30" s="191"/>
      <c r="Q30" s="192"/>
      <c r="R30" s="65" t="s">
        <v>35</v>
      </c>
    </row>
    <row r="31" spans="1:18" ht="15.75" customHeight="1">
      <c r="A31" s="64" t="s">
        <v>57</v>
      </c>
      <c r="B31" s="109">
        <f>_xlfn.COMPOUNDVALUE(746)</f>
        <v>16327</v>
      </c>
      <c r="C31" s="110">
        <v>542907657</v>
      </c>
      <c r="D31" s="109">
        <f>_xlfn.COMPOUNDVALUE(747)</f>
        <v>5247</v>
      </c>
      <c r="E31" s="110">
        <v>4639782</v>
      </c>
      <c r="F31" s="109">
        <f>_xlfn.COMPOUNDVALUE(748)</f>
        <v>21574</v>
      </c>
      <c r="G31" s="110">
        <v>547547439</v>
      </c>
      <c r="H31" s="109">
        <f>_xlfn.COMPOUNDVALUE(749)</f>
        <v>4772</v>
      </c>
      <c r="I31" s="111">
        <v>266368097</v>
      </c>
      <c r="J31" s="109">
        <v>1303</v>
      </c>
      <c r="K31" s="111">
        <v>1946822</v>
      </c>
      <c r="L31" s="109">
        <v>26741</v>
      </c>
      <c r="M31" s="111">
        <v>283126165</v>
      </c>
      <c r="N31" s="190">
        <v>26977</v>
      </c>
      <c r="O31" s="191">
        <v>3235</v>
      </c>
      <c r="P31" s="191">
        <v>635</v>
      </c>
      <c r="Q31" s="192">
        <v>30847</v>
      </c>
      <c r="R31" s="65" t="s">
        <v>57</v>
      </c>
    </row>
    <row r="32" spans="1:18" ht="15.75" customHeight="1">
      <c r="A32" s="64" t="s">
        <v>58</v>
      </c>
      <c r="B32" s="109">
        <f>_xlfn.COMPOUNDVALUE(750)</f>
        <v>8224</v>
      </c>
      <c r="C32" s="110">
        <v>306700717</v>
      </c>
      <c r="D32" s="109">
        <f>_xlfn.COMPOUNDVALUE(751)</f>
        <v>3234</v>
      </c>
      <c r="E32" s="110">
        <v>2302975</v>
      </c>
      <c r="F32" s="109">
        <f>_xlfn.COMPOUNDVALUE(752)</f>
        <v>11458</v>
      </c>
      <c r="G32" s="110">
        <v>309003693</v>
      </c>
      <c r="H32" s="109">
        <f>_xlfn.COMPOUNDVALUE(753)</f>
        <v>1833</v>
      </c>
      <c r="I32" s="111">
        <v>97501227</v>
      </c>
      <c r="J32" s="109">
        <v>674</v>
      </c>
      <c r="K32" s="111">
        <v>-429814</v>
      </c>
      <c r="L32" s="109">
        <v>13482</v>
      </c>
      <c r="M32" s="111">
        <v>211072652</v>
      </c>
      <c r="N32" s="190">
        <v>13597</v>
      </c>
      <c r="O32" s="191">
        <v>1125</v>
      </c>
      <c r="P32" s="191">
        <v>185</v>
      </c>
      <c r="Q32" s="192">
        <v>14907</v>
      </c>
      <c r="R32" s="65" t="s">
        <v>58</v>
      </c>
    </row>
    <row r="33" spans="1:18" ht="15.75" customHeight="1">
      <c r="A33" s="64" t="s">
        <v>59</v>
      </c>
      <c r="B33" s="109">
        <f>_xlfn.COMPOUNDVALUE(754)</f>
        <v>9220</v>
      </c>
      <c r="C33" s="110">
        <v>173268512</v>
      </c>
      <c r="D33" s="109">
        <f>_xlfn.COMPOUNDVALUE(755)</f>
        <v>3906</v>
      </c>
      <c r="E33" s="110">
        <v>3038017</v>
      </c>
      <c r="F33" s="109">
        <f>_xlfn.COMPOUNDVALUE(756)</f>
        <v>13126</v>
      </c>
      <c r="G33" s="110">
        <v>176306529</v>
      </c>
      <c r="H33" s="109">
        <f>_xlfn.COMPOUNDVALUE(757)</f>
        <v>1738</v>
      </c>
      <c r="I33" s="111">
        <v>25555851</v>
      </c>
      <c r="J33" s="109">
        <v>764</v>
      </c>
      <c r="K33" s="111">
        <v>701701</v>
      </c>
      <c r="L33" s="109">
        <v>15111</v>
      </c>
      <c r="M33" s="111">
        <v>151452379</v>
      </c>
      <c r="N33" s="190">
        <v>15608</v>
      </c>
      <c r="O33" s="191">
        <v>1015</v>
      </c>
      <c r="P33" s="191">
        <v>169</v>
      </c>
      <c r="Q33" s="192">
        <v>16792</v>
      </c>
      <c r="R33" s="65" t="s">
        <v>59</v>
      </c>
    </row>
    <row r="34" spans="1:18" ht="15.75" customHeight="1">
      <c r="A34" s="64" t="s">
        <v>60</v>
      </c>
      <c r="B34" s="109">
        <f>_xlfn.COMPOUNDVALUE(758)</f>
        <v>10476</v>
      </c>
      <c r="C34" s="110">
        <v>442807197</v>
      </c>
      <c r="D34" s="109">
        <f>_xlfn.COMPOUNDVALUE(759)</f>
        <v>3680</v>
      </c>
      <c r="E34" s="110">
        <v>2921511</v>
      </c>
      <c r="F34" s="109">
        <f>_xlfn.COMPOUNDVALUE(760)</f>
        <v>14156</v>
      </c>
      <c r="G34" s="110">
        <v>445728708</v>
      </c>
      <c r="H34" s="109">
        <f>_xlfn.COMPOUNDVALUE(761)</f>
        <v>2676</v>
      </c>
      <c r="I34" s="111">
        <v>49886410</v>
      </c>
      <c r="J34" s="109">
        <v>1029</v>
      </c>
      <c r="K34" s="111">
        <v>1080228</v>
      </c>
      <c r="L34" s="109">
        <v>17289</v>
      </c>
      <c r="M34" s="111">
        <v>396922526</v>
      </c>
      <c r="N34" s="190">
        <v>17269</v>
      </c>
      <c r="O34" s="191">
        <v>1530</v>
      </c>
      <c r="P34" s="191">
        <v>272</v>
      </c>
      <c r="Q34" s="192">
        <v>19071</v>
      </c>
      <c r="R34" s="65" t="s">
        <v>60</v>
      </c>
    </row>
    <row r="35" spans="1:18" ht="15.75" customHeight="1">
      <c r="A35" s="64" t="s">
        <v>61</v>
      </c>
      <c r="B35" s="109">
        <f>_xlfn.COMPOUNDVALUE(762)</f>
        <v>2775</v>
      </c>
      <c r="C35" s="110">
        <v>61759199</v>
      </c>
      <c r="D35" s="109">
        <f>_xlfn.COMPOUNDVALUE(763)</f>
        <v>1796</v>
      </c>
      <c r="E35" s="110">
        <v>1298654</v>
      </c>
      <c r="F35" s="109">
        <f>_xlfn.COMPOUNDVALUE(764)</f>
        <v>4571</v>
      </c>
      <c r="G35" s="110">
        <v>63057854</v>
      </c>
      <c r="H35" s="109">
        <f>_xlfn.COMPOUNDVALUE(765)</f>
        <v>457</v>
      </c>
      <c r="I35" s="111">
        <v>5809785</v>
      </c>
      <c r="J35" s="109">
        <v>231</v>
      </c>
      <c r="K35" s="111">
        <v>77788</v>
      </c>
      <c r="L35" s="109">
        <v>5099</v>
      </c>
      <c r="M35" s="111">
        <v>57325856</v>
      </c>
      <c r="N35" s="190">
        <v>5415</v>
      </c>
      <c r="O35" s="191">
        <v>280</v>
      </c>
      <c r="P35" s="191">
        <v>33</v>
      </c>
      <c r="Q35" s="192">
        <v>5728</v>
      </c>
      <c r="R35" s="65" t="s">
        <v>61</v>
      </c>
    </row>
    <row r="36" spans="1:18" ht="15.75" customHeight="1">
      <c r="A36" s="64"/>
      <c r="B36" s="109"/>
      <c r="C36" s="110"/>
      <c r="D36" s="109"/>
      <c r="E36" s="110"/>
      <c r="F36" s="109"/>
      <c r="G36" s="110"/>
      <c r="H36" s="109"/>
      <c r="I36" s="111"/>
      <c r="J36" s="109"/>
      <c r="K36" s="111"/>
      <c r="L36" s="109"/>
      <c r="M36" s="111"/>
      <c r="N36" s="190"/>
      <c r="O36" s="191"/>
      <c r="P36" s="191"/>
      <c r="Q36" s="192"/>
      <c r="R36" s="65" t="s">
        <v>35</v>
      </c>
    </row>
    <row r="37" spans="1:18" ht="15.75" customHeight="1">
      <c r="A37" s="64" t="s">
        <v>62</v>
      </c>
      <c r="B37" s="109">
        <f>_xlfn.COMPOUNDVALUE(766)</f>
        <v>3719</v>
      </c>
      <c r="C37" s="110">
        <v>54185582</v>
      </c>
      <c r="D37" s="109">
        <f>_xlfn.COMPOUNDVALUE(767)</f>
        <v>1946</v>
      </c>
      <c r="E37" s="110">
        <v>1379945</v>
      </c>
      <c r="F37" s="109">
        <f>_xlfn.COMPOUNDVALUE(768)</f>
        <v>5665</v>
      </c>
      <c r="G37" s="110">
        <v>55565526</v>
      </c>
      <c r="H37" s="109">
        <f>_xlfn.COMPOUNDVALUE(769)</f>
        <v>648</v>
      </c>
      <c r="I37" s="111">
        <v>6036172</v>
      </c>
      <c r="J37" s="109">
        <v>243</v>
      </c>
      <c r="K37" s="111">
        <v>150027</v>
      </c>
      <c r="L37" s="109">
        <v>6371</v>
      </c>
      <c r="M37" s="111">
        <v>49679381</v>
      </c>
      <c r="N37" s="190">
        <v>6507</v>
      </c>
      <c r="O37" s="191">
        <v>413</v>
      </c>
      <c r="P37" s="191">
        <v>57</v>
      </c>
      <c r="Q37" s="192">
        <v>6977</v>
      </c>
      <c r="R37" s="65" t="s">
        <v>62</v>
      </c>
    </row>
    <row r="38" spans="1:18" ht="15.75" customHeight="1">
      <c r="A38" s="64" t="s">
        <v>63</v>
      </c>
      <c r="B38" s="109">
        <f>_xlfn.COMPOUNDVALUE(770)</f>
        <v>5752</v>
      </c>
      <c r="C38" s="110">
        <v>97345201</v>
      </c>
      <c r="D38" s="109">
        <f>_xlfn.COMPOUNDVALUE(771)</f>
        <v>2278</v>
      </c>
      <c r="E38" s="110">
        <v>1578951</v>
      </c>
      <c r="F38" s="109">
        <f>_xlfn.COMPOUNDVALUE(772)</f>
        <v>8030</v>
      </c>
      <c r="G38" s="110">
        <v>98924152</v>
      </c>
      <c r="H38" s="109">
        <f>_xlfn.COMPOUNDVALUE(773)</f>
        <v>1404</v>
      </c>
      <c r="I38" s="111">
        <v>32006195</v>
      </c>
      <c r="J38" s="109">
        <v>349</v>
      </c>
      <c r="K38" s="111">
        <v>2062925</v>
      </c>
      <c r="L38" s="109">
        <v>9530</v>
      </c>
      <c r="M38" s="111">
        <v>68980882</v>
      </c>
      <c r="N38" s="190">
        <v>9277</v>
      </c>
      <c r="O38" s="191">
        <v>557</v>
      </c>
      <c r="P38" s="191">
        <v>94</v>
      </c>
      <c r="Q38" s="192">
        <v>9928</v>
      </c>
      <c r="R38" s="65" t="s">
        <v>63</v>
      </c>
    </row>
    <row r="39" spans="1:18" ht="15.75" customHeight="1">
      <c r="A39" s="64" t="s">
        <v>64</v>
      </c>
      <c r="B39" s="109">
        <f>_xlfn.COMPOUNDVALUE(774)</f>
        <v>5334</v>
      </c>
      <c r="C39" s="110">
        <v>90489645</v>
      </c>
      <c r="D39" s="109">
        <f>_xlfn.COMPOUNDVALUE(775)</f>
        <v>2519</v>
      </c>
      <c r="E39" s="110">
        <v>1479290</v>
      </c>
      <c r="F39" s="109">
        <f>_xlfn.COMPOUNDVALUE(776)</f>
        <v>7853</v>
      </c>
      <c r="G39" s="110">
        <v>91968935</v>
      </c>
      <c r="H39" s="109">
        <f>_xlfn.COMPOUNDVALUE(777)</f>
        <v>1212</v>
      </c>
      <c r="I39" s="111">
        <v>4350879</v>
      </c>
      <c r="J39" s="109">
        <v>306</v>
      </c>
      <c r="K39" s="111">
        <v>2276627</v>
      </c>
      <c r="L39" s="109">
        <v>9174</v>
      </c>
      <c r="M39" s="111">
        <v>89894684</v>
      </c>
      <c r="N39" s="190">
        <v>9365</v>
      </c>
      <c r="O39" s="191">
        <v>666</v>
      </c>
      <c r="P39" s="191">
        <v>69</v>
      </c>
      <c r="Q39" s="192">
        <v>10100</v>
      </c>
      <c r="R39" s="65" t="s">
        <v>64</v>
      </c>
    </row>
    <row r="40" spans="1:18" ht="15.75" customHeight="1">
      <c r="A40" s="64" t="s">
        <v>65</v>
      </c>
      <c r="B40" s="109">
        <f>_xlfn.COMPOUNDVALUE(778)</f>
        <v>4649</v>
      </c>
      <c r="C40" s="110">
        <v>96685710</v>
      </c>
      <c r="D40" s="109">
        <f>_xlfn.COMPOUNDVALUE(779)</f>
        <v>2116</v>
      </c>
      <c r="E40" s="110">
        <v>1326275</v>
      </c>
      <c r="F40" s="109">
        <f>_xlfn.COMPOUNDVALUE(780)</f>
        <v>6765</v>
      </c>
      <c r="G40" s="110">
        <v>98011985</v>
      </c>
      <c r="H40" s="109">
        <f>_xlfn.COMPOUNDVALUE(781)</f>
        <v>748</v>
      </c>
      <c r="I40" s="111">
        <v>6653845</v>
      </c>
      <c r="J40" s="109">
        <v>252</v>
      </c>
      <c r="K40" s="111">
        <v>235067</v>
      </c>
      <c r="L40" s="109">
        <v>7587</v>
      </c>
      <c r="M40" s="111">
        <v>91593207</v>
      </c>
      <c r="N40" s="190">
        <v>7742</v>
      </c>
      <c r="O40" s="191">
        <v>374</v>
      </c>
      <c r="P40" s="191">
        <v>51</v>
      </c>
      <c r="Q40" s="192">
        <v>8167</v>
      </c>
      <c r="R40" s="65" t="s">
        <v>65</v>
      </c>
    </row>
    <row r="41" spans="1:18" ht="15.75" customHeight="1">
      <c r="A41" s="64" t="s">
        <v>66</v>
      </c>
      <c r="B41" s="109">
        <f>_xlfn.COMPOUNDVALUE(782)</f>
        <v>1720</v>
      </c>
      <c r="C41" s="110">
        <v>13137815</v>
      </c>
      <c r="D41" s="109">
        <f>_xlfn.COMPOUNDVALUE(783)</f>
        <v>1157</v>
      </c>
      <c r="E41" s="110">
        <v>609225</v>
      </c>
      <c r="F41" s="109">
        <f>_xlfn.COMPOUNDVALUE(784)</f>
        <v>2877</v>
      </c>
      <c r="G41" s="110">
        <v>13747040</v>
      </c>
      <c r="H41" s="109">
        <f>_xlfn.COMPOUNDVALUE(785)</f>
        <v>265</v>
      </c>
      <c r="I41" s="111">
        <v>504283</v>
      </c>
      <c r="J41" s="109">
        <v>121</v>
      </c>
      <c r="K41" s="111">
        <v>70669</v>
      </c>
      <c r="L41" s="109">
        <v>3190</v>
      </c>
      <c r="M41" s="111">
        <v>13313425</v>
      </c>
      <c r="N41" s="190">
        <v>3281</v>
      </c>
      <c r="O41" s="191">
        <v>114</v>
      </c>
      <c r="P41" s="191">
        <v>7</v>
      </c>
      <c r="Q41" s="192">
        <v>3402</v>
      </c>
      <c r="R41" s="65" t="s">
        <v>66</v>
      </c>
    </row>
    <row r="42" spans="1:18" ht="15.75" customHeight="1">
      <c r="A42" s="91"/>
      <c r="B42" s="109"/>
      <c r="C42" s="110"/>
      <c r="D42" s="109"/>
      <c r="E42" s="110"/>
      <c r="F42" s="109"/>
      <c r="G42" s="110"/>
      <c r="H42" s="109"/>
      <c r="I42" s="111"/>
      <c r="J42" s="109"/>
      <c r="K42" s="111"/>
      <c r="L42" s="109"/>
      <c r="M42" s="111"/>
      <c r="N42" s="190"/>
      <c r="O42" s="191"/>
      <c r="P42" s="191"/>
      <c r="Q42" s="192"/>
      <c r="R42" s="92" t="s">
        <v>35</v>
      </c>
    </row>
    <row r="43" spans="1:18" ht="15.75" customHeight="1">
      <c r="A43" s="86" t="s">
        <v>67</v>
      </c>
      <c r="B43" s="109">
        <f>_xlfn.COMPOUNDVALUE(786)</f>
        <v>6193</v>
      </c>
      <c r="C43" s="110">
        <v>201062273</v>
      </c>
      <c r="D43" s="109">
        <f>_xlfn.COMPOUNDVALUE(787)</f>
        <v>2725</v>
      </c>
      <c r="E43" s="110">
        <v>1779679</v>
      </c>
      <c r="F43" s="109">
        <f>_xlfn.COMPOUNDVALUE(788)</f>
        <v>8918</v>
      </c>
      <c r="G43" s="110">
        <v>202841952</v>
      </c>
      <c r="H43" s="109">
        <f>_xlfn.COMPOUNDVALUE(789)</f>
        <v>1299</v>
      </c>
      <c r="I43" s="111">
        <v>32874039</v>
      </c>
      <c r="J43" s="109">
        <v>551</v>
      </c>
      <c r="K43" s="111">
        <v>2503474</v>
      </c>
      <c r="L43" s="109">
        <v>10438</v>
      </c>
      <c r="M43" s="111">
        <v>172471387</v>
      </c>
      <c r="N43" s="190">
        <v>10211</v>
      </c>
      <c r="O43" s="191">
        <v>688</v>
      </c>
      <c r="P43" s="191">
        <v>75</v>
      </c>
      <c r="Q43" s="192">
        <v>10974</v>
      </c>
      <c r="R43" s="85" t="s">
        <v>67</v>
      </c>
    </row>
    <row r="44" spans="1:18" ht="15.75" customHeight="1">
      <c r="A44" s="64" t="s">
        <v>68</v>
      </c>
      <c r="B44" s="109">
        <f>_xlfn.COMPOUNDVALUE(790)</f>
        <v>2985</v>
      </c>
      <c r="C44" s="110">
        <v>67256516</v>
      </c>
      <c r="D44" s="109">
        <f>_xlfn.COMPOUNDVALUE(791)</f>
        <v>1822</v>
      </c>
      <c r="E44" s="110">
        <v>1109584</v>
      </c>
      <c r="F44" s="109">
        <f>_xlfn.COMPOUNDVALUE(792)</f>
        <v>4807</v>
      </c>
      <c r="G44" s="110">
        <v>68366100</v>
      </c>
      <c r="H44" s="109">
        <f>_xlfn.COMPOUNDVALUE(793)</f>
        <v>555</v>
      </c>
      <c r="I44" s="111">
        <v>4074540</v>
      </c>
      <c r="J44" s="109">
        <v>277</v>
      </c>
      <c r="K44" s="111">
        <v>319611</v>
      </c>
      <c r="L44" s="109">
        <v>5510</v>
      </c>
      <c r="M44" s="111">
        <v>64611171</v>
      </c>
      <c r="N44" s="190">
        <v>5558</v>
      </c>
      <c r="O44" s="191">
        <v>285</v>
      </c>
      <c r="P44" s="191">
        <v>17</v>
      </c>
      <c r="Q44" s="192">
        <v>5860</v>
      </c>
      <c r="R44" s="65" t="s">
        <v>68</v>
      </c>
    </row>
    <row r="45" spans="1:18" ht="15.75" customHeight="1">
      <c r="A45" s="64" t="s">
        <v>69</v>
      </c>
      <c r="B45" s="109">
        <f>_xlfn.COMPOUNDVALUE(794)</f>
        <v>2176</v>
      </c>
      <c r="C45" s="110">
        <v>15513511</v>
      </c>
      <c r="D45" s="109">
        <f>_xlfn.COMPOUNDVALUE(795)</f>
        <v>1581</v>
      </c>
      <c r="E45" s="110">
        <v>934819</v>
      </c>
      <c r="F45" s="109">
        <f>_xlfn.COMPOUNDVALUE(796)</f>
        <v>3757</v>
      </c>
      <c r="G45" s="110">
        <v>16448329</v>
      </c>
      <c r="H45" s="109">
        <f>_xlfn.COMPOUNDVALUE(797)</f>
        <v>338</v>
      </c>
      <c r="I45" s="111">
        <v>1064635</v>
      </c>
      <c r="J45" s="109">
        <v>193</v>
      </c>
      <c r="K45" s="111">
        <v>-398539</v>
      </c>
      <c r="L45" s="109">
        <v>4168</v>
      </c>
      <c r="M45" s="111">
        <v>14985155</v>
      </c>
      <c r="N45" s="190">
        <v>4545</v>
      </c>
      <c r="O45" s="191">
        <v>200</v>
      </c>
      <c r="P45" s="191">
        <v>20</v>
      </c>
      <c r="Q45" s="192">
        <v>4765</v>
      </c>
      <c r="R45" s="65" t="s">
        <v>69</v>
      </c>
    </row>
    <row r="46" spans="1:18" ht="15.75" customHeight="1">
      <c r="A46" s="64" t="s">
        <v>70</v>
      </c>
      <c r="B46" s="109">
        <f>_xlfn.COMPOUNDVALUE(798)</f>
        <v>7501</v>
      </c>
      <c r="C46" s="110">
        <v>112688391</v>
      </c>
      <c r="D46" s="109">
        <f>_xlfn.COMPOUNDVALUE(799)</f>
        <v>4272</v>
      </c>
      <c r="E46" s="110">
        <v>2995668</v>
      </c>
      <c r="F46" s="109">
        <f>_xlfn.COMPOUNDVALUE(800)</f>
        <v>11773</v>
      </c>
      <c r="G46" s="110">
        <v>115684059</v>
      </c>
      <c r="H46" s="109">
        <f>_xlfn.COMPOUNDVALUE(801)</f>
        <v>1317</v>
      </c>
      <c r="I46" s="111">
        <v>7801820</v>
      </c>
      <c r="J46" s="109">
        <v>784</v>
      </c>
      <c r="K46" s="111">
        <v>314204</v>
      </c>
      <c r="L46" s="109">
        <v>13327</v>
      </c>
      <c r="M46" s="111">
        <v>108196443</v>
      </c>
      <c r="N46" s="190">
        <v>14418</v>
      </c>
      <c r="O46" s="191">
        <v>786</v>
      </c>
      <c r="P46" s="191">
        <v>90</v>
      </c>
      <c r="Q46" s="192">
        <v>15294</v>
      </c>
      <c r="R46" s="65" t="s">
        <v>70</v>
      </c>
    </row>
    <row r="47" spans="1:18" ht="15.75" customHeight="1">
      <c r="A47" s="64" t="s">
        <v>71</v>
      </c>
      <c r="B47" s="109">
        <f>_xlfn.COMPOUNDVALUE(802)</f>
        <v>4184</v>
      </c>
      <c r="C47" s="110">
        <v>50816077</v>
      </c>
      <c r="D47" s="109">
        <f>_xlfn.COMPOUNDVALUE(803)</f>
        <v>2468</v>
      </c>
      <c r="E47" s="110">
        <v>1526421</v>
      </c>
      <c r="F47" s="109">
        <f>_xlfn.COMPOUNDVALUE(804)</f>
        <v>6652</v>
      </c>
      <c r="G47" s="110">
        <v>52342498</v>
      </c>
      <c r="H47" s="109">
        <f>_xlfn.COMPOUNDVALUE(805)</f>
        <v>564</v>
      </c>
      <c r="I47" s="111">
        <v>13652133</v>
      </c>
      <c r="J47" s="109">
        <v>347</v>
      </c>
      <c r="K47" s="111">
        <v>52135</v>
      </c>
      <c r="L47" s="109">
        <v>7334</v>
      </c>
      <c r="M47" s="111">
        <v>38742499</v>
      </c>
      <c r="N47" s="190">
        <v>7681</v>
      </c>
      <c r="O47" s="191">
        <v>316</v>
      </c>
      <c r="P47" s="191">
        <v>29</v>
      </c>
      <c r="Q47" s="192">
        <v>8026</v>
      </c>
      <c r="R47" s="65" t="s">
        <v>71</v>
      </c>
    </row>
    <row r="48" spans="1:18" ht="15.75" customHeight="1">
      <c r="A48" s="64"/>
      <c r="B48" s="109"/>
      <c r="C48" s="110"/>
      <c r="D48" s="109"/>
      <c r="E48" s="110"/>
      <c r="F48" s="109"/>
      <c r="G48" s="110"/>
      <c r="H48" s="109"/>
      <c r="I48" s="111"/>
      <c r="J48" s="109"/>
      <c r="K48" s="111"/>
      <c r="L48" s="109"/>
      <c r="M48" s="111"/>
      <c r="N48" s="190"/>
      <c r="O48" s="191"/>
      <c r="P48" s="191"/>
      <c r="Q48" s="192"/>
      <c r="R48" s="65" t="s">
        <v>35</v>
      </c>
    </row>
    <row r="49" spans="1:18" ht="15.75" customHeight="1">
      <c r="A49" s="64" t="s">
        <v>72</v>
      </c>
      <c r="B49" s="109">
        <f>_xlfn.COMPOUNDVALUE(806)</f>
        <v>2479</v>
      </c>
      <c r="C49" s="110">
        <v>13997355</v>
      </c>
      <c r="D49" s="109">
        <f>_xlfn.COMPOUNDVALUE(807)</f>
        <v>1896</v>
      </c>
      <c r="E49" s="110">
        <v>1265001</v>
      </c>
      <c r="F49" s="109">
        <f>_xlfn.COMPOUNDVALUE(808)</f>
        <v>4375</v>
      </c>
      <c r="G49" s="110">
        <v>15262356</v>
      </c>
      <c r="H49" s="109">
        <f>_xlfn.COMPOUNDVALUE(809)</f>
        <v>401</v>
      </c>
      <c r="I49" s="111">
        <v>10555773</v>
      </c>
      <c r="J49" s="109">
        <v>201</v>
      </c>
      <c r="K49" s="111">
        <v>27904</v>
      </c>
      <c r="L49" s="109">
        <v>4842</v>
      </c>
      <c r="M49" s="111">
        <v>4734487</v>
      </c>
      <c r="N49" s="190">
        <v>5261</v>
      </c>
      <c r="O49" s="191">
        <v>285</v>
      </c>
      <c r="P49" s="191">
        <v>20</v>
      </c>
      <c r="Q49" s="192">
        <v>5566</v>
      </c>
      <c r="R49" s="65" t="s">
        <v>72</v>
      </c>
    </row>
    <row r="50" spans="1:18" ht="15.75" customHeight="1">
      <c r="A50" s="64" t="s">
        <v>73</v>
      </c>
      <c r="B50" s="109">
        <f>_xlfn.COMPOUNDVALUE(810)</f>
        <v>4622</v>
      </c>
      <c r="C50" s="110">
        <v>64374164</v>
      </c>
      <c r="D50" s="109">
        <f>_xlfn.COMPOUNDVALUE(811)</f>
        <v>2993</v>
      </c>
      <c r="E50" s="110">
        <v>1818943</v>
      </c>
      <c r="F50" s="109">
        <f>_xlfn.COMPOUNDVALUE(812)</f>
        <v>7615</v>
      </c>
      <c r="G50" s="110">
        <v>66193107</v>
      </c>
      <c r="H50" s="109">
        <f>_xlfn.COMPOUNDVALUE(813)</f>
        <v>565</v>
      </c>
      <c r="I50" s="111">
        <v>45912797</v>
      </c>
      <c r="J50" s="109">
        <v>352</v>
      </c>
      <c r="K50" s="111">
        <v>127010</v>
      </c>
      <c r="L50" s="109">
        <v>8312</v>
      </c>
      <c r="M50" s="111">
        <v>20407321</v>
      </c>
      <c r="N50" s="190">
        <v>8823</v>
      </c>
      <c r="O50" s="191">
        <v>313</v>
      </c>
      <c r="P50" s="191">
        <v>33</v>
      </c>
      <c r="Q50" s="192">
        <v>9169</v>
      </c>
      <c r="R50" s="65" t="s">
        <v>73</v>
      </c>
    </row>
    <row r="51" spans="1:18" ht="15.75" customHeight="1">
      <c r="A51" s="64" t="s">
        <v>74</v>
      </c>
      <c r="B51" s="109">
        <f>_xlfn.COMPOUNDVALUE(814)</f>
        <v>5403</v>
      </c>
      <c r="C51" s="110">
        <v>28146156</v>
      </c>
      <c r="D51" s="109">
        <f>_xlfn.COMPOUNDVALUE(815)</f>
        <v>3933</v>
      </c>
      <c r="E51" s="110">
        <v>2561037</v>
      </c>
      <c r="F51" s="109">
        <f>_xlfn.COMPOUNDVALUE(816)</f>
        <v>9336</v>
      </c>
      <c r="G51" s="110">
        <v>30707193</v>
      </c>
      <c r="H51" s="109">
        <f>_xlfn.COMPOUNDVALUE(817)</f>
        <v>898</v>
      </c>
      <c r="I51" s="111">
        <v>1887703</v>
      </c>
      <c r="J51" s="109">
        <v>559</v>
      </c>
      <c r="K51" s="111">
        <v>33035</v>
      </c>
      <c r="L51" s="109">
        <v>10472</v>
      </c>
      <c r="M51" s="111">
        <v>28852525</v>
      </c>
      <c r="N51" s="190">
        <v>11925</v>
      </c>
      <c r="O51" s="191">
        <v>546</v>
      </c>
      <c r="P51" s="191">
        <v>55</v>
      </c>
      <c r="Q51" s="192">
        <v>12526</v>
      </c>
      <c r="R51" s="65" t="s">
        <v>74</v>
      </c>
    </row>
    <row r="52" spans="1:18" ht="15.75" customHeight="1">
      <c r="A52" s="64" t="s">
        <v>75</v>
      </c>
      <c r="B52" s="109">
        <f>_xlfn.COMPOUNDVALUE(818)</f>
        <v>4626</v>
      </c>
      <c r="C52" s="110">
        <v>22345303</v>
      </c>
      <c r="D52" s="109">
        <f>_xlfn.COMPOUNDVALUE(819)</f>
        <v>3611</v>
      </c>
      <c r="E52" s="110">
        <v>2419331</v>
      </c>
      <c r="F52" s="109">
        <f>_xlfn.COMPOUNDVALUE(820)</f>
        <v>8237</v>
      </c>
      <c r="G52" s="110">
        <v>24764635</v>
      </c>
      <c r="H52" s="109">
        <f>_xlfn.COMPOUNDVALUE(821)</f>
        <v>713</v>
      </c>
      <c r="I52" s="111">
        <v>1139306</v>
      </c>
      <c r="J52" s="109">
        <v>498</v>
      </c>
      <c r="K52" s="111">
        <v>-20187</v>
      </c>
      <c r="L52" s="109">
        <v>9148</v>
      </c>
      <c r="M52" s="111">
        <v>23605142</v>
      </c>
      <c r="N52" s="190">
        <v>10346</v>
      </c>
      <c r="O52" s="191">
        <v>450</v>
      </c>
      <c r="P52" s="191">
        <v>41</v>
      </c>
      <c r="Q52" s="192">
        <v>10837</v>
      </c>
      <c r="R52" s="65" t="s">
        <v>75</v>
      </c>
    </row>
    <row r="53" spans="1:18" ht="15.75" customHeight="1">
      <c r="A53" s="64" t="s">
        <v>76</v>
      </c>
      <c r="B53" s="109">
        <f>_xlfn.COMPOUNDVALUE(822)</f>
        <v>4617</v>
      </c>
      <c r="C53" s="110">
        <v>48824675</v>
      </c>
      <c r="D53" s="109">
        <f>_xlfn.COMPOUNDVALUE(823)</f>
        <v>3447</v>
      </c>
      <c r="E53" s="110">
        <v>2370666</v>
      </c>
      <c r="F53" s="109">
        <f>_xlfn.COMPOUNDVALUE(824)</f>
        <v>8064</v>
      </c>
      <c r="G53" s="110">
        <v>51195341</v>
      </c>
      <c r="H53" s="109">
        <f>_xlfn.COMPOUNDVALUE(825)</f>
        <v>789</v>
      </c>
      <c r="I53" s="111">
        <v>37358307</v>
      </c>
      <c r="J53" s="109">
        <v>387</v>
      </c>
      <c r="K53" s="111">
        <v>244259</v>
      </c>
      <c r="L53" s="109">
        <v>8987</v>
      </c>
      <c r="M53" s="111">
        <v>14081293</v>
      </c>
      <c r="N53" s="190">
        <v>9630</v>
      </c>
      <c r="O53" s="191">
        <v>531</v>
      </c>
      <c r="P53" s="191">
        <v>48</v>
      </c>
      <c r="Q53" s="192">
        <v>10209</v>
      </c>
      <c r="R53" s="65" t="s">
        <v>76</v>
      </c>
    </row>
    <row r="54" spans="1:18" ht="15.75" customHeight="1">
      <c r="A54" s="64"/>
      <c r="B54" s="109"/>
      <c r="C54" s="110"/>
      <c r="D54" s="109"/>
      <c r="E54" s="110"/>
      <c r="F54" s="109"/>
      <c r="G54" s="110"/>
      <c r="H54" s="109"/>
      <c r="I54" s="111"/>
      <c r="J54" s="109"/>
      <c r="K54" s="111"/>
      <c r="L54" s="109"/>
      <c r="M54" s="111"/>
      <c r="N54" s="190"/>
      <c r="O54" s="191"/>
      <c r="P54" s="191"/>
      <c r="Q54" s="192"/>
      <c r="R54" s="65" t="s">
        <v>35</v>
      </c>
    </row>
    <row r="55" spans="1:18" ht="15.75" customHeight="1">
      <c r="A55" s="64" t="s">
        <v>77</v>
      </c>
      <c r="B55" s="109">
        <f>_xlfn.COMPOUNDVALUE(826)</f>
        <v>23443</v>
      </c>
      <c r="C55" s="110">
        <v>573299821</v>
      </c>
      <c r="D55" s="109">
        <f>_xlfn.COMPOUNDVALUE(827)</f>
        <v>8134</v>
      </c>
      <c r="E55" s="110">
        <v>6689777</v>
      </c>
      <c r="F55" s="109">
        <f>_xlfn.COMPOUNDVALUE(828)</f>
        <v>31577</v>
      </c>
      <c r="G55" s="110">
        <v>579989598</v>
      </c>
      <c r="H55" s="109">
        <f>_xlfn.COMPOUNDVALUE(829)</f>
        <v>4476</v>
      </c>
      <c r="I55" s="111">
        <v>163660253</v>
      </c>
      <c r="J55" s="109">
        <v>1498</v>
      </c>
      <c r="K55" s="111">
        <v>230630</v>
      </c>
      <c r="L55" s="109">
        <v>36602</v>
      </c>
      <c r="M55" s="111">
        <v>416559975</v>
      </c>
      <c r="N55" s="190">
        <v>38043</v>
      </c>
      <c r="O55" s="191">
        <v>2317</v>
      </c>
      <c r="P55" s="191">
        <v>650</v>
      </c>
      <c r="Q55" s="192">
        <v>41010</v>
      </c>
      <c r="R55" s="65" t="s">
        <v>77</v>
      </c>
    </row>
    <row r="56" spans="1:18" ht="15.75" customHeight="1">
      <c r="A56" s="64" t="s">
        <v>78</v>
      </c>
      <c r="B56" s="109">
        <f>_xlfn.COMPOUNDVALUE(830)</f>
        <v>5165</v>
      </c>
      <c r="C56" s="110">
        <v>76374411</v>
      </c>
      <c r="D56" s="109">
        <f>_xlfn.COMPOUNDVALUE(831)</f>
        <v>3359</v>
      </c>
      <c r="E56" s="110">
        <v>2194236</v>
      </c>
      <c r="F56" s="109">
        <f>_xlfn.COMPOUNDVALUE(832)</f>
        <v>8524</v>
      </c>
      <c r="G56" s="110">
        <v>78568647</v>
      </c>
      <c r="H56" s="109">
        <f>_xlfn.COMPOUNDVALUE(833)</f>
        <v>944</v>
      </c>
      <c r="I56" s="111">
        <v>4262251</v>
      </c>
      <c r="J56" s="109">
        <v>490</v>
      </c>
      <c r="K56" s="111">
        <v>79909</v>
      </c>
      <c r="L56" s="109">
        <v>9610</v>
      </c>
      <c r="M56" s="111">
        <v>74386305</v>
      </c>
      <c r="N56" s="190">
        <v>10873</v>
      </c>
      <c r="O56" s="191">
        <v>574</v>
      </c>
      <c r="P56" s="191">
        <v>64</v>
      </c>
      <c r="Q56" s="192">
        <v>11511</v>
      </c>
      <c r="R56" s="65" t="s">
        <v>78</v>
      </c>
    </row>
    <row r="57" spans="1:18" ht="15.75" customHeight="1">
      <c r="A57" s="64" t="s">
        <v>79</v>
      </c>
      <c r="B57" s="109">
        <f>_xlfn.COMPOUNDVALUE(834)</f>
        <v>4195</v>
      </c>
      <c r="C57" s="110">
        <v>23869083</v>
      </c>
      <c r="D57" s="109">
        <f>_xlfn.COMPOUNDVALUE(835)</f>
        <v>3147</v>
      </c>
      <c r="E57" s="110">
        <v>2078979</v>
      </c>
      <c r="F57" s="109">
        <f>_xlfn.COMPOUNDVALUE(836)</f>
        <v>7342</v>
      </c>
      <c r="G57" s="110">
        <v>25948062</v>
      </c>
      <c r="H57" s="109">
        <f>_xlfn.COMPOUNDVALUE(837)</f>
        <v>628</v>
      </c>
      <c r="I57" s="111">
        <v>1841179</v>
      </c>
      <c r="J57" s="109">
        <v>488</v>
      </c>
      <c r="K57" s="111">
        <v>77649</v>
      </c>
      <c r="L57" s="109">
        <v>8153</v>
      </c>
      <c r="M57" s="111">
        <v>24184531</v>
      </c>
      <c r="N57" s="190">
        <v>9113</v>
      </c>
      <c r="O57" s="191">
        <v>406</v>
      </c>
      <c r="P57" s="191">
        <v>25</v>
      </c>
      <c r="Q57" s="192">
        <v>9544</v>
      </c>
      <c r="R57" s="65" t="s">
        <v>79</v>
      </c>
    </row>
    <row r="58" spans="1:18" ht="15.75" customHeight="1">
      <c r="A58" s="64" t="s">
        <v>80</v>
      </c>
      <c r="B58" s="109">
        <f>_xlfn.COMPOUNDVALUE(838)</f>
        <v>3101</v>
      </c>
      <c r="C58" s="110">
        <v>17664003</v>
      </c>
      <c r="D58" s="109">
        <f>_xlfn.COMPOUNDVALUE(839)</f>
        <v>2503</v>
      </c>
      <c r="E58" s="110">
        <v>1664284</v>
      </c>
      <c r="F58" s="109">
        <f>_xlfn.COMPOUNDVALUE(840)</f>
        <v>5604</v>
      </c>
      <c r="G58" s="110">
        <v>19328287</v>
      </c>
      <c r="H58" s="109">
        <f>_xlfn.COMPOUNDVALUE(841)</f>
        <v>481</v>
      </c>
      <c r="I58" s="111">
        <v>1328087</v>
      </c>
      <c r="J58" s="109">
        <v>290</v>
      </c>
      <c r="K58" s="111">
        <v>57994</v>
      </c>
      <c r="L58" s="109">
        <v>6188</v>
      </c>
      <c r="M58" s="111">
        <v>18058193</v>
      </c>
      <c r="N58" s="190">
        <v>6740</v>
      </c>
      <c r="O58" s="191">
        <v>365</v>
      </c>
      <c r="P58" s="191">
        <v>19</v>
      </c>
      <c r="Q58" s="192">
        <v>7124</v>
      </c>
      <c r="R58" s="65" t="s">
        <v>80</v>
      </c>
    </row>
    <row r="59" spans="1:18" ht="15.75" customHeight="1">
      <c r="A59" s="64" t="s">
        <v>81</v>
      </c>
      <c r="B59" s="109">
        <f>_xlfn.COMPOUNDVALUE(842)</f>
        <v>9673</v>
      </c>
      <c r="C59" s="110">
        <v>123501623</v>
      </c>
      <c r="D59" s="109">
        <f>_xlfn.COMPOUNDVALUE(843)</f>
        <v>4411</v>
      </c>
      <c r="E59" s="110">
        <v>3414966</v>
      </c>
      <c r="F59" s="109">
        <f>_xlfn.COMPOUNDVALUE(844)</f>
        <v>14084</v>
      </c>
      <c r="G59" s="110">
        <v>126916589</v>
      </c>
      <c r="H59" s="109">
        <f>_xlfn.COMPOUNDVALUE(845)</f>
        <v>2043</v>
      </c>
      <c r="I59" s="111">
        <v>15745497</v>
      </c>
      <c r="J59" s="109">
        <v>971</v>
      </c>
      <c r="K59" s="111">
        <v>-280162</v>
      </c>
      <c r="L59" s="109">
        <v>16515</v>
      </c>
      <c r="M59" s="111">
        <v>110890929</v>
      </c>
      <c r="N59" s="190">
        <v>16512</v>
      </c>
      <c r="O59" s="191">
        <v>1043</v>
      </c>
      <c r="P59" s="191">
        <v>167</v>
      </c>
      <c r="Q59" s="192">
        <v>17722</v>
      </c>
      <c r="R59" s="65" t="s">
        <v>81</v>
      </c>
    </row>
    <row r="60" spans="1:18" ht="15.75" customHeight="1">
      <c r="A60" s="64"/>
      <c r="B60" s="109"/>
      <c r="C60" s="110"/>
      <c r="D60" s="109"/>
      <c r="E60" s="110"/>
      <c r="F60" s="109"/>
      <c r="G60" s="110"/>
      <c r="H60" s="109"/>
      <c r="I60" s="111"/>
      <c r="J60" s="109"/>
      <c r="K60" s="111"/>
      <c r="L60" s="109"/>
      <c r="M60" s="111"/>
      <c r="N60" s="190"/>
      <c r="O60" s="191"/>
      <c r="P60" s="191"/>
      <c r="Q60" s="192"/>
      <c r="R60" s="65" t="s">
        <v>35</v>
      </c>
    </row>
    <row r="61" spans="1:18" ht="15.75" customHeight="1">
      <c r="A61" s="64" t="s">
        <v>82</v>
      </c>
      <c r="B61" s="109">
        <f>_xlfn.COMPOUNDVALUE(846)</f>
        <v>4698</v>
      </c>
      <c r="C61" s="110">
        <v>56506720</v>
      </c>
      <c r="D61" s="109">
        <f>_xlfn.COMPOUNDVALUE(847)</f>
        <v>2897</v>
      </c>
      <c r="E61" s="110">
        <v>1828299</v>
      </c>
      <c r="F61" s="109">
        <f>_xlfn.COMPOUNDVALUE(848)</f>
        <v>7595</v>
      </c>
      <c r="G61" s="110">
        <v>58335019</v>
      </c>
      <c r="H61" s="109">
        <f>_xlfn.COMPOUNDVALUE(849)</f>
        <v>755</v>
      </c>
      <c r="I61" s="111">
        <v>5630204</v>
      </c>
      <c r="J61" s="109">
        <v>298</v>
      </c>
      <c r="K61" s="111">
        <v>29046</v>
      </c>
      <c r="L61" s="109">
        <v>8470</v>
      </c>
      <c r="M61" s="111">
        <v>52733861</v>
      </c>
      <c r="N61" s="190">
        <v>8619</v>
      </c>
      <c r="O61" s="191">
        <v>405</v>
      </c>
      <c r="P61" s="191">
        <v>40</v>
      </c>
      <c r="Q61" s="192">
        <v>9064</v>
      </c>
      <c r="R61" s="65" t="s">
        <v>82</v>
      </c>
    </row>
    <row r="62" spans="1:18" ht="15.75" customHeight="1">
      <c r="A62" s="64" t="s">
        <v>83</v>
      </c>
      <c r="B62" s="109">
        <f>_xlfn.COMPOUNDVALUE(850)</f>
        <v>3886</v>
      </c>
      <c r="C62" s="110">
        <v>30393153</v>
      </c>
      <c r="D62" s="109">
        <f>_xlfn.COMPOUNDVALUE(851)</f>
        <v>2335</v>
      </c>
      <c r="E62" s="110">
        <v>1352572</v>
      </c>
      <c r="F62" s="109">
        <f>_xlfn.COMPOUNDVALUE(852)</f>
        <v>6221</v>
      </c>
      <c r="G62" s="110">
        <v>31745726</v>
      </c>
      <c r="H62" s="109">
        <f>_xlfn.COMPOUNDVALUE(853)</f>
        <v>655</v>
      </c>
      <c r="I62" s="111">
        <v>2421449</v>
      </c>
      <c r="J62" s="109">
        <v>285</v>
      </c>
      <c r="K62" s="111">
        <v>27606</v>
      </c>
      <c r="L62" s="109">
        <v>7006</v>
      </c>
      <c r="M62" s="111">
        <v>29351883</v>
      </c>
      <c r="N62" s="190">
        <v>7175</v>
      </c>
      <c r="O62" s="191">
        <v>339</v>
      </c>
      <c r="P62" s="191">
        <v>33</v>
      </c>
      <c r="Q62" s="192">
        <v>7547</v>
      </c>
      <c r="R62" s="65" t="s">
        <v>83</v>
      </c>
    </row>
    <row r="63" spans="1:18" ht="15.75" customHeight="1">
      <c r="A63" s="64" t="s">
        <v>84</v>
      </c>
      <c r="B63" s="109">
        <f>_xlfn.COMPOUNDVALUE(854)</f>
        <v>7554</v>
      </c>
      <c r="C63" s="110">
        <v>53416605</v>
      </c>
      <c r="D63" s="109">
        <f>_xlfn.COMPOUNDVALUE(855)</f>
        <v>4676</v>
      </c>
      <c r="E63" s="110">
        <v>2846028</v>
      </c>
      <c r="F63" s="109">
        <f>_xlfn.COMPOUNDVALUE(856)</f>
        <v>12230</v>
      </c>
      <c r="G63" s="110">
        <v>56262633</v>
      </c>
      <c r="H63" s="109">
        <f>_xlfn.COMPOUNDVALUE(857)</f>
        <v>966</v>
      </c>
      <c r="I63" s="111">
        <v>4742854</v>
      </c>
      <c r="J63" s="109">
        <v>561</v>
      </c>
      <c r="K63" s="111">
        <v>110729</v>
      </c>
      <c r="L63" s="109">
        <v>13418</v>
      </c>
      <c r="M63" s="111">
        <v>51630508</v>
      </c>
      <c r="N63" s="190">
        <v>14053</v>
      </c>
      <c r="O63" s="191">
        <v>584</v>
      </c>
      <c r="P63" s="191">
        <v>34</v>
      </c>
      <c r="Q63" s="192">
        <v>14671</v>
      </c>
      <c r="R63" s="65" t="s">
        <v>84</v>
      </c>
    </row>
    <row r="64" spans="1:18" ht="15.75" customHeight="1">
      <c r="A64" s="64" t="s">
        <v>85</v>
      </c>
      <c r="B64" s="109">
        <f>_xlfn.COMPOUNDVALUE(858)</f>
        <v>5251</v>
      </c>
      <c r="C64" s="110">
        <v>24671715</v>
      </c>
      <c r="D64" s="109">
        <f>_xlfn.COMPOUNDVALUE(859)</f>
        <v>3837</v>
      </c>
      <c r="E64" s="110">
        <v>2460077</v>
      </c>
      <c r="F64" s="109">
        <f>_xlfn.COMPOUNDVALUE(860)</f>
        <v>9088</v>
      </c>
      <c r="G64" s="110">
        <v>27131792</v>
      </c>
      <c r="H64" s="109">
        <f>_xlfn.COMPOUNDVALUE(861)</f>
        <v>773</v>
      </c>
      <c r="I64" s="111">
        <v>2198586</v>
      </c>
      <c r="J64" s="109">
        <v>465</v>
      </c>
      <c r="K64" s="111">
        <v>77097</v>
      </c>
      <c r="L64" s="109">
        <v>10022</v>
      </c>
      <c r="M64" s="111">
        <v>25010303</v>
      </c>
      <c r="N64" s="190">
        <v>10600</v>
      </c>
      <c r="O64" s="191">
        <v>454</v>
      </c>
      <c r="P64" s="191">
        <v>26</v>
      </c>
      <c r="Q64" s="192">
        <v>11080</v>
      </c>
      <c r="R64" s="65" t="s">
        <v>85</v>
      </c>
    </row>
    <row r="65" spans="1:18" ht="15.75" customHeight="1">
      <c r="A65" s="66" t="s">
        <v>86</v>
      </c>
      <c r="B65" s="112">
        <f>_xlfn.COMPOUNDVALUE(862)</f>
        <v>3158</v>
      </c>
      <c r="C65" s="113">
        <v>12029532</v>
      </c>
      <c r="D65" s="112">
        <f>_xlfn.COMPOUNDVALUE(863)</f>
        <v>2635</v>
      </c>
      <c r="E65" s="113">
        <v>1658995</v>
      </c>
      <c r="F65" s="112">
        <f>_xlfn.COMPOUNDVALUE(864)</f>
        <v>5793</v>
      </c>
      <c r="G65" s="113">
        <v>13688526</v>
      </c>
      <c r="H65" s="112">
        <f>_xlfn.COMPOUNDVALUE(865)</f>
        <v>420</v>
      </c>
      <c r="I65" s="114">
        <v>891993</v>
      </c>
      <c r="J65" s="112">
        <v>316</v>
      </c>
      <c r="K65" s="114">
        <v>9266</v>
      </c>
      <c r="L65" s="112">
        <v>6351</v>
      </c>
      <c r="M65" s="114">
        <v>12805799</v>
      </c>
      <c r="N65" s="190">
        <v>6995</v>
      </c>
      <c r="O65" s="191">
        <v>241</v>
      </c>
      <c r="P65" s="191">
        <v>12</v>
      </c>
      <c r="Q65" s="192">
        <v>7248</v>
      </c>
      <c r="R65" s="65" t="s">
        <v>86</v>
      </c>
    </row>
    <row r="66" spans="1:18" ht="15.75" customHeight="1">
      <c r="A66" s="66"/>
      <c r="B66" s="112"/>
      <c r="C66" s="113"/>
      <c r="D66" s="112"/>
      <c r="E66" s="113"/>
      <c r="F66" s="112"/>
      <c r="G66" s="113"/>
      <c r="H66" s="112"/>
      <c r="I66" s="114"/>
      <c r="J66" s="112"/>
      <c r="K66" s="114"/>
      <c r="L66" s="112"/>
      <c r="M66" s="114"/>
      <c r="N66" s="190"/>
      <c r="O66" s="191"/>
      <c r="P66" s="191"/>
      <c r="Q66" s="192"/>
      <c r="R66" s="65" t="s">
        <v>35</v>
      </c>
    </row>
    <row r="67" spans="1:18" ht="15.75" customHeight="1">
      <c r="A67" s="66" t="s">
        <v>87</v>
      </c>
      <c r="B67" s="112">
        <f>_xlfn.COMPOUNDVALUE(866)</f>
        <v>5689</v>
      </c>
      <c r="C67" s="113">
        <v>29689902</v>
      </c>
      <c r="D67" s="112">
        <f>_xlfn.COMPOUNDVALUE(867)</f>
        <v>3566</v>
      </c>
      <c r="E67" s="113">
        <v>2259189</v>
      </c>
      <c r="F67" s="112">
        <f>_xlfn.COMPOUNDVALUE(868)</f>
        <v>9255</v>
      </c>
      <c r="G67" s="113">
        <v>31949091</v>
      </c>
      <c r="H67" s="112">
        <f>_xlfn.COMPOUNDVALUE(869)</f>
        <v>739</v>
      </c>
      <c r="I67" s="114">
        <v>3400916</v>
      </c>
      <c r="J67" s="112">
        <v>464</v>
      </c>
      <c r="K67" s="114">
        <v>43819</v>
      </c>
      <c r="L67" s="112">
        <v>10170</v>
      </c>
      <c r="M67" s="114">
        <v>28591993</v>
      </c>
      <c r="N67" s="190">
        <v>10695</v>
      </c>
      <c r="O67" s="191">
        <v>386</v>
      </c>
      <c r="P67" s="191">
        <v>35</v>
      </c>
      <c r="Q67" s="192">
        <v>11116</v>
      </c>
      <c r="R67" s="65" t="s">
        <v>87</v>
      </c>
    </row>
    <row r="68" spans="1:18" ht="15.75" customHeight="1">
      <c r="A68" s="66" t="s">
        <v>88</v>
      </c>
      <c r="B68" s="112">
        <f>_xlfn.COMPOUNDVALUE(870)</f>
        <v>4570</v>
      </c>
      <c r="C68" s="113">
        <v>21834597</v>
      </c>
      <c r="D68" s="112">
        <f>_xlfn.COMPOUNDVALUE(871)</f>
        <v>3035</v>
      </c>
      <c r="E68" s="113">
        <v>1849355</v>
      </c>
      <c r="F68" s="112">
        <f>_xlfn.COMPOUNDVALUE(872)</f>
        <v>7605</v>
      </c>
      <c r="G68" s="113">
        <v>23683951</v>
      </c>
      <c r="H68" s="112">
        <f>_xlfn.COMPOUNDVALUE(873)</f>
        <v>510</v>
      </c>
      <c r="I68" s="114">
        <v>2343663</v>
      </c>
      <c r="J68" s="112">
        <v>395</v>
      </c>
      <c r="K68" s="114">
        <v>85976</v>
      </c>
      <c r="L68" s="112">
        <v>8312</v>
      </c>
      <c r="M68" s="114">
        <v>21426264</v>
      </c>
      <c r="N68" s="190">
        <v>8487</v>
      </c>
      <c r="O68" s="191">
        <v>272</v>
      </c>
      <c r="P68" s="191">
        <v>19</v>
      </c>
      <c r="Q68" s="192">
        <v>8778</v>
      </c>
      <c r="R68" s="65" t="s">
        <v>88</v>
      </c>
    </row>
    <row r="69" spans="1:18" ht="15.75" customHeight="1">
      <c r="A69" s="66" t="s">
        <v>89</v>
      </c>
      <c r="B69" s="112">
        <f>_xlfn.COMPOUNDVALUE(874)</f>
        <v>5921</v>
      </c>
      <c r="C69" s="113">
        <v>26847604</v>
      </c>
      <c r="D69" s="112">
        <f>_xlfn.COMPOUNDVALUE(875)</f>
        <v>4324</v>
      </c>
      <c r="E69" s="113">
        <v>2558601</v>
      </c>
      <c r="F69" s="112">
        <f>_xlfn.COMPOUNDVALUE(876)</f>
        <v>10245</v>
      </c>
      <c r="G69" s="113">
        <v>29406205</v>
      </c>
      <c r="H69" s="112">
        <f>_xlfn.COMPOUNDVALUE(877)</f>
        <v>779</v>
      </c>
      <c r="I69" s="114">
        <v>1840509</v>
      </c>
      <c r="J69" s="112">
        <v>449</v>
      </c>
      <c r="K69" s="114">
        <v>96556</v>
      </c>
      <c r="L69" s="112">
        <v>11187</v>
      </c>
      <c r="M69" s="114">
        <v>27662252</v>
      </c>
      <c r="N69" s="190">
        <v>11847</v>
      </c>
      <c r="O69" s="191">
        <v>439</v>
      </c>
      <c r="P69" s="191">
        <v>36</v>
      </c>
      <c r="Q69" s="192">
        <v>12322</v>
      </c>
      <c r="R69" s="65" t="s">
        <v>89</v>
      </c>
    </row>
    <row r="70" spans="1:18" ht="15.75" customHeight="1">
      <c r="A70" s="66" t="s">
        <v>90</v>
      </c>
      <c r="B70" s="112">
        <f>_xlfn.COMPOUNDVALUE(878)</f>
        <v>6680</v>
      </c>
      <c r="C70" s="113">
        <v>31748189</v>
      </c>
      <c r="D70" s="112">
        <f>_xlfn.COMPOUNDVALUE(879)</f>
        <v>4319</v>
      </c>
      <c r="E70" s="113">
        <v>2668865</v>
      </c>
      <c r="F70" s="112">
        <f>_xlfn.COMPOUNDVALUE(880)</f>
        <v>10999</v>
      </c>
      <c r="G70" s="113">
        <v>34417054</v>
      </c>
      <c r="H70" s="112">
        <f>_xlfn.COMPOUNDVALUE(881)</f>
        <v>848</v>
      </c>
      <c r="I70" s="114">
        <v>3462723</v>
      </c>
      <c r="J70" s="112">
        <v>524</v>
      </c>
      <c r="K70" s="114">
        <v>117611</v>
      </c>
      <c r="L70" s="112">
        <v>12028</v>
      </c>
      <c r="M70" s="114">
        <v>31071942</v>
      </c>
      <c r="N70" s="190">
        <v>12652</v>
      </c>
      <c r="O70" s="191">
        <v>427</v>
      </c>
      <c r="P70" s="191">
        <v>25</v>
      </c>
      <c r="Q70" s="192">
        <v>13104</v>
      </c>
      <c r="R70" s="65" t="s">
        <v>90</v>
      </c>
    </row>
    <row r="71" spans="1:18" ht="15.75" customHeight="1">
      <c r="A71" s="66" t="s">
        <v>91</v>
      </c>
      <c r="B71" s="112">
        <f>_xlfn.COMPOUNDVALUE(882)</f>
        <v>3160</v>
      </c>
      <c r="C71" s="113">
        <v>23998978</v>
      </c>
      <c r="D71" s="112">
        <f>_xlfn.COMPOUNDVALUE(883)</f>
        <v>1940</v>
      </c>
      <c r="E71" s="113">
        <v>1331251</v>
      </c>
      <c r="F71" s="112">
        <f>_xlfn.COMPOUNDVALUE(884)</f>
        <v>5100</v>
      </c>
      <c r="G71" s="113">
        <v>25330229</v>
      </c>
      <c r="H71" s="112">
        <f>_xlfn.COMPOUNDVALUE(885)</f>
        <v>430</v>
      </c>
      <c r="I71" s="114">
        <v>3316489</v>
      </c>
      <c r="J71" s="112">
        <v>281</v>
      </c>
      <c r="K71" s="114">
        <v>121235</v>
      </c>
      <c r="L71" s="112">
        <v>5621</v>
      </c>
      <c r="M71" s="114">
        <v>22134975</v>
      </c>
      <c r="N71" s="190">
        <v>5703</v>
      </c>
      <c r="O71" s="191">
        <v>298</v>
      </c>
      <c r="P71" s="191">
        <v>16</v>
      </c>
      <c r="Q71" s="192">
        <v>6017</v>
      </c>
      <c r="R71" s="65" t="s">
        <v>91</v>
      </c>
    </row>
    <row r="72" spans="1:18" ht="15.75" customHeight="1">
      <c r="A72" s="130" t="s">
        <v>92</v>
      </c>
      <c r="B72" s="131">
        <v>274301</v>
      </c>
      <c r="C72" s="132">
        <v>7483840798</v>
      </c>
      <c r="D72" s="131">
        <v>130056</v>
      </c>
      <c r="E72" s="132">
        <v>92525620</v>
      </c>
      <c r="F72" s="131">
        <v>404357</v>
      </c>
      <c r="G72" s="132">
        <v>7576366418</v>
      </c>
      <c r="H72" s="131">
        <v>59318</v>
      </c>
      <c r="I72" s="133">
        <v>2315473650</v>
      </c>
      <c r="J72" s="131">
        <v>22049</v>
      </c>
      <c r="K72" s="133">
        <v>17499517</v>
      </c>
      <c r="L72" s="131">
        <v>471088</v>
      </c>
      <c r="M72" s="133">
        <v>5278392283</v>
      </c>
      <c r="N72" s="193">
        <v>476463</v>
      </c>
      <c r="O72" s="194">
        <v>36316</v>
      </c>
      <c r="P72" s="194">
        <v>5337</v>
      </c>
      <c r="Q72" s="195">
        <v>518116</v>
      </c>
      <c r="R72" s="134" t="s">
        <v>93</v>
      </c>
    </row>
    <row r="73" spans="1:18" ht="15.75" customHeight="1">
      <c r="A73" s="145"/>
      <c r="B73" s="146"/>
      <c r="C73" s="147"/>
      <c r="D73" s="146"/>
      <c r="E73" s="147"/>
      <c r="F73" s="146"/>
      <c r="G73" s="147"/>
      <c r="H73" s="146"/>
      <c r="I73" s="148"/>
      <c r="J73" s="146"/>
      <c r="K73" s="148"/>
      <c r="L73" s="146"/>
      <c r="M73" s="148"/>
      <c r="N73" s="199"/>
      <c r="O73" s="200"/>
      <c r="P73" s="200"/>
      <c r="Q73" s="201"/>
      <c r="R73" s="149" t="s">
        <v>35</v>
      </c>
    </row>
    <row r="74" spans="1:18" ht="15.75" customHeight="1">
      <c r="A74" s="64" t="s">
        <v>94</v>
      </c>
      <c r="B74" s="109">
        <f>_xlfn.COMPOUNDVALUE(886)</f>
        <v>6007</v>
      </c>
      <c r="C74" s="110">
        <v>33776385</v>
      </c>
      <c r="D74" s="109">
        <f>_xlfn.COMPOUNDVALUE(887)</f>
        <v>4426</v>
      </c>
      <c r="E74" s="110">
        <v>2801049</v>
      </c>
      <c r="F74" s="109">
        <f>_xlfn.COMPOUNDVALUE(888)</f>
        <v>10433</v>
      </c>
      <c r="G74" s="110">
        <v>36577434</v>
      </c>
      <c r="H74" s="109">
        <f>_xlfn.COMPOUNDVALUE(889)</f>
        <v>702</v>
      </c>
      <c r="I74" s="111">
        <v>18944147</v>
      </c>
      <c r="J74" s="109">
        <v>451</v>
      </c>
      <c r="K74" s="111">
        <v>185134</v>
      </c>
      <c r="L74" s="109">
        <v>11371</v>
      </c>
      <c r="M74" s="111">
        <v>17818421</v>
      </c>
      <c r="N74" s="190">
        <v>11629</v>
      </c>
      <c r="O74" s="191">
        <v>410</v>
      </c>
      <c r="P74" s="191">
        <v>25</v>
      </c>
      <c r="Q74" s="192">
        <v>12064</v>
      </c>
      <c r="R74" s="74" t="s">
        <v>94</v>
      </c>
    </row>
    <row r="75" spans="1:18" ht="15.75" customHeight="1">
      <c r="A75" s="66" t="s">
        <v>95</v>
      </c>
      <c r="B75" s="112">
        <f>_xlfn.COMPOUNDVALUE(890)</f>
        <v>7454</v>
      </c>
      <c r="C75" s="113">
        <v>48883886</v>
      </c>
      <c r="D75" s="112">
        <f>_xlfn.COMPOUNDVALUE(891)</f>
        <v>5621</v>
      </c>
      <c r="E75" s="113">
        <v>3591109</v>
      </c>
      <c r="F75" s="112">
        <f>_xlfn.COMPOUNDVALUE(892)</f>
        <v>13075</v>
      </c>
      <c r="G75" s="113">
        <v>52474995</v>
      </c>
      <c r="H75" s="112">
        <f>_xlfn.COMPOUNDVALUE(893)</f>
        <v>870</v>
      </c>
      <c r="I75" s="114">
        <v>7668064</v>
      </c>
      <c r="J75" s="112">
        <v>567</v>
      </c>
      <c r="K75" s="114">
        <v>182602</v>
      </c>
      <c r="L75" s="112">
        <v>14134</v>
      </c>
      <c r="M75" s="114">
        <v>44989533</v>
      </c>
      <c r="N75" s="190">
        <v>14808</v>
      </c>
      <c r="O75" s="191">
        <v>569</v>
      </c>
      <c r="P75" s="191">
        <v>44</v>
      </c>
      <c r="Q75" s="192">
        <v>15421</v>
      </c>
      <c r="R75" s="65" t="s">
        <v>95</v>
      </c>
    </row>
    <row r="76" spans="1:18" ht="15.75" customHeight="1">
      <c r="A76" s="66" t="s">
        <v>96</v>
      </c>
      <c r="B76" s="112">
        <f>_xlfn.COMPOUNDVALUE(894)</f>
        <v>5137</v>
      </c>
      <c r="C76" s="113">
        <v>43020971</v>
      </c>
      <c r="D76" s="112">
        <f>_xlfn.COMPOUNDVALUE(895)</f>
        <v>4389</v>
      </c>
      <c r="E76" s="113">
        <v>2866505</v>
      </c>
      <c r="F76" s="112">
        <f>_xlfn.COMPOUNDVALUE(896)</f>
        <v>9526</v>
      </c>
      <c r="G76" s="113">
        <v>45887476</v>
      </c>
      <c r="H76" s="112">
        <f>_xlfn.COMPOUNDVALUE(897)</f>
        <v>790</v>
      </c>
      <c r="I76" s="114">
        <v>7501140</v>
      </c>
      <c r="J76" s="112">
        <v>438</v>
      </c>
      <c r="K76" s="114">
        <v>155178</v>
      </c>
      <c r="L76" s="112">
        <v>10496</v>
      </c>
      <c r="M76" s="114">
        <v>38541514</v>
      </c>
      <c r="N76" s="190">
        <v>11024</v>
      </c>
      <c r="O76" s="191">
        <v>473</v>
      </c>
      <c r="P76" s="191">
        <v>39</v>
      </c>
      <c r="Q76" s="192">
        <v>11536</v>
      </c>
      <c r="R76" s="65" t="s">
        <v>96</v>
      </c>
    </row>
    <row r="77" spans="1:18" ht="15.75" customHeight="1">
      <c r="A77" s="66" t="s">
        <v>97</v>
      </c>
      <c r="B77" s="112">
        <f>_xlfn.COMPOUNDVALUE(898)</f>
        <v>4498</v>
      </c>
      <c r="C77" s="113">
        <v>23512188</v>
      </c>
      <c r="D77" s="112">
        <f>_xlfn.COMPOUNDVALUE(899)</f>
        <v>3484</v>
      </c>
      <c r="E77" s="113">
        <v>2135232</v>
      </c>
      <c r="F77" s="112">
        <f>_xlfn.COMPOUNDVALUE(900)</f>
        <v>7982</v>
      </c>
      <c r="G77" s="113">
        <v>25647420</v>
      </c>
      <c r="H77" s="112">
        <f>_xlfn.COMPOUNDVALUE(901)</f>
        <v>452</v>
      </c>
      <c r="I77" s="114">
        <v>2437629</v>
      </c>
      <c r="J77" s="112">
        <v>351</v>
      </c>
      <c r="K77" s="114">
        <v>276667</v>
      </c>
      <c r="L77" s="112">
        <v>8576</v>
      </c>
      <c r="M77" s="114">
        <v>23486458</v>
      </c>
      <c r="N77" s="190">
        <v>8725</v>
      </c>
      <c r="O77" s="191">
        <v>210</v>
      </c>
      <c r="P77" s="191">
        <v>20</v>
      </c>
      <c r="Q77" s="192">
        <v>8955</v>
      </c>
      <c r="R77" s="65" t="s">
        <v>97</v>
      </c>
    </row>
    <row r="78" spans="1:18" ht="15.75" customHeight="1">
      <c r="A78" s="66" t="s">
        <v>98</v>
      </c>
      <c r="B78" s="112">
        <f>_xlfn.COMPOUNDVALUE(902)</f>
        <v>5886</v>
      </c>
      <c r="C78" s="113">
        <v>45018829</v>
      </c>
      <c r="D78" s="112">
        <f>_xlfn.COMPOUNDVALUE(903)</f>
        <v>4640</v>
      </c>
      <c r="E78" s="113">
        <v>2958668</v>
      </c>
      <c r="F78" s="112">
        <f>_xlfn.COMPOUNDVALUE(904)</f>
        <v>10526</v>
      </c>
      <c r="G78" s="113">
        <v>47977498</v>
      </c>
      <c r="H78" s="112">
        <f>_xlfn.COMPOUNDVALUE(905)</f>
        <v>688</v>
      </c>
      <c r="I78" s="114">
        <v>3953218</v>
      </c>
      <c r="J78" s="112">
        <v>635</v>
      </c>
      <c r="K78" s="114">
        <v>73570</v>
      </c>
      <c r="L78" s="112">
        <v>11519</v>
      </c>
      <c r="M78" s="114">
        <v>44097850</v>
      </c>
      <c r="N78" s="190">
        <v>12189</v>
      </c>
      <c r="O78" s="191">
        <v>458</v>
      </c>
      <c r="P78" s="191">
        <v>32</v>
      </c>
      <c r="Q78" s="192">
        <v>12679</v>
      </c>
      <c r="R78" s="65" t="s">
        <v>98</v>
      </c>
    </row>
    <row r="79" spans="1:18" ht="15.75" customHeight="1">
      <c r="A79" s="223"/>
      <c r="B79" s="224"/>
      <c r="C79" s="228"/>
      <c r="D79" s="224"/>
      <c r="E79" s="228"/>
      <c r="F79" s="224"/>
      <c r="G79" s="228"/>
      <c r="H79" s="224"/>
      <c r="I79" s="227"/>
      <c r="J79" s="224"/>
      <c r="K79" s="227"/>
      <c r="L79" s="224"/>
      <c r="M79" s="228"/>
      <c r="N79" s="285"/>
      <c r="O79" s="286"/>
      <c r="P79" s="286"/>
      <c r="Q79" s="287"/>
      <c r="R79" s="229" t="s">
        <v>35</v>
      </c>
    </row>
    <row r="80" spans="1:18" ht="15.75" customHeight="1">
      <c r="A80" s="87" t="s">
        <v>99</v>
      </c>
      <c r="B80" s="109">
        <f>_xlfn.COMPOUNDVALUE(906)</f>
        <v>4207</v>
      </c>
      <c r="C80" s="110">
        <v>20233843</v>
      </c>
      <c r="D80" s="109">
        <f>_xlfn.COMPOUNDVALUE(907)</f>
        <v>3367</v>
      </c>
      <c r="E80" s="110">
        <v>2157252</v>
      </c>
      <c r="F80" s="109">
        <f>_xlfn.COMPOUNDVALUE(908)</f>
        <v>7574</v>
      </c>
      <c r="G80" s="110">
        <v>22391094</v>
      </c>
      <c r="H80" s="109">
        <f>_xlfn.COMPOUNDVALUE(909)</f>
        <v>534</v>
      </c>
      <c r="I80" s="111">
        <v>1744055</v>
      </c>
      <c r="J80" s="109">
        <v>318</v>
      </c>
      <c r="K80" s="111">
        <v>-14439</v>
      </c>
      <c r="L80" s="109">
        <v>8220</v>
      </c>
      <c r="M80" s="110">
        <v>20632599</v>
      </c>
      <c r="N80" s="190">
        <v>8654</v>
      </c>
      <c r="O80" s="191">
        <v>327</v>
      </c>
      <c r="P80" s="191">
        <v>20</v>
      </c>
      <c r="Q80" s="192">
        <v>9001</v>
      </c>
      <c r="R80" s="74" t="s">
        <v>99</v>
      </c>
    </row>
    <row r="81" spans="1:18" ht="15.75" customHeight="1">
      <c r="A81" s="66" t="s">
        <v>100</v>
      </c>
      <c r="B81" s="112">
        <f>_xlfn.COMPOUNDVALUE(910)</f>
        <v>3295</v>
      </c>
      <c r="C81" s="113">
        <v>20901595</v>
      </c>
      <c r="D81" s="112">
        <f>_xlfn.COMPOUNDVALUE(911)</f>
        <v>2625</v>
      </c>
      <c r="E81" s="113">
        <v>1666859</v>
      </c>
      <c r="F81" s="112">
        <f>_xlfn.COMPOUNDVALUE(912)</f>
        <v>5920</v>
      </c>
      <c r="G81" s="113">
        <v>22568454</v>
      </c>
      <c r="H81" s="112">
        <f>_xlfn.COMPOUNDVALUE(913)</f>
        <v>464</v>
      </c>
      <c r="I81" s="114">
        <v>4760606</v>
      </c>
      <c r="J81" s="112">
        <v>329</v>
      </c>
      <c r="K81" s="114">
        <v>-3863</v>
      </c>
      <c r="L81" s="112">
        <v>6475</v>
      </c>
      <c r="M81" s="114">
        <v>17803986</v>
      </c>
      <c r="N81" s="190">
        <v>6885</v>
      </c>
      <c r="O81" s="191">
        <v>268</v>
      </c>
      <c r="P81" s="191">
        <v>17</v>
      </c>
      <c r="Q81" s="192">
        <v>7170</v>
      </c>
      <c r="R81" s="65" t="s">
        <v>100</v>
      </c>
    </row>
    <row r="82" spans="1:18" ht="15.75" customHeight="1">
      <c r="A82" s="66" t="s">
        <v>101</v>
      </c>
      <c r="B82" s="112">
        <f>_xlfn.COMPOUNDVALUE(914)</f>
        <v>6174</v>
      </c>
      <c r="C82" s="113">
        <v>29356731</v>
      </c>
      <c r="D82" s="112">
        <f>_xlfn.COMPOUNDVALUE(915)</f>
        <v>5392</v>
      </c>
      <c r="E82" s="113">
        <v>3290852</v>
      </c>
      <c r="F82" s="112">
        <f>_xlfn.COMPOUNDVALUE(916)</f>
        <v>11566</v>
      </c>
      <c r="G82" s="113">
        <v>32647583</v>
      </c>
      <c r="H82" s="112">
        <f>_xlfn.COMPOUNDVALUE(917)</f>
        <v>669</v>
      </c>
      <c r="I82" s="114">
        <v>3177608</v>
      </c>
      <c r="J82" s="112">
        <v>519</v>
      </c>
      <c r="K82" s="114">
        <v>80853</v>
      </c>
      <c r="L82" s="112">
        <v>12440</v>
      </c>
      <c r="M82" s="114">
        <v>29550827</v>
      </c>
      <c r="N82" s="190">
        <v>13112</v>
      </c>
      <c r="O82" s="191">
        <v>464</v>
      </c>
      <c r="P82" s="191">
        <v>28</v>
      </c>
      <c r="Q82" s="192">
        <v>13604</v>
      </c>
      <c r="R82" s="65" t="s">
        <v>101</v>
      </c>
    </row>
    <row r="83" spans="1:18" ht="15.75" customHeight="1">
      <c r="A83" s="130" t="s">
        <v>102</v>
      </c>
      <c r="B83" s="131">
        <v>42658</v>
      </c>
      <c r="C83" s="132">
        <v>264704428</v>
      </c>
      <c r="D83" s="131">
        <v>33944</v>
      </c>
      <c r="E83" s="132">
        <v>21467526</v>
      </c>
      <c r="F83" s="131">
        <v>76602</v>
      </c>
      <c r="G83" s="132">
        <v>286171954</v>
      </c>
      <c r="H83" s="131">
        <v>5169</v>
      </c>
      <c r="I83" s="133">
        <v>50186467</v>
      </c>
      <c r="J83" s="131">
        <v>3608</v>
      </c>
      <c r="K83" s="133">
        <v>935702</v>
      </c>
      <c r="L83" s="131">
        <v>83231</v>
      </c>
      <c r="M83" s="133">
        <v>236921188</v>
      </c>
      <c r="N83" s="193">
        <v>87026</v>
      </c>
      <c r="O83" s="194">
        <v>3179</v>
      </c>
      <c r="P83" s="194">
        <v>225</v>
      </c>
      <c r="Q83" s="195">
        <v>90430</v>
      </c>
      <c r="R83" s="134" t="s">
        <v>103</v>
      </c>
    </row>
    <row r="84" spans="1:18" ht="15.75" customHeight="1">
      <c r="A84" s="145"/>
      <c r="B84" s="146"/>
      <c r="C84" s="147"/>
      <c r="D84" s="146"/>
      <c r="E84" s="147"/>
      <c r="F84" s="146"/>
      <c r="G84" s="147"/>
      <c r="H84" s="146"/>
      <c r="I84" s="148"/>
      <c r="J84" s="146"/>
      <c r="K84" s="148"/>
      <c r="L84" s="146"/>
      <c r="M84" s="148"/>
      <c r="N84" s="199"/>
      <c r="O84" s="200"/>
      <c r="P84" s="200"/>
      <c r="Q84" s="201"/>
      <c r="R84" s="149" t="s">
        <v>35</v>
      </c>
    </row>
    <row r="85" spans="1:18" ht="15.75" customHeight="1">
      <c r="A85" s="140" t="s">
        <v>104</v>
      </c>
      <c r="B85" s="141">
        <v>316959</v>
      </c>
      <c r="C85" s="142">
        <v>7748545222</v>
      </c>
      <c r="D85" s="141">
        <v>164000</v>
      </c>
      <c r="E85" s="142">
        <v>113993145</v>
      </c>
      <c r="F85" s="141">
        <v>480959</v>
      </c>
      <c r="G85" s="142">
        <v>7862538367</v>
      </c>
      <c r="H85" s="141">
        <v>64487</v>
      </c>
      <c r="I85" s="143">
        <v>2365660115</v>
      </c>
      <c r="J85" s="141">
        <v>25657</v>
      </c>
      <c r="K85" s="143">
        <v>18435219</v>
      </c>
      <c r="L85" s="141">
        <v>554319</v>
      </c>
      <c r="M85" s="143">
        <v>5515313471</v>
      </c>
      <c r="N85" s="202">
        <v>563489</v>
      </c>
      <c r="O85" s="203">
        <v>39495</v>
      </c>
      <c r="P85" s="203">
        <v>5562</v>
      </c>
      <c r="Q85" s="204">
        <v>608546</v>
      </c>
      <c r="R85" s="144" t="s">
        <v>105</v>
      </c>
    </row>
    <row r="86" spans="1:18" ht="15.75" customHeight="1">
      <c r="A86" s="135"/>
      <c r="B86" s="136"/>
      <c r="C86" s="137"/>
      <c r="D86" s="136"/>
      <c r="E86" s="137"/>
      <c r="F86" s="138"/>
      <c r="G86" s="137"/>
      <c r="H86" s="138"/>
      <c r="I86" s="137"/>
      <c r="J86" s="138"/>
      <c r="K86" s="137"/>
      <c r="L86" s="138"/>
      <c r="M86" s="137"/>
      <c r="N86" s="196"/>
      <c r="O86" s="197"/>
      <c r="P86" s="197"/>
      <c r="Q86" s="198"/>
      <c r="R86" s="139" t="s">
        <v>35</v>
      </c>
    </row>
    <row r="87" spans="1:18" ht="15.75" customHeight="1">
      <c r="A87" s="64" t="s">
        <v>106</v>
      </c>
      <c r="B87" s="109">
        <f>_xlfn.COMPOUNDVALUE(918)</f>
        <v>3447</v>
      </c>
      <c r="C87" s="110">
        <v>32823741</v>
      </c>
      <c r="D87" s="109">
        <f>_xlfn.COMPOUNDVALUE(919)</f>
        <v>2235</v>
      </c>
      <c r="E87" s="110">
        <v>1463145</v>
      </c>
      <c r="F87" s="109">
        <f>_xlfn.COMPOUNDVALUE(920)</f>
        <v>5682</v>
      </c>
      <c r="G87" s="110">
        <v>34286886</v>
      </c>
      <c r="H87" s="109">
        <f>_xlfn.COMPOUNDVALUE(921)</f>
        <v>436</v>
      </c>
      <c r="I87" s="111">
        <v>2862716</v>
      </c>
      <c r="J87" s="109">
        <v>280</v>
      </c>
      <c r="K87" s="111">
        <v>-62416</v>
      </c>
      <c r="L87" s="109">
        <v>6213</v>
      </c>
      <c r="M87" s="111">
        <v>31361753</v>
      </c>
      <c r="N87" s="190">
        <v>6566</v>
      </c>
      <c r="O87" s="191">
        <v>268</v>
      </c>
      <c r="P87" s="191">
        <v>24</v>
      </c>
      <c r="Q87" s="192">
        <v>6858</v>
      </c>
      <c r="R87" s="74" t="s">
        <v>106</v>
      </c>
    </row>
    <row r="88" spans="1:18" ht="15.75" customHeight="1">
      <c r="A88" s="64" t="s">
        <v>107</v>
      </c>
      <c r="B88" s="109">
        <f>_xlfn.COMPOUNDVALUE(922)</f>
        <v>8379</v>
      </c>
      <c r="C88" s="110">
        <v>216585706</v>
      </c>
      <c r="D88" s="109">
        <f>_xlfn.COMPOUNDVALUE(923)</f>
        <v>3980</v>
      </c>
      <c r="E88" s="110">
        <v>2838470</v>
      </c>
      <c r="F88" s="109">
        <f>_xlfn.COMPOUNDVALUE(924)</f>
        <v>12359</v>
      </c>
      <c r="G88" s="110">
        <v>219424176</v>
      </c>
      <c r="H88" s="109">
        <f>_xlfn.COMPOUNDVALUE(925)</f>
        <v>2166</v>
      </c>
      <c r="I88" s="111">
        <v>68298218</v>
      </c>
      <c r="J88" s="109">
        <v>670</v>
      </c>
      <c r="K88" s="111">
        <v>-481266</v>
      </c>
      <c r="L88" s="109">
        <v>14773</v>
      </c>
      <c r="M88" s="111">
        <v>150644692</v>
      </c>
      <c r="N88" s="190">
        <v>14656</v>
      </c>
      <c r="O88" s="191">
        <v>1010</v>
      </c>
      <c r="P88" s="191">
        <v>108</v>
      </c>
      <c r="Q88" s="192">
        <v>15774</v>
      </c>
      <c r="R88" s="65" t="s">
        <v>107</v>
      </c>
    </row>
    <row r="89" spans="1:18" ht="15.75" customHeight="1">
      <c r="A89" s="64" t="s">
        <v>108</v>
      </c>
      <c r="B89" s="109">
        <f>_xlfn.COMPOUNDVALUE(926)</f>
        <v>5033</v>
      </c>
      <c r="C89" s="110">
        <v>28703535</v>
      </c>
      <c r="D89" s="109">
        <f>_xlfn.COMPOUNDVALUE(927)</f>
        <v>3837</v>
      </c>
      <c r="E89" s="110">
        <v>2392420</v>
      </c>
      <c r="F89" s="109">
        <f>_xlfn.COMPOUNDVALUE(928)</f>
        <v>8870</v>
      </c>
      <c r="G89" s="110">
        <v>31095956</v>
      </c>
      <c r="H89" s="109">
        <f>_xlfn.COMPOUNDVALUE(929)</f>
        <v>522</v>
      </c>
      <c r="I89" s="111">
        <v>2883722</v>
      </c>
      <c r="J89" s="109">
        <v>521</v>
      </c>
      <c r="K89" s="111">
        <v>115229</v>
      </c>
      <c r="L89" s="109">
        <v>9566</v>
      </c>
      <c r="M89" s="111">
        <v>28327463</v>
      </c>
      <c r="N89" s="190">
        <v>10363</v>
      </c>
      <c r="O89" s="191">
        <v>315</v>
      </c>
      <c r="P89" s="191">
        <v>15</v>
      </c>
      <c r="Q89" s="192">
        <v>10693</v>
      </c>
      <c r="R89" s="65" t="s">
        <v>108</v>
      </c>
    </row>
    <row r="90" spans="1:18" ht="15.75" customHeight="1">
      <c r="A90" s="64" t="s">
        <v>109</v>
      </c>
      <c r="B90" s="109">
        <f>_xlfn.COMPOUNDVALUE(930)</f>
        <v>6922</v>
      </c>
      <c r="C90" s="110">
        <v>34359661</v>
      </c>
      <c r="D90" s="109">
        <f>_xlfn.COMPOUNDVALUE(931)</f>
        <v>4981</v>
      </c>
      <c r="E90" s="110">
        <v>3127244</v>
      </c>
      <c r="F90" s="109">
        <f>_xlfn.COMPOUNDVALUE(932)</f>
        <v>11903</v>
      </c>
      <c r="G90" s="110">
        <v>37486905</v>
      </c>
      <c r="H90" s="109">
        <f>_xlfn.COMPOUNDVALUE(933)</f>
        <v>971</v>
      </c>
      <c r="I90" s="111">
        <v>4996386</v>
      </c>
      <c r="J90" s="109">
        <v>497</v>
      </c>
      <c r="K90" s="111">
        <v>204625</v>
      </c>
      <c r="L90" s="109">
        <v>13061</v>
      </c>
      <c r="M90" s="111">
        <v>32695144</v>
      </c>
      <c r="N90" s="190">
        <v>13258</v>
      </c>
      <c r="O90" s="191">
        <v>490</v>
      </c>
      <c r="P90" s="191">
        <v>28</v>
      </c>
      <c r="Q90" s="192">
        <v>13776</v>
      </c>
      <c r="R90" s="65" t="s">
        <v>109</v>
      </c>
    </row>
    <row r="91" spans="1:18" ht="15.75" customHeight="1">
      <c r="A91" s="64" t="s">
        <v>110</v>
      </c>
      <c r="B91" s="109">
        <f>_xlfn.COMPOUNDVALUE(934)</f>
        <v>7895</v>
      </c>
      <c r="C91" s="110">
        <v>102644419</v>
      </c>
      <c r="D91" s="109">
        <f>_xlfn.COMPOUNDVALUE(935)</f>
        <v>4921</v>
      </c>
      <c r="E91" s="110">
        <v>3238257</v>
      </c>
      <c r="F91" s="109">
        <f>_xlfn.COMPOUNDVALUE(936)</f>
        <v>12816</v>
      </c>
      <c r="G91" s="110">
        <v>105882675</v>
      </c>
      <c r="H91" s="109">
        <f>_xlfn.COMPOUNDVALUE(937)</f>
        <v>1329</v>
      </c>
      <c r="I91" s="111">
        <v>142690360</v>
      </c>
      <c r="J91" s="109">
        <v>582</v>
      </c>
      <c r="K91" s="111">
        <v>-291582</v>
      </c>
      <c r="L91" s="109">
        <v>14339</v>
      </c>
      <c r="M91" s="111">
        <v>-37099267</v>
      </c>
      <c r="N91" s="190">
        <v>14232</v>
      </c>
      <c r="O91" s="191">
        <v>795</v>
      </c>
      <c r="P91" s="191">
        <v>102</v>
      </c>
      <c r="Q91" s="192">
        <v>15129</v>
      </c>
      <c r="R91" s="65" t="s">
        <v>110</v>
      </c>
    </row>
    <row r="92" spans="1:18" ht="15.75" customHeight="1">
      <c r="A92" s="64"/>
      <c r="B92" s="109"/>
      <c r="C92" s="110"/>
      <c r="D92" s="109"/>
      <c r="E92" s="110"/>
      <c r="F92" s="109"/>
      <c r="G92" s="110"/>
      <c r="H92" s="109"/>
      <c r="I92" s="111"/>
      <c r="J92" s="109"/>
      <c r="K92" s="111"/>
      <c r="L92" s="109"/>
      <c r="M92" s="111"/>
      <c r="N92" s="190"/>
      <c r="O92" s="191"/>
      <c r="P92" s="191"/>
      <c r="Q92" s="192"/>
      <c r="R92" s="65" t="s">
        <v>35</v>
      </c>
    </row>
    <row r="93" spans="1:18" ht="15.75" customHeight="1">
      <c r="A93" s="64" t="s">
        <v>111</v>
      </c>
      <c r="B93" s="109">
        <f>_xlfn.COMPOUNDVALUE(938)</f>
        <v>4201</v>
      </c>
      <c r="C93" s="110">
        <v>24625740</v>
      </c>
      <c r="D93" s="109">
        <f>_xlfn.COMPOUNDVALUE(939)</f>
        <v>3354</v>
      </c>
      <c r="E93" s="110">
        <v>2155695</v>
      </c>
      <c r="F93" s="109">
        <f>_xlfn.COMPOUNDVALUE(940)</f>
        <v>7555</v>
      </c>
      <c r="G93" s="110">
        <v>26781435</v>
      </c>
      <c r="H93" s="109">
        <f>_xlfn.COMPOUNDVALUE(941)</f>
        <v>489</v>
      </c>
      <c r="I93" s="111">
        <v>4746069</v>
      </c>
      <c r="J93" s="109">
        <v>351</v>
      </c>
      <c r="K93" s="111">
        <v>34211</v>
      </c>
      <c r="L93" s="109">
        <v>8141</v>
      </c>
      <c r="M93" s="111">
        <v>22069577</v>
      </c>
      <c r="N93" s="190">
        <v>8657</v>
      </c>
      <c r="O93" s="191">
        <v>350</v>
      </c>
      <c r="P93" s="191">
        <v>18</v>
      </c>
      <c r="Q93" s="192">
        <v>9025</v>
      </c>
      <c r="R93" s="65" t="s">
        <v>111</v>
      </c>
    </row>
    <row r="94" spans="1:18" ht="15.75" customHeight="1">
      <c r="A94" s="64" t="s">
        <v>151</v>
      </c>
      <c r="B94" s="109">
        <f>_xlfn.COMPOUNDVALUE(942)</f>
        <v>7445</v>
      </c>
      <c r="C94" s="110">
        <v>40117041</v>
      </c>
      <c r="D94" s="109">
        <f>_xlfn.COMPOUNDVALUE(943)</f>
        <v>5838</v>
      </c>
      <c r="E94" s="110">
        <v>4043114</v>
      </c>
      <c r="F94" s="109">
        <f>_xlfn.COMPOUNDVALUE(944)</f>
        <v>13283</v>
      </c>
      <c r="G94" s="110">
        <v>44160155</v>
      </c>
      <c r="H94" s="109">
        <f>_xlfn.COMPOUNDVALUE(945)</f>
        <v>1033</v>
      </c>
      <c r="I94" s="111">
        <v>7641580</v>
      </c>
      <c r="J94" s="109">
        <v>634</v>
      </c>
      <c r="K94" s="111">
        <v>114780</v>
      </c>
      <c r="L94" s="109">
        <v>14610</v>
      </c>
      <c r="M94" s="111">
        <v>36633355</v>
      </c>
      <c r="N94" s="190">
        <v>15356</v>
      </c>
      <c r="O94" s="191">
        <v>680</v>
      </c>
      <c r="P94" s="191">
        <v>40</v>
      </c>
      <c r="Q94" s="192">
        <v>16076</v>
      </c>
      <c r="R94" s="65" t="s">
        <v>112</v>
      </c>
    </row>
    <row r="95" spans="1:18" ht="15.75" customHeight="1">
      <c r="A95" s="64" t="s">
        <v>113</v>
      </c>
      <c r="B95" s="109">
        <f>_xlfn.COMPOUNDVALUE(946)</f>
        <v>5456</v>
      </c>
      <c r="C95" s="110">
        <v>106822284</v>
      </c>
      <c r="D95" s="109">
        <f>_xlfn.COMPOUNDVALUE(947)</f>
        <v>3219</v>
      </c>
      <c r="E95" s="110">
        <v>2168412</v>
      </c>
      <c r="F95" s="109">
        <f>_xlfn.COMPOUNDVALUE(948)</f>
        <v>8675</v>
      </c>
      <c r="G95" s="110">
        <v>108990696</v>
      </c>
      <c r="H95" s="109">
        <f>_xlfn.COMPOUNDVALUE(949)</f>
        <v>670</v>
      </c>
      <c r="I95" s="111">
        <v>13635593</v>
      </c>
      <c r="J95" s="109">
        <v>438</v>
      </c>
      <c r="K95" s="111">
        <v>62044</v>
      </c>
      <c r="L95" s="109">
        <v>9516</v>
      </c>
      <c r="M95" s="111">
        <v>95417148</v>
      </c>
      <c r="N95" s="190">
        <v>10105</v>
      </c>
      <c r="O95" s="191">
        <v>361</v>
      </c>
      <c r="P95" s="191">
        <v>38</v>
      </c>
      <c r="Q95" s="192">
        <v>10504</v>
      </c>
      <c r="R95" s="65" t="s">
        <v>113</v>
      </c>
    </row>
    <row r="96" spans="1:18" ht="15.75" customHeight="1">
      <c r="A96" s="64" t="s">
        <v>114</v>
      </c>
      <c r="B96" s="109">
        <f>_xlfn.COMPOUNDVALUE(950)</f>
        <v>6852</v>
      </c>
      <c r="C96" s="110">
        <v>97530724</v>
      </c>
      <c r="D96" s="109">
        <f>_xlfn.COMPOUNDVALUE(951)</f>
        <v>5389</v>
      </c>
      <c r="E96" s="110">
        <v>3568537</v>
      </c>
      <c r="F96" s="109">
        <f>_xlfn.COMPOUNDVALUE(952)</f>
        <v>12241</v>
      </c>
      <c r="G96" s="110">
        <v>101099262</v>
      </c>
      <c r="H96" s="109">
        <f>_xlfn.COMPOUNDVALUE(953)</f>
        <v>829</v>
      </c>
      <c r="I96" s="111">
        <v>6944146</v>
      </c>
      <c r="J96" s="109">
        <v>513</v>
      </c>
      <c r="K96" s="111">
        <v>-37889</v>
      </c>
      <c r="L96" s="109">
        <v>13262</v>
      </c>
      <c r="M96" s="111">
        <v>94117226</v>
      </c>
      <c r="N96" s="190">
        <v>14234</v>
      </c>
      <c r="O96" s="191">
        <v>647</v>
      </c>
      <c r="P96" s="191">
        <v>24</v>
      </c>
      <c r="Q96" s="192">
        <v>14905</v>
      </c>
      <c r="R96" s="65" t="s">
        <v>114</v>
      </c>
    </row>
    <row r="97" spans="1:18" ht="15.75" customHeight="1">
      <c r="A97" s="64" t="s">
        <v>115</v>
      </c>
      <c r="B97" s="109">
        <f>_xlfn.COMPOUNDVALUE(954)</f>
        <v>3110</v>
      </c>
      <c r="C97" s="110">
        <v>10605771</v>
      </c>
      <c r="D97" s="109">
        <f>_xlfn.COMPOUNDVALUE(955)</f>
        <v>2728</v>
      </c>
      <c r="E97" s="110">
        <v>1721343</v>
      </c>
      <c r="F97" s="109">
        <f>_xlfn.COMPOUNDVALUE(956)</f>
        <v>5838</v>
      </c>
      <c r="G97" s="110">
        <v>12327115</v>
      </c>
      <c r="H97" s="109">
        <f>_xlfn.COMPOUNDVALUE(957)</f>
        <v>450</v>
      </c>
      <c r="I97" s="111">
        <v>2838126</v>
      </c>
      <c r="J97" s="109">
        <v>218</v>
      </c>
      <c r="K97" s="111">
        <v>26171</v>
      </c>
      <c r="L97" s="109">
        <v>6384</v>
      </c>
      <c r="M97" s="111">
        <v>9515160</v>
      </c>
      <c r="N97" s="190">
        <v>6626</v>
      </c>
      <c r="O97" s="191">
        <v>314</v>
      </c>
      <c r="P97" s="191">
        <v>14</v>
      </c>
      <c r="Q97" s="192">
        <v>6954</v>
      </c>
      <c r="R97" s="65" t="s">
        <v>115</v>
      </c>
    </row>
    <row r="98" spans="1:18" ht="15.75" customHeight="1">
      <c r="A98" s="64"/>
      <c r="B98" s="109"/>
      <c r="C98" s="110"/>
      <c r="D98" s="109"/>
      <c r="E98" s="110"/>
      <c r="F98" s="109"/>
      <c r="G98" s="110"/>
      <c r="H98" s="109"/>
      <c r="I98" s="111"/>
      <c r="J98" s="109"/>
      <c r="K98" s="111"/>
      <c r="L98" s="109"/>
      <c r="M98" s="111"/>
      <c r="N98" s="190"/>
      <c r="O98" s="191"/>
      <c r="P98" s="191"/>
      <c r="Q98" s="192"/>
      <c r="R98" s="65" t="s">
        <v>35</v>
      </c>
    </row>
    <row r="99" spans="1:18" ht="15.75" customHeight="1">
      <c r="A99" s="64" t="s">
        <v>116</v>
      </c>
      <c r="B99" s="109">
        <f>_xlfn.COMPOUNDVALUE(958)</f>
        <v>4036</v>
      </c>
      <c r="C99" s="110">
        <v>19904066</v>
      </c>
      <c r="D99" s="109">
        <f>_xlfn.COMPOUNDVALUE(959)</f>
        <v>3819</v>
      </c>
      <c r="E99" s="110">
        <v>2069329</v>
      </c>
      <c r="F99" s="109">
        <f>_xlfn.COMPOUNDVALUE(960)</f>
        <v>7855</v>
      </c>
      <c r="G99" s="110">
        <v>21973395</v>
      </c>
      <c r="H99" s="109">
        <f>_xlfn.COMPOUNDVALUE(961)</f>
        <v>365</v>
      </c>
      <c r="I99" s="111">
        <v>1190788</v>
      </c>
      <c r="J99" s="109">
        <v>357</v>
      </c>
      <c r="K99" s="111">
        <v>115423</v>
      </c>
      <c r="L99" s="109">
        <v>8344</v>
      </c>
      <c r="M99" s="111">
        <v>20898030</v>
      </c>
      <c r="N99" s="190">
        <v>8545</v>
      </c>
      <c r="O99" s="191">
        <v>208</v>
      </c>
      <c r="P99" s="191">
        <v>16</v>
      </c>
      <c r="Q99" s="192">
        <v>8769</v>
      </c>
      <c r="R99" s="65" t="s">
        <v>116</v>
      </c>
    </row>
    <row r="100" spans="1:18" ht="15.75" customHeight="1">
      <c r="A100" s="64" t="s">
        <v>117</v>
      </c>
      <c r="B100" s="109">
        <f>_xlfn.COMPOUNDVALUE(962)</f>
        <v>5368</v>
      </c>
      <c r="C100" s="110">
        <v>34698171</v>
      </c>
      <c r="D100" s="109">
        <f>_xlfn.COMPOUNDVALUE(963)</f>
        <v>4329</v>
      </c>
      <c r="E100" s="110">
        <v>2528437</v>
      </c>
      <c r="F100" s="109">
        <f>_xlfn.COMPOUNDVALUE(964)</f>
        <v>9697</v>
      </c>
      <c r="G100" s="110">
        <v>37226609</v>
      </c>
      <c r="H100" s="109">
        <f>_xlfn.COMPOUNDVALUE(965)</f>
        <v>536</v>
      </c>
      <c r="I100" s="111">
        <v>2189789</v>
      </c>
      <c r="J100" s="109">
        <v>433</v>
      </c>
      <c r="K100" s="111">
        <v>49344</v>
      </c>
      <c r="L100" s="109">
        <v>10379</v>
      </c>
      <c r="M100" s="111">
        <v>35086163</v>
      </c>
      <c r="N100" s="190">
        <v>10563</v>
      </c>
      <c r="O100" s="191">
        <v>324</v>
      </c>
      <c r="P100" s="191">
        <v>18</v>
      </c>
      <c r="Q100" s="192">
        <v>10905</v>
      </c>
      <c r="R100" s="65" t="s">
        <v>117</v>
      </c>
    </row>
    <row r="101" spans="1:18" ht="15.75" customHeight="1">
      <c r="A101" s="66" t="s">
        <v>118</v>
      </c>
      <c r="B101" s="112">
        <f>_xlfn.COMPOUNDVALUE(966)</f>
        <v>2876</v>
      </c>
      <c r="C101" s="113">
        <v>11454378</v>
      </c>
      <c r="D101" s="112">
        <f>_xlfn.COMPOUNDVALUE(967)</f>
        <v>2711</v>
      </c>
      <c r="E101" s="113">
        <v>1638918</v>
      </c>
      <c r="F101" s="112">
        <f>_xlfn.COMPOUNDVALUE(968)</f>
        <v>5587</v>
      </c>
      <c r="G101" s="113">
        <v>13093296</v>
      </c>
      <c r="H101" s="112">
        <f>_xlfn.COMPOUNDVALUE(969)</f>
        <v>520</v>
      </c>
      <c r="I101" s="114">
        <v>1410532</v>
      </c>
      <c r="J101" s="112">
        <v>287</v>
      </c>
      <c r="K101" s="114">
        <v>18344</v>
      </c>
      <c r="L101" s="112">
        <v>6193</v>
      </c>
      <c r="M101" s="114">
        <v>11701108</v>
      </c>
      <c r="N101" s="190">
        <v>6527</v>
      </c>
      <c r="O101" s="191">
        <v>299</v>
      </c>
      <c r="P101" s="191">
        <v>14</v>
      </c>
      <c r="Q101" s="192">
        <v>6840</v>
      </c>
      <c r="R101" s="65" t="s">
        <v>118</v>
      </c>
    </row>
    <row r="102" spans="1:18" ht="15.75" customHeight="1">
      <c r="A102" s="66" t="s">
        <v>119</v>
      </c>
      <c r="B102" s="112">
        <f>_xlfn.COMPOUNDVALUE(970)</f>
        <v>6998</v>
      </c>
      <c r="C102" s="113">
        <v>35587821</v>
      </c>
      <c r="D102" s="112">
        <f>_xlfn.COMPOUNDVALUE(971)</f>
        <v>5631</v>
      </c>
      <c r="E102" s="113">
        <v>3465487</v>
      </c>
      <c r="F102" s="112">
        <f>_xlfn.COMPOUNDVALUE(972)</f>
        <v>12629</v>
      </c>
      <c r="G102" s="113">
        <v>39053307</v>
      </c>
      <c r="H102" s="112">
        <f>_xlfn.COMPOUNDVALUE(973)</f>
        <v>900</v>
      </c>
      <c r="I102" s="114">
        <v>5453290</v>
      </c>
      <c r="J102" s="112">
        <v>603</v>
      </c>
      <c r="K102" s="114">
        <v>94858</v>
      </c>
      <c r="L102" s="112">
        <v>13766</v>
      </c>
      <c r="M102" s="114">
        <v>33694875</v>
      </c>
      <c r="N102" s="190">
        <v>14009</v>
      </c>
      <c r="O102" s="191">
        <v>601</v>
      </c>
      <c r="P102" s="191">
        <v>30</v>
      </c>
      <c r="Q102" s="192">
        <v>14640</v>
      </c>
      <c r="R102" s="65" t="s">
        <v>119</v>
      </c>
    </row>
    <row r="103" spans="1:18" ht="15.75" customHeight="1">
      <c r="A103" s="66" t="s">
        <v>120</v>
      </c>
      <c r="B103" s="112">
        <f>_xlfn.COMPOUNDVALUE(974)</f>
        <v>4151</v>
      </c>
      <c r="C103" s="113">
        <v>22368026</v>
      </c>
      <c r="D103" s="112">
        <f>_xlfn.COMPOUNDVALUE(975)</f>
        <v>3093</v>
      </c>
      <c r="E103" s="113">
        <v>1798031</v>
      </c>
      <c r="F103" s="112">
        <f>_xlfn.COMPOUNDVALUE(976)</f>
        <v>7244</v>
      </c>
      <c r="G103" s="113">
        <v>24166057</v>
      </c>
      <c r="H103" s="112">
        <f>_xlfn.COMPOUNDVALUE(977)</f>
        <v>398</v>
      </c>
      <c r="I103" s="114">
        <v>2545144</v>
      </c>
      <c r="J103" s="112">
        <v>227</v>
      </c>
      <c r="K103" s="114">
        <v>34249</v>
      </c>
      <c r="L103" s="112">
        <v>7726</v>
      </c>
      <c r="M103" s="114">
        <v>21655162</v>
      </c>
      <c r="N103" s="190">
        <v>7875</v>
      </c>
      <c r="O103" s="191">
        <v>187</v>
      </c>
      <c r="P103" s="191">
        <v>20</v>
      </c>
      <c r="Q103" s="192">
        <v>8082</v>
      </c>
      <c r="R103" s="65" t="s">
        <v>120</v>
      </c>
    </row>
    <row r="104" spans="1:18" ht="15.75" customHeight="1">
      <c r="A104" s="66"/>
      <c r="B104" s="112"/>
      <c r="C104" s="113"/>
      <c r="D104" s="112"/>
      <c r="E104" s="113"/>
      <c r="F104" s="112"/>
      <c r="G104" s="113"/>
      <c r="H104" s="112"/>
      <c r="I104" s="114"/>
      <c r="J104" s="112"/>
      <c r="K104" s="114"/>
      <c r="L104" s="112"/>
      <c r="M104" s="114"/>
      <c r="N104" s="190"/>
      <c r="O104" s="191"/>
      <c r="P104" s="191"/>
      <c r="Q104" s="192"/>
      <c r="R104" s="65" t="s">
        <v>35</v>
      </c>
    </row>
    <row r="105" spans="1:18" ht="15.75" customHeight="1">
      <c r="A105" s="66" t="s">
        <v>121</v>
      </c>
      <c r="B105" s="112">
        <f>_xlfn.COMPOUNDVALUE(978)</f>
        <v>7177</v>
      </c>
      <c r="C105" s="113">
        <v>41921951</v>
      </c>
      <c r="D105" s="112">
        <f>_xlfn.COMPOUNDVALUE(979)</f>
        <v>5389</v>
      </c>
      <c r="E105" s="113">
        <v>3400435</v>
      </c>
      <c r="F105" s="112">
        <f>_xlfn.COMPOUNDVALUE(980)</f>
        <v>12566</v>
      </c>
      <c r="G105" s="113">
        <v>45322385</v>
      </c>
      <c r="H105" s="112">
        <f>_xlfn.COMPOUNDVALUE(981)</f>
        <v>732</v>
      </c>
      <c r="I105" s="114">
        <v>5669052</v>
      </c>
      <c r="J105" s="112">
        <v>551</v>
      </c>
      <c r="K105" s="114">
        <v>103639</v>
      </c>
      <c r="L105" s="112">
        <v>13556</v>
      </c>
      <c r="M105" s="114">
        <v>39756972</v>
      </c>
      <c r="N105" s="190">
        <v>13891</v>
      </c>
      <c r="O105" s="191">
        <v>495</v>
      </c>
      <c r="P105" s="191">
        <v>43</v>
      </c>
      <c r="Q105" s="192">
        <v>14429</v>
      </c>
      <c r="R105" s="65" t="s">
        <v>121</v>
      </c>
    </row>
    <row r="106" spans="1:18" ht="15.75" customHeight="1">
      <c r="A106" s="66" t="s">
        <v>122</v>
      </c>
      <c r="B106" s="112">
        <f>_xlfn.COMPOUNDVALUE(982)</f>
        <v>3382</v>
      </c>
      <c r="C106" s="113">
        <v>27141518</v>
      </c>
      <c r="D106" s="112">
        <f>_xlfn.COMPOUNDVALUE(983)</f>
        <v>2457</v>
      </c>
      <c r="E106" s="113">
        <v>1554920</v>
      </c>
      <c r="F106" s="112">
        <f>_xlfn.COMPOUNDVALUE(984)</f>
        <v>5839</v>
      </c>
      <c r="G106" s="113">
        <v>28696437</v>
      </c>
      <c r="H106" s="112">
        <f>_xlfn.COMPOUNDVALUE(985)</f>
        <v>359</v>
      </c>
      <c r="I106" s="114">
        <v>44610818</v>
      </c>
      <c r="J106" s="112">
        <v>342</v>
      </c>
      <c r="K106" s="114">
        <v>91637</v>
      </c>
      <c r="L106" s="112">
        <v>6329</v>
      </c>
      <c r="M106" s="114">
        <v>-15822744</v>
      </c>
      <c r="N106" s="190">
        <v>6345</v>
      </c>
      <c r="O106" s="191">
        <v>244</v>
      </c>
      <c r="P106" s="191">
        <v>17</v>
      </c>
      <c r="Q106" s="192">
        <v>6606</v>
      </c>
      <c r="R106" s="65" t="s">
        <v>122</v>
      </c>
    </row>
    <row r="107" spans="1:18" ht="15.75" customHeight="1">
      <c r="A107" s="66" t="s">
        <v>123</v>
      </c>
      <c r="B107" s="112">
        <f>_xlfn.COMPOUNDVALUE(986)</f>
        <v>5557</v>
      </c>
      <c r="C107" s="113">
        <v>31921417</v>
      </c>
      <c r="D107" s="112">
        <f>_xlfn.COMPOUNDVALUE(987)</f>
        <v>4285</v>
      </c>
      <c r="E107" s="113">
        <v>2716529</v>
      </c>
      <c r="F107" s="112">
        <f>_xlfn.COMPOUNDVALUE(988)</f>
        <v>9842</v>
      </c>
      <c r="G107" s="113">
        <v>34637946</v>
      </c>
      <c r="H107" s="112">
        <f>_xlfn.COMPOUNDVALUE(989)</f>
        <v>553</v>
      </c>
      <c r="I107" s="114">
        <v>4646462</v>
      </c>
      <c r="J107" s="112">
        <v>420</v>
      </c>
      <c r="K107" s="114">
        <v>18322</v>
      </c>
      <c r="L107" s="112">
        <v>10592</v>
      </c>
      <c r="M107" s="114">
        <v>30009806</v>
      </c>
      <c r="N107" s="190">
        <v>10856</v>
      </c>
      <c r="O107" s="191">
        <v>410</v>
      </c>
      <c r="P107" s="191">
        <v>22</v>
      </c>
      <c r="Q107" s="192">
        <v>11288</v>
      </c>
      <c r="R107" s="65" t="s">
        <v>123</v>
      </c>
    </row>
    <row r="108" spans="1:18" ht="15.75" customHeight="1">
      <c r="A108" s="130" t="s">
        <v>124</v>
      </c>
      <c r="B108" s="131">
        <v>98285</v>
      </c>
      <c r="C108" s="132">
        <v>919815969</v>
      </c>
      <c r="D108" s="131">
        <v>72196</v>
      </c>
      <c r="E108" s="132">
        <v>45888723</v>
      </c>
      <c r="F108" s="131">
        <v>170481</v>
      </c>
      <c r="G108" s="132">
        <v>965704692</v>
      </c>
      <c r="H108" s="131">
        <v>13258</v>
      </c>
      <c r="I108" s="133">
        <v>325252792</v>
      </c>
      <c r="J108" s="131">
        <v>7924</v>
      </c>
      <c r="K108" s="133">
        <v>209723</v>
      </c>
      <c r="L108" s="131">
        <v>186750</v>
      </c>
      <c r="M108" s="133">
        <v>640661623</v>
      </c>
      <c r="N108" s="193">
        <v>192664</v>
      </c>
      <c r="O108" s="194">
        <v>7998</v>
      </c>
      <c r="P108" s="194">
        <v>591</v>
      </c>
      <c r="Q108" s="195">
        <v>201253</v>
      </c>
      <c r="R108" s="134" t="s">
        <v>125</v>
      </c>
    </row>
    <row r="109" spans="1:18" ht="15.75" customHeight="1">
      <c r="A109" s="135"/>
      <c r="B109" s="136"/>
      <c r="C109" s="137"/>
      <c r="D109" s="136"/>
      <c r="E109" s="137"/>
      <c r="F109" s="138"/>
      <c r="G109" s="137"/>
      <c r="H109" s="138"/>
      <c r="I109" s="137"/>
      <c r="J109" s="138"/>
      <c r="K109" s="137"/>
      <c r="L109" s="138"/>
      <c r="M109" s="137"/>
      <c r="N109" s="196"/>
      <c r="O109" s="197"/>
      <c r="P109" s="197"/>
      <c r="Q109" s="198"/>
      <c r="R109" s="139" t="s">
        <v>35</v>
      </c>
    </row>
    <row r="110" spans="1:18" ht="15.75" customHeight="1">
      <c r="A110" s="64" t="s">
        <v>126</v>
      </c>
      <c r="B110" s="109">
        <f>_xlfn.COMPOUNDVALUE(990)</f>
        <v>6430</v>
      </c>
      <c r="C110" s="110">
        <v>37949270</v>
      </c>
      <c r="D110" s="109">
        <f>_xlfn.COMPOUNDVALUE(991)</f>
        <v>4668</v>
      </c>
      <c r="E110" s="110">
        <v>2584909</v>
      </c>
      <c r="F110" s="109">
        <f>_xlfn.COMPOUNDVALUE(992)</f>
        <v>11098</v>
      </c>
      <c r="G110" s="110">
        <v>40534178</v>
      </c>
      <c r="H110" s="109">
        <f>_xlfn.COMPOUNDVALUE(993)</f>
        <v>667</v>
      </c>
      <c r="I110" s="111">
        <v>3098856</v>
      </c>
      <c r="J110" s="109">
        <v>518</v>
      </c>
      <c r="K110" s="111">
        <v>-110048</v>
      </c>
      <c r="L110" s="109">
        <v>11932</v>
      </c>
      <c r="M110" s="111">
        <v>37325274</v>
      </c>
      <c r="N110" s="190">
        <v>11840</v>
      </c>
      <c r="O110" s="191">
        <v>363</v>
      </c>
      <c r="P110" s="191">
        <v>41</v>
      </c>
      <c r="Q110" s="192">
        <v>12244</v>
      </c>
      <c r="R110" s="74" t="s">
        <v>126</v>
      </c>
    </row>
    <row r="111" spans="1:18" ht="15.75" customHeight="1">
      <c r="A111" s="66" t="s">
        <v>127</v>
      </c>
      <c r="B111" s="112">
        <f>_xlfn.COMPOUNDVALUE(994)</f>
        <v>1742</v>
      </c>
      <c r="C111" s="113">
        <v>6600615</v>
      </c>
      <c r="D111" s="112">
        <f>_xlfn.COMPOUNDVALUE(995)</f>
        <v>1916</v>
      </c>
      <c r="E111" s="113">
        <v>762471</v>
      </c>
      <c r="F111" s="112">
        <f>_xlfn.COMPOUNDVALUE(996)</f>
        <v>3658</v>
      </c>
      <c r="G111" s="113">
        <v>7363086</v>
      </c>
      <c r="H111" s="112">
        <f>_xlfn.COMPOUNDVALUE(997)</f>
        <v>177</v>
      </c>
      <c r="I111" s="114">
        <v>642405</v>
      </c>
      <c r="J111" s="112">
        <v>147</v>
      </c>
      <c r="K111" s="114">
        <v>27828</v>
      </c>
      <c r="L111" s="112">
        <v>3877</v>
      </c>
      <c r="M111" s="114">
        <v>6748509</v>
      </c>
      <c r="N111" s="190">
        <v>4081</v>
      </c>
      <c r="O111" s="191">
        <v>108</v>
      </c>
      <c r="P111" s="191">
        <v>3</v>
      </c>
      <c r="Q111" s="192">
        <v>4192</v>
      </c>
      <c r="R111" s="65" t="s">
        <v>127</v>
      </c>
    </row>
    <row r="112" spans="1:18" ht="15.75" customHeight="1">
      <c r="A112" s="66" t="s">
        <v>128</v>
      </c>
      <c r="B112" s="112">
        <f>_xlfn.COMPOUNDVALUE(998)</f>
        <v>2748</v>
      </c>
      <c r="C112" s="113">
        <v>12053110</v>
      </c>
      <c r="D112" s="112">
        <f>_xlfn.COMPOUNDVALUE(999)</f>
        <v>2173</v>
      </c>
      <c r="E112" s="113">
        <v>1171168</v>
      </c>
      <c r="F112" s="112">
        <f>_xlfn.COMPOUNDVALUE(1000)</f>
        <v>4921</v>
      </c>
      <c r="G112" s="113">
        <v>13224278</v>
      </c>
      <c r="H112" s="112">
        <f>_xlfn.COMPOUNDVALUE(1001)</f>
        <v>386</v>
      </c>
      <c r="I112" s="114">
        <v>15615977</v>
      </c>
      <c r="J112" s="112">
        <v>198</v>
      </c>
      <c r="K112" s="114">
        <v>36486</v>
      </c>
      <c r="L112" s="112">
        <v>5364</v>
      </c>
      <c r="M112" s="114">
        <v>-2355213</v>
      </c>
      <c r="N112" s="190">
        <v>5013</v>
      </c>
      <c r="O112" s="191">
        <v>165</v>
      </c>
      <c r="P112" s="191">
        <v>14</v>
      </c>
      <c r="Q112" s="192">
        <v>5192</v>
      </c>
      <c r="R112" s="65" t="s">
        <v>128</v>
      </c>
    </row>
    <row r="113" spans="1:18" ht="15.75" customHeight="1">
      <c r="A113" s="66" t="s">
        <v>129</v>
      </c>
      <c r="B113" s="112">
        <f>_xlfn.COMPOUNDVALUE(1002)</f>
        <v>601</v>
      </c>
      <c r="C113" s="113">
        <v>2481280</v>
      </c>
      <c r="D113" s="112">
        <f>_xlfn.COMPOUNDVALUE(1003)</f>
        <v>555</v>
      </c>
      <c r="E113" s="113">
        <v>263826</v>
      </c>
      <c r="F113" s="112">
        <f>_xlfn.COMPOUNDVALUE(1004)</f>
        <v>1156</v>
      </c>
      <c r="G113" s="113">
        <v>2745105</v>
      </c>
      <c r="H113" s="112">
        <f>_xlfn.COMPOUNDVALUE(1005)</f>
        <v>33</v>
      </c>
      <c r="I113" s="114">
        <v>82391</v>
      </c>
      <c r="J113" s="112">
        <v>68</v>
      </c>
      <c r="K113" s="114">
        <v>19669</v>
      </c>
      <c r="L113" s="112">
        <v>1208</v>
      </c>
      <c r="M113" s="114">
        <v>2682383</v>
      </c>
      <c r="N113" s="190">
        <v>1267</v>
      </c>
      <c r="O113" s="191">
        <v>20</v>
      </c>
      <c r="P113" s="191">
        <v>0</v>
      </c>
      <c r="Q113" s="192">
        <v>1287</v>
      </c>
      <c r="R113" s="65" t="s">
        <v>129</v>
      </c>
    </row>
    <row r="114" spans="1:18" ht="15.75" customHeight="1">
      <c r="A114" s="67" t="s">
        <v>130</v>
      </c>
      <c r="B114" s="115">
        <v>11521</v>
      </c>
      <c r="C114" s="116">
        <v>59084274</v>
      </c>
      <c r="D114" s="115">
        <v>9312</v>
      </c>
      <c r="E114" s="116">
        <v>4782374</v>
      </c>
      <c r="F114" s="115">
        <v>20833</v>
      </c>
      <c r="G114" s="116">
        <v>63866648</v>
      </c>
      <c r="H114" s="115">
        <v>1263</v>
      </c>
      <c r="I114" s="117">
        <v>19439629</v>
      </c>
      <c r="J114" s="115">
        <v>931</v>
      </c>
      <c r="K114" s="117">
        <v>-26065</v>
      </c>
      <c r="L114" s="115">
        <v>22381</v>
      </c>
      <c r="M114" s="117">
        <v>44400953</v>
      </c>
      <c r="N114" s="205">
        <v>22201</v>
      </c>
      <c r="O114" s="206">
        <v>656</v>
      </c>
      <c r="P114" s="206">
        <v>58</v>
      </c>
      <c r="Q114" s="207">
        <v>22915</v>
      </c>
      <c r="R114" s="72" t="s">
        <v>131</v>
      </c>
    </row>
    <row r="115" spans="1:18" ht="15.75" customHeight="1" thickBot="1">
      <c r="A115" s="68"/>
      <c r="B115" s="118"/>
      <c r="C115" s="119"/>
      <c r="D115" s="118"/>
      <c r="E115" s="119"/>
      <c r="F115" s="120"/>
      <c r="G115" s="119"/>
      <c r="H115" s="120"/>
      <c r="I115" s="119"/>
      <c r="J115" s="120"/>
      <c r="K115" s="119"/>
      <c r="L115" s="120"/>
      <c r="M115" s="119"/>
      <c r="N115" s="208"/>
      <c r="O115" s="209"/>
      <c r="P115" s="209"/>
      <c r="Q115" s="210"/>
      <c r="R115" s="69" t="s">
        <v>35</v>
      </c>
    </row>
    <row r="116" spans="1:18" ht="15.75" customHeight="1" thickBot="1" thickTop="1">
      <c r="A116" s="70" t="s">
        <v>34</v>
      </c>
      <c r="B116" s="121">
        <v>489512</v>
      </c>
      <c r="C116" s="122">
        <v>9111599644</v>
      </c>
      <c r="D116" s="121">
        <v>291869</v>
      </c>
      <c r="E116" s="122">
        <v>192163791</v>
      </c>
      <c r="F116" s="121">
        <v>781381</v>
      </c>
      <c r="G116" s="122">
        <v>9303763436</v>
      </c>
      <c r="H116" s="121">
        <v>87961</v>
      </c>
      <c r="I116" s="123">
        <v>2761615966</v>
      </c>
      <c r="J116" s="121">
        <v>40408</v>
      </c>
      <c r="K116" s="123">
        <v>19474065</v>
      </c>
      <c r="L116" s="121">
        <v>884049</v>
      </c>
      <c r="M116" s="123">
        <v>6561621535</v>
      </c>
      <c r="N116" s="211">
        <v>901911</v>
      </c>
      <c r="O116" s="212">
        <v>53701</v>
      </c>
      <c r="P116" s="212">
        <v>6533</v>
      </c>
      <c r="Q116" s="213">
        <v>962145</v>
      </c>
      <c r="R116" s="71" t="s">
        <v>34</v>
      </c>
    </row>
    <row r="117" spans="1:10" ht="12.75">
      <c r="A117" s="263" t="s">
        <v>160</v>
      </c>
      <c r="B117" s="263"/>
      <c r="C117" s="263"/>
      <c r="D117" s="263"/>
      <c r="E117" s="263"/>
      <c r="F117" s="263"/>
      <c r="G117" s="263"/>
      <c r="H117" s="263"/>
      <c r="I117" s="263"/>
      <c r="J117" s="263"/>
    </row>
  </sheetData>
  <sheetProtection/>
  <mergeCells count="16">
    <mergeCell ref="L3:M4"/>
    <mergeCell ref="N3:Q3"/>
    <mergeCell ref="R3:R5"/>
    <mergeCell ref="B4:C4"/>
    <mergeCell ref="D4:E4"/>
    <mergeCell ref="F4:G4"/>
    <mergeCell ref="N4:N5"/>
    <mergeCell ref="O4:O5"/>
    <mergeCell ref="P4:P5"/>
    <mergeCell ref="Q4:Q5"/>
    <mergeCell ref="A117:J117"/>
    <mergeCell ref="A2:I2"/>
    <mergeCell ref="A3:A5"/>
    <mergeCell ref="B3:G3"/>
    <mergeCell ref="H3:I4"/>
    <mergeCell ref="J3:K4"/>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scale="63" r:id="rId1"/>
  <headerFooter alignWithMargins="0">
    <oddFooter>&amp;R&amp;K01+000東京国税局
消費税
(R02)</oddFooter>
  </headerFooter>
  <rowBreaks count="2" manualBreakCount="2">
    <brk id="42" max="17" man="1"/>
    <brk id="7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dc:creator>
  <cp:keywords/>
  <dc:description/>
  <cp:lastModifiedBy>国税庁</cp:lastModifiedBy>
  <cp:lastPrinted>2022-02-28T05:45:38Z</cp:lastPrinted>
  <dcterms:created xsi:type="dcterms:W3CDTF">2003-07-09T01:05:10Z</dcterms:created>
  <dcterms:modified xsi:type="dcterms:W3CDTF">2022-02-28T05:46:59Z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